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codeName="{AE6600E7-7A62-396C-DE95-9942FA9DD81E}"/>
  <workbookPr codeName="ThisWorkbook" defaultThemeVersion="124226"/>
  <mc:AlternateContent xmlns:mc="http://schemas.openxmlformats.org/markup-compatibility/2006">
    <mc:Choice Requires="x15">
      <x15ac:absPath xmlns:x15ac="http://schemas.microsoft.com/office/spreadsheetml/2010/11/ac" url="C:\DH\Encamisado Parcial del Canal de Calle América\Pliego a Publicar\"/>
    </mc:Choice>
  </mc:AlternateContent>
  <xr:revisionPtr revIDLastSave="0" documentId="13_ncr:1_{6CE9741C-6884-4B0B-8638-7113017C70CA}" xr6:coauthVersionLast="47" xr6:coauthVersionMax="47" xr10:uidLastSave="{00000000-0000-0000-0000-000000000000}"/>
  <bookViews>
    <workbookView minimized="1" xWindow="2160" yWindow="2160" windowWidth="21600" windowHeight="11385" tabRatio="877" activeTab="3"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Indices" sheetId="24" r:id="rId8"/>
    <sheet name="Avance de Obra" sheetId="4" r:id="rId9"/>
    <sheet name="Curva Inversiones" sheetId="5" r:id="rId10"/>
    <sheet name="Insumos" sheetId="14" r:id="rId11"/>
    <sheet name="Equipos" sheetId="22" r:id="rId12"/>
    <sheet name="MED SIGOP" sheetId="27" r:id="rId13"/>
    <sheet name="MED PROYECTO" sheetId="28" r:id="rId14"/>
    <sheet name="Rendimiento Equipo" sheetId="23" r:id="rId15"/>
    <sheet name="Gastos Generales" sheetId="8" r:id="rId16"/>
    <sheet name="Coef-Equipos" sheetId="19" r:id="rId17"/>
    <sheet name="Transp. Camión Solo" sheetId="20" r:id="rId18"/>
    <sheet name="Transp. Camión con Acoplado" sheetId="21"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6"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8" hidden="1">[1]P.TRABAJO!#REF!</definedName>
    <definedName name="__123Graph_AGRAUDAP" localSheetId="17" hidden="1">[1]P.TRABAJO!#REF!</definedName>
    <definedName name="__123Graph_AGRAUDAP" hidden="1">[1]P.TRABAJO!#REF!</definedName>
    <definedName name="__123Graph_LBL_AGRAUDAP" localSheetId="16"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8" hidden="1">[1]P.TRABAJO!#REF!</definedName>
    <definedName name="__123Graph_LBL_AGRAUDAP" localSheetId="17" hidden="1">[1]P.TRABAJO!#REF!</definedName>
    <definedName name="__123Graph_LBL_AGRAUDAP" hidden="1">[1]P.TRABAJO!#REF!</definedName>
    <definedName name="__123Graph_XGRAUDAP" localSheetId="16"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8" hidden="1">[1]P.TRABAJO!#REF!</definedName>
    <definedName name="__123Graph_XGRAUDAP" localSheetId="17" hidden="1">[1]P.TRABAJO!#REF!</definedName>
    <definedName name="__123Graph_XGRAUDAP" hidden="1">[1]P.TRABAJO!#REF!</definedName>
    <definedName name="_xlnm._FilterDatabase" localSheetId="4" hidden="1">AP!$A$1:$A$75</definedName>
    <definedName name="_xlnm._FilterDatabase" localSheetId="16" hidden="1">'Coef-Equipos'!$C$1:$C$68</definedName>
    <definedName name="_xlnm._FilterDatabase" localSheetId="3" hidden="1">CyP!$A$1:$A$59</definedName>
    <definedName name="_xlnm._FilterDatabase" localSheetId="1" hidden="1">Datos!#REF!</definedName>
    <definedName name="_xlnm._FilterDatabase" localSheetId="2" hidden="1">Propuesta!#REF!</definedName>
    <definedName name="_xlnm._FilterDatabase" localSheetId="5" hidden="1">PTyCI!$E$1:$E$53</definedName>
    <definedName name="A" localSheetId="18">'Transp. Camión con Acoplado'!$O$4</definedName>
    <definedName name="A" localSheetId="17">'Transp. Camión Solo'!$O$4</definedName>
    <definedName name="Anticipo_Financiero" localSheetId="6">[2]Datos!$C$7</definedName>
    <definedName name="Anticipo_Financiero">Datos!$C$12</definedName>
    <definedName name="_xlnm.Print_Area" localSheetId="4">AP!$A$1:$G$3374</definedName>
    <definedName name="_xlnm.Print_Area" localSheetId="3">CyP!$A$1:$J$59</definedName>
    <definedName name="_xlnm.Print_Area" localSheetId="1">Datos!$B$1:$J$56</definedName>
    <definedName name="_xlnm.Print_Area" localSheetId="13">'MED PROYECTO'!$A$1:$K$22</definedName>
    <definedName name="_xlnm.Print_Area" localSheetId="12">'MED SIGOP'!$A$1:$H$22</definedName>
    <definedName name="_xlnm.Print_Area" localSheetId="2">Propuesta!$A$1:$G$88</definedName>
    <definedName name="_xlnm.Print_Area" localSheetId="5">PTyCI!$A$9:$L$51</definedName>
    <definedName name="B" localSheetId="18">'Transp. Camión con Acoplado'!$O$7</definedName>
    <definedName name="B" localSheetId="17">'Transp. Camión Solo'!$O$7</definedName>
    <definedName name="Beneficio" localSheetId="6">[2]Datos!$C$15</definedName>
    <definedName name="Beneficio">Datos!$C$25</definedName>
    <definedName name="C_" localSheetId="18">'Transp. Camión con Acoplado'!$O$10</definedName>
    <definedName name="C_" localSheetId="17">'Transp.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6">'Coef-Equipos'!$D$63</definedName>
    <definedName name="Cant_Viv_P1">[2]P1!$B$5</definedName>
    <definedName name="Cant_Viv_P2">[2]P2!$B$5</definedName>
    <definedName name="Cant_Viv_P3">[2]P3!$B$5</definedName>
    <definedName name="Cantidad_camaras_cubiertas" localSheetId="18">'Transp. Camión con Acoplado'!$E$15</definedName>
    <definedName name="Cantidad_camaras_cubiertas" localSheetId="17">'Transp. Camión Solo'!$E$15</definedName>
    <definedName name="Cantidad_lavado_al_mes" localSheetId="18">'Transp. Camión con Acoplado'!$E$14</definedName>
    <definedName name="Cantidad_lavado_al_mes" localSheetId="17">'Transp.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8">'Transp. Camión con Acoplado'!$E$18</definedName>
    <definedName name="Consumo_gasoil_Camioneta_porkm" localSheetId="16">'Coef-Equipos'!$D$61</definedName>
    <definedName name="Consumo_gasoil_CamiónSolo_porkm" localSheetId="17">'Transp. Camión Solo'!$E$18</definedName>
    <definedName name="Consumo_gasoil_Equipo_porHP" localSheetId="16">'Coef-Equipos'!$D$29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6">'Coef-Equipos'!$D$64</definedName>
    <definedName name="Costo_Financiero" localSheetId="6">[2]Datos!$C$13</definedName>
    <definedName name="Costo_Financiero">Datos!$C$23</definedName>
    <definedName name="Costo_gasoil" localSheetId="18">'Transp. Camión con Acoplado'!$E$19</definedName>
    <definedName name="Costo_gasoil" localSheetId="17">'Transp. Camión Solo'!$E$19</definedName>
    <definedName name="Costo_Obra">CyP!$F$46</definedName>
    <definedName name="D" localSheetId="18">'Transp. Camión con Acoplado'!$O$13</definedName>
    <definedName name="D" localSheetId="17">'Transp. Camión Solo'!$O$13</definedName>
    <definedName name="DG_EP" localSheetId="16">'Coef-Equipos'!$A$13:$D$19</definedName>
    <definedName name="E" localSheetId="18">'Transp. Camión con Acoplado'!$O$16</definedName>
    <definedName name="E" localSheetId="17">'Transp.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8">'Transp. Camión con Acoplado'!$O$19</definedName>
    <definedName name="F_" localSheetId="17">'Transp. Camión Solo'!$O$19</definedName>
    <definedName name="Fecha_Apertura">[2]Datos!$C$8</definedName>
    <definedName name="Fecha_Base">Datos!$C$13</definedName>
    <definedName name="G" localSheetId="18">'Transp. Camión con Acoplado'!$O$22</definedName>
    <definedName name="G" localSheetId="17">'Transp.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8">'Transp. Camión con Acoplado'!$E$8</definedName>
    <definedName name="HorasAmortizaciónEquipoCamión" localSheetId="17">'Transp. Camión Solo'!$E$8</definedName>
    <definedName name="Ingresos_Brutos" localSheetId="6">[2]Datos!$C$16</definedName>
    <definedName name="Ingresos_Brutos">Datos!$C$26</definedName>
    <definedName name="Interés_Anual" localSheetId="16">'Coef-Equipos'!$D$27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8">'Transp. Camión con Acoplado'!$E$22</definedName>
    <definedName name="Mano_Obra_Lavado" localSheetId="17">'Transp. Camión Solo'!$E$22</definedName>
    <definedName name="Monto_Oferta" localSheetId="6">[2]CyP!$H$58</definedName>
    <definedName name="Monto_Oferta">CyP!$H$46</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6">'Coef-Equipos'!$D$55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6">'Coef-Equipos'!$D$28</definedName>
    <definedName name="Porcentaje_amortizaciónl_Equipo" localSheetId="16">'Coef-Equipos'!$D$26</definedName>
    <definedName name="Porcentaje_Lubricantes" localSheetId="18">'Transp. Camión con Acoplado'!$E$20</definedName>
    <definedName name="Porcentaje_Lubricantes" localSheetId="17">'Transp. Camión Solo'!$E$20</definedName>
    <definedName name="Porcentaje_Lubricantes_Camionetas" localSheetId="16">'Coef-Equipos'!$D$62</definedName>
    <definedName name="Porcentaje_lubricantes_respecto_al_combustible" localSheetId="16">'Coef-Equipos'!$D$31</definedName>
    <definedName name="Porcentaje_Reparaciones_Repuestos" localSheetId="18">'Transp. Camión con Acoplado'!$E$11</definedName>
    <definedName name="Porcentaje_Reparaciones_Repuestos" localSheetId="17">'Transp. Camión Solo'!$E$11</definedName>
    <definedName name="PorcentajeEquipoAmortizarCamión" localSheetId="18">'Transp. Camión con Acoplado'!$E$9</definedName>
    <definedName name="PorcentajeEquipoAmortizarCamión" localSheetId="17">'Transp. Camión Solo'!$E$9</definedName>
    <definedName name="PorSegurosPatentesImpustoCamión" localSheetId="18">'Transp. Camión con Acoplado'!$E$12</definedName>
    <definedName name="PorSegurosPatentesImpustoCamión" localSheetId="17">'Transp. Camión Solo'!$E$12</definedName>
    <definedName name="Precio_gasoil" localSheetId="16">'Coef-Equipos'!$D$30</definedName>
    <definedName name="Precio_P1">[2]P1!$F$24</definedName>
    <definedName name="Precio_P2">[2]P2!$F$24</definedName>
    <definedName name="Precio_P3">[2]P3!$F$101</definedName>
    <definedName name="Presupuesto_Oficial">[2]Datos!$C$6</definedName>
    <definedName name="Rec_Est_Mensual_Camioneta_km" localSheetId="16">'Coef-Equipos'!$D$57</definedName>
    <definedName name="Sección_I">Datos!$C$5</definedName>
    <definedName name="Sección_II">Datos!$C$6</definedName>
    <definedName name="Sección_III">Datos!$C$7</definedName>
    <definedName name="Seguros_Patentes_Impuestos" localSheetId="18">'Transp. Camión con Acoplado'!$E$12</definedName>
    <definedName name="Seguros_Patentes_Impuestos" localSheetId="17">'Transp.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8">'Transp. Camión con Acoplado'!$E$13</definedName>
    <definedName name="Tiempo_lavado_en_horas" localSheetId="17">'Transp.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PTyCI!$B:$E,PTyCI!$1:$12</definedName>
    <definedName name="Tramo">Datos!$C$4</definedName>
    <definedName name="Ubic">[2]Datos!$C$3</definedName>
    <definedName name="Ubicación" localSheetId="6">[2]Datos!$C$3</definedName>
    <definedName name="Ubicación">Datos!$C$8</definedName>
    <definedName name="V_U_cámara_cubiertas_CamiónAcoplado" localSheetId="18">'Transp. Camión con Acoplado'!$E$17</definedName>
    <definedName name="V_U_cámara_cubiertas_Camionetas" localSheetId="16">'Coef-Equipos'!$D$65</definedName>
    <definedName name="V_U_Camioneta_km" localSheetId="16">'Coef-Equipos'!$D$56</definedName>
    <definedName name="V_U_Camioneta_meses" localSheetId="16">'Coef-Equipos'!$D$58</definedName>
    <definedName name="V_U_Equipo" localSheetId="16">'Coef-Equipos'!$D$25</definedName>
    <definedName name="V_Ul_cámara_cubiertas_CamiónSolo" localSheetId="17">'Transp. Camión Solo'!$E$17</definedName>
    <definedName name="Valor_cámara_cubiertas_CamiónAcoplado" localSheetId="18">'Transp. Camión con Acoplado'!$E$16</definedName>
    <definedName name="Valor_cámara_cubiertas_CamiónSolo" localSheetId="17">'Transp. Camión Solo'!$E$16</definedName>
    <definedName name="Valor_CamiónAcoplado" localSheetId="18">'Transp. Camión con Acoplado'!$E$7</definedName>
    <definedName name="Valor_CamiónSolo" localSheetId="17">'Transp. Camión Solo'!$E$7</definedName>
  </definedNames>
  <calcPr calcId="191029"/>
</workbook>
</file>

<file path=xl/calcChain.xml><?xml version="1.0" encoding="utf-8"?>
<calcChain xmlns="http://schemas.openxmlformats.org/spreadsheetml/2006/main">
  <c r="D57" i="15" l="1"/>
  <c r="D58" i="15"/>
  <c r="D59" i="15"/>
  <c r="D60" i="15"/>
  <c r="D61" i="15"/>
  <c r="C57" i="15"/>
  <c r="C58" i="15"/>
  <c r="C59" i="15"/>
  <c r="C60" i="15"/>
  <c r="C61" i="15"/>
  <c r="C62" i="15"/>
  <c r="C63" i="15"/>
  <c r="B36" i="9"/>
  <c r="A41" i="2"/>
  <c r="B34" i="9"/>
  <c r="B42" i="9"/>
  <c r="A45" i="2"/>
  <c r="B39" i="9"/>
  <c r="B38" i="9"/>
  <c r="A44" i="2"/>
  <c r="B43" i="9"/>
  <c r="B35" i="9"/>
  <c r="B41" i="9"/>
  <c r="B33" i="9"/>
  <c r="B40" i="9"/>
  <c r="A43" i="2"/>
  <c r="B37" i="9"/>
  <c r="B44" i="9"/>
  <c r="A42" i="2"/>
  <c r="B44" i="2" l="1"/>
  <c r="D44" i="2"/>
  <c r="B42" i="2"/>
  <c r="D42" i="2"/>
  <c r="D41" i="2"/>
  <c r="B41" i="2"/>
  <c r="B43" i="2"/>
  <c r="D43" i="2"/>
  <c r="D45" i="2"/>
  <c r="B45" i="2"/>
  <c r="C6" i="2" l="1"/>
  <c r="M14" i="9"/>
  <c r="M15" i="9"/>
  <c r="M16" i="9"/>
  <c r="M17" i="9"/>
  <c r="M18" i="9"/>
  <c r="M19" i="9"/>
  <c r="M20" i="9"/>
  <c r="M21" i="9"/>
  <c r="M22" i="9"/>
  <c r="M23" i="9"/>
  <c r="M24" i="9"/>
  <c r="M25" i="9"/>
  <c r="M26" i="9"/>
  <c r="M27" i="9"/>
  <c r="M28" i="9"/>
  <c r="M29" i="9"/>
  <c r="M30" i="9"/>
  <c r="M31" i="9"/>
  <c r="M32" i="9"/>
  <c r="M44" i="9"/>
  <c r="M13" i="9"/>
  <c r="F3370" i="6"/>
  <c r="G3370" i="6" s="1"/>
  <c r="D3370" i="6"/>
  <c r="B3370" i="6"/>
  <c r="A3370" i="6"/>
  <c r="F3369" i="6"/>
  <c r="G3369" i="6" s="1"/>
  <c r="G3371" i="6" s="1"/>
  <c r="D3369" i="6"/>
  <c r="B3369" i="6"/>
  <c r="A3369" i="6"/>
  <c r="D3364" i="6"/>
  <c r="C3364" i="6"/>
  <c r="F3364" i="6" s="1"/>
  <c r="G3364" i="6" s="1"/>
  <c r="B3364" i="6"/>
  <c r="A3364" i="6"/>
  <c r="C3363" i="6"/>
  <c r="F3363" i="6" s="1"/>
  <c r="G3363" i="6" s="1"/>
  <c r="D3362" i="6"/>
  <c r="C3362" i="6"/>
  <c r="F3362" i="6" s="1"/>
  <c r="G3362" i="6" s="1"/>
  <c r="B3362" i="6"/>
  <c r="A3362" i="6"/>
  <c r="C3361" i="6"/>
  <c r="F3361" i="6" s="1"/>
  <c r="G3361" i="6" s="1"/>
  <c r="D3360" i="6"/>
  <c r="C3360" i="6"/>
  <c r="F3360" i="6" s="1"/>
  <c r="G3360" i="6" s="1"/>
  <c r="B3360" i="6"/>
  <c r="A3360" i="6"/>
  <c r="C3359" i="6"/>
  <c r="F3359" i="6" s="1"/>
  <c r="G3359" i="6" s="1"/>
  <c r="D3358" i="6"/>
  <c r="C3358" i="6"/>
  <c r="F3358" i="6" s="1"/>
  <c r="G3358" i="6" s="1"/>
  <c r="B3358" i="6"/>
  <c r="A3358" i="6"/>
  <c r="C3357" i="6"/>
  <c r="F3357" i="6" s="1"/>
  <c r="G3357" i="6" s="1"/>
  <c r="D3356" i="6"/>
  <c r="C3356" i="6"/>
  <c r="F3356" i="6" s="1"/>
  <c r="G3356" i="6" s="1"/>
  <c r="B3356" i="6"/>
  <c r="A3356" i="6"/>
  <c r="C3355" i="6"/>
  <c r="F3355" i="6" s="1"/>
  <c r="G3355" i="6" s="1"/>
  <c r="D3354" i="6"/>
  <c r="C3354" i="6"/>
  <c r="F3354" i="6" s="1"/>
  <c r="G3354" i="6" s="1"/>
  <c r="B3354" i="6"/>
  <c r="A3354" i="6"/>
  <c r="F3349" i="6"/>
  <c r="E3349" i="6"/>
  <c r="B3349" i="6"/>
  <c r="A3349" i="6"/>
  <c r="F3348" i="6"/>
  <c r="E3348" i="6"/>
  <c r="B3348" i="6"/>
  <c r="A3348" i="6"/>
  <c r="F3347" i="6"/>
  <c r="G3347" i="6" s="1"/>
  <c r="E3347" i="6"/>
  <c r="B3347" i="6"/>
  <c r="A3347" i="6"/>
  <c r="E3346" i="6"/>
  <c r="C3346" i="6"/>
  <c r="B3346" i="6"/>
  <c r="A3346" i="6"/>
  <c r="C3345" i="6"/>
  <c r="E3345" i="6" s="1"/>
  <c r="A3345" i="6"/>
  <c r="E3344" i="6"/>
  <c r="C3344" i="6"/>
  <c r="B3344" i="6"/>
  <c r="A3344" i="6"/>
  <c r="C3343" i="6"/>
  <c r="E3343" i="6" s="1"/>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C3333" i="6"/>
  <c r="A3333" i="6" s="1"/>
  <c r="B3333" i="6"/>
  <c r="C3332" i="6"/>
  <c r="D3331" i="6"/>
  <c r="E3331" i="6" s="1"/>
  <c r="C3331" i="6"/>
  <c r="B3331" i="6" s="1"/>
  <c r="E3330" i="6"/>
  <c r="D3330" i="6"/>
  <c r="C3330" i="6"/>
  <c r="B3330" i="6"/>
  <c r="A3330" i="6"/>
  <c r="F3321" i="6"/>
  <c r="G3321" i="6" s="1"/>
  <c r="E3321" i="6"/>
  <c r="G3320" i="6"/>
  <c r="F3320" i="6"/>
  <c r="E3320" i="6"/>
  <c r="F3319" i="6"/>
  <c r="E3319" i="6"/>
  <c r="D3319" i="6"/>
  <c r="G3319" i="6" s="1"/>
  <c r="C3319" i="6"/>
  <c r="D3318" i="6"/>
  <c r="G3318" i="6" s="1"/>
  <c r="C3318" i="6"/>
  <c r="F3318" i="6" s="1"/>
  <c r="C3317" i="6"/>
  <c r="F3317" i="6" s="1"/>
  <c r="G3317" i="6" s="1"/>
  <c r="F3316" i="6"/>
  <c r="G3316" i="6" s="1"/>
  <c r="C3316" i="6"/>
  <c r="E3316" i="6" s="1"/>
  <c r="C3315" i="6"/>
  <c r="E3315" i="6" s="1"/>
  <c r="C3314" i="6"/>
  <c r="F3314" i="6" s="1"/>
  <c r="G3314" i="6" s="1"/>
  <c r="F3313" i="6"/>
  <c r="G3313" i="6" s="1"/>
  <c r="E3313" i="6"/>
  <c r="D3313" i="6"/>
  <c r="C3313" i="6"/>
  <c r="F3312" i="6"/>
  <c r="G3312" i="6" s="1"/>
  <c r="E3312" i="6"/>
  <c r="D3312" i="6"/>
  <c r="C3312" i="6"/>
  <c r="B3305" i="6"/>
  <c r="G3304" i="6"/>
  <c r="B3304" i="6"/>
  <c r="B3303" i="6"/>
  <c r="B3302" i="6"/>
  <c r="F3295" i="6"/>
  <c r="G3295" i="6" s="1"/>
  <c r="D3295" i="6"/>
  <c r="B3295" i="6"/>
  <c r="A3295" i="6"/>
  <c r="F3294" i="6"/>
  <c r="G3294" i="6" s="1"/>
  <c r="D3294" i="6"/>
  <c r="B3294" i="6"/>
  <c r="A3294" i="6"/>
  <c r="D3289" i="6"/>
  <c r="C3289" i="6"/>
  <c r="F3289" i="6" s="1"/>
  <c r="G3289" i="6" s="1"/>
  <c r="B3289" i="6"/>
  <c r="A3289" i="6"/>
  <c r="C3288" i="6"/>
  <c r="F3288" i="6" s="1"/>
  <c r="G3288" i="6" s="1"/>
  <c r="B3288" i="6"/>
  <c r="D3287" i="6"/>
  <c r="C3287" i="6"/>
  <c r="F3287" i="6" s="1"/>
  <c r="G3287" i="6" s="1"/>
  <c r="B3287" i="6"/>
  <c r="A3287" i="6"/>
  <c r="C3286" i="6"/>
  <c r="F3286" i="6" s="1"/>
  <c r="G3286" i="6" s="1"/>
  <c r="B3286" i="6"/>
  <c r="D3285" i="6"/>
  <c r="C3285" i="6"/>
  <c r="F3285" i="6" s="1"/>
  <c r="G3285" i="6" s="1"/>
  <c r="B3285" i="6"/>
  <c r="A3285" i="6"/>
  <c r="C3284" i="6"/>
  <c r="F3284" i="6" s="1"/>
  <c r="G3284" i="6" s="1"/>
  <c r="B3284" i="6"/>
  <c r="D3283" i="6"/>
  <c r="C3283" i="6"/>
  <c r="F3283" i="6" s="1"/>
  <c r="G3283" i="6" s="1"/>
  <c r="B3283" i="6"/>
  <c r="A3283" i="6"/>
  <c r="C3282" i="6"/>
  <c r="F3282" i="6" s="1"/>
  <c r="G3282" i="6" s="1"/>
  <c r="B3282" i="6"/>
  <c r="D3281" i="6"/>
  <c r="C3281" i="6"/>
  <c r="F3281" i="6" s="1"/>
  <c r="G3281" i="6" s="1"/>
  <c r="B3281" i="6"/>
  <c r="A3281" i="6"/>
  <c r="C3280" i="6"/>
  <c r="F3280" i="6" s="1"/>
  <c r="G3280" i="6" s="1"/>
  <c r="B3280" i="6"/>
  <c r="D3279" i="6"/>
  <c r="C3279" i="6"/>
  <c r="F3279" i="6" s="1"/>
  <c r="G3279" i="6" s="1"/>
  <c r="B3279" i="6"/>
  <c r="A3279" i="6"/>
  <c r="F3274" i="6"/>
  <c r="E3274" i="6"/>
  <c r="B3274" i="6"/>
  <c r="A3274" i="6"/>
  <c r="F3273" i="6"/>
  <c r="E3273" i="6"/>
  <c r="B3273" i="6"/>
  <c r="A3273" i="6"/>
  <c r="F3272" i="6"/>
  <c r="G3272" i="6" s="1"/>
  <c r="E3272" i="6"/>
  <c r="B3272" i="6"/>
  <c r="A3272" i="6"/>
  <c r="E3271" i="6"/>
  <c r="C3271" i="6"/>
  <c r="B3271" i="6"/>
  <c r="A3271" i="6"/>
  <c r="C3270" i="6"/>
  <c r="E3270" i="6" s="1"/>
  <c r="A3270" i="6"/>
  <c r="E3269" i="6"/>
  <c r="C3269" i="6"/>
  <c r="B3269" i="6"/>
  <c r="A3269" i="6"/>
  <c r="C3268" i="6"/>
  <c r="E3268" i="6" s="1"/>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C3258" i="6"/>
  <c r="A3258" i="6" s="1"/>
  <c r="B3258" i="6"/>
  <c r="C3257" i="6"/>
  <c r="D3256" i="6"/>
  <c r="E3256" i="6" s="1"/>
  <c r="C3256" i="6"/>
  <c r="B3256" i="6"/>
  <c r="A3256" i="6"/>
  <c r="E3255" i="6"/>
  <c r="D3255" i="6"/>
  <c r="C3255" i="6"/>
  <c r="B3255" i="6"/>
  <c r="A3255" i="6"/>
  <c r="F3246" i="6"/>
  <c r="G3246" i="6" s="1"/>
  <c r="E3246" i="6"/>
  <c r="G3245" i="6"/>
  <c r="F3245" i="6"/>
  <c r="E3245" i="6"/>
  <c r="F3244" i="6"/>
  <c r="E3244" i="6"/>
  <c r="D3244" i="6"/>
  <c r="G3244" i="6" s="1"/>
  <c r="C3244" i="6"/>
  <c r="D3243" i="6"/>
  <c r="G3243" i="6" s="1"/>
  <c r="C3243" i="6"/>
  <c r="F3243" i="6" s="1"/>
  <c r="C3242" i="6"/>
  <c r="F3242" i="6" s="1"/>
  <c r="G3242" i="6" s="1"/>
  <c r="F3241" i="6"/>
  <c r="G3241" i="6" s="1"/>
  <c r="C3241" i="6"/>
  <c r="E3241" i="6" s="1"/>
  <c r="C3240" i="6"/>
  <c r="E3240" i="6" s="1"/>
  <c r="C3239" i="6"/>
  <c r="F3239" i="6" s="1"/>
  <c r="G3239" i="6" s="1"/>
  <c r="F3238" i="6"/>
  <c r="G3238" i="6" s="1"/>
  <c r="D3238" i="6"/>
  <c r="C3238" i="6"/>
  <c r="E3238" i="6" s="1"/>
  <c r="F3237" i="6"/>
  <c r="G3237" i="6" s="1"/>
  <c r="E3237" i="6"/>
  <c r="D3237" i="6"/>
  <c r="C3237" i="6"/>
  <c r="B3230" i="6"/>
  <c r="G3229" i="6"/>
  <c r="B3229" i="6"/>
  <c r="B3228" i="6"/>
  <c r="B3227" i="6"/>
  <c r="F3220" i="6"/>
  <c r="G3220" i="6" s="1"/>
  <c r="D3220" i="6"/>
  <c r="B3220" i="6"/>
  <c r="A3220" i="6"/>
  <c r="F3219" i="6"/>
  <c r="G3219" i="6" s="1"/>
  <c r="G3221" i="6" s="1"/>
  <c r="D3219" i="6"/>
  <c r="B3219" i="6"/>
  <c r="A3219" i="6"/>
  <c r="D3214" i="6"/>
  <c r="C3214" i="6"/>
  <c r="F3214" i="6" s="1"/>
  <c r="G3214" i="6" s="1"/>
  <c r="B3214" i="6"/>
  <c r="A3214" i="6"/>
  <c r="F3213" i="6"/>
  <c r="G3213" i="6" s="1"/>
  <c r="D3213" i="6"/>
  <c r="C3213" i="6"/>
  <c r="A3213" i="6" s="1"/>
  <c r="B3213" i="6"/>
  <c r="D3212" i="6"/>
  <c r="C3212" i="6"/>
  <c r="F3212" i="6" s="1"/>
  <c r="G3212" i="6" s="1"/>
  <c r="B3212" i="6"/>
  <c r="A3212" i="6"/>
  <c r="F3211" i="6"/>
  <c r="G3211" i="6" s="1"/>
  <c r="D3211" i="6"/>
  <c r="C3211" i="6"/>
  <c r="A3211" i="6" s="1"/>
  <c r="B3211" i="6"/>
  <c r="D3210" i="6"/>
  <c r="C3210" i="6"/>
  <c r="F3210" i="6" s="1"/>
  <c r="G3210" i="6" s="1"/>
  <c r="B3210" i="6"/>
  <c r="A3210" i="6"/>
  <c r="F3209" i="6"/>
  <c r="G3209" i="6" s="1"/>
  <c r="D3209" i="6"/>
  <c r="C3209" i="6"/>
  <c r="A3209" i="6" s="1"/>
  <c r="B3209" i="6"/>
  <c r="D3208" i="6"/>
  <c r="C3208" i="6"/>
  <c r="F3208" i="6" s="1"/>
  <c r="G3208" i="6" s="1"/>
  <c r="B3208" i="6"/>
  <c r="A3208" i="6"/>
  <c r="F3207" i="6"/>
  <c r="G3207" i="6" s="1"/>
  <c r="D3207" i="6"/>
  <c r="C3207" i="6"/>
  <c r="A3207" i="6" s="1"/>
  <c r="B3207" i="6"/>
  <c r="D3206" i="6"/>
  <c r="C3206" i="6"/>
  <c r="F3206" i="6" s="1"/>
  <c r="G3206" i="6" s="1"/>
  <c r="B3206" i="6"/>
  <c r="A3206" i="6"/>
  <c r="F3205" i="6"/>
  <c r="G3205" i="6" s="1"/>
  <c r="D3205" i="6"/>
  <c r="C3205" i="6"/>
  <c r="A3205" i="6" s="1"/>
  <c r="B3205" i="6"/>
  <c r="D3204" i="6"/>
  <c r="C3204" i="6"/>
  <c r="F3204" i="6" s="1"/>
  <c r="G3204" i="6" s="1"/>
  <c r="B3204" i="6"/>
  <c r="A3204" i="6"/>
  <c r="F3199" i="6"/>
  <c r="G3199" i="6" s="1"/>
  <c r="E3199" i="6"/>
  <c r="B3199" i="6"/>
  <c r="A3199" i="6"/>
  <c r="F3198" i="6"/>
  <c r="E3198" i="6"/>
  <c r="B3198" i="6"/>
  <c r="A3198" i="6"/>
  <c r="F3197" i="6"/>
  <c r="G3197" i="6" s="1"/>
  <c r="E3197" i="6"/>
  <c r="B3197" i="6"/>
  <c r="A3197" i="6"/>
  <c r="C3196" i="6"/>
  <c r="E3196" i="6" s="1"/>
  <c r="B3196" i="6"/>
  <c r="A3196" i="6"/>
  <c r="C3195" i="6"/>
  <c r="E3195" i="6" s="1"/>
  <c r="B3195" i="6"/>
  <c r="C3194" i="6"/>
  <c r="E3194" i="6" s="1"/>
  <c r="B3194" i="6"/>
  <c r="A3194" i="6"/>
  <c r="C3193" i="6"/>
  <c r="E3193" i="6" s="1"/>
  <c r="B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C3183" i="6"/>
  <c r="A3183" i="6" s="1"/>
  <c r="B3183" i="6"/>
  <c r="C3182" i="6"/>
  <c r="D3181" i="6"/>
  <c r="E3181" i="6" s="1"/>
  <c r="C3181" i="6"/>
  <c r="B3181" i="6"/>
  <c r="A3181" i="6"/>
  <c r="C3180" i="6"/>
  <c r="D3180" i="6" s="1"/>
  <c r="E3180" i="6" s="1"/>
  <c r="B3180" i="6"/>
  <c r="A3180" i="6"/>
  <c r="G3171" i="6"/>
  <c r="F3171" i="6"/>
  <c r="E3171" i="6"/>
  <c r="G3170" i="6"/>
  <c r="F3170" i="6"/>
  <c r="E3170" i="6"/>
  <c r="F3169" i="6"/>
  <c r="E3169" i="6"/>
  <c r="D3169" i="6"/>
  <c r="G3169" i="6" s="1"/>
  <c r="C3169" i="6"/>
  <c r="D3168" i="6"/>
  <c r="C3168" i="6"/>
  <c r="F3168" i="6" s="1"/>
  <c r="C3167" i="6"/>
  <c r="F3167" i="6" s="1"/>
  <c r="G3167" i="6" s="1"/>
  <c r="F3166" i="6"/>
  <c r="G3166" i="6" s="1"/>
  <c r="C3166" i="6"/>
  <c r="E3166" i="6" s="1"/>
  <c r="C3165" i="6"/>
  <c r="F3165" i="6" s="1"/>
  <c r="G3165" i="6" s="1"/>
  <c r="C3164" i="6"/>
  <c r="F3164" i="6" s="1"/>
  <c r="G3164" i="6" s="1"/>
  <c r="F3163" i="6"/>
  <c r="G3163" i="6" s="1"/>
  <c r="D3163" i="6"/>
  <c r="C3163" i="6"/>
  <c r="E3163" i="6" s="1"/>
  <c r="F3162" i="6"/>
  <c r="G3162" i="6" s="1"/>
  <c r="E3162" i="6"/>
  <c r="D3162" i="6"/>
  <c r="C3162" i="6"/>
  <c r="B3155" i="6"/>
  <c r="G3154" i="6"/>
  <c r="B3154" i="6"/>
  <c r="B3153" i="6"/>
  <c r="B3152" i="6"/>
  <c r="F3145" i="6"/>
  <c r="G3145" i="6" s="1"/>
  <c r="D3145" i="6"/>
  <c r="B3145" i="6"/>
  <c r="A3145" i="6"/>
  <c r="F3144" i="6"/>
  <c r="G3144" i="6" s="1"/>
  <c r="G3146" i="6" s="1"/>
  <c r="D3144" i="6"/>
  <c r="B3144" i="6"/>
  <c r="A3144" i="6"/>
  <c r="D3139" i="6"/>
  <c r="C3139" i="6"/>
  <c r="F3139" i="6" s="1"/>
  <c r="G3139" i="6" s="1"/>
  <c r="B3139" i="6"/>
  <c r="A3139" i="6"/>
  <c r="C3138" i="6"/>
  <c r="F3138" i="6" s="1"/>
  <c r="G3138" i="6" s="1"/>
  <c r="D3137" i="6"/>
  <c r="C3137" i="6"/>
  <c r="F3137" i="6" s="1"/>
  <c r="G3137" i="6" s="1"/>
  <c r="B3137" i="6"/>
  <c r="A3137" i="6"/>
  <c r="C3136" i="6"/>
  <c r="F3136" i="6" s="1"/>
  <c r="G3136" i="6" s="1"/>
  <c r="D3135" i="6"/>
  <c r="C3135" i="6"/>
  <c r="F3135" i="6" s="1"/>
  <c r="G3135" i="6" s="1"/>
  <c r="B3135" i="6"/>
  <c r="A3135" i="6"/>
  <c r="C3134" i="6"/>
  <c r="F3134" i="6" s="1"/>
  <c r="G3134" i="6" s="1"/>
  <c r="D3133" i="6"/>
  <c r="C3133" i="6"/>
  <c r="F3133" i="6" s="1"/>
  <c r="G3133" i="6" s="1"/>
  <c r="B3133" i="6"/>
  <c r="A3133" i="6"/>
  <c r="C3132" i="6"/>
  <c r="F3132" i="6" s="1"/>
  <c r="G3132" i="6" s="1"/>
  <c r="D3131" i="6"/>
  <c r="C3131" i="6"/>
  <c r="F3131" i="6" s="1"/>
  <c r="G3131" i="6" s="1"/>
  <c r="B3131" i="6"/>
  <c r="A3131" i="6"/>
  <c r="C3130" i="6"/>
  <c r="F3130" i="6" s="1"/>
  <c r="G3130" i="6" s="1"/>
  <c r="D3129" i="6"/>
  <c r="C3129" i="6"/>
  <c r="F3129" i="6" s="1"/>
  <c r="G3129" i="6" s="1"/>
  <c r="G3140" i="6" s="1"/>
  <c r="B3129" i="6"/>
  <c r="A3129" i="6"/>
  <c r="F3124" i="6"/>
  <c r="E3124" i="6"/>
  <c r="B3124" i="6"/>
  <c r="A3124" i="6"/>
  <c r="F3123" i="6"/>
  <c r="E3123" i="6"/>
  <c r="B3123" i="6"/>
  <c r="A3123" i="6"/>
  <c r="F3122" i="6"/>
  <c r="G3122" i="6" s="1"/>
  <c r="E3122" i="6"/>
  <c r="B3122" i="6"/>
  <c r="A3122" i="6"/>
  <c r="C3121" i="6"/>
  <c r="E3121" i="6" s="1"/>
  <c r="B3121" i="6"/>
  <c r="A3121" i="6"/>
  <c r="C3120" i="6"/>
  <c r="E3120" i="6" s="1"/>
  <c r="A3120" i="6"/>
  <c r="C3119" i="6"/>
  <c r="E3119" i="6" s="1"/>
  <c r="B3119" i="6"/>
  <c r="A3119" i="6"/>
  <c r="C3118" i="6"/>
  <c r="E3118" i="6" s="1"/>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C3108" i="6"/>
  <c r="A3108" i="6" s="1"/>
  <c r="B3108" i="6"/>
  <c r="C3107" i="6"/>
  <c r="D3106" i="6"/>
  <c r="E3106" i="6" s="1"/>
  <c r="C3106" i="6"/>
  <c r="B3106" i="6"/>
  <c r="A3106" i="6"/>
  <c r="C3105" i="6"/>
  <c r="D3105" i="6" s="1"/>
  <c r="E3105" i="6" s="1"/>
  <c r="B3105" i="6"/>
  <c r="A3105" i="6"/>
  <c r="F3096" i="6"/>
  <c r="G3096" i="6" s="1"/>
  <c r="E3096" i="6"/>
  <c r="G3095" i="6"/>
  <c r="F3095" i="6"/>
  <c r="E3095" i="6"/>
  <c r="F3094" i="6"/>
  <c r="E3094" i="6"/>
  <c r="D3094" i="6"/>
  <c r="G3094" i="6" s="1"/>
  <c r="C3094" i="6"/>
  <c r="D3093" i="6"/>
  <c r="G3093" i="6" s="1"/>
  <c r="C3093" i="6"/>
  <c r="F3093" i="6" s="1"/>
  <c r="C3092" i="6"/>
  <c r="F3092" i="6" s="1"/>
  <c r="G3092" i="6" s="1"/>
  <c r="F3091" i="6"/>
  <c r="G3091" i="6" s="1"/>
  <c r="C3091" i="6"/>
  <c r="E3091" i="6" s="1"/>
  <c r="C3090" i="6"/>
  <c r="E3090" i="6" s="1"/>
  <c r="C3089" i="6"/>
  <c r="F3089" i="6" s="1"/>
  <c r="G3089" i="6" s="1"/>
  <c r="F3088" i="6"/>
  <c r="G3088" i="6" s="1"/>
  <c r="D3088" i="6"/>
  <c r="C3088" i="6"/>
  <c r="E3088" i="6" s="1"/>
  <c r="F3087" i="6"/>
  <c r="G3087" i="6" s="1"/>
  <c r="E3087" i="6"/>
  <c r="D3087" i="6"/>
  <c r="C3087" i="6"/>
  <c r="B3080" i="6"/>
  <c r="G3079" i="6"/>
  <c r="B3079" i="6"/>
  <c r="B3078" i="6"/>
  <c r="B3077" i="6"/>
  <c r="F3070" i="6"/>
  <c r="G3070" i="6" s="1"/>
  <c r="D3070" i="6"/>
  <c r="B3070" i="6"/>
  <c r="A3070" i="6"/>
  <c r="F3069" i="6"/>
  <c r="G3069" i="6" s="1"/>
  <c r="G3071" i="6" s="1"/>
  <c r="D3069" i="6"/>
  <c r="B3069" i="6"/>
  <c r="A3069" i="6"/>
  <c r="D3064" i="6"/>
  <c r="C3064" i="6"/>
  <c r="F3064" i="6" s="1"/>
  <c r="G3064" i="6" s="1"/>
  <c r="A3064" i="6"/>
  <c r="C3063" i="6"/>
  <c r="F3063" i="6" s="1"/>
  <c r="G3063" i="6" s="1"/>
  <c r="D3062" i="6"/>
  <c r="C3062" i="6"/>
  <c r="F3062" i="6" s="1"/>
  <c r="G3062" i="6" s="1"/>
  <c r="A3062" i="6"/>
  <c r="C3061" i="6"/>
  <c r="F3061" i="6" s="1"/>
  <c r="G3061" i="6" s="1"/>
  <c r="D3060" i="6"/>
  <c r="C3060" i="6"/>
  <c r="F3060" i="6" s="1"/>
  <c r="G3060" i="6" s="1"/>
  <c r="A3060" i="6"/>
  <c r="C3059" i="6"/>
  <c r="F3059" i="6" s="1"/>
  <c r="G3059" i="6" s="1"/>
  <c r="D3058" i="6"/>
  <c r="C3058" i="6"/>
  <c r="F3058" i="6" s="1"/>
  <c r="G3058" i="6" s="1"/>
  <c r="A3058" i="6"/>
  <c r="C3057" i="6"/>
  <c r="F3057" i="6" s="1"/>
  <c r="G3057" i="6" s="1"/>
  <c r="D3056" i="6"/>
  <c r="C3056" i="6"/>
  <c r="F3056" i="6" s="1"/>
  <c r="G3056" i="6" s="1"/>
  <c r="A3056" i="6"/>
  <c r="C3055" i="6"/>
  <c r="F3055" i="6" s="1"/>
  <c r="G3055" i="6" s="1"/>
  <c r="D3054" i="6"/>
  <c r="C3054" i="6"/>
  <c r="F3054" i="6" s="1"/>
  <c r="G3054" i="6" s="1"/>
  <c r="A3054" i="6"/>
  <c r="F3049" i="6"/>
  <c r="E3049" i="6"/>
  <c r="B3049" i="6"/>
  <c r="A3049" i="6"/>
  <c r="F3048" i="6"/>
  <c r="E3048" i="6"/>
  <c r="B3048" i="6"/>
  <c r="A3048" i="6"/>
  <c r="F3047" i="6"/>
  <c r="G3047" i="6" s="1"/>
  <c r="E3047" i="6"/>
  <c r="B3047" i="6"/>
  <c r="A3047" i="6"/>
  <c r="C3046" i="6"/>
  <c r="B3046" i="6"/>
  <c r="A3046" i="6"/>
  <c r="C3045" i="6"/>
  <c r="E3045" i="6" s="1"/>
  <c r="B3045" i="6"/>
  <c r="A3045" i="6"/>
  <c r="C3044" i="6"/>
  <c r="B3044" i="6"/>
  <c r="A3044" i="6"/>
  <c r="C3043" i="6"/>
  <c r="E3043" i="6" s="1"/>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E3033" i="6"/>
  <c r="D3033" i="6"/>
  <c r="C3033" i="6"/>
  <c r="A3033" i="6" s="1"/>
  <c r="B3033" i="6"/>
  <c r="E3032" i="6"/>
  <c r="D3032" i="6"/>
  <c r="C3032" i="6"/>
  <c r="B3032" i="6" s="1"/>
  <c r="A3032" i="6"/>
  <c r="D3031" i="6"/>
  <c r="E3031" i="6" s="1"/>
  <c r="C3031" i="6"/>
  <c r="B3031" i="6"/>
  <c r="A3031" i="6"/>
  <c r="C3030" i="6"/>
  <c r="A3030" i="6"/>
  <c r="G3021" i="6"/>
  <c r="F3021" i="6"/>
  <c r="E3021" i="6"/>
  <c r="G3020" i="6"/>
  <c r="F3020" i="6"/>
  <c r="E3020" i="6"/>
  <c r="F3019" i="6"/>
  <c r="E3019" i="6"/>
  <c r="D3019" i="6"/>
  <c r="G3019" i="6" s="1"/>
  <c r="C3019" i="6"/>
  <c r="F3018" i="6"/>
  <c r="G3018" i="6" s="1"/>
  <c r="E3018" i="6"/>
  <c r="D3018" i="6"/>
  <c r="C3018" i="6"/>
  <c r="C3017" i="6"/>
  <c r="F3017" i="6" s="1"/>
  <c r="G3017" i="6" s="1"/>
  <c r="F3016" i="6"/>
  <c r="G3016" i="6" s="1"/>
  <c r="C3016" i="6"/>
  <c r="E3016" i="6" s="1"/>
  <c r="G3015" i="6"/>
  <c r="F3015" i="6"/>
  <c r="E3015" i="6"/>
  <c r="C3015" i="6"/>
  <c r="C3014" i="6"/>
  <c r="F3014" i="6" s="1"/>
  <c r="G3014" i="6" s="1"/>
  <c r="F3013" i="6"/>
  <c r="D3013" i="6"/>
  <c r="C3013" i="6"/>
  <c r="E3013" i="6" s="1"/>
  <c r="D3012" i="6"/>
  <c r="C3012" i="6"/>
  <c r="F3012" i="6" s="1"/>
  <c r="G3012" i="6" s="1"/>
  <c r="B3005" i="6"/>
  <c r="G3004" i="6"/>
  <c r="B3004" i="6"/>
  <c r="B3003" i="6"/>
  <c r="B3002" i="6"/>
  <c r="F2995" i="6"/>
  <c r="G2995" i="6" s="1"/>
  <c r="D2995" i="6"/>
  <c r="B2995" i="6"/>
  <c r="A2995" i="6"/>
  <c r="F2994" i="6"/>
  <c r="G2994" i="6" s="1"/>
  <c r="G2996" i="6" s="1"/>
  <c r="D2994" i="6"/>
  <c r="B2994" i="6"/>
  <c r="A2994" i="6"/>
  <c r="D2989" i="6"/>
  <c r="C2989" i="6"/>
  <c r="F2989" i="6" s="1"/>
  <c r="G2989" i="6" s="1"/>
  <c r="B2989" i="6"/>
  <c r="A2989" i="6"/>
  <c r="C2988" i="6"/>
  <c r="F2988" i="6" s="1"/>
  <c r="G2988" i="6" s="1"/>
  <c r="D2987" i="6"/>
  <c r="C2987" i="6"/>
  <c r="F2987" i="6" s="1"/>
  <c r="G2987" i="6" s="1"/>
  <c r="B2987" i="6"/>
  <c r="A2987" i="6"/>
  <c r="C2986" i="6"/>
  <c r="F2986" i="6" s="1"/>
  <c r="G2986" i="6" s="1"/>
  <c r="D2985" i="6"/>
  <c r="C2985" i="6"/>
  <c r="F2985" i="6" s="1"/>
  <c r="G2985" i="6" s="1"/>
  <c r="B2985" i="6"/>
  <c r="A2985" i="6"/>
  <c r="C2984" i="6"/>
  <c r="F2984" i="6" s="1"/>
  <c r="G2984" i="6" s="1"/>
  <c r="D2983" i="6"/>
  <c r="C2983" i="6"/>
  <c r="F2983" i="6" s="1"/>
  <c r="G2983" i="6" s="1"/>
  <c r="B2983" i="6"/>
  <c r="A2983" i="6"/>
  <c r="C2982" i="6"/>
  <c r="F2982" i="6" s="1"/>
  <c r="G2982" i="6" s="1"/>
  <c r="D2981" i="6"/>
  <c r="C2981" i="6"/>
  <c r="F2981" i="6" s="1"/>
  <c r="G2981" i="6" s="1"/>
  <c r="B2981" i="6"/>
  <c r="A2981" i="6"/>
  <c r="C2980" i="6"/>
  <c r="F2980" i="6" s="1"/>
  <c r="G2980" i="6" s="1"/>
  <c r="D2979" i="6"/>
  <c r="C2979" i="6"/>
  <c r="F2979" i="6" s="1"/>
  <c r="G2979" i="6" s="1"/>
  <c r="B2979" i="6"/>
  <c r="A2979" i="6"/>
  <c r="F2974" i="6"/>
  <c r="E2974" i="6"/>
  <c r="B2974" i="6"/>
  <c r="A2974" i="6"/>
  <c r="F2973" i="6"/>
  <c r="E2973" i="6"/>
  <c r="B2973" i="6"/>
  <c r="A2973" i="6"/>
  <c r="F2972" i="6"/>
  <c r="G2972" i="6" s="1"/>
  <c r="E2972" i="6"/>
  <c r="B2972" i="6"/>
  <c r="A2972" i="6"/>
  <c r="E2971" i="6"/>
  <c r="C2971" i="6"/>
  <c r="B2971" i="6"/>
  <c r="A2971" i="6"/>
  <c r="C2970" i="6"/>
  <c r="E2970" i="6" s="1"/>
  <c r="A2970" i="6"/>
  <c r="E2969" i="6"/>
  <c r="C2969" i="6"/>
  <c r="B2969" i="6"/>
  <c r="A2969" i="6"/>
  <c r="C2968" i="6"/>
  <c r="E2968" i="6" s="1"/>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C2958" i="6"/>
  <c r="A2958" i="6" s="1"/>
  <c r="B2958" i="6"/>
  <c r="C2957" i="6"/>
  <c r="D2956" i="6"/>
  <c r="E2956" i="6" s="1"/>
  <c r="C2956" i="6"/>
  <c r="B2956" i="6" s="1"/>
  <c r="E2955" i="6"/>
  <c r="D2955" i="6"/>
  <c r="C2955" i="6"/>
  <c r="B2955" i="6"/>
  <c r="A2955" i="6"/>
  <c r="F2946" i="6"/>
  <c r="G2946" i="6" s="1"/>
  <c r="E2946" i="6"/>
  <c r="G2945" i="6"/>
  <c r="F2945" i="6"/>
  <c r="E2945" i="6"/>
  <c r="F2944" i="6"/>
  <c r="E2944" i="6"/>
  <c r="D2944" i="6"/>
  <c r="G2944" i="6" s="1"/>
  <c r="C2944" i="6"/>
  <c r="D2943" i="6"/>
  <c r="C2943" i="6"/>
  <c r="F2943" i="6" s="1"/>
  <c r="G2943" i="6" s="1"/>
  <c r="C2942" i="6"/>
  <c r="F2942" i="6" s="1"/>
  <c r="G2942" i="6" s="1"/>
  <c r="F2941" i="6"/>
  <c r="G2941" i="6" s="1"/>
  <c r="C2941" i="6"/>
  <c r="E2941" i="6" s="1"/>
  <c r="C2940" i="6"/>
  <c r="F2940" i="6" s="1"/>
  <c r="G2940" i="6" s="1"/>
  <c r="C2939" i="6"/>
  <c r="F2939" i="6" s="1"/>
  <c r="G2939" i="6" s="1"/>
  <c r="F2938" i="6"/>
  <c r="G2938" i="6" s="1"/>
  <c r="E2938" i="6"/>
  <c r="D2938" i="6"/>
  <c r="C2938" i="6"/>
  <c r="E2937" i="6"/>
  <c r="D2937" i="6"/>
  <c r="C2937" i="6"/>
  <c r="F2937" i="6" s="1"/>
  <c r="B2930" i="6"/>
  <c r="G2929" i="6"/>
  <c r="B2929" i="6"/>
  <c r="B2928" i="6"/>
  <c r="B2927" i="6"/>
  <c r="G2920" i="6"/>
  <c r="F2920" i="6"/>
  <c r="D2920" i="6"/>
  <c r="B2920" i="6"/>
  <c r="A2920" i="6"/>
  <c r="F2919" i="6"/>
  <c r="G2919" i="6" s="1"/>
  <c r="G2921" i="6" s="1"/>
  <c r="D2919" i="6"/>
  <c r="B2919" i="6"/>
  <c r="A2919" i="6"/>
  <c r="F2914" i="6"/>
  <c r="G2914" i="6" s="1"/>
  <c r="C2914" i="6"/>
  <c r="D2914" i="6" s="1"/>
  <c r="A2914" i="6"/>
  <c r="C2913" i="6"/>
  <c r="F2913" i="6" s="1"/>
  <c r="G2913" i="6" s="1"/>
  <c r="F2912" i="6"/>
  <c r="G2912" i="6" s="1"/>
  <c r="C2912" i="6"/>
  <c r="D2912" i="6" s="1"/>
  <c r="A2912" i="6"/>
  <c r="C2911" i="6"/>
  <c r="F2911" i="6" s="1"/>
  <c r="G2911" i="6" s="1"/>
  <c r="F2910" i="6"/>
  <c r="G2910" i="6" s="1"/>
  <c r="C2910" i="6"/>
  <c r="D2910" i="6" s="1"/>
  <c r="A2910" i="6"/>
  <c r="C2909" i="6"/>
  <c r="F2909" i="6" s="1"/>
  <c r="G2909" i="6" s="1"/>
  <c r="F2908" i="6"/>
  <c r="G2908" i="6" s="1"/>
  <c r="C2908" i="6"/>
  <c r="D2908" i="6" s="1"/>
  <c r="A2908" i="6"/>
  <c r="C2907" i="6"/>
  <c r="F2907" i="6" s="1"/>
  <c r="G2907" i="6" s="1"/>
  <c r="F2906" i="6"/>
  <c r="G2906" i="6" s="1"/>
  <c r="C2906" i="6"/>
  <c r="D2906" i="6" s="1"/>
  <c r="A2906" i="6"/>
  <c r="C2905" i="6"/>
  <c r="F2905" i="6" s="1"/>
  <c r="G2905" i="6" s="1"/>
  <c r="F2904" i="6"/>
  <c r="G2904" i="6" s="1"/>
  <c r="C2904" i="6"/>
  <c r="D2904" i="6" s="1"/>
  <c r="A2904" i="6"/>
  <c r="F2899" i="6"/>
  <c r="E2899" i="6"/>
  <c r="B2899" i="6"/>
  <c r="A2899" i="6"/>
  <c r="F2898" i="6"/>
  <c r="E2898" i="6"/>
  <c r="B2898" i="6"/>
  <c r="A2898" i="6"/>
  <c r="F2897" i="6"/>
  <c r="G2897" i="6" s="1"/>
  <c r="E2897" i="6"/>
  <c r="B2897" i="6"/>
  <c r="A2897" i="6"/>
  <c r="C2896" i="6"/>
  <c r="C2895" i="6"/>
  <c r="E2895" i="6" s="1"/>
  <c r="A2895" i="6"/>
  <c r="C2894" i="6"/>
  <c r="C2893" i="6"/>
  <c r="E2893" i="6" s="1"/>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D2883" i="6"/>
  <c r="E2883" i="6" s="1"/>
  <c r="C2883" i="6"/>
  <c r="B2883" i="6"/>
  <c r="A2883" i="6"/>
  <c r="E2882" i="6"/>
  <c r="D2882" i="6"/>
  <c r="C2882" i="6"/>
  <c r="B2882" i="6" s="1"/>
  <c r="A2882" i="6"/>
  <c r="D2881" i="6"/>
  <c r="E2881" i="6" s="1"/>
  <c r="C2881" i="6"/>
  <c r="B2881" i="6"/>
  <c r="A2881" i="6"/>
  <c r="C2880" i="6"/>
  <c r="G2871" i="6"/>
  <c r="F2871" i="6"/>
  <c r="E2871" i="6"/>
  <c r="F2870" i="6"/>
  <c r="G2870" i="6" s="1"/>
  <c r="E2870" i="6"/>
  <c r="F2869" i="6"/>
  <c r="D2869" i="6"/>
  <c r="G2869" i="6" s="1"/>
  <c r="C2869" i="6"/>
  <c r="E2869" i="6" s="1"/>
  <c r="F2868" i="6"/>
  <c r="E2868" i="6"/>
  <c r="D2868" i="6"/>
  <c r="G2868" i="6" s="1"/>
  <c r="C2868" i="6"/>
  <c r="C2867" i="6"/>
  <c r="F2867" i="6" s="1"/>
  <c r="G2867" i="6" s="1"/>
  <c r="F2866" i="6"/>
  <c r="G2866" i="6" s="1"/>
  <c r="C2866" i="6"/>
  <c r="E2866" i="6" s="1"/>
  <c r="G2865" i="6"/>
  <c r="F2865" i="6"/>
  <c r="E2865" i="6"/>
  <c r="C2865" i="6"/>
  <c r="C2864" i="6"/>
  <c r="F2864" i="6" s="1"/>
  <c r="G2864" i="6" s="1"/>
  <c r="F2863" i="6"/>
  <c r="D2863" i="6"/>
  <c r="G2863" i="6" s="1"/>
  <c r="C2863" i="6"/>
  <c r="E2863" i="6" s="1"/>
  <c r="D2862" i="6"/>
  <c r="C2862" i="6"/>
  <c r="F2862" i="6" s="1"/>
  <c r="G2862" i="6" s="1"/>
  <c r="B2855" i="6"/>
  <c r="G2854" i="6"/>
  <c r="B2854" i="6"/>
  <c r="B2853" i="6"/>
  <c r="B2852" i="6"/>
  <c r="F2845" i="6"/>
  <c r="G2845" i="6" s="1"/>
  <c r="D2845" i="6"/>
  <c r="B2845" i="6"/>
  <c r="A2845" i="6"/>
  <c r="F2844" i="6"/>
  <c r="G2844" i="6" s="1"/>
  <c r="D2844" i="6"/>
  <c r="B2844" i="6"/>
  <c r="A2844" i="6"/>
  <c r="D2839" i="6"/>
  <c r="C2839" i="6"/>
  <c r="F2839" i="6" s="1"/>
  <c r="G2839" i="6" s="1"/>
  <c r="A2839" i="6"/>
  <c r="C2838" i="6"/>
  <c r="F2838" i="6" s="1"/>
  <c r="G2838" i="6" s="1"/>
  <c r="D2837" i="6"/>
  <c r="C2837" i="6"/>
  <c r="F2837" i="6" s="1"/>
  <c r="G2837" i="6" s="1"/>
  <c r="A2837" i="6"/>
  <c r="C2836" i="6"/>
  <c r="F2836" i="6" s="1"/>
  <c r="G2836" i="6" s="1"/>
  <c r="D2835" i="6"/>
  <c r="C2835" i="6"/>
  <c r="F2835" i="6" s="1"/>
  <c r="G2835" i="6" s="1"/>
  <c r="A2835" i="6"/>
  <c r="C2834" i="6"/>
  <c r="F2834" i="6" s="1"/>
  <c r="G2834" i="6" s="1"/>
  <c r="D2833" i="6"/>
  <c r="C2833" i="6"/>
  <c r="F2833" i="6" s="1"/>
  <c r="G2833" i="6" s="1"/>
  <c r="A2833" i="6"/>
  <c r="C2832" i="6"/>
  <c r="F2832" i="6" s="1"/>
  <c r="G2832" i="6" s="1"/>
  <c r="D2831" i="6"/>
  <c r="C2831" i="6"/>
  <c r="F2831" i="6" s="1"/>
  <c r="G2831" i="6" s="1"/>
  <c r="A2831" i="6"/>
  <c r="C2830" i="6"/>
  <c r="F2830" i="6" s="1"/>
  <c r="G2830" i="6" s="1"/>
  <c r="D2829" i="6"/>
  <c r="C2829" i="6"/>
  <c r="F2829" i="6" s="1"/>
  <c r="G2829" i="6" s="1"/>
  <c r="A2829" i="6"/>
  <c r="F2824" i="6"/>
  <c r="E2824" i="6"/>
  <c r="B2824" i="6"/>
  <c r="A2824" i="6"/>
  <c r="F2823" i="6"/>
  <c r="E2823" i="6"/>
  <c r="B2823" i="6"/>
  <c r="A2823" i="6"/>
  <c r="F2822" i="6"/>
  <c r="G2822" i="6" s="1"/>
  <c r="E2822" i="6"/>
  <c r="B2822" i="6"/>
  <c r="A2822" i="6"/>
  <c r="C2821" i="6"/>
  <c r="B2821" i="6"/>
  <c r="A2821" i="6"/>
  <c r="C2820" i="6"/>
  <c r="E2820" i="6" s="1"/>
  <c r="A2820" i="6"/>
  <c r="C2819" i="6"/>
  <c r="B2819" i="6"/>
  <c r="A2819" i="6"/>
  <c r="C2818" i="6"/>
  <c r="E2818" i="6" s="1"/>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E2808" i="6"/>
  <c r="D2808" i="6"/>
  <c r="C2808" i="6"/>
  <c r="B2808" i="6"/>
  <c r="A2808" i="6"/>
  <c r="E2807" i="6"/>
  <c r="D2807" i="6"/>
  <c r="C2807" i="6"/>
  <c r="B2807" i="6"/>
  <c r="A2807" i="6"/>
  <c r="D2806" i="6"/>
  <c r="E2806" i="6" s="1"/>
  <c r="C2806" i="6"/>
  <c r="B2806" i="6"/>
  <c r="A2806" i="6"/>
  <c r="C2805" i="6"/>
  <c r="A2805" i="6"/>
  <c r="G2796" i="6"/>
  <c r="F2796" i="6"/>
  <c r="E2796" i="6"/>
  <c r="F2795" i="6"/>
  <c r="G2795" i="6" s="1"/>
  <c r="E2795" i="6"/>
  <c r="F2794" i="6"/>
  <c r="D2794" i="6"/>
  <c r="G2794" i="6" s="1"/>
  <c r="C2794" i="6"/>
  <c r="E2794" i="6" s="1"/>
  <c r="F2793" i="6"/>
  <c r="G2793" i="6" s="1"/>
  <c r="E2793" i="6"/>
  <c r="D2793" i="6"/>
  <c r="C2793" i="6"/>
  <c r="C2792" i="6"/>
  <c r="F2792" i="6" s="1"/>
  <c r="G2792" i="6" s="1"/>
  <c r="F2791" i="6"/>
  <c r="G2791" i="6" s="1"/>
  <c r="C2791" i="6"/>
  <c r="E2791" i="6" s="1"/>
  <c r="G2790" i="6"/>
  <c r="F2790" i="6"/>
  <c r="E2790" i="6"/>
  <c r="C2790" i="6"/>
  <c r="C2789" i="6"/>
  <c r="F2789" i="6" s="1"/>
  <c r="G2789" i="6" s="1"/>
  <c r="F2788" i="6"/>
  <c r="D2788" i="6"/>
  <c r="C2788" i="6"/>
  <c r="E2788" i="6" s="1"/>
  <c r="D2787" i="6"/>
  <c r="C2787" i="6"/>
  <c r="F2787" i="6" s="1"/>
  <c r="G2787" i="6" s="1"/>
  <c r="B2780" i="6"/>
  <c r="G2779" i="6"/>
  <c r="B2779" i="6"/>
  <c r="B2778" i="6"/>
  <c r="B2777" i="6"/>
  <c r="F2770" i="6"/>
  <c r="G2770" i="6" s="1"/>
  <c r="D2770" i="6"/>
  <c r="B2770" i="6"/>
  <c r="A2770" i="6"/>
  <c r="F2769" i="6"/>
  <c r="G2769" i="6" s="1"/>
  <c r="G2771" i="6" s="1"/>
  <c r="D2769" i="6"/>
  <c r="B2769" i="6"/>
  <c r="A2769" i="6"/>
  <c r="D2764" i="6"/>
  <c r="C2764" i="6"/>
  <c r="F2764" i="6" s="1"/>
  <c r="G2764" i="6" s="1"/>
  <c r="B2764" i="6"/>
  <c r="A2764" i="6"/>
  <c r="C2763" i="6"/>
  <c r="F2763" i="6" s="1"/>
  <c r="G2763" i="6" s="1"/>
  <c r="B2763" i="6"/>
  <c r="D2762" i="6"/>
  <c r="C2762" i="6"/>
  <c r="F2762" i="6" s="1"/>
  <c r="G2762" i="6" s="1"/>
  <c r="B2762" i="6"/>
  <c r="A2762" i="6"/>
  <c r="C2761" i="6"/>
  <c r="F2761" i="6" s="1"/>
  <c r="G2761" i="6" s="1"/>
  <c r="B2761" i="6"/>
  <c r="D2760" i="6"/>
  <c r="C2760" i="6"/>
  <c r="F2760" i="6" s="1"/>
  <c r="G2760" i="6" s="1"/>
  <c r="B2760" i="6"/>
  <c r="A2760" i="6"/>
  <c r="C2759" i="6"/>
  <c r="F2759" i="6" s="1"/>
  <c r="G2759" i="6" s="1"/>
  <c r="B2759" i="6"/>
  <c r="D2758" i="6"/>
  <c r="C2758" i="6"/>
  <c r="F2758" i="6" s="1"/>
  <c r="G2758" i="6" s="1"/>
  <c r="B2758" i="6"/>
  <c r="A2758" i="6"/>
  <c r="C2757" i="6"/>
  <c r="F2757" i="6" s="1"/>
  <c r="G2757" i="6" s="1"/>
  <c r="B2757" i="6"/>
  <c r="D2756" i="6"/>
  <c r="C2756" i="6"/>
  <c r="F2756" i="6" s="1"/>
  <c r="G2756" i="6" s="1"/>
  <c r="B2756" i="6"/>
  <c r="A2756" i="6"/>
  <c r="C2755" i="6"/>
  <c r="F2755" i="6" s="1"/>
  <c r="G2755" i="6" s="1"/>
  <c r="B2755" i="6"/>
  <c r="D2754" i="6"/>
  <c r="C2754" i="6"/>
  <c r="F2754" i="6" s="1"/>
  <c r="G2754" i="6" s="1"/>
  <c r="G2765" i="6" s="1"/>
  <c r="B2754" i="6"/>
  <c r="A2754" i="6"/>
  <c r="F2749" i="6"/>
  <c r="E2749" i="6"/>
  <c r="B2749" i="6"/>
  <c r="A2749" i="6"/>
  <c r="F2748" i="6"/>
  <c r="E2748" i="6"/>
  <c r="B2748" i="6"/>
  <c r="A2748" i="6"/>
  <c r="F2747" i="6"/>
  <c r="G2747" i="6" s="1"/>
  <c r="E2747" i="6"/>
  <c r="B2747" i="6"/>
  <c r="A2747" i="6"/>
  <c r="E2746" i="6"/>
  <c r="C2746" i="6"/>
  <c r="B2746" i="6"/>
  <c r="A2746" i="6"/>
  <c r="C2745" i="6"/>
  <c r="E2745" i="6" s="1"/>
  <c r="A2745" i="6"/>
  <c r="E2744" i="6"/>
  <c r="C2744" i="6"/>
  <c r="B2744" i="6"/>
  <c r="A2744" i="6"/>
  <c r="C2743" i="6"/>
  <c r="E2743" i="6" s="1"/>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C2733" i="6"/>
  <c r="A2733" i="6" s="1"/>
  <c r="B2733" i="6"/>
  <c r="C2732" i="6"/>
  <c r="D2731" i="6"/>
  <c r="E2731" i="6" s="1"/>
  <c r="C2731" i="6"/>
  <c r="B2731" i="6"/>
  <c r="A2731" i="6"/>
  <c r="E2730" i="6"/>
  <c r="D2730" i="6"/>
  <c r="C2730" i="6"/>
  <c r="B2730" i="6"/>
  <c r="A2730" i="6"/>
  <c r="F2721" i="6"/>
  <c r="G2721" i="6" s="1"/>
  <c r="E2721" i="6"/>
  <c r="G2720" i="6"/>
  <c r="F2720" i="6"/>
  <c r="E2720" i="6"/>
  <c r="F2719" i="6"/>
  <c r="E2719" i="6"/>
  <c r="D2719" i="6"/>
  <c r="G2719" i="6" s="1"/>
  <c r="C2719" i="6"/>
  <c r="D2718" i="6"/>
  <c r="G2718" i="6" s="1"/>
  <c r="C2718" i="6"/>
  <c r="F2718" i="6" s="1"/>
  <c r="C2717" i="6"/>
  <c r="F2717" i="6" s="1"/>
  <c r="G2717" i="6" s="1"/>
  <c r="F2716" i="6"/>
  <c r="G2716" i="6" s="1"/>
  <c r="C2716" i="6"/>
  <c r="E2716" i="6" s="1"/>
  <c r="C2715" i="6"/>
  <c r="E2715" i="6" s="1"/>
  <c r="C2714" i="6"/>
  <c r="F2714" i="6" s="1"/>
  <c r="G2714" i="6" s="1"/>
  <c r="F2713" i="6"/>
  <c r="G2713" i="6" s="1"/>
  <c r="D2713" i="6"/>
  <c r="C2713" i="6"/>
  <c r="E2713" i="6" s="1"/>
  <c r="F2712" i="6"/>
  <c r="G2712" i="6" s="1"/>
  <c r="E2712" i="6"/>
  <c r="D2712" i="6"/>
  <c r="C2712" i="6"/>
  <c r="B2705" i="6"/>
  <c r="G2704" i="6"/>
  <c r="B2704" i="6"/>
  <c r="B2703" i="6"/>
  <c r="B2702" i="6"/>
  <c r="F2695" i="6"/>
  <c r="G2695" i="6" s="1"/>
  <c r="D2695" i="6"/>
  <c r="B2695" i="6"/>
  <c r="A2695" i="6"/>
  <c r="F2694" i="6"/>
  <c r="G2694" i="6" s="1"/>
  <c r="G2696" i="6" s="1"/>
  <c r="D2694" i="6"/>
  <c r="B2694" i="6"/>
  <c r="A2694" i="6"/>
  <c r="D2689" i="6"/>
  <c r="C2689" i="6"/>
  <c r="F2689" i="6" s="1"/>
  <c r="G2689" i="6" s="1"/>
  <c r="A2689" i="6"/>
  <c r="C2688" i="6"/>
  <c r="F2688" i="6" s="1"/>
  <c r="G2688" i="6" s="1"/>
  <c r="D2687" i="6"/>
  <c r="C2687" i="6"/>
  <c r="F2687" i="6" s="1"/>
  <c r="G2687" i="6" s="1"/>
  <c r="A2687" i="6"/>
  <c r="C2686" i="6"/>
  <c r="F2686" i="6" s="1"/>
  <c r="G2686" i="6" s="1"/>
  <c r="D2685" i="6"/>
  <c r="C2685" i="6"/>
  <c r="F2685" i="6" s="1"/>
  <c r="G2685" i="6" s="1"/>
  <c r="A2685" i="6"/>
  <c r="C2684" i="6"/>
  <c r="F2684" i="6" s="1"/>
  <c r="G2684" i="6" s="1"/>
  <c r="D2683" i="6"/>
  <c r="C2683" i="6"/>
  <c r="F2683" i="6" s="1"/>
  <c r="G2683" i="6" s="1"/>
  <c r="A2683" i="6"/>
  <c r="C2682" i="6"/>
  <c r="F2682" i="6" s="1"/>
  <c r="G2682" i="6" s="1"/>
  <c r="D2681" i="6"/>
  <c r="C2681" i="6"/>
  <c r="F2681" i="6" s="1"/>
  <c r="G2681" i="6" s="1"/>
  <c r="A2681" i="6"/>
  <c r="C2680" i="6"/>
  <c r="F2680" i="6" s="1"/>
  <c r="G2680" i="6" s="1"/>
  <c r="D2679" i="6"/>
  <c r="C2679" i="6"/>
  <c r="F2679" i="6" s="1"/>
  <c r="G2679" i="6" s="1"/>
  <c r="A2679" i="6"/>
  <c r="F2674" i="6"/>
  <c r="E2674" i="6"/>
  <c r="B2674" i="6"/>
  <c r="A2674" i="6"/>
  <c r="F2673" i="6"/>
  <c r="E2673" i="6"/>
  <c r="B2673" i="6"/>
  <c r="A2673" i="6"/>
  <c r="F2672" i="6"/>
  <c r="G2672" i="6" s="1"/>
  <c r="E2672" i="6"/>
  <c r="B2672" i="6"/>
  <c r="A2672" i="6"/>
  <c r="C2671" i="6"/>
  <c r="B2671" i="6"/>
  <c r="A2671" i="6"/>
  <c r="C2670" i="6"/>
  <c r="E2670" i="6" s="1"/>
  <c r="B2670" i="6"/>
  <c r="A2670" i="6"/>
  <c r="C2669" i="6"/>
  <c r="B2669" i="6"/>
  <c r="A2669" i="6"/>
  <c r="C2668" i="6"/>
  <c r="E2668" i="6" s="1"/>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E2658" i="6"/>
  <c r="D2658" i="6"/>
  <c r="C2658" i="6"/>
  <c r="A2658" i="6" s="1"/>
  <c r="B2658" i="6"/>
  <c r="C2657" i="6"/>
  <c r="D2657" i="6" s="1"/>
  <c r="E2657" i="6" s="1"/>
  <c r="A2657" i="6"/>
  <c r="D2656" i="6"/>
  <c r="E2656" i="6" s="1"/>
  <c r="C2656" i="6"/>
  <c r="B2656" i="6"/>
  <c r="A2656" i="6"/>
  <c r="C2655" i="6"/>
  <c r="A2655" i="6"/>
  <c r="G2646" i="6"/>
  <c r="F2646" i="6"/>
  <c r="E2646" i="6"/>
  <c r="G2645" i="6"/>
  <c r="F2645" i="6"/>
  <c r="E2645" i="6"/>
  <c r="F2644" i="6"/>
  <c r="E2644" i="6"/>
  <c r="D2644" i="6"/>
  <c r="G2644" i="6" s="1"/>
  <c r="C2644" i="6"/>
  <c r="F2643" i="6"/>
  <c r="G2643" i="6" s="1"/>
  <c r="E2643" i="6"/>
  <c r="D2643" i="6"/>
  <c r="C2643" i="6"/>
  <c r="C2642" i="6"/>
  <c r="F2642" i="6" s="1"/>
  <c r="G2642" i="6" s="1"/>
  <c r="F2641" i="6"/>
  <c r="G2641" i="6" s="1"/>
  <c r="C2641" i="6"/>
  <c r="E2641" i="6" s="1"/>
  <c r="G2640" i="6"/>
  <c r="F2640" i="6"/>
  <c r="C2640" i="6"/>
  <c r="E2640" i="6" s="1"/>
  <c r="C2639" i="6"/>
  <c r="F2639" i="6" s="1"/>
  <c r="G2639" i="6" s="1"/>
  <c r="F2638" i="6"/>
  <c r="D2638" i="6"/>
  <c r="C2638" i="6"/>
  <c r="E2638" i="6" s="1"/>
  <c r="D2637" i="6"/>
  <c r="C2637" i="6"/>
  <c r="F2637" i="6" s="1"/>
  <c r="G2637" i="6" s="1"/>
  <c r="B2630" i="6"/>
  <c r="G2629" i="6"/>
  <c r="B2629" i="6"/>
  <c r="B2628" i="6"/>
  <c r="B2627" i="6"/>
  <c r="F2620" i="6"/>
  <c r="G2620" i="6" s="1"/>
  <c r="D2620" i="6"/>
  <c r="B2620" i="6"/>
  <c r="A2620" i="6"/>
  <c r="F2619" i="6"/>
  <c r="G2619" i="6" s="1"/>
  <c r="G2621" i="6" s="1"/>
  <c r="D2619" i="6"/>
  <c r="B2619" i="6"/>
  <c r="A2619" i="6"/>
  <c r="F2614" i="6"/>
  <c r="G2614" i="6" s="1"/>
  <c r="D2614" i="6"/>
  <c r="C2614" i="6"/>
  <c r="B2614" i="6"/>
  <c r="A2614" i="6"/>
  <c r="C2613" i="6"/>
  <c r="F2613" i="6" s="1"/>
  <c r="G2613" i="6" s="1"/>
  <c r="F2612" i="6"/>
  <c r="G2612" i="6" s="1"/>
  <c r="D2612" i="6"/>
  <c r="C2612" i="6"/>
  <c r="B2612" i="6"/>
  <c r="A2612" i="6"/>
  <c r="C2611" i="6"/>
  <c r="F2611" i="6" s="1"/>
  <c r="G2611" i="6" s="1"/>
  <c r="F2610" i="6"/>
  <c r="G2610" i="6" s="1"/>
  <c r="D2610" i="6"/>
  <c r="C2610" i="6"/>
  <c r="B2610" i="6"/>
  <c r="A2610" i="6"/>
  <c r="C2609" i="6"/>
  <c r="F2609" i="6" s="1"/>
  <c r="G2609" i="6" s="1"/>
  <c r="F2608" i="6"/>
  <c r="G2608" i="6" s="1"/>
  <c r="D2608" i="6"/>
  <c r="C2608" i="6"/>
  <c r="B2608" i="6"/>
  <c r="A2608" i="6"/>
  <c r="C2607" i="6"/>
  <c r="F2607" i="6" s="1"/>
  <c r="G2607" i="6" s="1"/>
  <c r="F2606" i="6"/>
  <c r="G2606" i="6" s="1"/>
  <c r="D2606" i="6"/>
  <c r="C2606" i="6"/>
  <c r="B2606" i="6"/>
  <c r="A2606" i="6"/>
  <c r="C2605" i="6"/>
  <c r="F2605" i="6" s="1"/>
  <c r="G2605" i="6" s="1"/>
  <c r="F2604" i="6"/>
  <c r="G2604" i="6" s="1"/>
  <c r="D2604" i="6"/>
  <c r="C2604" i="6"/>
  <c r="B2604" i="6"/>
  <c r="A2604" i="6"/>
  <c r="F2599" i="6"/>
  <c r="E2599" i="6"/>
  <c r="B2599" i="6"/>
  <c r="A2599" i="6"/>
  <c r="F2598" i="6"/>
  <c r="E2598" i="6"/>
  <c r="B2598" i="6"/>
  <c r="A2598" i="6"/>
  <c r="F2597" i="6"/>
  <c r="G2597" i="6" s="1"/>
  <c r="E2597" i="6"/>
  <c r="B2597" i="6"/>
  <c r="A2597" i="6"/>
  <c r="C2596" i="6"/>
  <c r="B2596" i="6"/>
  <c r="C2595" i="6"/>
  <c r="E2595" i="6" s="1"/>
  <c r="B2595" i="6"/>
  <c r="A2595" i="6"/>
  <c r="C2594" i="6"/>
  <c r="B2594" i="6"/>
  <c r="C2593" i="6"/>
  <c r="E2593" i="6" s="1"/>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C2583" i="6"/>
  <c r="A2583" i="6" s="1"/>
  <c r="B2583" i="6"/>
  <c r="E2582" i="6"/>
  <c r="D2582" i="6"/>
  <c r="C2582" i="6"/>
  <c r="B2582" i="6" s="1"/>
  <c r="A2582" i="6"/>
  <c r="D2581" i="6"/>
  <c r="E2581" i="6" s="1"/>
  <c r="C2581" i="6"/>
  <c r="B2581" i="6"/>
  <c r="A2581" i="6"/>
  <c r="C2580" i="6"/>
  <c r="A2580" i="6"/>
  <c r="G2571" i="6"/>
  <c r="F2571" i="6"/>
  <c r="E2571" i="6"/>
  <c r="G2570" i="6"/>
  <c r="F2570" i="6"/>
  <c r="E2570" i="6"/>
  <c r="F2569" i="6"/>
  <c r="E2569" i="6"/>
  <c r="D2569" i="6"/>
  <c r="G2569" i="6" s="1"/>
  <c r="C2569" i="6"/>
  <c r="F2568" i="6"/>
  <c r="E2568" i="6"/>
  <c r="D2568" i="6"/>
  <c r="G2568" i="6" s="1"/>
  <c r="C2568" i="6"/>
  <c r="C2567" i="6"/>
  <c r="F2567" i="6" s="1"/>
  <c r="G2567" i="6" s="1"/>
  <c r="F2566" i="6"/>
  <c r="G2566" i="6" s="1"/>
  <c r="C2566" i="6"/>
  <c r="E2566" i="6" s="1"/>
  <c r="G2565" i="6"/>
  <c r="F2565" i="6"/>
  <c r="E2565" i="6"/>
  <c r="C2565" i="6"/>
  <c r="C2564" i="6"/>
  <c r="F2564" i="6" s="1"/>
  <c r="G2564" i="6" s="1"/>
  <c r="F2563" i="6"/>
  <c r="G2563" i="6" s="1"/>
  <c r="D2563" i="6"/>
  <c r="C2563" i="6"/>
  <c r="E2563" i="6" s="1"/>
  <c r="D2562" i="6"/>
  <c r="C2562" i="6"/>
  <c r="F2562" i="6" s="1"/>
  <c r="G2562" i="6" s="1"/>
  <c r="B2555" i="6"/>
  <c r="G2554" i="6"/>
  <c r="B2554" i="6"/>
  <c r="B2553" i="6"/>
  <c r="B2552" i="6"/>
  <c r="F2545" i="6"/>
  <c r="G2545" i="6" s="1"/>
  <c r="D2545" i="6"/>
  <c r="B2545" i="6"/>
  <c r="A2545" i="6"/>
  <c r="F2544" i="6"/>
  <c r="G2544" i="6" s="1"/>
  <c r="G2546" i="6" s="1"/>
  <c r="D2544" i="6"/>
  <c r="B2544" i="6"/>
  <c r="A2544" i="6"/>
  <c r="D2539" i="6"/>
  <c r="C2539" i="6"/>
  <c r="F2539" i="6" s="1"/>
  <c r="G2539" i="6" s="1"/>
  <c r="A2539" i="6"/>
  <c r="C2538" i="6"/>
  <c r="F2538" i="6" s="1"/>
  <c r="G2538" i="6" s="1"/>
  <c r="D2537" i="6"/>
  <c r="C2537" i="6"/>
  <c r="F2537" i="6" s="1"/>
  <c r="G2537" i="6" s="1"/>
  <c r="A2537" i="6"/>
  <c r="C2536" i="6"/>
  <c r="F2536" i="6" s="1"/>
  <c r="G2536" i="6" s="1"/>
  <c r="D2535" i="6"/>
  <c r="C2535" i="6"/>
  <c r="F2535" i="6" s="1"/>
  <c r="G2535" i="6" s="1"/>
  <c r="A2535" i="6"/>
  <c r="C2534" i="6"/>
  <c r="F2534" i="6" s="1"/>
  <c r="G2534" i="6" s="1"/>
  <c r="D2533" i="6"/>
  <c r="C2533" i="6"/>
  <c r="F2533" i="6" s="1"/>
  <c r="G2533" i="6" s="1"/>
  <c r="A2533" i="6"/>
  <c r="C2532" i="6"/>
  <c r="F2532" i="6" s="1"/>
  <c r="G2532" i="6" s="1"/>
  <c r="D2531" i="6"/>
  <c r="C2531" i="6"/>
  <c r="F2531" i="6" s="1"/>
  <c r="G2531" i="6" s="1"/>
  <c r="A2531" i="6"/>
  <c r="C2530" i="6"/>
  <c r="F2530" i="6" s="1"/>
  <c r="G2530" i="6" s="1"/>
  <c r="D2529" i="6"/>
  <c r="C2529" i="6"/>
  <c r="F2529" i="6" s="1"/>
  <c r="G2529" i="6" s="1"/>
  <c r="A2529" i="6"/>
  <c r="F2524" i="6"/>
  <c r="E2524" i="6"/>
  <c r="B2524" i="6"/>
  <c r="A2524" i="6"/>
  <c r="F2523" i="6"/>
  <c r="E2523" i="6"/>
  <c r="B2523" i="6"/>
  <c r="A2523" i="6"/>
  <c r="F2522" i="6"/>
  <c r="G2522" i="6" s="1"/>
  <c r="E2522" i="6"/>
  <c r="B2522" i="6"/>
  <c r="A2522" i="6"/>
  <c r="C2521" i="6"/>
  <c r="E2521" i="6" s="1"/>
  <c r="B2521" i="6"/>
  <c r="A2521" i="6"/>
  <c r="C2520" i="6"/>
  <c r="E2520" i="6" s="1"/>
  <c r="B2520" i="6"/>
  <c r="A2520" i="6"/>
  <c r="C2519" i="6"/>
  <c r="E2519" i="6" s="1"/>
  <c r="B2519" i="6"/>
  <c r="A2519" i="6"/>
  <c r="C2518" i="6"/>
  <c r="E2518" i="6" s="1"/>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E2508" i="6"/>
  <c r="D2508" i="6"/>
  <c r="C2508" i="6"/>
  <c r="A2508" i="6" s="1"/>
  <c r="B2508" i="6"/>
  <c r="C2507" i="6"/>
  <c r="D2506" i="6"/>
  <c r="E2506" i="6" s="1"/>
  <c r="C2506" i="6"/>
  <c r="B2506" i="6"/>
  <c r="A2506" i="6"/>
  <c r="C2505" i="6"/>
  <c r="B2505" i="6"/>
  <c r="A2505" i="6"/>
  <c r="F2496" i="6"/>
  <c r="G2496" i="6" s="1"/>
  <c r="E2496" i="6"/>
  <c r="G2495" i="6"/>
  <c r="F2495" i="6"/>
  <c r="E2495" i="6"/>
  <c r="F2494" i="6"/>
  <c r="E2494" i="6"/>
  <c r="D2494" i="6"/>
  <c r="G2494" i="6" s="1"/>
  <c r="C2494" i="6"/>
  <c r="D2493" i="6"/>
  <c r="C2493" i="6"/>
  <c r="F2493" i="6" s="1"/>
  <c r="G2493" i="6" s="1"/>
  <c r="C2492" i="6"/>
  <c r="F2492" i="6" s="1"/>
  <c r="G2492" i="6" s="1"/>
  <c r="F2491" i="6"/>
  <c r="G2491" i="6" s="1"/>
  <c r="C2491" i="6"/>
  <c r="E2491" i="6" s="1"/>
  <c r="C2490" i="6"/>
  <c r="F2490" i="6" s="1"/>
  <c r="G2490" i="6" s="1"/>
  <c r="C2489" i="6"/>
  <c r="F2489" i="6" s="1"/>
  <c r="G2489" i="6" s="1"/>
  <c r="F2488" i="6"/>
  <c r="D2488" i="6"/>
  <c r="C2488" i="6"/>
  <c r="E2488" i="6" s="1"/>
  <c r="E2487" i="6"/>
  <c r="D2487" i="6"/>
  <c r="C2487" i="6"/>
  <c r="F2487" i="6" s="1"/>
  <c r="G2487" i="6" s="1"/>
  <c r="B2480" i="6"/>
  <c r="G2479" i="6"/>
  <c r="B2479" i="6"/>
  <c r="B2478" i="6"/>
  <c r="B2477" i="6"/>
  <c r="F2470" i="6"/>
  <c r="G2470" i="6" s="1"/>
  <c r="D2470" i="6"/>
  <c r="B2470" i="6"/>
  <c r="A2470" i="6"/>
  <c r="F2469" i="6"/>
  <c r="G2469" i="6" s="1"/>
  <c r="G2471" i="6" s="1"/>
  <c r="D2469" i="6"/>
  <c r="B2469" i="6"/>
  <c r="A2469" i="6"/>
  <c r="D2464" i="6"/>
  <c r="C2464" i="6"/>
  <c r="F2464" i="6" s="1"/>
  <c r="G2464" i="6" s="1"/>
  <c r="B2464" i="6"/>
  <c r="A2464" i="6"/>
  <c r="C2463" i="6"/>
  <c r="F2463" i="6" s="1"/>
  <c r="G2463" i="6" s="1"/>
  <c r="D2462" i="6"/>
  <c r="C2462" i="6"/>
  <c r="F2462" i="6" s="1"/>
  <c r="G2462" i="6" s="1"/>
  <c r="B2462" i="6"/>
  <c r="A2462" i="6"/>
  <c r="C2461" i="6"/>
  <c r="F2461" i="6" s="1"/>
  <c r="G2461" i="6" s="1"/>
  <c r="D2460" i="6"/>
  <c r="C2460" i="6"/>
  <c r="F2460" i="6" s="1"/>
  <c r="G2460" i="6" s="1"/>
  <c r="B2460" i="6"/>
  <c r="A2460" i="6"/>
  <c r="C2459" i="6"/>
  <c r="F2459" i="6" s="1"/>
  <c r="G2459" i="6" s="1"/>
  <c r="D2458" i="6"/>
  <c r="C2458" i="6"/>
  <c r="F2458" i="6" s="1"/>
  <c r="G2458" i="6" s="1"/>
  <c r="B2458" i="6"/>
  <c r="A2458" i="6"/>
  <c r="C2457" i="6"/>
  <c r="F2457" i="6" s="1"/>
  <c r="G2457" i="6" s="1"/>
  <c r="D2456" i="6"/>
  <c r="C2456" i="6"/>
  <c r="F2456" i="6" s="1"/>
  <c r="G2456" i="6" s="1"/>
  <c r="B2456" i="6"/>
  <c r="A2456" i="6"/>
  <c r="C2455" i="6"/>
  <c r="F2455" i="6" s="1"/>
  <c r="G2455" i="6" s="1"/>
  <c r="D2454" i="6"/>
  <c r="C2454" i="6"/>
  <c r="F2454" i="6" s="1"/>
  <c r="G2454" i="6" s="1"/>
  <c r="B2454" i="6"/>
  <c r="A2454" i="6"/>
  <c r="F2449" i="6"/>
  <c r="E2449" i="6"/>
  <c r="B2449" i="6"/>
  <c r="A2449" i="6"/>
  <c r="F2448" i="6"/>
  <c r="E2448" i="6"/>
  <c r="B2448" i="6"/>
  <c r="A2448" i="6"/>
  <c r="F2447" i="6"/>
  <c r="G2447" i="6" s="1"/>
  <c r="E2447" i="6"/>
  <c r="B2447" i="6"/>
  <c r="A2447" i="6"/>
  <c r="C2446" i="6"/>
  <c r="E2446" i="6" s="1"/>
  <c r="B2446" i="6"/>
  <c r="A2446" i="6"/>
  <c r="C2445" i="6"/>
  <c r="E2445" i="6" s="1"/>
  <c r="B2445" i="6"/>
  <c r="A2445" i="6"/>
  <c r="C2444" i="6"/>
  <c r="E2444" i="6" s="1"/>
  <c r="B2444" i="6"/>
  <c r="A2444" i="6"/>
  <c r="C2443" i="6"/>
  <c r="E2443" i="6" s="1"/>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C2433" i="6"/>
  <c r="A2433" i="6" s="1"/>
  <c r="B2433" i="6"/>
  <c r="C2432" i="6"/>
  <c r="D2431" i="6"/>
  <c r="E2431" i="6" s="1"/>
  <c r="C2431" i="6"/>
  <c r="B2431" i="6"/>
  <c r="A2431" i="6"/>
  <c r="C2430" i="6"/>
  <c r="D2430" i="6" s="1"/>
  <c r="E2430" i="6" s="1"/>
  <c r="B2430" i="6"/>
  <c r="A2430" i="6"/>
  <c r="F2421" i="6"/>
  <c r="G2421" i="6" s="1"/>
  <c r="E2421" i="6"/>
  <c r="G2420" i="6"/>
  <c r="F2420" i="6"/>
  <c r="E2420" i="6"/>
  <c r="F2419" i="6"/>
  <c r="E2419" i="6"/>
  <c r="D2419" i="6"/>
  <c r="G2419" i="6" s="1"/>
  <c r="C2419" i="6"/>
  <c r="D2418" i="6"/>
  <c r="G2418" i="6" s="1"/>
  <c r="C2418" i="6"/>
  <c r="F2418" i="6" s="1"/>
  <c r="C2417" i="6"/>
  <c r="E2417" i="6" s="1"/>
  <c r="F2416" i="6"/>
  <c r="G2416" i="6" s="1"/>
  <c r="C2416" i="6"/>
  <c r="E2416" i="6" s="1"/>
  <c r="C2415" i="6"/>
  <c r="E2415" i="6" s="1"/>
  <c r="C2414" i="6"/>
  <c r="E2414" i="6" s="1"/>
  <c r="F2413" i="6"/>
  <c r="G2413" i="6" s="1"/>
  <c r="D2413" i="6"/>
  <c r="C2413" i="6"/>
  <c r="E2413" i="6" s="1"/>
  <c r="F2412" i="6"/>
  <c r="G2412" i="6" s="1"/>
  <c r="E2412" i="6"/>
  <c r="D2412" i="6"/>
  <c r="C2412" i="6"/>
  <c r="B2405" i="6"/>
  <c r="G2404" i="6"/>
  <c r="B2404" i="6"/>
  <c r="B2403" i="6"/>
  <c r="B2402" i="6"/>
  <c r="F2395" i="6"/>
  <c r="G2395" i="6" s="1"/>
  <c r="D2395" i="6"/>
  <c r="B2395" i="6"/>
  <c r="A2395" i="6"/>
  <c r="F2394" i="6"/>
  <c r="G2394" i="6" s="1"/>
  <c r="G2396" i="6" s="1"/>
  <c r="D2394" i="6"/>
  <c r="B2394" i="6"/>
  <c r="A2394" i="6"/>
  <c r="F2389" i="6"/>
  <c r="G2389" i="6" s="1"/>
  <c r="D2389" i="6"/>
  <c r="C2389" i="6"/>
  <c r="B2389" i="6" s="1"/>
  <c r="A2389" i="6"/>
  <c r="C2388" i="6"/>
  <c r="F2388" i="6" s="1"/>
  <c r="G2388" i="6" s="1"/>
  <c r="F2387" i="6"/>
  <c r="G2387" i="6" s="1"/>
  <c r="D2387" i="6"/>
  <c r="C2387" i="6"/>
  <c r="B2387" i="6" s="1"/>
  <c r="A2387" i="6"/>
  <c r="C2386" i="6"/>
  <c r="F2386" i="6" s="1"/>
  <c r="G2386" i="6" s="1"/>
  <c r="F2385" i="6"/>
  <c r="G2385" i="6" s="1"/>
  <c r="D2385" i="6"/>
  <c r="C2385" i="6"/>
  <c r="B2385" i="6" s="1"/>
  <c r="A2385" i="6"/>
  <c r="C2384" i="6"/>
  <c r="F2384" i="6" s="1"/>
  <c r="G2384" i="6" s="1"/>
  <c r="F2383" i="6"/>
  <c r="G2383" i="6" s="1"/>
  <c r="D2383" i="6"/>
  <c r="C2383" i="6"/>
  <c r="B2383" i="6" s="1"/>
  <c r="A2383" i="6"/>
  <c r="C2382" i="6"/>
  <c r="F2382" i="6" s="1"/>
  <c r="G2382" i="6" s="1"/>
  <c r="F2381" i="6"/>
  <c r="G2381" i="6" s="1"/>
  <c r="D2381" i="6"/>
  <c r="C2381" i="6"/>
  <c r="B2381" i="6" s="1"/>
  <c r="A2381" i="6"/>
  <c r="C2380" i="6"/>
  <c r="F2380" i="6" s="1"/>
  <c r="G2380" i="6" s="1"/>
  <c r="F2379" i="6"/>
  <c r="G2379" i="6" s="1"/>
  <c r="D2379" i="6"/>
  <c r="C2379" i="6"/>
  <c r="B2379" i="6" s="1"/>
  <c r="A2379" i="6"/>
  <c r="F2374" i="6"/>
  <c r="E2374" i="6"/>
  <c r="B2374" i="6"/>
  <c r="A2374" i="6"/>
  <c r="F2373" i="6"/>
  <c r="E2373" i="6"/>
  <c r="B2373" i="6"/>
  <c r="A2373" i="6"/>
  <c r="F2372" i="6"/>
  <c r="G2372" i="6" s="1"/>
  <c r="E2372" i="6"/>
  <c r="B2372" i="6"/>
  <c r="A2372" i="6"/>
  <c r="C2371" i="6"/>
  <c r="B2371" i="6"/>
  <c r="C2370" i="6"/>
  <c r="E2370" i="6" s="1"/>
  <c r="B2370" i="6"/>
  <c r="A2370" i="6"/>
  <c r="C2369" i="6"/>
  <c r="B2369" i="6"/>
  <c r="C2368" i="6"/>
  <c r="E2368" i="6" s="1"/>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E2358" i="6"/>
  <c r="D2358" i="6"/>
  <c r="C2358" i="6"/>
  <c r="A2358" i="6" s="1"/>
  <c r="B2358" i="6"/>
  <c r="E2357" i="6"/>
  <c r="D2357" i="6"/>
  <c r="C2357" i="6"/>
  <c r="B2357" i="6" s="1"/>
  <c r="A2357" i="6"/>
  <c r="D2356" i="6"/>
  <c r="E2356" i="6" s="1"/>
  <c r="C2356" i="6"/>
  <c r="B2356" i="6"/>
  <c r="A2356" i="6"/>
  <c r="C2355" i="6"/>
  <c r="B2355" i="6"/>
  <c r="A2355" i="6"/>
  <c r="G2346" i="6"/>
  <c r="F2346" i="6"/>
  <c r="E2346" i="6"/>
  <c r="G2345" i="6"/>
  <c r="F2345" i="6"/>
  <c r="E2345" i="6"/>
  <c r="F2344" i="6"/>
  <c r="E2344" i="6"/>
  <c r="D2344" i="6"/>
  <c r="G2344" i="6" s="1"/>
  <c r="C2344" i="6"/>
  <c r="F2343" i="6"/>
  <c r="G2343" i="6" s="1"/>
  <c r="E2343" i="6"/>
  <c r="D2343" i="6"/>
  <c r="C2343" i="6"/>
  <c r="C2342" i="6"/>
  <c r="F2342" i="6" s="1"/>
  <c r="G2342" i="6" s="1"/>
  <c r="F2341" i="6"/>
  <c r="G2341" i="6" s="1"/>
  <c r="C2341" i="6"/>
  <c r="E2341" i="6" s="1"/>
  <c r="G2340" i="6"/>
  <c r="F2340" i="6"/>
  <c r="E2340" i="6"/>
  <c r="C2340" i="6"/>
  <c r="C2339" i="6"/>
  <c r="F2339" i="6" s="1"/>
  <c r="G2339" i="6" s="1"/>
  <c r="F2338" i="6"/>
  <c r="D2338" i="6"/>
  <c r="C2338" i="6"/>
  <c r="E2338" i="6" s="1"/>
  <c r="D2337" i="6"/>
  <c r="C2337" i="6"/>
  <c r="F2337" i="6" s="1"/>
  <c r="G2337" i="6" s="1"/>
  <c r="B2330" i="6"/>
  <c r="G2329" i="6"/>
  <c r="B2329" i="6"/>
  <c r="B2328" i="6"/>
  <c r="B2327" i="6"/>
  <c r="F2320" i="6"/>
  <c r="G2320" i="6" s="1"/>
  <c r="D2320" i="6"/>
  <c r="B2320" i="6"/>
  <c r="A2320" i="6"/>
  <c r="F2319" i="6"/>
  <c r="G2319" i="6" s="1"/>
  <c r="G2321" i="6" s="1"/>
  <c r="D2319" i="6"/>
  <c r="B2319" i="6"/>
  <c r="A2319" i="6"/>
  <c r="D2314" i="6"/>
  <c r="C2314" i="6"/>
  <c r="F2314" i="6" s="1"/>
  <c r="G2314" i="6" s="1"/>
  <c r="B2314" i="6"/>
  <c r="A2314" i="6"/>
  <c r="C2313" i="6"/>
  <c r="F2313" i="6" s="1"/>
  <c r="G2313" i="6" s="1"/>
  <c r="D2312" i="6"/>
  <c r="C2312" i="6"/>
  <c r="F2312" i="6" s="1"/>
  <c r="G2312" i="6" s="1"/>
  <c r="B2312" i="6"/>
  <c r="A2312" i="6"/>
  <c r="C2311" i="6"/>
  <c r="F2311" i="6" s="1"/>
  <c r="G2311" i="6" s="1"/>
  <c r="D2310" i="6"/>
  <c r="C2310" i="6"/>
  <c r="F2310" i="6" s="1"/>
  <c r="G2310" i="6" s="1"/>
  <c r="B2310" i="6"/>
  <c r="A2310" i="6"/>
  <c r="C2309" i="6"/>
  <c r="F2309" i="6" s="1"/>
  <c r="G2309" i="6" s="1"/>
  <c r="D2308" i="6"/>
  <c r="C2308" i="6"/>
  <c r="F2308" i="6" s="1"/>
  <c r="G2308" i="6" s="1"/>
  <c r="B2308" i="6"/>
  <c r="A2308" i="6"/>
  <c r="C2307" i="6"/>
  <c r="F2307" i="6" s="1"/>
  <c r="G2307" i="6" s="1"/>
  <c r="D2306" i="6"/>
  <c r="C2306" i="6"/>
  <c r="F2306" i="6" s="1"/>
  <c r="G2306" i="6" s="1"/>
  <c r="B2306" i="6"/>
  <c r="A2306" i="6"/>
  <c r="C2305" i="6"/>
  <c r="F2305" i="6" s="1"/>
  <c r="G2305" i="6" s="1"/>
  <c r="D2304" i="6"/>
  <c r="C2304" i="6"/>
  <c r="F2304" i="6" s="1"/>
  <c r="G2304" i="6" s="1"/>
  <c r="B2304" i="6"/>
  <c r="A2304" i="6"/>
  <c r="F2299" i="6"/>
  <c r="E2299" i="6"/>
  <c r="B2299" i="6"/>
  <c r="A2299" i="6"/>
  <c r="F2298" i="6"/>
  <c r="E2298" i="6"/>
  <c r="B2298" i="6"/>
  <c r="A2298" i="6"/>
  <c r="F2297" i="6"/>
  <c r="G2297" i="6" s="1"/>
  <c r="E2297" i="6"/>
  <c r="B2297" i="6"/>
  <c r="A2297" i="6"/>
  <c r="C2296" i="6"/>
  <c r="E2296" i="6" s="1"/>
  <c r="B2296" i="6"/>
  <c r="A2296" i="6"/>
  <c r="C2295" i="6"/>
  <c r="E2295" i="6" s="1"/>
  <c r="A2295" i="6"/>
  <c r="C2294" i="6"/>
  <c r="E2294" i="6" s="1"/>
  <c r="B2294" i="6"/>
  <c r="A2294" i="6"/>
  <c r="C2293" i="6"/>
  <c r="E2293" i="6" s="1"/>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C2283" i="6"/>
  <c r="A2283" i="6" s="1"/>
  <c r="B2283" i="6"/>
  <c r="C2282" i="6"/>
  <c r="D2281" i="6"/>
  <c r="E2281" i="6" s="1"/>
  <c r="C2281" i="6"/>
  <c r="A2281" i="6" s="1"/>
  <c r="B2281" i="6"/>
  <c r="C2280" i="6"/>
  <c r="D2280" i="6" s="1"/>
  <c r="E2280" i="6" s="1"/>
  <c r="B2280" i="6"/>
  <c r="A2280" i="6"/>
  <c r="F2271" i="6"/>
  <c r="G2271" i="6" s="1"/>
  <c r="E2271" i="6"/>
  <c r="G2270" i="6"/>
  <c r="F2270" i="6"/>
  <c r="E2270" i="6"/>
  <c r="F2269" i="6"/>
  <c r="E2269" i="6"/>
  <c r="D2269" i="6"/>
  <c r="G2269" i="6" s="1"/>
  <c r="C2269" i="6"/>
  <c r="D2268" i="6"/>
  <c r="G2268" i="6" s="1"/>
  <c r="C2268" i="6"/>
  <c r="F2268" i="6" s="1"/>
  <c r="C2267" i="6"/>
  <c r="F2267" i="6" s="1"/>
  <c r="G2267" i="6" s="1"/>
  <c r="F2266" i="6"/>
  <c r="G2266" i="6" s="1"/>
  <c r="C2266" i="6"/>
  <c r="E2266" i="6" s="1"/>
  <c r="C2265" i="6"/>
  <c r="E2265" i="6" s="1"/>
  <c r="C2264" i="6"/>
  <c r="E2264" i="6" s="1"/>
  <c r="F2263" i="6"/>
  <c r="G2263" i="6" s="1"/>
  <c r="E2263" i="6"/>
  <c r="D2263" i="6"/>
  <c r="C2263" i="6"/>
  <c r="F2262" i="6"/>
  <c r="G2262" i="6" s="1"/>
  <c r="E2262" i="6"/>
  <c r="D2262" i="6"/>
  <c r="C2262" i="6"/>
  <c r="B2255" i="6"/>
  <c r="G2254" i="6"/>
  <c r="B2254" i="6"/>
  <c r="B2253" i="6"/>
  <c r="B2252" i="6"/>
  <c r="F2245" i="6"/>
  <c r="G2245" i="6" s="1"/>
  <c r="D2245" i="6"/>
  <c r="B2245" i="6"/>
  <c r="A2245" i="6"/>
  <c r="F2244" i="6"/>
  <c r="G2244" i="6" s="1"/>
  <c r="G2246" i="6" s="1"/>
  <c r="D2244" i="6"/>
  <c r="B2244" i="6"/>
  <c r="A2244" i="6"/>
  <c r="F2239" i="6"/>
  <c r="G2239" i="6" s="1"/>
  <c r="D2239" i="6"/>
  <c r="C2239" i="6"/>
  <c r="B2239" i="6"/>
  <c r="A2239" i="6"/>
  <c r="F2238" i="6"/>
  <c r="G2238" i="6" s="1"/>
  <c r="D2238" i="6"/>
  <c r="C2238" i="6"/>
  <c r="A2238" i="6" s="1"/>
  <c r="B2238" i="6"/>
  <c r="F2237" i="6"/>
  <c r="G2237" i="6" s="1"/>
  <c r="D2237" i="6"/>
  <c r="C2237" i="6"/>
  <c r="B2237" i="6"/>
  <c r="A2237" i="6"/>
  <c r="F2236" i="6"/>
  <c r="G2236" i="6" s="1"/>
  <c r="D2236" i="6"/>
  <c r="C2236" i="6"/>
  <c r="A2236" i="6" s="1"/>
  <c r="B2236" i="6"/>
  <c r="F2235" i="6"/>
  <c r="G2235" i="6" s="1"/>
  <c r="D2235" i="6"/>
  <c r="C2235" i="6"/>
  <c r="B2235" i="6"/>
  <c r="A2235" i="6"/>
  <c r="F2234" i="6"/>
  <c r="G2234" i="6" s="1"/>
  <c r="D2234" i="6"/>
  <c r="C2234" i="6"/>
  <c r="A2234" i="6" s="1"/>
  <c r="B2234" i="6"/>
  <c r="F2233" i="6"/>
  <c r="G2233" i="6" s="1"/>
  <c r="D2233" i="6"/>
  <c r="C2233" i="6"/>
  <c r="B2233" i="6"/>
  <c r="A2233" i="6"/>
  <c r="F2232" i="6"/>
  <c r="G2232" i="6" s="1"/>
  <c r="D2232" i="6"/>
  <c r="C2232" i="6"/>
  <c r="A2232" i="6" s="1"/>
  <c r="B2232" i="6"/>
  <c r="F2231" i="6"/>
  <c r="G2231" i="6" s="1"/>
  <c r="D2231" i="6"/>
  <c r="C2231" i="6"/>
  <c r="B2231" i="6"/>
  <c r="A2231" i="6"/>
  <c r="F2230" i="6"/>
  <c r="G2230" i="6" s="1"/>
  <c r="D2230" i="6"/>
  <c r="C2230" i="6"/>
  <c r="A2230" i="6" s="1"/>
  <c r="B2230" i="6"/>
  <c r="F2229" i="6"/>
  <c r="G2229" i="6" s="1"/>
  <c r="D2229" i="6"/>
  <c r="C2229" i="6"/>
  <c r="B2229" i="6"/>
  <c r="A2229" i="6"/>
  <c r="F2224" i="6"/>
  <c r="G2224" i="6" s="1"/>
  <c r="E2224" i="6"/>
  <c r="B2224" i="6"/>
  <c r="A2224" i="6"/>
  <c r="F2223" i="6"/>
  <c r="E2223" i="6"/>
  <c r="B2223" i="6"/>
  <c r="A2223" i="6"/>
  <c r="F2222" i="6"/>
  <c r="G2222" i="6" s="1"/>
  <c r="E2222" i="6"/>
  <c r="B2222" i="6"/>
  <c r="A2222" i="6"/>
  <c r="C2221" i="6"/>
  <c r="B2221" i="6"/>
  <c r="C2220" i="6"/>
  <c r="E2220" i="6" s="1"/>
  <c r="C2219" i="6"/>
  <c r="B2219" i="6"/>
  <c r="C2218" i="6"/>
  <c r="E2218" i="6" s="1"/>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C2208" i="6"/>
  <c r="A2208" i="6" s="1"/>
  <c r="B2208" i="6"/>
  <c r="D2207" i="6"/>
  <c r="E2207" i="6" s="1"/>
  <c r="C2207" i="6"/>
  <c r="B2207" i="6" s="1"/>
  <c r="A2207" i="6"/>
  <c r="D2206" i="6"/>
  <c r="E2206" i="6" s="1"/>
  <c r="C2206" i="6"/>
  <c r="B2206" i="6"/>
  <c r="A2206" i="6"/>
  <c r="C2205" i="6"/>
  <c r="B2205" i="6"/>
  <c r="G2196" i="6"/>
  <c r="F2196" i="6"/>
  <c r="E2196" i="6"/>
  <c r="F2195" i="6"/>
  <c r="G2195" i="6" s="1"/>
  <c r="E2195" i="6"/>
  <c r="E2194" i="6"/>
  <c r="D2194" i="6"/>
  <c r="C2194" i="6"/>
  <c r="F2194" i="6" s="1"/>
  <c r="F2193" i="6"/>
  <c r="G2193" i="6" s="1"/>
  <c r="E2193" i="6"/>
  <c r="D2193" i="6"/>
  <c r="C2193" i="6"/>
  <c r="F2192" i="6"/>
  <c r="G2192" i="6" s="1"/>
  <c r="E2192" i="6"/>
  <c r="C2192" i="6"/>
  <c r="F2191" i="6"/>
  <c r="G2191" i="6" s="1"/>
  <c r="C2191" i="6"/>
  <c r="E2191" i="6" s="1"/>
  <c r="G2190" i="6"/>
  <c r="F2190" i="6"/>
  <c r="E2190" i="6"/>
  <c r="C2190" i="6"/>
  <c r="F2189" i="6"/>
  <c r="G2189" i="6" s="1"/>
  <c r="E2189" i="6"/>
  <c r="C2189" i="6"/>
  <c r="F2188" i="6"/>
  <c r="G2188" i="6" s="1"/>
  <c r="D2188" i="6"/>
  <c r="C2188" i="6"/>
  <c r="E2188" i="6" s="1"/>
  <c r="D2187" i="6"/>
  <c r="C2187" i="6"/>
  <c r="F2187" i="6" s="1"/>
  <c r="G2187" i="6" s="1"/>
  <c r="B2180" i="6"/>
  <c r="G2179" i="6"/>
  <c r="B2179" i="6"/>
  <c r="B2178" i="6"/>
  <c r="B2177" i="6"/>
  <c r="F2170" i="6"/>
  <c r="G2170" i="6" s="1"/>
  <c r="D2170" i="6"/>
  <c r="B2170" i="6"/>
  <c r="A2170" i="6"/>
  <c r="F2169" i="6"/>
  <c r="G2169" i="6" s="1"/>
  <c r="D2169" i="6"/>
  <c r="B2169" i="6"/>
  <c r="A2169" i="6"/>
  <c r="F2164" i="6"/>
  <c r="G2164" i="6" s="1"/>
  <c r="D2164" i="6"/>
  <c r="C2164" i="6"/>
  <c r="B2164" i="6"/>
  <c r="A2164" i="6"/>
  <c r="C2163" i="6"/>
  <c r="F2163" i="6" s="1"/>
  <c r="G2163" i="6" s="1"/>
  <c r="F2162" i="6"/>
  <c r="G2162" i="6" s="1"/>
  <c r="D2162" i="6"/>
  <c r="C2162" i="6"/>
  <c r="B2162" i="6"/>
  <c r="A2162" i="6"/>
  <c r="C2161" i="6"/>
  <c r="F2161" i="6" s="1"/>
  <c r="G2161" i="6" s="1"/>
  <c r="F2160" i="6"/>
  <c r="G2160" i="6" s="1"/>
  <c r="D2160" i="6"/>
  <c r="C2160" i="6"/>
  <c r="B2160" i="6"/>
  <c r="A2160" i="6"/>
  <c r="C2159" i="6"/>
  <c r="F2159" i="6" s="1"/>
  <c r="G2159" i="6" s="1"/>
  <c r="F2158" i="6"/>
  <c r="G2158" i="6" s="1"/>
  <c r="D2158" i="6"/>
  <c r="C2158" i="6"/>
  <c r="B2158" i="6"/>
  <c r="A2158" i="6"/>
  <c r="C2157" i="6"/>
  <c r="F2157" i="6" s="1"/>
  <c r="G2157" i="6" s="1"/>
  <c r="F2156" i="6"/>
  <c r="G2156" i="6" s="1"/>
  <c r="D2156" i="6"/>
  <c r="C2156" i="6"/>
  <c r="B2156" i="6"/>
  <c r="A2156" i="6"/>
  <c r="C2155" i="6"/>
  <c r="F2155" i="6" s="1"/>
  <c r="G2155" i="6" s="1"/>
  <c r="F2154" i="6"/>
  <c r="G2154" i="6" s="1"/>
  <c r="D2154" i="6"/>
  <c r="C2154" i="6"/>
  <c r="B2154" i="6"/>
  <c r="A2154" i="6"/>
  <c r="F2149" i="6"/>
  <c r="E2149" i="6"/>
  <c r="B2149" i="6"/>
  <c r="A2149" i="6"/>
  <c r="F2148" i="6"/>
  <c r="E2148" i="6"/>
  <c r="B2148" i="6"/>
  <c r="A2148" i="6"/>
  <c r="F2147" i="6"/>
  <c r="G2147" i="6" s="1"/>
  <c r="E2147" i="6"/>
  <c r="B2147" i="6"/>
  <c r="A2147" i="6"/>
  <c r="C2146" i="6"/>
  <c r="B2146" i="6"/>
  <c r="C2145" i="6"/>
  <c r="E2145" i="6" s="1"/>
  <c r="A2145" i="6"/>
  <c r="C2144" i="6"/>
  <c r="B2144" i="6"/>
  <c r="C2143" i="6"/>
  <c r="E2143" i="6" s="1"/>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C2133" i="6"/>
  <c r="A2133" i="6" s="1"/>
  <c r="B2133" i="6"/>
  <c r="E2132" i="6"/>
  <c r="D2132" i="6"/>
  <c r="C2132" i="6"/>
  <c r="B2132" i="6" s="1"/>
  <c r="A2132" i="6"/>
  <c r="D2131" i="6"/>
  <c r="E2131" i="6" s="1"/>
  <c r="C2131" i="6"/>
  <c r="B2131" i="6"/>
  <c r="A2131" i="6"/>
  <c r="C2130" i="6"/>
  <c r="B2130" i="6"/>
  <c r="G2121" i="6"/>
  <c r="F2121" i="6"/>
  <c r="E2121" i="6"/>
  <c r="F2120" i="6"/>
  <c r="G2120" i="6" s="1"/>
  <c r="E2120" i="6"/>
  <c r="E2119" i="6"/>
  <c r="D2119" i="6"/>
  <c r="G2119" i="6" s="1"/>
  <c r="C2119" i="6"/>
  <c r="F2119" i="6" s="1"/>
  <c r="F2118" i="6"/>
  <c r="E2118" i="6"/>
  <c r="D2118" i="6"/>
  <c r="G2118" i="6" s="1"/>
  <c r="C2118" i="6"/>
  <c r="F2117" i="6"/>
  <c r="G2117" i="6" s="1"/>
  <c r="E2117" i="6"/>
  <c r="C2117" i="6"/>
  <c r="F2116" i="6"/>
  <c r="G2116" i="6" s="1"/>
  <c r="C2116" i="6"/>
  <c r="E2116" i="6" s="1"/>
  <c r="G2115" i="6"/>
  <c r="F2115" i="6"/>
  <c r="E2115" i="6"/>
  <c r="C2115" i="6"/>
  <c r="F2114" i="6"/>
  <c r="G2114" i="6" s="1"/>
  <c r="E2114" i="6"/>
  <c r="C2114" i="6"/>
  <c r="F2113" i="6"/>
  <c r="G2113" i="6" s="1"/>
  <c r="D2113" i="6"/>
  <c r="C2113" i="6"/>
  <c r="E2113" i="6" s="1"/>
  <c r="D2112" i="6"/>
  <c r="C2112" i="6"/>
  <c r="F2112" i="6" s="1"/>
  <c r="G2112" i="6" s="1"/>
  <c r="G2123" i="6" s="1"/>
  <c r="B2105" i="6"/>
  <c r="G2104" i="6"/>
  <c r="B2104" i="6"/>
  <c r="B2103" i="6"/>
  <c r="B2102" i="6"/>
  <c r="F2095" i="6"/>
  <c r="G2095" i="6" s="1"/>
  <c r="D2095" i="6"/>
  <c r="B2095" i="6"/>
  <c r="A2095" i="6"/>
  <c r="F2094" i="6"/>
  <c r="G2094" i="6" s="1"/>
  <c r="G2096" i="6" s="1"/>
  <c r="D2094" i="6"/>
  <c r="B2094" i="6"/>
  <c r="A2094" i="6"/>
  <c r="D2089" i="6"/>
  <c r="C2089" i="6"/>
  <c r="F2089" i="6" s="1"/>
  <c r="G2089" i="6" s="1"/>
  <c r="A2089" i="6"/>
  <c r="C2088" i="6"/>
  <c r="F2088" i="6" s="1"/>
  <c r="G2088" i="6" s="1"/>
  <c r="D2087" i="6"/>
  <c r="C2087" i="6"/>
  <c r="F2087" i="6" s="1"/>
  <c r="G2087" i="6" s="1"/>
  <c r="A2087" i="6"/>
  <c r="C2086" i="6"/>
  <c r="F2086" i="6" s="1"/>
  <c r="G2086" i="6" s="1"/>
  <c r="D2085" i="6"/>
  <c r="C2085" i="6"/>
  <c r="F2085" i="6" s="1"/>
  <c r="G2085" i="6" s="1"/>
  <c r="A2085" i="6"/>
  <c r="C2084" i="6"/>
  <c r="F2084" i="6" s="1"/>
  <c r="G2084" i="6" s="1"/>
  <c r="D2083" i="6"/>
  <c r="C2083" i="6"/>
  <c r="F2083" i="6" s="1"/>
  <c r="G2083" i="6" s="1"/>
  <c r="A2083" i="6"/>
  <c r="C2082" i="6"/>
  <c r="F2082" i="6" s="1"/>
  <c r="G2082" i="6" s="1"/>
  <c r="D2081" i="6"/>
  <c r="C2081" i="6"/>
  <c r="F2081" i="6" s="1"/>
  <c r="G2081" i="6" s="1"/>
  <c r="A2081" i="6"/>
  <c r="C2080" i="6"/>
  <c r="F2080" i="6" s="1"/>
  <c r="G2080" i="6" s="1"/>
  <c r="D2079" i="6"/>
  <c r="C2079" i="6"/>
  <c r="F2079" i="6" s="1"/>
  <c r="G2079" i="6" s="1"/>
  <c r="A2079" i="6"/>
  <c r="F2074" i="6"/>
  <c r="E2074" i="6"/>
  <c r="B2074" i="6"/>
  <c r="A2074" i="6"/>
  <c r="F2073" i="6"/>
  <c r="E2073" i="6"/>
  <c r="B2073" i="6"/>
  <c r="A2073" i="6"/>
  <c r="F2072" i="6"/>
  <c r="G2072" i="6" s="1"/>
  <c r="E2072" i="6"/>
  <c r="B2072" i="6"/>
  <c r="A2072" i="6"/>
  <c r="C2071" i="6"/>
  <c r="B2071" i="6"/>
  <c r="A2071" i="6"/>
  <c r="C2070" i="6"/>
  <c r="E2070" i="6" s="1"/>
  <c r="B2070" i="6"/>
  <c r="A2070" i="6"/>
  <c r="C2069" i="6"/>
  <c r="B2069" i="6"/>
  <c r="A2069" i="6"/>
  <c r="C2068" i="6"/>
  <c r="E2068" i="6" s="1"/>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E2058" i="6"/>
  <c r="D2058" i="6"/>
  <c r="C2058" i="6"/>
  <c r="A2058" i="6" s="1"/>
  <c r="B2058" i="6"/>
  <c r="C2057" i="6"/>
  <c r="D2057" i="6" s="1"/>
  <c r="E2057" i="6" s="1"/>
  <c r="A2057" i="6"/>
  <c r="D2056" i="6"/>
  <c r="E2056" i="6" s="1"/>
  <c r="C2056" i="6"/>
  <c r="B2056" i="6"/>
  <c r="A2056" i="6"/>
  <c r="C2055" i="6"/>
  <c r="B2055" i="6"/>
  <c r="A2055" i="6"/>
  <c r="G2046" i="6"/>
  <c r="F2046" i="6"/>
  <c r="E2046" i="6"/>
  <c r="G2045" i="6"/>
  <c r="F2045" i="6"/>
  <c r="E2045" i="6"/>
  <c r="F2044" i="6"/>
  <c r="E2044" i="6"/>
  <c r="D2044" i="6"/>
  <c r="G2044" i="6" s="1"/>
  <c r="C2044" i="6"/>
  <c r="F2043" i="6"/>
  <c r="G2043" i="6" s="1"/>
  <c r="E2043" i="6"/>
  <c r="D2043" i="6"/>
  <c r="C2043" i="6"/>
  <c r="C2042" i="6"/>
  <c r="F2042" i="6" s="1"/>
  <c r="G2042" i="6" s="1"/>
  <c r="F2041" i="6"/>
  <c r="G2041" i="6" s="1"/>
  <c r="C2041" i="6"/>
  <c r="E2041" i="6" s="1"/>
  <c r="G2040" i="6"/>
  <c r="F2040" i="6"/>
  <c r="E2040" i="6"/>
  <c r="C2040" i="6"/>
  <c r="C2039" i="6"/>
  <c r="E2039" i="6" s="1"/>
  <c r="F2038" i="6"/>
  <c r="D2038" i="6"/>
  <c r="C2038" i="6"/>
  <c r="E2038" i="6" s="1"/>
  <c r="D2037" i="6"/>
  <c r="C2037" i="6"/>
  <c r="F2037" i="6" s="1"/>
  <c r="G2037" i="6" s="1"/>
  <c r="B2030" i="6"/>
  <c r="G2029" i="6"/>
  <c r="B2029" i="6"/>
  <c r="B2028" i="6"/>
  <c r="B2027" i="6"/>
  <c r="F2020" i="6"/>
  <c r="G2020" i="6" s="1"/>
  <c r="D2020" i="6"/>
  <c r="B2020" i="6"/>
  <c r="A2020" i="6"/>
  <c r="F2019" i="6"/>
  <c r="G2019" i="6" s="1"/>
  <c r="G2021" i="6" s="1"/>
  <c r="D2019" i="6"/>
  <c r="B2019" i="6"/>
  <c r="A2019" i="6"/>
  <c r="C2014" i="6"/>
  <c r="F2014" i="6" s="1"/>
  <c r="G2014" i="6" s="1"/>
  <c r="F2013" i="6"/>
  <c r="G2013" i="6" s="1"/>
  <c r="C2013" i="6"/>
  <c r="D2013" i="6" s="1"/>
  <c r="B2013" i="6"/>
  <c r="C2012" i="6"/>
  <c r="F2012" i="6" s="1"/>
  <c r="G2012" i="6" s="1"/>
  <c r="F2011" i="6"/>
  <c r="G2011" i="6" s="1"/>
  <c r="C2011" i="6"/>
  <c r="D2011" i="6" s="1"/>
  <c r="B2011" i="6"/>
  <c r="C2010" i="6"/>
  <c r="F2010" i="6" s="1"/>
  <c r="G2010" i="6" s="1"/>
  <c r="F2009" i="6"/>
  <c r="G2009" i="6" s="1"/>
  <c r="C2009" i="6"/>
  <c r="D2009" i="6" s="1"/>
  <c r="B2009" i="6"/>
  <c r="C2008" i="6"/>
  <c r="F2008" i="6" s="1"/>
  <c r="G2008" i="6" s="1"/>
  <c r="F2007" i="6"/>
  <c r="G2007" i="6" s="1"/>
  <c r="C2007" i="6"/>
  <c r="D2007" i="6" s="1"/>
  <c r="B2007" i="6"/>
  <c r="C2006" i="6"/>
  <c r="F2006" i="6" s="1"/>
  <c r="G2006" i="6" s="1"/>
  <c r="F2005" i="6"/>
  <c r="G2005" i="6" s="1"/>
  <c r="C2005" i="6"/>
  <c r="D2005" i="6" s="1"/>
  <c r="B2005" i="6"/>
  <c r="C2004" i="6"/>
  <c r="F2004" i="6" s="1"/>
  <c r="G2004" i="6" s="1"/>
  <c r="G2015" i="6" s="1"/>
  <c r="F1999" i="6"/>
  <c r="G1999" i="6" s="1"/>
  <c r="E1999" i="6"/>
  <c r="B1999" i="6"/>
  <c r="A1999" i="6"/>
  <c r="F1998" i="6"/>
  <c r="E1998" i="6"/>
  <c r="B1998" i="6"/>
  <c r="A1998" i="6"/>
  <c r="F1997" i="6"/>
  <c r="G1997" i="6" s="1"/>
  <c r="E1997" i="6"/>
  <c r="B1997" i="6"/>
  <c r="A1997" i="6"/>
  <c r="C1996" i="6"/>
  <c r="E1996" i="6" s="1"/>
  <c r="B1996" i="6"/>
  <c r="A1996" i="6"/>
  <c r="C1995" i="6"/>
  <c r="E1995" i="6" s="1"/>
  <c r="C1994" i="6"/>
  <c r="E1994" i="6" s="1"/>
  <c r="B1994" i="6"/>
  <c r="A1994" i="6"/>
  <c r="C1993" i="6"/>
  <c r="E1993" i="6" s="1"/>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D1983" i="6"/>
  <c r="E1983" i="6" s="1"/>
  <c r="C1983" i="6"/>
  <c r="A1983" i="6" s="1"/>
  <c r="B1983" i="6"/>
  <c r="C1982" i="6"/>
  <c r="D1981" i="6"/>
  <c r="E1981" i="6" s="1"/>
  <c r="C1981" i="6"/>
  <c r="B1981" i="6"/>
  <c r="A1981" i="6"/>
  <c r="C1980" i="6"/>
  <c r="D1980" i="6" s="1"/>
  <c r="E1980" i="6" s="1"/>
  <c r="A1980" i="6"/>
  <c r="F1971" i="6"/>
  <c r="G1971" i="6" s="1"/>
  <c r="E1971" i="6"/>
  <c r="G1970" i="6"/>
  <c r="F1970" i="6"/>
  <c r="E1970" i="6"/>
  <c r="F1969" i="6"/>
  <c r="E1969" i="6"/>
  <c r="D1969" i="6"/>
  <c r="G1969" i="6" s="1"/>
  <c r="C1969" i="6"/>
  <c r="D1968" i="6"/>
  <c r="C1968" i="6"/>
  <c r="F1968" i="6" s="1"/>
  <c r="C1967" i="6"/>
  <c r="F1967" i="6" s="1"/>
  <c r="G1967" i="6" s="1"/>
  <c r="F1966" i="6"/>
  <c r="G1966" i="6" s="1"/>
  <c r="C1966" i="6"/>
  <c r="E1966" i="6" s="1"/>
  <c r="C1965" i="6"/>
  <c r="F1965" i="6" s="1"/>
  <c r="G1965" i="6" s="1"/>
  <c r="C1964" i="6"/>
  <c r="F1964" i="6" s="1"/>
  <c r="G1964" i="6" s="1"/>
  <c r="F1963" i="6"/>
  <c r="D1963" i="6"/>
  <c r="C1963" i="6"/>
  <c r="E1963" i="6" s="1"/>
  <c r="F1962" i="6"/>
  <c r="G1962" i="6" s="1"/>
  <c r="E1962" i="6"/>
  <c r="D1962" i="6"/>
  <c r="C1962" i="6"/>
  <c r="B1955" i="6"/>
  <c r="G1954" i="6"/>
  <c r="B1954" i="6"/>
  <c r="B1953" i="6"/>
  <c r="B1952" i="6"/>
  <c r="F1945" i="6"/>
  <c r="G1945" i="6" s="1"/>
  <c r="D1945" i="6"/>
  <c r="B1945" i="6"/>
  <c r="A1945" i="6"/>
  <c r="F1944" i="6"/>
  <c r="G1944" i="6" s="1"/>
  <c r="G1946" i="6" s="1"/>
  <c r="D1944" i="6"/>
  <c r="B1944" i="6"/>
  <c r="A1944" i="6"/>
  <c r="D1939" i="6"/>
  <c r="C1939" i="6"/>
  <c r="F1939" i="6" s="1"/>
  <c r="G1939" i="6" s="1"/>
  <c r="A1939" i="6"/>
  <c r="F1938" i="6"/>
  <c r="G1938" i="6" s="1"/>
  <c r="C1938" i="6"/>
  <c r="D1938" i="6" s="1"/>
  <c r="D1937" i="6"/>
  <c r="C1937" i="6"/>
  <c r="F1937" i="6" s="1"/>
  <c r="G1937" i="6" s="1"/>
  <c r="A1937" i="6"/>
  <c r="F1936" i="6"/>
  <c r="G1936" i="6" s="1"/>
  <c r="C1936" i="6"/>
  <c r="D1936" i="6" s="1"/>
  <c r="D1935" i="6"/>
  <c r="C1935" i="6"/>
  <c r="F1935" i="6" s="1"/>
  <c r="G1935" i="6" s="1"/>
  <c r="A1935" i="6"/>
  <c r="F1934" i="6"/>
  <c r="G1934" i="6" s="1"/>
  <c r="C1934" i="6"/>
  <c r="D1934" i="6" s="1"/>
  <c r="D1933" i="6"/>
  <c r="C1933" i="6"/>
  <c r="F1933" i="6" s="1"/>
  <c r="G1933" i="6" s="1"/>
  <c r="A1933" i="6"/>
  <c r="F1932" i="6"/>
  <c r="G1932" i="6" s="1"/>
  <c r="C1932" i="6"/>
  <c r="D1932" i="6" s="1"/>
  <c r="D1931" i="6"/>
  <c r="C1931" i="6"/>
  <c r="F1931" i="6" s="1"/>
  <c r="G1931" i="6" s="1"/>
  <c r="A1931" i="6"/>
  <c r="F1930" i="6"/>
  <c r="G1930" i="6" s="1"/>
  <c r="C1930" i="6"/>
  <c r="D1930" i="6" s="1"/>
  <c r="D1929" i="6"/>
  <c r="C1929" i="6"/>
  <c r="F1929" i="6" s="1"/>
  <c r="G1929" i="6" s="1"/>
  <c r="A1929" i="6"/>
  <c r="F1924" i="6"/>
  <c r="G1924" i="6" s="1"/>
  <c r="E1924" i="6"/>
  <c r="B1924" i="6"/>
  <c r="A1924" i="6"/>
  <c r="F1923" i="6"/>
  <c r="E1923" i="6"/>
  <c r="B1923" i="6"/>
  <c r="A1923" i="6"/>
  <c r="F1922" i="6"/>
  <c r="G1922" i="6" s="1"/>
  <c r="E1922" i="6"/>
  <c r="B1922" i="6"/>
  <c r="A1922" i="6"/>
  <c r="C1921" i="6"/>
  <c r="B1921" i="6"/>
  <c r="A1921" i="6"/>
  <c r="C1920" i="6"/>
  <c r="E1920" i="6" s="1"/>
  <c r="C1919" i="6"/>
  <c r="B1919" i="6"/>
  <c r="A1919" i="6"/>
  <c r="C1918" i="6"/>
  <c r="E1918" i="6" s="1"/>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E1908" i="6"/>
  <c r="D1908" i="6"/>
  <c r="C1908" i="6"/>
  <c r="B1908" i="6"/>
  <c r="A1908" i="6"/>
  <c r="E1907" i="6"/>
  <c r="D1907" i="6"/>
  <c r="C1907" i="6"/>
  <c r="B1907" i="6" s="1"/>
  <c r="A1907" i="6"/>
  <c r="D1906" i="6"/>
  <c r="E1906" i="6" s="1"/>
  <c r="C1906" i="6"/>
  <c r="B1906" i="6"/>
  <c r="A1906" i="6"/>
  <c r="C1905" i="6"/>
  <c r="B1905" i="6"/>
  <c r="A1905" i="6"/>
  <c r="G1896" i="6"/>
  <c r="F1896" i="6"/>
  <c r="E1896" i="6"/>
  <c r="F1895" i="6"/>
  <c r="G1895" i="6" s="1"/>
  <c r="E1895" i="6"/>
  <c r="F1894" i="6"/>
  <c r="D1894" i="6"/>
  <c r="C1894" i="6"/>
  <c r="E1894" i="6" s="1"/>
  <c r="F1893" i="6"/>
  <c r="G1893" i="6" s="1"/>
  <c r="E1893" i="6"/>
  <c r="D1893" i="6"/>
  <c r="C1893" i="6"/>
  <c r="C1892" i="6"/>
  <c r="F1892" i="6" s="1"/>
  <c r="G1892" i="6" s="1"/>
  <c r="F1891" i="6"/>
  <c r="G1891" i="6" s="1"/>
  <c r="C1891" i="6"/>
  <c r="E1891" i="6" s="1"/>
  <c r="G1890" i="6"/>
  <c r="F1890" i="6"/>
  <c r="E1890" i="6"/>
  <c r="C1890" i="6"/>
  <c r="C1889" i="6"/>
  <c r="F1889" i="6" s="1"/>
  <c r="G1889" i="6" s="1"/>
  <c r="F1888" i="6"/>
  <c r="D1888" i="6"/>
  <c r="G1888" i="6" s="1"/>
  <c r="C1888" i="6"/>
  <c r="E1888" i="6" s="1"/>
  <c r="D1887" i="6"/>
  <c r="C1887" i="6"/>
  <c r="F1887" i="6" s="1"/>
  <c r="G1887" i="6" s="1"/>
  <c r="B1880" i="6"/>
  <c r="G1879" i="6"/>
  <c r="B1879" i="6"/>
  <c r="B1878" i="6"/>
  <c r="B1877" i="6"/>
  <c r="F1870" i="6"/>
  <c r="G1870" i="6" s="1"/>
  <c r="D1870" i="6"/>
  <c r="B1870" i="6"/>
  <c r="A1870" i="6"/>
  <c r="F1869" i="6"/>
  <c r="G1869" i="6" s="1"/>
  <c r="D1869" i="6"/>
  <c r="B1869" i="6"/>
  <c r="A1869" i="6"/>
  <c r="D1864" i="6"/>
  <c r="C1864" i="6"/>
  <c r="F1864" i="6" s="1"/>
  <c r="G1864" i="6" s="1"/>
  <c r="B1864" i="6"/>
  <c r="A1864" i="6"/>
  <c r="C1863" i="6"/>
  <c r="F1863" i="6" s="1"/>
  <c r="G1863" i="6" s="1"/>
  <c r="D1862" i="6"/>
  <c r="C1862" i="6"/>
  <c r="F1862" i="6" s="1"/>
  <c r="G1862" i="6" s="1"/>
  <c r="B1862" i="6"/>
  <c r="A1862" i="6"/>
  <c r="C1861" i="6"/>
  <c r="F1861" i="6" s="1"/>
  <c r="G1861" i="6" s="1"/>
  <c r="D1860" i="6"/>
  <c r="C1860" i="6"/>
  <c r="F1860" i="6" s="1"/>
  <c r="G1860" i="6" s="1"/>
  <c r="B1860" i="6"/>
  <c r="A1860" i="6"/>
  <c r="C1859" i="6"/>
  <c r="F1859" i="6" s="1"/>
  <c r="G1859" i="6" s="1"/>
  <c r="D1858" i="6"/>
  <c r="C1858" i="6"/>
  <c r="F1858" i="6" s="1"/>
  <c r="G1858" i="6" s="1"/>
  <c r="B1858" i="6"/>
  <c r="A1858" i="6"/>
  <c r="C1857" i="6"/>
  <c r="F1857" i="6" s="1"/>
  <c r="G1857" i="6" s="1"/>
  <c r="D1856" i="6"/>
  <c r="C1856" i="6"/>
  <c r="F1856" i="6" s="1"/>
  <c r="G1856" i="6" s="1"/>
  <c r="B1856" i="6"/>
  <c r="A1856" i="6"/>
  <c r="C1855" i="6"/>
  <c r="F1855" i="6" s="1"/>
  <c r="G1855" i="6" s="1"/>
  <c r="D1854" i="6"/>
  <c r="C1854" i="6"/>
  <c r="F1854" i="6" s="1"/>
  <c r="G1854" i="6" s="1"/>
  <c r="B1854" i="6"/>
  <c r="A1854" i="6"/>
  <c r="F1849" i="6"/>
  <c r="E1849" i="6"/>
  <c r="B1849" i="6"/>
  <c r="A1849" i="6"/>
  <c r="F1848" i="6"/>
  <c r="E1848" i="6"/>
  <c r="B1848" i="6"/>
  <c r="A1848" i="6"/>
  <c r="F1847" i="6"/>
  <c r="G1847" i="6" s="1"/>
  <c r="E1847" i="6"/>
  <c r="B1847" i="6"/>
  <c r="A1847" i="6"/>
  <c r="C1846" i="6"/>
  <c r="E1846" i="6" s="1"/>
  <c r="B1846" i="6"/>
  <c r="A1846" i="6"/>
  <c r="C1845" i="6"/>
  <c r="E1845" i="6" s="1"/>
  <c r="A1845" i="6"/>
  <c r="C1844" i="6"/>
  <c r="E1844" i="6" s="1"/>
  <c r="B1844" i="6"/>
  <c r="A1844" i="6"/>
  <c r="C1843" i="6"/>
  <c r="E1843" i="6" s="1"/>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C1833" i="6"/>
  <c r="A1833" i="6" s="1"/>
  <c r="B1833" i="6"/>
  <c r="C1832" i="6"/>
  <c r="D1831" i="6"/>
  <c r="E1831" i="6" s="1"/>
  <c r="C1831" i="6"/>
  <c r="B1831" i="6"/>
  <c r="A1831" i="6"/>
  <c r="C1830" i="6"/>
  <c r="D1830" i="6" s="1"/>
  <c r="E1830" i="6" s="1"/>
  <c r="B1830" i="6"/>
  <c r="A1830" i="6"/>
  <c r="F1821" i="6"/>
  <c r="G1821" i="6" s="1"/>
  <c r="E1821" i="6"/>
  <c r="G1820" i="6"/>
  <c r="F1820" i="6"/>
  <c r="E1820" i="6"/>
  <c r="F1819" i="6"/>
  <c r="E1819" i="6"/>
  <c r="D1819" i="6"/>
  <c r="G1819" i="6" s="1"/>
  <c r="C1819" i="6"/>
  <c r="D1818" i="6"/>
  <c r="G1818" i="6" s="1"/>
  <c r="C1818" i="6"/>
  <c r="F1818" i="6" s="1"/>
  <c r="C1817" i="6"/>
  <c r="F1817" i="6" s="1"/>
  <c r="G1817" i="6" s="1"/>
  <c r="F1816" i="6"/>
  <c r="G1816" i="6" s="1"/>
  <c r="C1816" i="6"/>
  <c r="E1816" i="6" s="1"/>
  <c r="C1815" i="6"/>
  <c r="E1815" i="6" s="1"/>
  <c r="C1814" i="6"/>
  <c r="F1814" i="6" s="1"/>
  <c r="G1814" i="6" s="1"/>
  <c r="F1813" i="6"/>
  <c r="G1813" i="6" s="1"/>
  <c r="D1813" i="6"/>
  <c r="C1813" i="6"/>
  <c r="E1813" i="6" s="1"/>
  <c r="F1812" i="6"/>
  <c r="G1812" i="6" s="1"/>
  <c r="E1812" i="6"/>
  <c r="D1812" i="6"/>
  <c r="C1812" i="6"/>
  <c r="B1805" i="6"/>
  <c r="G1804" i="6"/>
  <c r="B1804" i="6"/>
  <c r="B1803" i="6"/>
  <c r="B1802" i="6"/>
  <c r="F1795" i="6"/>
  <c r="G1795" i="6" s="1"/>
  <c r="D1795" i="6"/>
  <c r="B1795" i="6"/>
  <c r="A1795" i="6"/>
  <c r="F1794" i="6"/>
  <c r="G1794" i="6" s="1"/>
  <c r="G1796" i="6" s="1"/>
  <c r="D1794" i="6"/>
  <c r="B1794" i="6"/>
  <c r="A1794" i="6"/>
  <c r="C1789" i="6"/>
  <c r="F1789" i="6" s="1"/>
  <c r="G1789" i="6" s="1"/>
  <c r="A1789" i="6"/>
  <c r="C1788" i="6"/>
  <c r="F1788" i="6" s="1"/>
  <c r="G1788" i="6" s="1"/>
  <c r="C1787" i="6"/>
  <c r="F1787" i="6" s="1"/>
  <c r="G1787" i="6" s="1"/>
  <c r="A1787" i="6"/>
  <c r="C1786" i="6"/>
  <c r="F1786" i="6" s="1"/>
  <c r="G1786" i="6" s="1"/>
  <c r="C1785" i="6"/>
  <c r="F1785" i="6" s="1"/>
  <c r="G1785" i="6" s="1"/>
  <c r="A1785" i="6"/>
  <c r="C1784" i="6"/>
  <c r="F1784" i="6" s="1"/>
  <c r="G1784" i="6" s="1"/>
  <c r="C1783" i="6"/>
  <c r="F1783" i="6" s="1"/>
  <c r="G1783" i="6" s="1"/>
  <c r="A1783" i="6"/>
  <c r="C1782" i="6"/>
  <c r="F1782" i="6" s="1"/>
  <c r="G1782" i="6" s="1"/>
  <c r="C1781" i="6"/>
  <c r="F1781" i="6" s="1"/>
  <c r="G1781" i="6" s="1"/>
  <c r="A1781" i="6"/>
  <c r="C1780" i="6"/>
  <c r="F1780" i="6" s="1"/>
  <c r="G1780" i="6" s="1"/>
  <c r="C1779" i="6"/>
  <c r="F1779" i="6" s="1"/>
  <c r="G1779" i="6" s="1"/>
  <c r="G1790" i="6" s="1"/>
  <c r="A1779" i="6"/>
  <c r="F1774" i="6"/>
  <c r="E1774" i="6"/>
  <c r="B1774" i="6"/>
  <c r="A1774" i="6"/>
  <c r="F1773" i="6"/>
  <c r="E1773" i="6"/>
  <c r="B1773" i="6"/>
  <c r="A1773" i="6"/>
  <c r="F1772" i="6"/>
  <c r="G1772" i="6" s="1"/>
  <c r="E1772" i="6"/>
  <c r="B1772" i="6"/>
  <c r="A1772" i="6"/>
  <c r="C1771" i="6"/>
  <c r="E1771" i="6" s="1"/>
  <c r="B1771" i="6"/>
  <c r="A1771" i="6"/>
  <c r="C1770" i="6"/>
  <c r="E1770" i="6" s="1"/>
  <c r="B1770" i="6"/>
  <c r="A1770" i="6"/>
  <c r="C1769" i="6"/>
  <c r="E1769" i="6" s="1"/>
  <c r="B1769" i="6"/>
  <c r="A1769" i="6"/>
  <c r="C1768" i="6"/>
  <c r="E1768" i="6" s="1"/>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D1758" i="6"/>
  <c r="E1758" i="6" s="1"/>
  <c r="C1758" i="6"/>
  <c r="A1758" i="6" s="1"/>
  <c r="B1758" i="6"/>
  <c r="C1757" i="6"/>
  <c r="D1756" i="6"/>
  <c r="E1756" i="6" s="1"/>
  <c r="C1756" i="6"/>
  <c r="B1756" i="6"/>
  <c r="A1756" i="6"/>
  <c r="C1755" i="6"/>
  <c r="D1755" i="6" s="1"/>
  <c r="E1755" i="6" s="1"/>
  <c r="B1755" i="6"/>
  <c r="A1755" i="6"/>
  <c r="F1746" i="6"/>
  <c r="G1746" i="6" s="1"/>
  <c r="E1746" i="6"/>
  <c r="G1745" i="6"/>
  <c r="F1745" i="6"/>
  <c r="E1745" i="6"/>
  <c r="F1744" i="6"/>
  <c r="E1744" i="6"/>
  <c r="D1744" i="6"/>
  <c r="G1744" i="6" s="1"/>
  <c r="C1744" i="6"/>
  <c r="D1743" i="6"/>
  <c r="G1743" i="6" s="1"/>
  <c r="C1743" i="6"/>
  <c r="F1743" i="6" s="1"/>
  <c r="C1742" i="6"/>
  <c r="F1742" i="6" s="1"/>
  <c r="G1742" i="6" s="1"/>
  <c r="F1741" i="6"/>
  <c r="G1741" i="6" s="1"/>
  <c r="C1741" i="6"/>
  <c r="E1741" i="6" s="1"/>
  <c r="C1740" i="6"/>
  <c r="E1740" i="6" s="1"/>
  <c r="C1739" i="6"/>
  <c r="F1739" i="6" s="1"/>
  <c r="G1739" i="6" s="1"/>
  <c r="F1738" i="6"/>
  <c r="G1738" i="6" s="1"/>
  <c r="D1738" i="6"/>
  <c r="C1738" i="6"/>
  <c r="E1738" i="6" s="1"/>
  <c r="F1737" i="6"/>
  <c r="G1737" i="6" s="1"/>
  <c r="E1737" i="6"/>
  <c r="D1737" i="6"/>
  <c r="C1737" i="6"/>
  <c r="B1730" i="6"/>
  <c r="G1729" i="6"/>
  <c r="B1729" i="6"/>
  <c r="B1728" i="6"/>
  <c r="B1727" i="6"/>
  <c r="F1720" i="6"/>
  <c r="G1720" i="6" s="1"/>
  <c r="D1720" i="6"/>
  <c r="B1720" i="6"/>
  <c r="A1720" i="6"/>
  <c r="F1719" i="6"/>
  <c r="G1719" i="6" s="1"/>
  <c r="G1721" i="6" s="1"/>
  <c r="D1719" i="6"/>
  <c r="B1719" i="6"/>
  <c r="A1719" i="6"/>
  <c r="D1714" i="6"/>
  <c r="C1714" i="6"/>
  <c r="F1714" i="6" s="1"/>
  <c r="G1714" i="6" s="1"/>
  <c r="B1714" i="6"/>
  <c r="A1714" i="6"/>
  <c r="C1713" i="6"/>
  <c r="F1713" i="6" s="1"/>
  <c r="G1713" i="6" s="1"/>
  <c r="D1712" i="6"/>
  <c r="C1712" i="6"/>
  <c r="F1712" i="6" s="1"/>
  <c r="G1712" i="6" s="1"/>
  <c r="B1712" i="6"/>
  <c r="A1712" i="6"/>
  <c r="C1711" i="6"/>
  <c r="F1711" i="6" s="1"/>
  <c r="G1711" i="6" s="1"/>
  <c r="D1710" i="6"/>
  <c r="C1710" i="6"/>
  <c r="F1710" i="6" s="1"/>
  <c r="G1710" i="6" s="1"/>
  <c r="B1710" i="6"/>
  <c r="A1710" i="6"/>
  <c r="C1709" i="6"/>
  <c r="F1709" i="6" s="1"/>
  <c r="G1709" i="6" s="1"/>
  <c r="D1708" i="6"/>
  <c r="C1708" i="6"/>
  <c r="F1708" i="6" s="1"/>
  <c r="G1708" i="6" s="1"/>
  <c r="B1708" i="6"/>
  <c r="A1708" i="6"/>
  <c r="C1707" i="6"/>
  <c r="F1707" i="6" s="1"/>
  <c r="G1707" i="6" s="1"/>
  <c r="D1706" i="6"/>
  <c r="C1706" i="6"/>
  <c r="F1706" i="6" s="1"/>
  <c r="G1706" i="6" s="1"/>
  <c r="B1706" i="6"/>
  <c r="A1706" i="6"/>
  <c r="C1705" i="6"/>
  <c r="F1705" i="6" s="1"/>
  <c r="G1705" i="6" s="1"/>
  <c r="D1704" i="6"/>
  <c r="C1704" i="6"/>
  <c r="F1704" i="6" s="1"/>
  <c r="G1704" i="6" s="1"/>
  <c r="G1715" i="6" s="1"/>
  <c r="B1704" i="6"/>
  <c r="A1704" i="6"/>
  <c r="F1699" i="6"/>
  <c r="E1699" i="6"/>
  <c r="B1699" i="6"/>
  <c r="A1699" i="6"/>
  <c r="F1698" i="6"/>
  <c r="E1698" i="6"/>
  <c r="B1698" i="6"/>
  <c r="A1698" i="6"/>
  <c r="F1697" i="6"/>
  <c r="G1697" i="6" s="1"/>
  <c r="E1697" i="6"/>
  <c r="B1697" i="6"/>
  <c r="A1697" i="6"/>
  <c r="C1696" i="6"/>
  <c r="E1696" i="6" s="1"/>
  <c r="B1696" i="6"/>
  <c r="A1696" i="6"/>
  <c r="C1695" i="6"/>
  <c r="E1695" i="6" s="1"/>
  <c r="B1695" i="6"/>
  <c r="A1695" i="6"/>
  <c r="C1694" i="6"/>
  <c r="E1694" i="6" s="1"/>
  <c r="B1694" i="6"/>
  <c r="A1694" i="6"/>
  <c r="C1693" i="6"/>
  <c r="E1693" i="6" s="1"/>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C1683" i="6"/>
  <c r="A1683" i="6" s="1"/>
  <c r="B1683" i="6"/>
  <c r="C1682" i="6"/>
  <c r="D1681" i="6"/>
  <c r="E1681" i="6" s="1"/>
  <c r="C1681" i="6"/>
  <c r="B1681" i="6"/>
  <c r="A1681" i="6"/>
  <c r="C1680" i="6"/>
  <c r="D1680" i="6" s="1"/>
  <c r="E1680" i="6" s="1"/>
  <c r="B1680" i="6"/>
  <c r="A1680" i="6"/>
  <c r="F1671" i="6"/>
  <c r="G1671" i="6" s="1"/>
  <c r="E1671" i="6"/>
  <c r="G1670" i="6"/>
  <c r="F1670" i="6"/>
  <c r="E1670" i="6"/>
  <c r="F1669" i="6"/>
  <c r="E1669" i="6"/>
  <c r="D1669" i="6"/>
  <c r="G1669" i="6" s="1"/>
  <c r="C1669" i="6"/>
  <c r="D1668" i="6"/>
  <c r="C1668" i="6"/>
  <c r="F1668" i="6" s="1"/>
  <c r="C1667" i="6"/>
  <c r="F1667" i="6" s="1"/>
  <c r="G1667" i="6" s="1"/>
  <c r="F1666" i="6"/>
  <c r="G1666" i="6" s="1"/>
  <c r="C1666" i="6"/>
  <c r="E1666" i="6" s="1"/>
  <c r="C1665" i="6"/>
  <c r="F1665" i="6" s="1"/>
  <c r="G1665" i="6" s="1"/>
  <c r="C1664" i="6"/>
  <c r="F1664" i="6" s="1"/>
  <c r="G1664" i="6" s="1"/>
  <c r="F1663" i="6"/>
  <c r="G1663" i="6" s="1"/>
  <c r="D1663" i="6"/>
  <c r="C1663" i="6"/>
  <c r="E1663" i="6" s="1"/>
  <c r="F1662" i="6"/>
  <c r="G1662" i="6" s="1"/>
  <c r="E1662" i="6"/>
  <c r="D1662" i="6"/>
  <c r="C1662" i="6"/>
  <c r="B1655" i="6"/>
  <c r="G1654" i="6"/>
  <c r="B1654" i="6"/>
  <c r="B1653" i="6"/>
  <c r="B1652" i="6"/>
  <c r="F1645" i="6"/>
  <c r="G1645" i="6" s="1"/>
  <c r="D1645" i="6"/>
  <c r="B1645" i="6"/>
  <c r="A1645" i="6"/>
  <c r="F1644" i="6"/>
  <c r="G1644" i="6" s="1"/>
  <c r="G1646" i="6" s="1"/>
  <c r="D1644" i="6"/>
  <c r="B1644" i="6"/>
  <c r="A1644" i="6"/>
  <c r="D1639" i="6"/>
  <c r="C1639" i="6"/>
  <c r="F1639" i="6" s="1"/>
  <c r="G1639" i="6" s="1"/>
  <c r="B1639" i="6"/>
  <c r="A1639" i="6"/>
  <c r="C1638" i="6"/>
  <c r="F1638" i="6" s="1"/>
  <c r="G1638" i="6" s="1"/>
  <c r="B1638" i="6"/>
  <c r="D1637" i="6"/>
  <c r="C1637" i="6"/>
  <c r="F1637" i="6" s="1"/>
  <c r="G1637" i="6" s="1"/>
  <c r="B1637" i="6"/>
  <c r="A1637" i="6"/>
  <c r="C1636" i="6"/>
  <c r="F1636" i="6" s="1"/>
  <c r="G1636" i="6" s="1"/>
  <c r="B1636" i="6"/>
  <c r="D1635" i="6"/>
  <c r="C1635" i="6"/>
  <c r="F1635" i="6" s="1"/>
  <c r="G1635" i="6" s="1"/>
  <c r="B1635" i="6"/>
  <c r="A1635" i="6"/>
  <c r="C1634" i="6"/>
  <c r="F1634" i="6" s="1"/>
  <c r="G1634" i="6" s="1"/>
  <c r="B1634" i="6"/>
  <c r="D1633" i="6"/>
  <c r="C1633" i="6"/>
  <c r="F1633" i="6" s="1"/>
  <c r="G1633" i="6" s="1"/>
  <c r="B1633" i="6"/>
  <c r="A1633" i="6"/>
  <c r="C1632" i="6"/>
  <c r="F1632" i="6" s="1"/>
  <c r="G1632" i="6" s="1"/>
  <c r="B1632" i="6"/>
  <c r="D1631" i="6"/>
  <c r="C1631" i="6"/>
  <c r="F1631" i="6" s="1"/>
  <c r="G1631" i="6" s="1"/>
  <c r="B1631" i="6"/>
  <c r="A1631" i="6"/>
  <c r="C1630" i="6"/>
  <c r="F1630" i="6" s="1"/>
  <c r="G1630" i="6" s="1"/>
  <c r="B1630" i="6"/>
  <c r="D1629" i="6"/>
  <c r="C1629" i="6"/>
  <c r="F1629" i="6" s="1"/>
  <c r="G1629" i="6" s="1"/>
  <c r="B1629" i="6"/>
  <c r="A1629" i="6"/>
  <c r="F1624" i="6"/>
  <c r="E1624" i="6"/>
  <c r="B1624" i="6"/>
  <c r="A1624" i="6"/>
  <c r="F1623" i="6"/>
  <c r="E1623" i="6"/>
  <c r="B1623" i="6"/>
  <c r="A1623" i="6"/>
  <c r="F1622" i="6"/>
  <c r="G1622" i="6" s="1"/>
  <c r="E1622" i="6"/>
  <c r="B1622" i="6"/>
  <c r="A1622" i="6"/>
  <c r="C1621" i="6"/>
  <c r="E1621" i="6" s="1"/>
  <c r="B1621" i="6"/>
  <c r="A1621" i="6"/>
  <c r="C1620" i="6"/>
  <c r="E1620" i="6" s="1"/>
  <c r="A1620" i="6"/>
  <c r="C1619" i="6"/>
  <c r="E1619" i="6" s="1"/>
  <c r="B1619" i="6"/>
  <c r="A1619" i="6"/>
  <c r="C1618" i="6"/>
  <c r="E1618" i="6" s="1"/>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C1608" i="6"/>
  <c r="A1608" i="6" s="1"/>
  <c r="B1608" i="6"/>
  <c r="C1607" i="6"/>
  <c r="D1606" i="6"/>
  <c r="E1606" i="6" s="1"/>
  <c r="C1606" i="6"/>
  <c r="B1606" i="6" s="1"/>
  <c r="C1605" i="6"/>
  <c r="D1605" i="6" s="1"/>
  <c r="E1605" i="6" s="1"/>
  <c r="B1605" i="6"/>
  <c r="A1605" i="6"/>
  <c r="F1596" i="6"/>
  <c r="G1596" i="6" s="1"/>
  <c r="E1596" i="6"/>
  <c r="G1595" i="6"/>
  <c r="F1595" i="6"/>
  <c r="E1595" i="6"/>
  <c r="F1594" i="6"/>
  <c r="E1594" i="6"/>
  <c r="D1594" i="6"/>
  <c r="G1594" i="6" s="1"/>
  <c r="C1594" i="6"/>
  <c r="D1593" i="6"/>
  <c r="C1593" i="6"/>
  <c r="F1593" i="6" s="1"/>
  <c r="C1592" i="6"/>
  <c r="F1592" i="6" s="1"/>
  <c r="G1592" i="6" s="1"/>
  <c r="F1591" i="6"/>
  <c r="G1591" i="6" s="1"/>
  <c r="C1591" i="6"/>
  <c r="E1591" i="6" s="1"/>
  <c r="C1590" i="6"/>
  <c r="F1590" i="6" s="1"/>
  <c r="G1590" i="6" s="1"/>
  <c r="C1589" i="6"/>
  <c r="F1589" i="6" s="1"/>
  <c r="G1589" i="6" s="1"/>
  <c r="F1588" i="6"/>
  <c r="G1588" i="6" s="1"/>
  <c r="E1588" i="6"/>
  <c r="D1588" i="6"/>
  <c r="C1588" i="6"/>
  <c r="F1587" i="6"/>
  <c r="G1587" i="6" s="1"/>
  <c r="E1587" i="6"/>
  <c r="D1587" i="6"/>
  <c r="C1587" i="6"/>
  <c r="B1580" i="6"/>
  <c r="G1579" i="6"/>
  <c r="B1579" i="6"/>
  <c r="B1578" i="6"/>
  <c r="B1577" i="6"/>
  <c r="F1570" i="6"/>
  <c r="G1570" i="6" s="1"/>
  <c r="D1570" i="6"/>
  <c r="B1570" i="6"/>
  <c r="A1570" i="6"/>
  <c r="F1569" i="6"/>
  <c r="G1569" i="6" s="1"/>
  <c r="G1571" i="6" s="1"/>
  <c r="D1569" i="6"/>
  <c r="B1569" i="6"/>
  <c r="A1569" i="6"/>
  <c r="D1564" i="6"/>
  <c r="C1564" i="6"/>
  <c r="F1564" i="6" s="1"/>
  <c r="G1564" i="6" s="1"/>
  <c r="A1564" i="6"/>
  <c r="C1563" i="6"/>
  <c r="F1563" i="6" s="1"/>
  <c r="G1563" i="6" s="1"/>
  <c r="D1562" i="6"/>
  <c r="C1562" i="6"/>
  <c r="F1562" i="6" s="1"/>
  <c r="G1562" i="6" s="1"/>
  <c r="A1562" i="6"/>
  <c r="C1561" i="6"/>
  <c r="F1561" i="6" s="1"/>
  <c r="G1561" i="6" s="1"/>
  <c r="D1560" i="6"/>
  <c r="C1560" i="6"/>
  <c r="F1560" i="6" s="1"/>
  <c r="G1560" i="6" s="1"/>
  <c r="A1560" i="6"/>
  <c r="C1559" i="6"/>
  <c r="F1559" i="6" s="1"/>
  <c r="G1559" i="6" s="1"/>
  <c r="D1558" i="6"/>
  <c r="C1558" i="6"/>
  <c r="F1558" i="6" s="1"/>
  <c r="G1558" i="6" s="1"/>
  <c r="A1558" i="6"/>
  <c r="C1557" i="6"/>
  <c r="F1557" i="6" s="1"/>
  <c r="G1557" i="6" s="1"/>
  <c r="D1556" i="6"/>
  <c r="C1556" i="6"/>
  <c r="F1556" i="6" s="1"/>
  <c r="G1556" i="6" s="1"/>
  <c r="A1556" i="6"/>
  <c r="C1555" i="6"/>
  <c r="F1555" i="6" s="1"/>
  <c r="G1555" i="6" s="1"/>
  <c r="D1554" i="6"/>
  <c r="C1554" i="6"/>
  <c r="F1554" i="6" s="1"/>
  <c r="G1554" i="6" s="1"/>
  <c r="A1554" i="6"/>
  <c r="F1549" i="6"/>
  <c r="E1549" i="6"/>
  <c r="B1549" i="6"/>
  <c r="A1549" i="6"/>
  <c r="F1548" i="6"/>
  <c r="E1548" i="6"/>
  <c r="B1548" i="6"/>
  <c r="A1548" i="6"/>
  <c r="F1547" i="6"/>
  <c r="G1547" i="6" s="1"/>
  <c r="E1547" i="6"/>
  <c r="B1547" i="6"/>
  <c r="A1547" i="6"/>
  <c r="C1546" i="6"/>
  <c r="B1546" i="6"/>
  <c r="A1546" i="6"/>
  <c r="C1545" i="6"/>
  <c r="E1545" i="6" s="1"/>
  <c r="B1545" i="6"/>
  <c r="A1545" i="6"/>
  <c r="C1544" i="6"/>
  <c r="B1544" i="6"/>
  <c r="A1544" i="6"/>
  <c r="C1543" i="6"/>
  <c r="E1543" i="6" s="1"/>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E1533" i="6"/>
  <c r="D1533" i="6"/>
  <c r="C1533" i="6"/>
  <c r="A1533" i="6" s="1"/>
  <c r="B1533" i="6"/>
  <c r="E1532" i="6"/>
  <c r="D1532" i="6"/>
  <c r="C1532" i="6"/>
  <c r="B1532" i="6" s="1"/>
  <c r="A1532" i="6"/>
  <c r="D1531" i="6"/>
  <c r="E1531" i="6" s="1"/>
  <c r="C1531" i="6"/>
  <c r="B1531" i="6"/>
  <c r="A1531" i="6"/>
  <c r="C1530" i="6"/>
  <c r="B1530" i="6"/>
  <c r="A1530" i="6"/>
  <c r="F1521" i="6"/>
  <c r="G1521" i="6" s="1"/>
  <c r="E1521" i="6"/>
  <c r="G1520" i="6"/>
  <c r="F1520" i="6"/>
  <c r="E1520" i="6"/>
  <c r="F1519" i="6"/>
  <c r="E1519" i="6"/>
  <c r="D1519" i="6"/>
  <c r="G1519" i="6" s="1"/>
  <c r="C1519" i="6"/>
  <c r="F1518" i="6"/>
  <c r="G1518" i="6" s="1"/>
  <c r="E1518" i="6"/>
  <c r="D1518" i="6"/>
  <c r="C1518" i="6"/>
  <c r="C1517" i="6"/>
  <c r="E1517" i="6" s="1"/>
  <c r="F1516" i="6"/>
  <c r="G1516" i="6" s="1"/>
  <c r="C1516" i="6"/>
  <c r="E1516" i="6" s="1"/>
  <c r="F1515" i="6"/>
  <c r="G1515" i="6" s="1"/>
  <c r="E1515" i="6"/>
  <c r="C1515" i="6"/>
  <c r="C1514" i="6"/>
  <c r="E1514" i="6" s="1"/>
  <c r="F1513" i="6"/>
  <c r="D1513" i="6"/>
  <c r="C1513" i="6"/>
  <c r="E1513" i="6" s="1"/>
  <c r="D1512" i="6"/>
  <c r="C1512" i="6"/>
  <c r="F1512" i="6" s="1"/>
  <c r="G1512" i="6" s="1"/>
  <c r="B1505" i="6"/>
  <c r="G1504" i="6"/>
  <c r="B1504" i="6"/>
  <c r="B1503" i="6"/>
  <c r="B1502" i="6"/>
  <c r="F1495" i="6"/>
  <c r="G1495" i="6" s="1"/>
  <c r="D1495" i="6"/>
  <c r="B1495" i="6"/>
  <c r="A1495" i="6"/>
  <c r="F1494" i="6"/>
  <c r="G1494" i="6" s="1"/>
  <c r="D1494" i="6"/>
  <c r="B1494" i="6"/>
  <c r="A1494" i="6"/>
  <c r="D1489" i="6"/>
  <c r="C1489" i="6"/>
  <c r="F1489" i="6" s="1"/>
  <c r="G1489" i="6" s="1"/>
  <c r="A1489" i="6"/>
  <c r="C1488" i="6"/>
  <c r="F1488" i="6" s="1"/>
  <c r="G1488" i="6" s="1"/>
  <c r="D1487" i="6"/>
  <c r="C1487" i="6"/>
  <c r="F1487" i="6" s="1"/>
  <c r="G1487" i="6" s="1"/>
  <c r="A1487" i="6"/>
  <c r="C1486" i="6"/>
  <c r="F1486" i="6" s="1"/>
  <c r="G1486" i="6" s="1"/>
  <c r="D1485" i="6"/>
  <c r="C1485" i="6"/>
  <c r="F1485" i="6" s="1"/>
  <c r="G1485" i="6" s="1"/>
  <c r="A1485" i="6"/>
  <c r="C1484" i="6"/>
  <c r="F1484" i="6" s="1"/>
  <c r="G1484" i="6" s="1"/>
  <c r="D1483" i="6"/>
  <c r="C1483" i="6"/>
  <c r="F1483" i="6" s="1"/>
  <c r="G1483" i="6" s="1"/>
  <c r="A1483" i="6"/>
  <c r="C1482" i="6"/>
  <c r="F1482" i="6" s="1"/>
  <c r="G1482" i="6" s="1"/>
  <c r="D1481" i="6"/>
  <c r="C1481" i="6"/>
  <c r="F1481" i="6" s="1"/>
  <c r="G1481" i="6" s="1"/>
  <c r="A1481" i="6"/>
  <c r="C1480" i="6"/>
  <c r="F1480" i="6" s="1"/>
  <c r="G1480" i="6" s="1"/>
  <c r="D1479" i="6"/>
  <c r="C1479" i="6"/>
  <c r="F1479" i="6" s="1"/>
  <c r="G1479" i="6" s="1"/>
  <c r="A1479" i="6"/>
  <c r="F1474" i="6"/>
  <c r="E1474" i="6"/>
  <c r="B1474" i="6"/>
  <c r="A1474" i="6"/>
  <c r="F1473" i="6"/>
  <c r="E1473" i="6"/>
  <c r="B1473" i="6"/>
  <c r="A1473" i="6"/>
  <c r="F1472" i="6"/>
  <c r="G1472" i="6" s="1"/>
  <c r="E1472" i="6"/>
  <c r="B1472" i="6"/>
  <c r="A1472" i="6"/>
  <c r="C1471" i="6"/>
  <c r="B1471" i="6"/>
  <c r="A1471" i="6"/>
  <c r="C1470" i="6"/>
  <c r="E1470" i="6" s="1"/>
  <c r="A1470" i="6"/>
  <c r="C1469" i="6"/>
  <c r="B1469" i="6"/>
  <c r="A1469" i="6"/>
  <c r="C1468" i="6"/>
  <c r="E1468" i="6" s="1"/>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E1458" i="6"/>
  <c r="D1458" i="6"/>
  <c r="C1458" i="6"/>
  <c r="B1458" i="6"/>
  <c r="A1458" i="6"/>
  <c r="C1457" i="6"/>
  <c r="D1457" i="6" s="1"/>
  <c r="E1457" i="6" s="1"/>
  <c r="A1457" i="6"/>
  <c r="D1456" i="6"/>
  <c r="E1456" i="6" s="1"/>
  <c r="C1456" i="6"/>
  <c r="B1456" i="6"/>
  <c r="A1456" i="6"/>
  <c r="C1455" i="6"/>
  <c r="B1455" i="6"/>
  <c r="A1455" i="6"/>
  <c r="G1446" i="6"/>
  <c r="F1446" i="6"/>
  <c r="E1446" i="6"/>
  <c r="F1445" i="6"/>
  <c r="G1445" i="6" s="1"/>
  <c r="E1445" i="6"/>
  <c r="F1444" i="6"/>
  <c r="D1444" i="6"/>
  <c r="G1444" i="6" s="1"/>
  <c r="C1444" i="6"/>
  <c r="E1444" i="6" s="1"/>
  <c r="F1443" i="6"/>
  <c r="G1443" i="6" s="1"/>
  <c r="E1443" i="6"/>
  <c r="D1443" i="6"/>
  <c r="C1443" i="6"/>
  <c r="C1442" i="6"/>
  <c r="E1442" i="6" s="1"/>
  <c r="F1441" i="6"/>
  <c r="G1441" i="6" s="1"/>
  <c r="C1441" i="6"/>
  <c r="E1441" i="6" s="1"/>
  <c r="G1440" i="6"/>
  <c r="F1440" i="6"/>
  <c r="E1440" i="6"/>
  <c r="C1440" i="6"/>
  <c r="C1439" i="6"/>
  <c r="F1439" i="6" s="1"/>
  <c r="G1439" i="6" s="1"/>
  <c r="F1438" i="6"/>
  <c r="D1438" i="6"/>
  <c r="C1438" i="6"/>
  <c r="E1438" i="6" s="1"/>
  <c r="D1437" i="6"/>
  <c r="C1437" i="6"/>
  <c r="F1437" i="6" s="1"/>
  <c r="G1437" i="6" s="1"/>
  <c r="B1430" i="6"/>
  <c r="G1429" i="6"/>
  <c r="B1429" i="6"/>
  <c r="B1428" i="6"/>
  <c r="B1427" i="6"/>
  <c r="F1420" i="6"/>
  <c r="G1420" i="6" s="1"/>
  <c r="D1420" i="6"/>
  <c r="B1420" i="6"/>
  <c r="A1420" i="6"/>
  <c r="F1419" i="6"/>
  <c r="G1419" i="6" s="1"/>
  <c r="G1421" i="6" s="1"/>
  <c r="D1419" i="6"/>
  <c r="B1419" i="6"/>
  <c r="A1419" i="6"/>
  <c r="F1414" i="6"/>
  <c r="G1414" i="6" s="1"/>
  <c r="D1414" i="6"/>
  <c r="C1414" i="6"/>
  <c r="B1414" i="6"/>
  <c r="A1414" i="6"/>
  <c r="F1413" i="6"/>
  <c r="G1413" i="6" s="1"/>
  <c r="C1413" i="6"/>
  <c r="D1413" i="6" s="1"/>
  <c r="B1413" i="6"/>
  <c r="F1412" i="6"/>
  <c r="G1412" i="6" s="1"/>
  <c r="D1412" i="6"/>
  <c r="C1412" i="6"/>
  <c r="B1412" i="6"/>
  <c r="A1412" i="6"/>
  <c r="F1411" i="6"/>
  <c r="G1411" i="6" s="1"/>
  <c r="C1411" i="6"/>
  <c r="D1411" i="6" s="1"/>
  <c r="B1411" i="6"/>
  <c r="F1410" i="6"/>
  <c r="G1410" i="6" s="1"/>
  <c r="D1410" i="6"/>
  <c r="C1410" i="6"/>
  <c r="B1410" i="6"/>
  <c r="A1410" i="6"/>
  <c r="F1409" i="6"/>
  <c r="G1409" i="6" s="1"/>
  <c r="C1409" i="6"/>
  <c r="D1409" i="6" s="1"/>
  <c r="B1409" i="6"/>
  <c r="F1408" i="6"/>
  <c r="G1408" i="6" s="1"/>
  <c r="D1408" i="6"/>
  <c r="C1408" i="6"/>
  <c r="B1408" i="6"/>
  <c r="A1408" i="6"/>
  <c r="F1407" i="6"/>
  <c r="G1407" i="6" s="1"/>
  <c r="C1407" i="6"/>
  <c r="D1407" i="6" s="1"/>
  <c r="B1407" i="6"/>
  <c r="F1406" i="6"/>
  <c r="G1406" i="6" s="1"/>
  <c r="D1406" i="6"/>
  <c r="C1406" i="6"/>
  <c r="B1406" i="6"/>
  <c r="A1406" i="6"/>
  <c r="F1405" i="6"/>
  <c r="G1405" i="6" s="1"/>
  <c r="C1405" i="6"/>
  <c r="D1405" i="6" s="1"/>
  <c r="B1405" i="6"/>
  <c r="F1404" i="6"/>
  <c r="G1404" i="6" s="1"/>
  <c r="D1404" i="6"/>
  <c r="C1404" i="6"/>
  <c r="B1404" i="6"/>
  <c r="A1404" i="6"/>
  <c r="F1399" i="6"/>
  <c r="G1399" i="6" s="1"/>
  <c r="E1399" i="6"/>
  <c r="B1399" i="6"/>
  <c r="A1399" i="6"/>
  <c r="F1398" i="6"/>
  <c r="E1398" i="6"/>
  <c r="B1398" i="6"/>
  <c r="A1398" i="6"/>
  <c r="F1397" i="6"/>
  <c r="G1397" i="6" s="1"/>
  <c r="E1397" i="6"/>
  <c r="B1397" i="6"/>
  <c r="A1397" i="6"/>
  <c r="C1396" i="6"/>
  <c r="B1396" i="6"/>
  <c r="C1395" i="6"/>
  <c r="E1395" i="6" s="1"/>
  <c r="C1394" i="6"/>
  <c r="B1394" i="6"/>
  <c r="C1393" i="6"/>
  <c r="E1393" i="6" s="1"/>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C1383" i="6"/>
  <c r="A1383" i="6" s="1"/>
  <c r="B1383" i="6"/>
  <c r="D1382" i="6"/>
  <c r="E1382" i="6" s="1"/>
  <c r="C1382" i="6"/>
  <c r="A1382" i="6"/>
  <c r="D1381" i="6"/>
  <c r="E1381" i="6" s="1"/>
  <c r="C1381" i="6"/>
  <c r="A1381" i="6" s="1"/>
  <c r="B1381" i="6"/>
  <c r="C1380" i="6"/>
  <c r="D1380" i="6" s="1"/>
  <c r="E1380" i="6" s="1"/>
  <c r="B1380" i="6"/>
  <c r="F1371" i="6"/>
  <c r="G1371" i="6" s="1"/>
  <c r="E1371" i="6"/>
  <c r="G1370" i="6"/>
  <c r="F1370" i="6"/>
  <c r="E1370" i="6"/>
  <c r="E1369" i="6"/>
  <c r="D1369" i="6"/>
  <c r="C1369" i="6"/>
  <c r="F1369" i="6" s="1"/>
  <c r="E1368" i="6"/>
  <c r="D1368" i="6"/>
  <c r="C1368" i="6"/>
  <c r="F1368" i="6" s="1"/>
  <c r="G1368" i="6" s="1"/>
  <c r="F1367" i="6"/>
  <c r="G1367" i="6" s="1"/>
  <c r="E1367" i="6"/>
  <c r="C1367" i="6"/>
  <c r="F1366" i="6"/>
  <c r="G1366" i="6" s="1"/>
  <c r="C1366" i="6"/>
  <c r="E1366" i="6" s="1"/>
  <c r="F1365" i="6"/>
  <c r="G1365" i="6" s="1"/>
  <c r="E1365" i="6"/>
  <c r="C1365" i="6"/>
  <c r="F1364" i="6"/>
  <c r="G1364" i="6" s="1"/>
  <c r="E1364" i="6"/>
  <c r="C1364" i="6"/>
  <c r="F1363" i="6"/>
  <c r="E1363" i="6"/>
  <c r="D1363" i="6"/>
  <c r="C1363" i="6"/>
  <c r="F1362" i="6"/>
  <c r="G1362" i="6" s="1"/>
  <c r="D1362" i="6"/>
  <c r="C1362" i="6"/>
  <c r="E1362" i="6" s="1"/>
  <c r="B1355" i="6"/>
  <c r="G1354" i="6"/>
  <c r="B1354" i="6"/>
  <c r="B1353" i="6"/>
  <c r="B1352" i="6"/>
  <c r="A90" i="18"/>
  <c r="F1345" i="6"/>
  <c r="G1345" i="6" s="1"/>
  <c r="D1345" i="6"/>
  <c r="B1345" i="6"/>
  <c r="A1345" i="6"/>
  <c r="F1344" i="6"/>
  <c r="G1344" i="6" s="1"/>
  <c r="D1344" i="6"/>
  <c r="B1344" i="6"/>
  <c r="A1344" i="6"/>
  <c r="F1324" i="6"/>
  <c r="E1324" i="6"/>
  <c r="B1324" i="6"/>
  <c r="A1324" i="6"/>
  <c r="F1323" i="6"/>
  <c r="E1323" i="6"/>
  <c r="B1323" i="6"/>
  <c r="A1323" i="6"/>
  <c r="F1322" i="6"/>
  <c r="E1322" i="6"/>
  <c r="B1322" i="6"/>
  <c r="A1322"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296" i="6"/>
  <c r="G1296" i="6" s="1"/>
  <c r="E1296" i="6"/>
  <c r="G1295" i="6"/>
  <c r="F1295" i="6"/>
  <c r="E1295" i="6"/>
  <c r="B1280" i="6"/>
  <c r="G1279" i="6"/>
  <c r="B1279" i="6"/>
  <c r="B1278" i="6"/>
  <c r="B1277" i="6"/>
  <c r="F1270" i="6"/>
  <c r="G1270" i="6" s="1"/>
  <c r="D1270" i="6"/>
  <c r="B1270" i="6"/>
  <c r="A1270" i="6"/>
  <c r="F1269" i="6"/>
  <c r="G1269" i="6" s="1"/>
  <c r="D1269" i="6"/>
  <c r="B1269" i="6"/>
  <c r="A1269" i="6"/>
  <c r="F1249" i="6"/>
  <c r="G1249" i="6" s="1"/>
  <c r="E1249" i="6"/>
  <c r="B1249" i="6"/>
  <c r="A1249" i="6"/>
  <c r="F1248" i="6"/>
  <c r="E1248" i="6"/>
  <c r="B1248" i="6"/>
  <c r="A1248" i="6"/>
  <c r="F1247" i="6"/>
  <c r="E1247" i="6"/>
  <c r="B1247" i="6"/>
  <c r="A1247"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G1221" i="6"/>
  <c r="F1221" i="6"/>
  <c r="E1221" i="6"/>
  <c r="G1220" i="6"/>
  <c r="F1220" i="6"/>
  <c r="E1220" i="6"/>
  <c r="B1205" i="6"/>
  <c r="G1204" i="6"/>
  <c r="B1204" i="6"/>
  <c r="B1203" i="6"/>
  <c r="B1202" i="6"/>
  <c r="F1195" i="6"/>
  <c r="G1195" i="6" s="1"/>
  <c r="D1195" i="6"/>
  <c r="B1195" i="6"/>
  <c r="A1195" i="6"/>
  <c r="F1194" i="6"/>
  <c r="G1194" i="6" s="1"/>
  <c r="G1196" i="6" s="1"/>
  <c r="D1194" i="6"/>
  <c r="B1194" i="6"/>
  <c r="A1194" i="6"/>
  <c r="F1174" i="6"/>
  <c r="E1174" i="6"/>
  <c r="B1174" i="6"/>
  <c r="A1174" i="6"/>
  <c r="F1173" i="6"/>
  <c r="E1173" i="6"/>
  <c r="B1173" i="6"/>
  <c r="A1173" i="6"/>
  <c r="F1172" i="6"/>
  <c r="G1172" i="6" s="1"/>
  <c r="E1172" i="6"/>
  <c r="B1172" i="6"/>
  <c r="A1172"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46" i="6"/>
  <c r="G1146" i="6" s="1"/>
  <c r="E1146" i="6"/>
  <c r="G1145" i="6"/>
  <c r="F1145" i="6"/>
  <c r="E1145" i="6"/>
  <c r="B1130" i="6"/>
  <c r="G1129" i="6"/>
  <c r="B1129" i="6"/>
  <c r="B1128" i="6"/>
  <c r="B1127" i="6"/>
  <c r="F1120" i="6"/>
  <c r="G1120" i="6" s="1"/>
  <c r="D1120" i="6"/>
  <c r="B1120" i="6"/>
  <c r="A1120" i="6"/>
  <c r="F1119" i="6"/>
  <c r="G1119" i="6" s="1"/>
  <c r="D1119" i="6"/>
  <c r="B1119" i="6"/>
  <c r="A1119" i="6"/>
  <c r="F1099" i="6"/>
  <c r="E1099" i="6"/>
  <c r="B1099" i="6"/>
  <c r="A1099" i="6"/>
  <c r="F1098" i="6"/>
  <c r="E1098" i="6"/>
  <c r="B1098" i="6"/>
  <c r="A1098" i="6"/>
  <c r="F1097" i="6"/>
  <c r="E1097" i="6"/>
  <c r="B1097" i="6"/>
  <c r="A1097"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71" i="6"/>
  <c r="G1071" i="6" s="1"/>
  <c r="E1071" i="6"/>
  <c r="F1070" i="6"/>
  <c r="G1070" i="6" s="1"/>
  <c r="E1070" i="6"/>
  <c r="B1055" i="6"/>
  <c r="G1054" i="6"/>
  <c r="B1054" i="6"/>
  <c r="B1053" i="6"/>
  <c r="B1052" i="6"/>
  <c r="F1045" i="6"/>
  <c r="G1045" i="6" s="1"/>
  <c r="D1045" i="6"/>
  <c r="B1045" i="6"/>
  <c r="A1045" i="6"/>
  <c r="F1044" i="6"/>
  <c r="G1044" i="6" s="1"/>
  <c r="D1044" i="6"/>
  <c r="B1044" i="6"/>
  <c r="A1044" i="6"/>
  <c r="F1024" i="6"/>
  <c r="E1024" i="6"/>
  <c r="B1024" i="6"/>
  <c r="A1024" i="6"/>
  <c r="F1023" i="6"/>
  <c r="E1023" i="6"/>
  <c r="B1023" i="6"/>
  <c r="A1023" i="6"/>
  <c r="F1022" i="6"/>
  <c r="G1022" i="6" s="1"/>
  <c r="E1022" i="6"/>
  <c r="B1022" i="6"/>
  <c r="A1022"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996" i="6"/>
  <c r="G996" i="6" s="1"/>
  <c r="E996" i="6"/>
  <c r="F995" i="6"/>
  <c r="G995" i="6" s="1"/>
  <c r="E995" i="6"/>
  <c r="B980" i="6"/>
  <c r="G979" i="6"/>
  <c r="B979" i="6"/>
  <c r="B978" i="6"/>
  <c r="B977" i="6"/>
  <c r="F970" i="6"/>
  <c r="G970" i="6" s="1"/>
  <c r="D970" i="6"/>
  <c r="B970" i="6"/>
  <c r="A970" i="6"/>
  <c r="F969" i="6"/>
  <c r="G969" i="6" s="1"/>
  <c r="D969" i="6"/>
  <c r="B969" i="6"/>
  <c r="A969" i="6"/>
  <c r="F949" i="6"/>
  <c r="E949" i="6"/>
  <c r="B949" i="6"/>
  <c r="A949" i="6"/>
  <c r="F948" i="6"/>
  <c r="E948" i="6"/>
  <c r="B948" i="6"/>
  <c r="A948" i="6"/>
  <c r="F947" i="6"/>
  <c r="G947" i="6" s="1"/>
  <c r="E947" i="6"/>
  <c r="B947" i="6"/>
  <c r="A947"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21" i="6"/>
  <c r="G921" i="6" s="1"/>
  <c r="E921" i="6"/>
  <c r="G920" i="6"/>
  <c r="F920" i="6"/>
  <c r="E920" i="6"/>
  <c r="D918" i="6"/>
  <c r="D1143" i="6" s="1"/>
  <c r="B905" i="6"/>
  <c r="G904" i="6"/>
  <c r="B904" i="6"/>
  <c r="B903" i="6"/>
  <c r="B902" i="6"/>
  <c r="F895" i="6"/>
  <c r="G895" i="6" s="1"/>
  <c r="D895" i="6"/>
  <c r="B895" i="6"/>
  <c r="A895" i="6"/>
  <c r="F894" i="6"/>
  <c r="G894" i="6" s="1"/>
  <c r="D894" i="6"/>
  <c r="B894" i="6"/>
  <c r="A894" i="6"/>
  <c r="F874" i="6"/>
  <c r="E874" i="6"/>
  <c r="B874" i="6"/>
  <c r="A874" i="6"/>
  <c r="F873" i="6"/>
  <c r="E873" i="6"/>
  <c r="B873" i="6"/>
  <c r="A873" i="6"/>
  <c r="F872" i="6"/>
  <c r="G872" i="6" s="1"/>
  <c r="E872" i="6"/>
  <c r="B872" i="6"/>
  <c r="A872"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46" i="6"/>
  <c r="G846" i="6" s="1"/>
  <c r="E846" i="6"/>
  <c r="G845" i="6"/>
  <c r="F845" i="6"/>
  <c r="E845" i="6"/>
  <c r="B830" i="6"/>
  <c r="G829" i="6"/>
  <c r="B829" i="6"/>
  <c r="B828" i="6"/>
  <c r="B827" i="6"/>
  <c r="F820" i="6"/>
  <c r="G820" i="6" s="1"/>
  <c r="D820" i="6"/>
  <c r="B820" i="6"/>
  <c r="A820" i="6"/>
  <c r="F819" i="6"/>
  <c r="G819" i="6" s="1"/>
  <c r="G821" i="6" s="1"/>
  <c r="D819" i="6"/>
  <c r="B819" i="6"/>
  <c r="A819" i="6"/>
  <c r="F799" i="6"/>
  <c r="G799" i="6" s="1"/>
  <c r="E799" i="6"/>
  <c r="B799" i="6"/>
  <c r="A799" i="6"/>
  <c r="F798" i="6"/>
  <c r="E798" i="6"/>
  <c r="B798" i="6"/>
  <c r="A798" i="6"/>
  <c r="F797" i="6"/>
  <c r="E797" i="6"/>
  <c r="B797" i="6"/>
  <c r="A797"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71" i="6"/>
  <c r="G771" i="6" s="1"/>
  <c r="E771" i="6"/>
  <c r="F770" i="6"/>
  <c r="G770" i="6" s="1"/>
  <c r="E770" i="6"/>
  <c r="B755" i="6"/>
  <c r="G754" i="6"/>
  <c r="B754" i="6"/>
  <c r="B753" i="6"/>
  <c r="B752" i="6"/>
  <c r="F745" i="6"/>
  <c r="G745" i="6" s="1"/>
  <c r="D745" i="6"/>
  <c r="B745" i="6"/>
  <c r="A745" i="6"/>
  <c r="G744" i="6"/>
  <c r="F744" i="6"/>
  <c r="D744" i="6"/>
  <c r="B744" i="6"/>
  <c r="A744" i="6"/>
  <c r="F739" i="6"/>
  <c r="G739" i="6" s="1"/>
  <c r="D739" i="6"/>
  <c r="C739" i="6"/>
  <c r="B739" i="6"/>
  <c r="C734" i="6"/>
  <c r="C730" i="6"/>
  <c r="F724" i="6"/>
  <c r="E724" i="6"/>
  <c r="B724" i="6"/>
  <c r="A724" i="6"/>
  <c r="F723" i="6"/>
  <c r="E723" i="6"/>
  <c r="B723" i="6"/>
  <c r="A723" i="6"/>
  <c r="F722" i="6"/>
  <c r="E722" i="6"/>
  <c r="B722" i="6"/>
  <c r="A722"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696" i="6"/>
  <c r="G696" i="6" s="1"/>
  <c r="E696" i="6"/>
  <c r="F695" i="6"/>
  <c r="G695" i="6" s="1"/>
  <c r="E695" i="6"/>
  <c r="D693" i="6"/>
  <c r="C692" i="6"/>
  <c r="F692" i="6" s="1"/>
  <c r="G692" i="6" s="1"/>
  <c r="F691" i="6"/>
  <c r="G691" i="6" s="1"/>
  <c r="C691" i="6"/>
  <c r="C916" i="6" s="1"/>
  <c r="F690" i="6"/>
  <c r="G690" i="6" s="1"/>
  <c r="C690" i="6"/>
  <c r="C915" i="6" s="1"/>
  <c r="D687" i="6"/>
  <c r="D912" i="6" s="1"/>
  <c r="D1137" i="6" s="1"/>
  <c r="B680" i="6"/>
  <c r="G679" i="6"/>
  <c r="B679" i="6"/>
  <c r="B678" i="6"/>
  <c r="B677" i="6"/>
  <c r="F670" i="6"/>
  <c r="G670" i="6" s="1"/>
  <c r="D670" i="6"/>
  <c r="B670" i="6"/>
  <c r="A670" i="6"/>
  <c r="F669" i="6"/>
  <c r="G669" i="6" s="1"/>
  <c r="D669" i="6"/>
  <c r="B669" i="6"/>
  <c r="A669" i="6"/>
  <c r="C664" i="6"/>
  <c r="F664" i="6" s="1"/>
  <c r="G664" i="6" s="1"/>
  <c r="D660" i="6"/>
  <c r="C660" i="6"/>
  <c r="F660" i="6" s="1"/>
  <c r="G660" i="6" s="1"/>
  <c r="B660" i="6"/>
  <c r="A660" i="6"/>
  <c r="D654" i="6"/>
  <c r="C654" i="6"/>
  <c r="A654" i="6" s="1"/>
  <c r="B654" i="6"/>
  <c r="F649" i="6"/>
  <c r="E649" i="6"/>
  <c r="B649" i="6"/>
  <c r="A649" i="6"/>
  <c r="F648" i="6"/>
  <c r="E648" i="6"/>
  <c r="B648" i="6"/>
  <c r="A648" i="6"/>
  <c r="F647" i="6"/>
  <c r="G647" i="6" s="1"/>
  <c r="E647" i="6"/>
  <c r="B647" i="6"/>
  <c r="A647"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21" i="6"/>
  <c r="G621" i="6" s="1"/>
  <c r="E621" i="6"/>
  <c r="F620" i="6"/>
  <c r="G620" i="6" s="1"/>
  <c r="E620" i="6"/>
  <c r="E619" i="6"/>
  <c r="D619" i="6"/>
  <c r="D844" i="6" s="1"/>
  <c r="D618" i="6"/>
  <c r="D843" i="6" s="1"/>
  <c r="C618" i="6"/>
  <c r="F618" i="6" s="1"/>
  <c r="C615" i="6"/>
  <c r="F615" i="6" s="1"/>
  <c r="G615" i="6" s="1"/>
  <c r="D613" i="6"/>
  <c r="D838" i="6" s="1"/>
  <c r="D1063" i="6" s="1"/>
  <c r="D1288" i="6" s="1"/>
  <c r="D612" i="6"/>
  <c r="D837" i="6" s="1"/>
  <c r="D1062" i="6" s="1"/>
  <c r="B605" i="6"/>
  <c r="G604" i="6"/>
  <c r="B604" i="6"/>
  <c r="B603" i="6"/>
  <c r="B602" i="6"/>
  <c r="F595" i="6"/>
  <c r="G595" i="6" s="1"/>
  <c r="D595" i="6"/>
  <c r="B595" i="6"/>
  <c r="A595" i="6"/>
  <c r="F594" i="6"/>
  <c r="G594" i="6" s="1"/>
  <c r="D594" i="6"/>
  <c r="B594" i="6"/>
  <c r="A594" i="6"/>
  <c r="F574" i="6"/>
  <c r="G574" i="6" s="1"/>
  <c r="E574" i="6"/>
  <c r="B574" i="6"/>
  <c r="A574" i="6"/>
  <c r="F573" i="6"/>
  <c r="E573" i="6"/>
  <c r="B573" i="6"/>
  <c r="A573" i="6"/>
  <c r="F572" i="6"/>
  <c r="E572" i="6"/>
  <c r="B572" i="6"/>
  <c r="A572"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46" i="6"/>
  <c r="G546" i="6" s="1"/>
  <c r="E546" i="6"/>
  <c r="F545" i="6"/>
  <c r="G545" i="6" s="1"/>
  <c r="E545" i="6"/>
  <c r="B530" i="6"/>
  <c r="G529" i="6"/>
  <c r="B529" i="6"/>
  <c r="B528" i="6"/>
  <c r="B527" i="6"/>
  <c r="F520" i="6"/>
  <c r="G520" i="6" s="1"/>
  <c r="D520" i="6"/>
  <c r="B520" i="6"/>
  <c r="A520" i="6"/>
  <c r="F519" i="6"/>
  <c r="G519" i="6" s="1"/>
  <c r="G521" i="6" s="1"/>
  <c r="D519" i="6"/>
  <c r="B519" i="6"/>
  <c r="A519" i="6"/>
  <c r="D514" i="6"/>
  <c r="C514" i="6"/>
  <c r="A514" i="6"/>
  <c r="C513" i="6"/>
  <c r="F513" i="6" s="1"/>
  <c r="G513" i="6" s="1"/>
  <c r="C512" i="6"/>
  <c r="F512" i="6" s="1"/>
  <c r="G512" i="6" s="1"/>
  <c r="B512" i="6"/>
  <c r="A512" i="6"/>
  <c r="C511" i="6"/>
  <c r="F511" i="6" s="1"/>
  <c r="G511" i="6" s="1"/>
  <c r="C510" i="6"/>
  <c r="F510" i="6" s="1"/>
  <c r="G510" i="6" s="1"/>
  <c r="C509" i="6"/>
  <c r="F509" i="6" s="1"/>
  <c r="G509" i="6" s="1"/>
  <c r="C508" i="6"/>
  <c r="F508" i="6" s="1"/>
  <c r="G508" i="6" s="1"/>
  <c r="A508" i="6"/>
  <c r="C507" i="6"/>
  <c r="F507" i="6" s="1"/>
  <c r="G507" i="6" s="1"/>
  <c r="C506" i="6"/>
  <c r="F506" i="6" s="1"/>
  <c r="G506" i="6" s="1"/>
  <c r="C505" i="6"/>
  <c r="F505" i="6" s="1"/>
  <c r="G505" i="6" s="1"/>
  <c r="F499" i="6"/>
  <c r="E499" i="6"/>
  <c r="B499" i="6"/>
  <c r="A499" i="6"/>
  <c r="F498" i="6"/>
  <c r="E498" i="6"/>
  <c r="B498" i="6"/>
  <c r="A498" i="6"/>
  <c r="F497" i="6"/>
  <c r="G497" i="6" s="1"/>
  <c r="E497" i="6"/>
  <c r="B497" i="6"/>
  <c r="A497"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71" i="6"/>
  <c r="G471" i="6" s="1"/>
  <c r="E471" i="6"/>
  <c r="F470" i="6"/>
  <c r="G470" i="6" s="1"/>
  <c r="E470" i="6"/>
  <c r="D469" i="6"/>
  <c r="D694" i="6" s="1"/>
  <c r="C469" i="6"/>
  <c r="C694" i="6" s="1"/>
  <c r="F468" i="6"/>
  <c r="D468" i="6"/>
  <c r="C468" i="6"/>
  <c r="E468" i="6" s="1"/>
  <c r="E467" i="6"/>
  <c r="C467" i="6"/>
  <c r="F467" i="6" s="1"/>
  <c r="G467" i="6" s="1"/>
  <c r="C466" i="6"/>
  <c r="E466" i="6" s="1"/>
  <c r="C465" i="6"/>
  <c r="F465" i="6" s="1"/>
  <c r="G465" i="6" s="1"/>
  <c r="D463" i="6"/>
  <c r="D688" i="6" s="1"/>
  <c r="D913" i="6" s="1"/>
  <c r="D1138" i="6" s="1"/>
  <c r="D462" i="6"/>
  <c r="B455" i="6"/>
  <c r="G454" i="6"/>
  <c r="B454" i="6"/>
  <c r="B453" i="6"/>
  <c r="B452" i="6"/>
  <c r="F445" i="6"/>
  <c r="G445" i="6" s="1"/>
  <c r="D445" i="6"/>
  <c r="B445" i="6"/>
  <c r="A445" i="6"/>
  <c r="F444" i="6"/>
  <c r="G444" i="6" s="1"/>
  <c r="G446" i="6" s="1"/>
  <c r="D444" i="6"/>
  <c r="B444" i="6"/>
  <c r="A444" i="6"/>
  <c r="D439" i="6"/>
  <c r="C439" i="6"/>
  <c r="F439" i="6" s="1"/>
  <c r="G439" i="6" s="1"/>
  <c r="B439" i="6"/>
  <c r="A439" i="6"/>
  <c r="C438" i="6"/>
  <c r="F438" i="6" s="1"/>
  <c r="G438" i="6" s="1"/>
  <c r="F437" i="6"/>
  <c r="G437" i="6" s="1"/>
  <c r="C437" i="6"/>
  <c r="D437" i="6" s="1"/>
  <c r="B437" i="6"/>
  <c r="C436" i="6"/>
  <c r="F436" i="6" s="1"/>
  <c r="G436" i="6" s="1"/>
  <c r="D435" i="6"/>
  <c r="C435" i="6"/>
  <c r="F435" i="6" s="1"/>
  <c r="G435" i="6" s="1"/>
  <c r="B435" i="6"/>
  <c r="A435" i="6"/>
  <c r="C434" i="6"/>
  <c r="C433" i="6"/>
  <c r="F433" i="6" s="1"/>
  <c r="G433" i="6" s="1"/>
  <c r="C432" i="6"/>
  <c r="F432" i="6" s="1"/>
  <c r="G432" i="6" s="1"/>
  <c r="C431" i="6"/>
  <c r="A431" i="6" s="1"/>
  <c r="B431" i="6"/>
  <c r="C430" i="6"/>
  <c r="F430" i="6" s="1"/>
  <c r="G430" i="6" s="1"/>
  <c r="B430" i="6"/>
  <c r="F429" i="6"/>
  <c r="G429" i="6" s="1"/>
  <c r="D429" i="6"/>
  <c r="C429" i="6"/>
  <c r="B429" i="6"/>
  <c r="A429" i="6"/>
  <c r="F424" i="6"/>
  <c r="E424" i="6"/>
  <c r="B424" i="6"/>
  <c r="A424" i="6"/>
  <c r="F423" i="6"/>
  <c r="E423" i="6"/>
  <c r="B423" i="6"/>
  <c r="A423" i="6"/>
  <c r="F422" i="6"/>
  <c r="G422" i="6" s="1"/>
  <c r="E422" i="6"/>
  <c r="B422" i="6"/>
  <c r="A422"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396" i="6"/>
  <c r="G396" i="6" s="1"/>
  <c r="E396" i="6"/>
  <c r="F395" i="6"/>
  <c r="G395" i="6" s="1"/>
  <c r="E395" i="6"/>
  <c r="F394" i="6"/>
  <c r="E394" i="6"/>
  <c r="D394" i="6"/>
  <c r="C394" i="6"/>
  <c r="C619" i="6" s="1"/>
  <c r="F619" i="6" s="1"/>
  <c r="F393" i="6"/>
  <c r="E393" i="6"/>
  <c r="D393" i="6"/>
  <c r="G393" i="6" s="1"/>
  <c r="C393" i="6"/>
  <c r="C392" i="6"/>
  <c r="F392" i="6" s="1"/>
  <c r="G392" i="6" s="1"/>
  <c r="C391" i="6"/>
  <c r="E391" i="6" s="1"/>
  <c r="F390" i="6"/>
  <c r="G390" i="6" s="1"/>
  <c r="E390" i="6"/>
  <c r="C390" i="6"/>
  <c r="E389" i="6"/>
  <c r="C389" i="6"/>
  <c r="F389" i="6" s="1"/>
  <c r="G389" i="6" s="1"/>
  <c r="D388" i="6"/>
  <c r="D387" i="6"/>
  <c r="B380" i="6"/>
  <c r="G379" i="6"/>
  <c r="B379" i="6"/>
  <c r="B378" i="6"/>
  <c r="B377" i="6"/>
  <c r="A38" i="2"/>
  <c r="A37" i="2"/>
  <c r="A40" i="2"/>
  <c r="B32" i="9"/>
  <c r="A39" i="2"/>
  <c r="A36" i="2"/>
  <c r="G1698" i="6" l="1"/>
  <c r="G3273" i="6"/>
  <c r="G2598" i="6"/>
  <c r="G1623" i="6"/>
  <c r="G1998" i="6"/>
  <c r="G2898" i="6"/>
  <c r="G2974" i="6"/>
  <c r="G2823" i="6"/>
  <c r="G2824" i="6"/>
  <c r="G1624" i="6"/>
  <c r="G2148" i="6"/>
  <c r="G1398" i="6"/>
  <c r="G1473" i="6"/>
  <c r="G1549" i="6"/>
  <c r="G1923" i="6"/>
  <c r="G1773" i="6"/>
  <c r="G2749" i="6"/>
  <c r="G2674" i="6"/>
  <c r="G3198" i="6"/>
  <c r="G1848" i="6"/>
  <c r="G3348" i="6"/>
  <c r="G2223" i="6"/>
  <c r="G2373" i="6"/>
  <c r="G2524" i="6"/>
  <c r="G3349" i="6"/>
  <c r="G2673" i="6"/>
  <c r="G1474" i="6"/>
  <c r="G1699" i="6"/>
  <c r="G2448" i="6"/>
  <c r="G1774" i="6"/>
  <c r="G2073" i="6"/>
  <c r="G2374" i="6"/>
  <c r="G2748" i="6"/>
  <c r="G3049" i="6"/>
  <c r="G3124" i="6"/>
  <c r="G1548" i="6"/>
  <c r="G2074" i="6"/>
  <c r="G1849" i="6"/>
  <c r="G2298" i="6"/>
  <c r="G2149" i="6"/>
  <c r="G2449" i="6"/>
  <c r="G2599" i="6"/>
  <c r="G2973" i="6"/>
  <c r="G3274" i="6"/>
  <c r="G2299" i="6"/>
  <c r="G2523" i="6"/>
  <c r="G2899" i="6"/>
  <c r="G3048" i="6"/>
  <c r="G3123" i="6"/>
  <c r="E40" i="2"/>
  <c r="E39" i="2"/>
  <c r="E38" i="2"/>
  <c r="E37" i="2"/>
  <c r="E36" i="2"/>
  <c r="G3365" i="6"/>
  <c r="D3333" i="6"/>
  <c r="E3333" i="6" s="1"/>
  <c r="E3314" i="6"/>
  <c r="E3323" i="6" s="1"/>
  <c r="E3317" i="6"/>
  <c r="A3332" i="6"/>
  <c r="B3332" i="6"/>
  <c r="A3355" i="6"/>
  <c r="A3357" i="6"/>
  <c r="A3359" i="6"/>
  <c r="A3361" i="6"/>
  <c r="A3363" i="6"/>
  <c r="D3332" i="6"/>
  <c r="E3332" i="6" s="1"/>
  <c r="B3355" i="6"/>
  <c r="B3357" i="6"/>
  <c r="B3359" i="6"/>
  <c r="B3361" i="6"/>
  <c r="B3363" i="6"/>
  <c r="F3315" i="6"/>
  <c r="G3315" i="6" s="1"/>
  <c r="G3323" i="6" s="1"/>
  <c r="E3318" i="6"/>
  <c r="A3331" i="6"/>
  <c r="B3343" i="6"/>
  <c r="B3345" i="6"/>
  <c r="D3355" i="6"/>
  <c r="D3357" i="6"/>
  <c r="D3359" i="6"/>
  <c r="D3361" i="6"/>
  <c r="D3363" i="6"/>
  <c r="G3296" i="6"/>
  <c r="G3290" i="6"/>
  <c r="D3258" i="6"/>
  <c r="E3258" i="6" s="1"/>
  <c r="E3239" i="6"/>
  <c r="E3242" i="6"/>
  <c r="E3248" i="6" s="1"/>
  <c r="A3257" i="6"/>
  <c r="B3257" i="6"/>
  <c r="A3280" i="6"/>
  <c r="A3282" i="6"/>
  <c r="A3284" i="6"/>
  <c r="A3286" i="6"/>
  <c r="A3288" i="6"/>
  <c r="D3257" i="6"/>
  <c r="E3257" i="6" s="1"/>
  <c r="F3240" i="6"/>
  <c r="G3240" i="6" s="1"/>
  <c r="G3248" i="6" s="1"/>
  <c r="E3243" i="6"/>
  <c r="B3268" i="6"/>
  <c r="B3270" i="6"/>
  <c r="D3280" i="6"/>
  <c r="D3282" i="6"/>
  <c r="D3284" i="6"/>
  <c r="D3286" i="6"/>
  <c r="D3288" i="6"/>
  <c r="G3215" i="6"/>
  <c r="G3168" i="6"/>
  <c r="G3173" i="6" s="1"/>
  <c r="D3183" i="6"/>
  <c r="E3183" i="6" s="1"/>
  <c r="E3164" i="6"/>
  <c r="E3173" i="6" s="1"/>
  <c r="E3167" i="6"/>
  <c r="A3182" i="6"/>
  <c r="B3182" i="6"/>
  <c r="D3182" i="6"/>
  <c r="E3182" i="6" s="1"/>
  <c r="E3165" i="6"/>
  <c r="E3168" i="6"/>
  <c r="A3193" i="6"/>
  <c r="A3195" i="6"/>
  <c r="D3108" i="6"/>
  <c r="E3108" i="6" s="1"/>
  <c r="E3089" i="6"/>
  <c r="E3098" i="6" s="1"/>
  <c r="E3092" i="6"/>
  <c r="A3107" i="6"/>
  <c r="B3107" i="6"/>
  <c r="A3130" i="6"/>
  <c r="A3132" i="6"/>
  <c r="A3134" i="6"/>
  <c r="A3136" i="6"/>
  <c r="A3138" i="6"/>
  <c r="D3107" i="6"/>
  <c r="E3107" i="6" s="1"/>
  <c r="B3130" i="6"/>
  <c r="B3132" i="6"/>
  <c r="B3134" i="6"/>
  <c r="B3136" i="6"/>
  <c r="B3138" i="6"/>
  <c r="F3090" i="6"/>
  <c r="G3090" i="6" s="1"/>
  <c r="G3098" i="6" s="1"/>
  <c r="E3093" i="6"/>
  <c r="B3118" i="6"/>
  <c r="B3120" i="6"/>
  <c r="D3130" i="6"/>
  <c r="D3132" i="6"/>
  <c r="D3134" i="6"/>
  <c r="D3136" i="6"/>
  <c r="D3138" i="6"/>
  <c r="G3065" i="6"/>
  <c r="G3013" i="6"/>
  <c r="G3023" i="6" s="1"/>
  <c r="B3054" i="6"/>
  <c r="B3056" i="6"/>
  <c r="B3058" i="6"/>
  <c r="B3060" i="6"/>
  <c r="B3062" i="6"/>
  <c r="B3064" i="6"/>
  <c r="E3014" i="6"/>
  <c r="E3017" i="6"/>
  <c r="B3030" i="6"/>
  <c r="D3030" i="6"/>
  <c r="E3030" i="6" s="1"/>
  <c r="E3044" i="6"/>
  <c r="E3046" i="6"/>
  <c r="E3012" i="6"/>
  <c r="E3023" i="6" s="1"/>
  <c r="A3055" i="6"/>
  <c r="A3057" i="6"/>
  <c r="A3059" i="6"/>
  <c r="A3061" i="6"/>
  <c r="A3063" i="6"/>
  <c r="B3055" i="6"/>
  <c r="B3057" i="6"/>
  <c r="B3059" i="6"/>
  <c r="B3061" i="6"/>
  <c r="B3063" i="6"/>
  <c r="D3055" i="6"/>
  <c r="D3057" i="6"/>
  <c r="D3059" i="6"/>
  <c r="D3061" i="6"/>
  <c r="D3063" i="6"/>
  <c r="G2990" i="6"/>
  <c r="D2958" i="6"/>
  <c r="E2958" i="6" s="1"/>
  <c r="E2939" i="6"/>
  <c r="E2942" i="6"/>
  <c r="E2948" i="6" s="1"/>
  <c r="A2957" i="6"/>
  <c r="B2957" i="6"/>
  <c r="A2980" i="6"/>
  <c r="A2982" i="6"/>
  <c r="A2984" i="6"/>
  <c r="A2986" i="6"/>
  <c r="A2988" i="6"/>
  <c r="E2940" i="6"/>
  <c r="D2957" i="6"/>
  <c r="E2957" i="6" s="1"/>
  <c r="B2980" i="6"/>
  <c r="B2982" i="6"/>
  <c r="B2984" i="6"/>
  <c r="B2986" i="6"/>
  <c r="B2988" i="6"/>
  <c r="G2937" i="6"/>
  <c r="G2948" i="6" s="1"/>
  <c r="E2943" i="6"/>
  <c r="A2956" i="6"/>
  <c r="B2968" i="6"/>
  <c r="B2970" i="6"/>
  <c r="D2980" i="6"/>
  <c r="D2982" i="6"/>
  <c r="D2984" i="6"/>
  <c r="D2986" i="6"/>
  <c r="D2988" i="6"/>
  <c r="G2915" i="6"/>
  <c r="G2873" i="6"/>
  <c r="B2904" i="6"/>
  <c r="B2906" i="6"/>
  <c r="B2908" i="6"/>
  <c r="B2910" i="6"/>
  <c r="B2912" i="6"/>
  <c r="B2914" i="6"/>
  <c r="A2894" i="6"/>
  <c r="A2896" i="6"/>
  <c r="A2880" i="6"/>
  <c r="E2864" i="6"/>
  <c r="E2867" i="6"/>
  <c r="B2880" i="6"/>
  <c r="B2894" i="6"/>
  <c r="B2896" i="6"/>
  <c r="D2880" i="6"/>
  <c r="E2880" i="6" s="1"/>
  <c r="E2894" i="6"/>
  <c r="E2896" i="6"/>
  <c r="E2862" i="6"/>
  <c r="A2905" i="6"/>
  <c r="A2907" i="6"/>
  <c r="A2909" i="6"/>
  <c r="A2911" i="6"/>
  <c r="A2913" i="6"/>
  <c r="B2905" i="6"/>
  <c r="B2907" i="6"/>
  <c r="B2909" i="6"/>
  <c r="B2911" i="6"/>
  <c r="B2913" i="6"/>
  <c r="B2893" i="6"/>
  <c r="B2895" i="6"/>
  <c r="D2905" i="6"/>
  <c r="D2907" i="6"/>
  <c r="D2909" i="6"/>
  <c r="D2911" i="6"/>
  <c r="D2913" i="6"/>
  <c r="E2798" i="6"/>
  <c r="G2840" i="6"/>
  <c r="G2846" i="6"/>
  <c r="G2788" i="6"/>
  <c r="G2798" i="6" s="1"/>
  <c r="B2829" i="6"/>
  <c r="B2831" i="6"/>
  <c r="B2833" i="6"/>
  <c r="B2835" i="6"/>
  <c r="B2837" i="6"/>
  <c r="B2839" i="6"/>
  <c r="E2789" i="6"/>
  <c r="E2792" i="6"/>
  <c r="B2805" i="6"/>
  <c r="D2805" i="6"/>
  <c r="E2805" i="6" s="1"/>
  <c r="E2819" i="6"/>
  <c r="E2821" i="6"/>
  <c r="E2787" i="6"/>
  <c r="A2830" i="6"/>
  <c r="A2832" i="6"/>
  <c r="A2834" i="6"/>
  <c r="A2836" i="6"/>
  <c r="A2838" i="6"/>
  <c r="B2830" i="6"/>
  <c r="B2832" i="6"/>
  <c r="B2834" i="6"/>
  <c r="B2836" i="6"/>
  <c r="B2838" i="6"/>
  <c r="B2818" i="6"/>
  <c r="B2820" i="6"/>
  <c r="D2830" i="6"/>
  <c r="D2832" i="6"/>
  <c r="D2834" i="6"/>
  <c r="D2836" i="6"/>
  <c r="D2838" i="6"/>
  <c r="E2723" i="6"/>
  <c r="D2733" i="6"/>
  <c r="E2733" i="6" s="1"/>
  <c r="E2714" i="6"/>
  <c r="E2717" i="6"/>
  <c r="A2732" i="6"/>
  <c r="B2732" i="6"/>
  <c r="A2755" i="6"/>
  <c r="A2757" i="6"/>
  <c r="A2759" i="6"/>
  <c r="A2761" i="6"/>
  <c r="A2763" i="6"/>
  <c r="D2732" i="6"/>
  <c r="E2732" i="6" s="1"/>
  <c r="F2715" i="6"/>
  <c r="G2715" i="6" s="1"/>
  <c r="G2723" i="6" s="1"/>
  <c r="E2718" i="6"/>
  <c r="B2743" i="6"/>
  <c r="B2745" i="6"/>
  <c r="D2755" i="6"/>
  <c r="D2757" i="6"/>
  <c r="D2759" i="6"/>
  <c r="D2761" i="6"/>
  <c r="D2763" i="6"/>
  <c r="G2690" i="6"/>
  <c r="G2638" i="6"/>
  <c r="G2648" i="6" s="1"/>
  <c r="B2679" i="6"/>
  <c r="B2681" i="6"/>
  <c r="B2683" i="6"/>
  <c r="B2685" i="6"/>
  <c r="B2687" i="6"/>
  <c r="B2689" i="6"/>
  <c r="E2639" i="6"/>
  <c r="E2642" i="6"/>
  <c r="B2655" i="6"/>
  <c r="D2655" i="6"/>
  <c r="E2655" i="6" s="1"/>
  <c r="B2657" i="6"/>
  <c r="E2669" i="6"/>
  <c r="E2671" i="6"/>
  <c r="E2637" i="6"/>
  <c r="E2648" i="6" s="1"/>
  <c r="A2680" i="6"/>
  <c r="A2682" i="6"/>
  <c r="A2684" i="6"/>
  <c r="A2686" i="6"/>
  <c r="A2688" i="6"/>
  <c r="B2680" i="6"/>
  <c r="B2682" i="6"/>
  <c r="B2684" i="6"/>
  <c r="B2686" i="6"/>
  <c r="B2688" i="6"/>
  <c r="D2680" i="6"/>
  <c r="D2682" i="6"/>
  <c r="D2684" i="6"/>
  <c r="D2686" i="6"/>
  <c r="D2688" i="6"/>
  <c r="G2573" i="6"/>
  <c r="G2615" i="6"/>
  <c r="D2583" i="6"/>
  <c r="E2583" i="6" s="1"/>
  <c r="A2594" i="6"/>
  <c r="A2596" i="6"/>
  <c r="E2564" i="6"/>
  <c r="E2567" i="6"/>
  <c r="B2580" i="6"/>
  <c r="D2580" i="6"/>
  <c r="E2580" i="6" s="1"/>
  <c r="E2594" i="6"/>
  <c r="E2596" i="6"/>
  <c r="E2562" i="6"/>
  <c r="E2573" i="6" s="1"/>
  <c r="A2605" i="6"/>
  <c r="A2607" i="6"/>
  <c r="A2609" i="6"/>
  <c r="A2611" i="6"/>
  <c r="A2613" i="6"/>
  <c r="B2605" i="6"/>
  <c r="B2607" i="6"/>
  <c r="B2609" i="6"/>
  <c r="B2611" i="6"/>
  <c r="B2613" i="6"/>
  <c r="D2605" i="6"/>
  <c r="D2607" i="6"/>
  <c r="D2609" i="6"/>
  <c r="D2611" i="6"/>
  <c r="D2613" i="6"/>
  <c r="G2540" i="6"/>
  <c r="G2488" i="6"/>
  <c r="G2498" i="6" s="1"/>
  <c r="B2529" i="6"/>
  <c r="B2531" i="6"/>
  <c r="B2533" i="6"/>
  <c r="B2535" i="6"/>
  <c r="B2537" i="6"/>
  <c r="B2539" i="6"/>
  <c r="E2489" i="6"/>
  <c r="E2492" i="6"/>
  <c r="A2507" i="6"/>
  <c r="D2505" i="6"/>
  <c r="E2505" i="6" s="1"/>
  <c r="B2507" i="6"/>
  <c r="A2530" i="6"/>
  <c r="A2532" i="6"/>
  <c r="A2534" i="6"/>
  <c r="A2536" i="6"/>
  <c r="A2538" i="6"/>
  <c r="E2490" i="6"/>
  <c r="D2507" i="6"/>
  <c r="E2507" i="6" s="1"/>
  <c r="B2530" i="6"/>
  <c r="B2532" i="6"/>
  <c r="B2534" i="6"/>
  <c r="B2536" i="6"/>
  <c r="B2538" i="6"/>
  <c r="E2493" i="6"/>
  <c r="E2498" i="6" s="1"/>
  <c r="D2530" i="6"/>
  <c r="D2532" i="6"/>
  <c r="D2534" i="6"/>
  <c r="D2536" i="6"/>
  <c r="D2538" i="6"/>
  <c r="G2465" i="6"/>
  <c r="D2433" i="6"/>
  <c r="E2433" i="6" s="1"/>
  <c r="F2414" i="6"/>
  <c r="G2414" i="6" s="1"/>
  <c r="G2423" i="6" s="1"/>
  <c r="F2417" i="6"/>
  <c r="G2417" i="6" s="1"/>
  <c r="A2432" i="6"/>
  <c r="B2432" i="6"/>
  <c r="A2455" i="6"/>
  <c r="A2457" i="6"/>
  <c r="A2459" i="6"/>
  <c r="A2461" i="6"/>
  <c r="A2463" i="6"/>
  <c r="D2432" i="6"/>
  <c r="E2432" i="6" s="1"/>
  <c r="B2455" i="6"/>
  <c r="B2457" i="6"/>
  <c r="B2459" i="6"/>
  <c r="B2461" i="6"/>
  <c r="B2463" i="6"/>
  <c r="F2415" i="6"/>
  <c r="G2415" i="6" s="1"/>
  <c r="E2418" i="6"/>
  <c r="E2423" i="6" s="1"/>
  <c r="D2455" i="6"/>
  <c r="D2457" i="6"/>
  <c r="D2459" i="6"/>
  <c r="D2461" i="6"/>
  <c r="D2463" i="6"/>
  <c r="G2390" i="6"/>
  <c r="G2348" i="6"/>
  <c r="G2338" i="6"/>
  <c r="A2369" i="6"/>
  <c r="A2371" i="6"/>
  <c r="E2339" i="6"/>
  <c r="D2355" i="6"/>
  <c r="E2355" i="6" s="1"/>
  <c r="E2369" i="6"/>
  <c r="E2371" i="6"/>
  <c r="E2337" i="6"/>
  <c r="E2348" i="6" s="1"/>
  <c r="A2380" i="6"/>
  <c r="A2382" i="6"/>
  <c r="A2384" i="6"/>
  <c r="A2386" i="6"/>
  <c r="A2388" i="6"/>
  <c r="E2342" i="6"/>
  <c r="B2380" i="6"/>
  <c r="B2382" i="6"/>
  <c r="B2384" i="6"/>
  <c r="B2386" i="6"/>
  <c r="B2388" i="6"/>
  <c r="D2380" i="6"/>
  <c r="D2382" i="6"/>
  <c r="D2384" i="6"/>
  <c r="D2386" i="6"/>
  <c r="D2388" i="6"/>
  <c r="G2315" i="6"/>
  <c r="D2283" i="6"/>
  <c r="E2283" i="6" s="1"/>
  <c r="E2267" i="6"/>
  <c r="E2273" i="6" s="1"/>
  <c r="F2264" i="6"/>
  <c r="G2264" i="6" s="1"/>
  <c r="G2273" i="6" s="1"/>
  <c r="A2282" i="6"/>
  <c r="B2282" i="6"/>
  <c r="A2305" i="6"/>
  <c r="A2307" i="6"/>
  <c r="A2309" i="6"/>
  <c r="A2311" i="6"/>
  <c r="A2313" i="6"/>
  <c r="D2282" i="6"/>
  <c r="E2282" i="6" s="1"/>
  <c r="B2305" i="6"/>
  <c r="B2307" i="6"/>
  <c r="B2309" i="6"/>
  <c r="B2311" i="6"/>
  <c r="B2313" i="6"/>
  <c r="F2265" i="6"/>
  <c r="G2265" i="6" s="1"/>
  <c r="E2268" i="6"/>
  <c r="B2293" i="6"/>
  <c r="B2295" i="6"/>
  <c r="D2305" i="6"/>
  <c r="D2307" i="6"/>
  <c r="D2309" i="6"/>
  <c r="D2311" i="6"/>
  <c r="D2313" i="6"/>
  <c r="G2194" i="6"/>
  <c r="G2198" i="6" s="1"/>
  <c r="G2240" i="6"/>
  <c r="A2205" i="6"/>
  <c r="D2208" i="6"/>
  <c r="E2208" i="6" s="1"/>
  <c r="A2219" i="6"/>
  <c r="A2221" i="6"/>
  <c r="D2205" i="6"/>
  <c r="E2205" i="6" s="1"/>
  <c r="E2219" i="6"/>
  <c r="E2221" i="6"/>
  <c r="E2187" i="6"/>
  <c r="E2198" i="6" s="1"/>
  <c r="A2218" i="6"/>
  <c r="A2220" i="6"/>
  <c r="B2218" i="6"/>
  <c r="B2220" i="6"/>
  <c r="G2171" i="6"/>
  <c r="G2165" i="6"/>
  <c r="A2130" i="6"/>
  <c r="D2133" i="6"/>
  <c r="E2133" i="6" s="1"/>
  <c r="A2144" i="6"/>
  <c r="A2146" i="6"/>
  <c r="D2130" i="6"/>
  <c r="E2130" i="6" s="1"/>
  <c r="E2144" i="6"/>
  <c r="E2146" i="6"/>
  <c r="E2112" i="6"/>
  <c r="E2123" i="6" s="1"/>
  <c r="A2155" i="6"/>
  <c r="A2157" i="6"/>
  <c r="A2159" i="6"/>
  <c r="A2161" i="6"/>
  <c r="A2163" i="6"/>
  <c r="B2155" i="6"/>
  <c r="B2157" i="6"/>
  <c r="B2159" i="6"/>
  <c r="B2161" i="6"/>
  <c r="B2163" i="6"/>
  <c r="B2143" i="6"/>
  <c r="B2145" i="6"/>
  <c r="D2155" i="6"/>
  <c r="D2157" i="6"/>
  <c r="D2159" i="6"/>
  <c r="D2161" i="6"/>
  <c r="D2163" i="6"/>
  <c r="G2090" i="6"/>
  <c r="G2038" i="6"/>
  <c r="G2048" i="6" s="1"/>
  <c r="B2079" i="6"/>
  <c r="B2081" i="6"/>
  <c r="B2083" i="6"/>
  <c r="B2085" i="6"/>
  <c r="B2087" i="6"/>
  <c r="B2089" i="6"/>
  <c r="D2055" i="6"/>
  <c r="E2055" i="6" s="1"/>
  <c r="B2057" i="6"/>
  <c r="E2069" i="6"/>
  <c r="E2071" i="6"/>
  <c r="E2042" i="6"/>
  <c r="F2039" i="6"/>
  <c r="G2039" i="6" s="1"/>
  <c r="E2037" i="6"/>
  <c r="E2048" i="6" s="1"/>
  <c r="A2080" i="6"/>
  <c r="A2082" i="6"/>
  <c r="A2084" i="6"/>
  <c r="A2086" i="6"/>
  <c r="A2088" i="6"/>
  <c r="B2080" i="6"/>
  <c r="B2082" i="6"/>
  <c r="B2084" i="6"/>
  <c r="B2086" i="6"/>
  <c r="B2088" i="6"/>
  <c r="D2080" i="6"/>
  <c r="D2082" i="6"/>
  <c r="D2084" i="6"/>
  <c r="D2086" i="6"/>
  <c r="D2088" i="6"/>
  <c r="G1968" i="6"/>
  <c r="A2004" i="6"/>
  <c r="A2006" i="6"/>
  <c r="A2008" i="6"/>
  <c r="A2010" i="6"/>
  <c r="A2012" i="6"/>
  <c r="A2014" i="6"/>
  <c r="G1963" i="6"/>
  <c r="G1973" i="6" s="1"/>
  <c r="B2004" i="6"/>
  <c r="B2006" i="6"/>
  <c r="B2008" i="6"/>
  <c r="B2010" i="6"/>
  <c r="B2012" i="6"/>
  <c r="B2014" i="6"/>
  <c r="E1964" i="6"/>
  <c r="E1973" i="6" s="1"/>
  <c r="E1967" i="6"/>
  <c r="B1980" i="6"/>
  <c r="D2004" i="6"/>
  <c r="D2006" i="6"/>
  <c r="D2008" i="6"/>
  <c r="D2010" i="6"/>
  <c r="D2012" i="6"/>
  <c r="D2014" i="6"/>
  <c r="A1982" i="6"/>
  <c r="B1982" i="6"/>
  <c r="A2005" i="6"/>
  <c r="A2007" i="6"/>
  <c r="A2009" i="6"/>
  <c r="A2011" i="6"/>
  <c r="A2013" i="6"/>
  <c r="E1965" i="6"/>
  <c r="D1982" i="6"/>
  <c r="E1982" i="6" s="1"/>
  <c r="E1968" i="6"/>
  <c r="A1993" i="6"/>
  <c r="A1995" i="6"/>
  <c r="B1993" i="6"/>
  <c r="B1995" i="6"/>
  <c r="G1940" i="6"/>
  <c r="B1929" i="6"/>
  <c r="B1931" i="6"/>
  <c r="B1933" i="6"/>
  <c r="B1935" i="6"/>
  <c r="B1937" i="6"/>
  <c r="B1939" i="6"/>
  <c r="E1889" i="6"/>
  <c r="E1892" i="6"/>
  <c r="G1894" i="6"/>
  <c r="G1898" i="6" s="1"/>
  <c r="D1905" i="6"/>
  <c r="E1905" i="6" s="1"/>
  <c r="E1919" i="6"/>
  <c r="E1921" i="6"/>
  <c r="E1887" i="6"/>
  <c r="E1898" i="6" s="1"/>
  <c r="A1930" i="6"/>
  <c r="A1932" i="6"/>
  <c r="A1934" i="6"/>
  <c r="A1936" i="6"/>
  <c r="A1938" i="6"/>
  <c r="B1930" i="6"/>
  <c r="B1932" i="6"/>
  <c r="B1934" i="6"/>
  <c r="B1936" i="6"/>
  <c r="B1938" i="6"/>
  <c r="A1918" i="6"/>
  <c r="A1920" i="6"/>
  <c r="B1918" i="6"/>
  <c r="B1920" i="6"/>
  <c r="G1865" i="6"/>
  <c r="G1871" i="6"/>
  <c r="D1833" i="6"/>
  <c r="E1833" i="6" s="1"/>
  <c r="E1814" i="6"/>
  <c r="E1823" i="6" s="1"/>
  <c r="E1817" i="6"/>
  <c r="A1832" i="6"/>
  <c r="B1832" i="6"/>
  <c r="A1855" i="6"/>
  <c r="A1857" i="6"/>
  <c r="A1859" i="6"/>
  <c r="A1861" i="6"/>
  <c r="A1863" i="6"/>
  <c r="D1832" i="6"/>
  <c r="E1832" i="6" s="1"/>
  <c r="B1855" i="6"/>
  <c r="B1857" i="6"/>
  <c r="B1859" i="6"/>
  <c r="B1861" i="6"/>
  <c r="B1863" i="6"/>
  <c r="F1815" i="6"/>
  <c r="G1815" i="6" s="1"/>
  <c r="G1823" i="6" s="1"/>
  <c r="E1818" i="6"/>
  <c r="B1843" i="6"/>
  <c r="B1845" i="6"/>
  <c r="D1855" i="6"/>
  <c r="D1857" i="6"/>
  <c r="D1859" i="6"/>
  <c r="D1861" i="6"/>
  <c r="D1863" i="6"/>
  <c r="G1748" i="6"/>
  <c r="B1779" i="6"/>
  <c r="B1781" i="6"/>
  <c r="B1783" i="6"/>
  <c r="B1785" i="6"/>
  <c r="B1787" i="6"/>
  <c r="B1789" i="6"/>
  <c r="E1739" i="6"/>
  <c r="E1748" i="6" s="1"/>
  <c r="E1742" i="6"/>
  <c r="D1779" i="6"/>
  <c r="D1781" i="6"/>
  <c r="D1783" i="6"/>
  <c r="D1785" i="6"/>
  <c r="D1787" i="6"/>
  <c r="D1789" i="6"/>
  <c r="A1757" i="6"/>
  <c r="B1757" i="6"/>
  <c r="A1780" i="6"/>
  <c r="A1782" i="6"/>
  <c r="A1784" i="6"/>
  <c r="A1786" i="6"/>
  <c r="A1788" i="6"/>
  <c r="D1757" i="6"/>
  <c r="E1757" i="6" s="1"/>
  <c r="B1780" i="6"/>
  <c r="B1782" i="6"/>
  <c r="B1784" i="6"/>
  <c r="B1786" i="6"/>
  <c r="B1788" i="6"/>
  <c r="F1740" i="6"/>
  <c r="G1740" i="6" s="1"/>
  <c r="E1743" i="6"/>
  <c r="D1780" i="6"/>
  <c r="D1782" i="6"/>
  <c r="D1784" i="6"/>
  <c r="D1786" i="6"/>
  <c r="D1788" i="6"/>
  <c r="G1668" i="6"/>
  <c r="G1673" i="6"/>
  <c r="E1673" i="6"/>
  <c r="D1683" i="6"/>
  <c r="E1683" i="6" s="1"/>
  <c r="E1664" i="6"/>
  <c r="E1667" i="6"/>
  <c r="A1682" i="6"/>
  <c r="B1682" i="6"/>
  <c r="A1705" i="6"/>
  <c r="A1707" i="6"/>
  <c r="A1709" i="6"/>
  <c r="A1711" i="6"/>
  <c r="A1713" i="6"/>
  <c r="D1682" i="6"/>
  <c r="E1682" i="6" s="1"/>
  <c r="B1705" i="6"/>
  <c r="B1707" i="6"/>
  <c r="B1709" i="6"/>
  <c r="B1711" i="6"/>
  <c r="B1713" i="6"/>
  <c r="E1665" i="6"/>
  <c r="E1668" i="6"/>
  <c r="D1705" i="6"/>
  <c r="D1707" i="6"/>
  <c r="D1709" i="6"/>
  <c r="D1711" i="6"/>
  <c r="D1713" i="6"/>
  <c r="G1593" i="6"/>
  <c r="G1598" i="6"/>
  <c r="G1640" i="6"/>
  <c r="D1608" i="6"/>
  <c r="E1608" i="6" s="1"/>
  <c r="E1589" i="6"/>
  <c r="E1598" i="6" s="1"/>
  <c r="E1592" i="6"/>
  <c r="A1607" i="6"/>
  <c r="B1607" i="6"/>
  <c r="A1630" i="6"/>
  <c r="A1632" i="6"/>
  <c r="A1634" i="6"/>
  <c r="A1636" i="6"/>
  <c r="A1638" i="6"/>
  <c r="E1590" i="6"/>
  <c r="D1607" i="6"/>
  <c r="E1607" i="6" s="1"/>
  <c r="E1593" i="6"/>
  <c r="A1606" i="6"/>
  <c r="B1618" i="6"/>
  <c r="B1620" i="6"/>
  <c r="D1630" i="6"/>
  <c r="D1632" i="6"/>
  <c r="D1634" i="6"/>
  <c r="D1636" i="6"/>
  <c r="D1638" i="6"/>
  <c r="E1523" i="6"/>
  <c r="G1565" i="6"/>
  <c r="G1513" i="6"/>
  <c r="G1523" i="6" s="1"/>
  <c r="B1554" i="6"/>
  <c r="B1556" i="6"/>
  <c r="B1558" i="6"/>
  <c r="B1560" i="6"/>
  <c r="B1562" i="6"/>
  <c r="B1564" i="6"/>
  <c r="D1530" i="6"/>
  <c r="E1530" i="6" s="1"/>
  <c r="E1544" i="6"/>
  <c r="E1546" i="6"/>
  <c r="F1514" i="6"/>
  <c r="G1514" i="6" s="1"/>
  <c r="F1517" i="6"/>
  <c r="G1517" i="6" s="1"/>
  <c r="E1512" i="6"/>
  <c r="A1555" i="6"/>
  <c r="A1557" i="6"/>
  <c r="A1559" i="6"/>
  <c r="A1561" i="6"/>
  <c r="A1563" i="6"/>
  <c r="B1555" i="6"/>
  <c r="B1557" i="6"/>
  <c r="B1559" i="6"/>
  <c r="B1561" i="6"/>
  <c r="B1563" i="6"/>
  <c r="D1555" i="6"/>
  <c r="D1557" i="6"/>
  <c r="D1559" i="6"/>
  <c r="D1561" i="6"/>
  <c r="D1563" i="6"/>
  <c r="G1490" i="6"/>
  <c r="G1496" i="6"/>
  <c r="G1438" i="6"/>
  <c r="B1479" i="6"/>
  <c r="B1481" i="6"/>
  <c r="B1483" i="6"/>
  <c r="B1485" i="6"/>
  <c r="B1487" i="6"/>
  <c r="B1489" i="6"/>
  <c r="D1455" i="6"/>
  <c r="E1455" i="6" s="1"/>
  <c r="B1457" i="6"/>
  <c r="E1469" i="6"/>
  <c r="E1471" i="6"/>
  <c r="E1439" i="6"/>
  <c r="F1442" i="6"/>
  <c r="G1442" i="6" s="1"/>
  <c r="G1448" i="6" s="1"/>
  <c r="E1437" i="6"/>
  <c r="E1448" i="6" s="1"/>
  <c r="A1480" i="6"/>
  <c r="A1482" i="6"/>
  <c r="A1484" i="6"/>
  <c r="A1486" i="6"/>
  <c r="A1488" i="6"/>
  <c r="B1480" i="6"/>
  <c r="B1482" i="6"/>
  <c r="B1484" i="6"/>
  <c r="B1486" i="6"/>
  <c r="B1488" i="6"/>
  <c r="B1468" i="6"/>
  <c r="B1470" i="6"/>
  <c r="D1480" i="6"/>
  <c r="D1482" i="6"/>
  <c r="D1484" i="6"/>
  <c r="D1486" i="6"/>
  <c r="D1488" i="6"/>
  <c r="E1373" i="6"/>
  <c r="G1369" i="6"/>
  <c r="G1415" i="6"/>
  <c r="G1363" i="6"/>
  <c r="G1373" i="6" s="1"/>
  <c r="A1380" i="6"/>
  <c r="D1383" i="6"/>
  <c r="E1383" i="6" s="1"/>
  <c r="A1394" i="6"/>
  <c r="A1396" i="6"/>
  <c r="B1382" i="6"/>
  <c r="E1394" i="6"/>
  <c r="E1396" i="6"/>
  <c r="A1405" i="6"/>
  <c r="A1407" i="6"/>
  <c r="A1409" i="6"/>
  <c r="A1411" i="6"/>
  <c r="A1413" i="6"/>
  <c r="A1393" i="6"/>
  <c r="A1395" i="6"/>
  <c r="B1393" i="6"/>
  <c r="B1395" i="6"/>
  <c r="D1287" i="6"/>
  <c r="D1068" i="6"/>
  <c r="D1293" i="6" s="1"/>
  <c r="F694" i="6"/>
  <c r="G694" i="6" s="1"/>
  <c r="C919" i="6"/>
  <c r="E694" i="6"/>
  <c r="D1069" i="6"/>
  <c r="D919" i="6"/>
  <c r="E916" i="6"/>
  <c r="F916" i="6"/>
  <c r="G916" i="6" s="1"/>
  <c r="C1141" i="6"/>
  <c r="B432" i="6"/>
  <c r="F466" i="6"/>
  <c r="G466" i="6" s="1"/>
  <c r="D508" i="6"/>
  <c r="G572" i="6"/>
  <c r="C616" i="6"/>
  <c r="C657" i="6"/>
  <c r="C662" i="6"/>
  <c r="C732" i="6"/>
  <c r="C844" i="6"/>
  <c r="F391" i="6"/>
  <c r="G391" i="6" s="1"/>
  <c r="F434" i="6"/>
  <c r="G434" i="6" s="1"/>
  <c r="B434" i="6"/>
  <c r="E469" i="6"/>
  <c r="F469" i="6"/>
  <c r="G469" i="6" s="1"/>
  <c r="B436" i="6"/>
  <c r="F514" i="6"/>
  <c r="G514" i="6" s="1"/>
  <c r="B514" i="6"/>
  <c r="C663" i="6"/>
  <c r="C885" i="6"/>
  <c r="A510" i="6"/>
  <c r="G746" i="6"/>
  <c r="A433" i="6"/>
  <c r="C617" i="6"/>
  <c r="C658" i="6"/>
  <c r="A664" i="6"/>
  <c r="F915" i="6"/>
  <c r="G915" i="6" s="1"/>
  <c r="C1140" i="6"/>
  <c r="F1140" i="6" s="1"/>
  <c r="G1140" i="6" s="1"/>
  <c r="C737" i="6"/>
  <c r="G394" i="6"/>
  <c r="B433" i="6"/>
  <c r="A437" i="6"/>
  <c r="B510" i="6"/>
  <c r="B664" i="6"/>
  <c r="E690" i="6"/>
  <c r="C733" i="6"/>
  <c r="A506" i="6"/>
  <c r="C659" i="6"/>
  <c r="D659" i="6" s="1"/>
  <c r="D433" i="6"/>
  <c r="B506" i="6"/>
  <c r="D510" i="6"/>
  <c r="G619" i="6"/>
  <c r="F654" i="6"/>
  <c r="G654" i="6" s="1"/>
  <c r="C879" i="6"/>
  <c r="D664" i="6"/>
  <c r="G722" i="6"/>
  <c r="C738" i="6"/>
  <c r="B738" i="6" s="1"/>
  <c r="C889" i="6"/>
  <c r="F734" i="6"/>
  <c r="G734" i="6" s="1"/>
  <c r="C959" i="6"/>
  <c r="B959" i="6" s="1"/>
  <c r="D506" i="6"/>
  <c r="C655" i="6"/>
  <c r="E691" i="6"/>
  <c r="F730" i="6"/>
  <c r="G730" i="6" s="1"/>
  <c r="C955" i="6"/>
  <c r="C964" i="6"/>
  <c r="A739" i="6"/>
  <c r="C840" i="6"/>
  <c r="C735" i="6"/>
  <c r="C731" i="6"/>
  <c r="E392" i="6"/>
  <c r="C661" i="6"/>
  <c r="B661" i="6" s="1"/>
  <c r="D431" i="6"/>
  <c r="B508" i="6"/>
  <c r="D512" i="6"/>
  <c r="C614" i="6"/>
  <c r="E614" i="6" s="1"/>
  <c r="C656" i="6"/>
  <c r="E692" i="6"/>
  <c r="C843" i="6"/>
  <c r="C917" i="6"/>
  <c r="F431" i="6"/>
  <c r="G431" i="6" s="1"/>
  <c r="C693" i="6"/>
  <c r="C736" i="6"/>
  <c r="A736" i="6" s="1"/>
  <c r="G1322" i="6"/>
  <c r="G468" i="6"/>
  <c r="G596" i="6"/>
  <c r="G1247" i="6"/>
  <c r="G1097" i="6"/>
  <c r="G797" i="6"/>
  <c r="G1173" i="6"/>
  <c r="G1023" i="6"/>
  <c r="G874" i="6"/>
  <c r="G1323" i="6"/>
  <c r="G948" i="6"/>
  <c r="G649" i="6"/>
  <c r="G1098" i="6"/>
  <c r="G1099" i="6"/>
  <c r="G1174" i="6"/>
  <c r="G424" i="6"/>
  <c r="G724" i="6"/>
  <c r="G1324" i="6"/>
  <c r="G423" i="6"/>
  <c r="G873" i="6"/>
  <c r="G499" i="6"/>
  <c r="G723" i="6"/>
  <c r="G1024" i="6"/>
  <c r="G648" i="6"/>
  <c r="G798" i="6"/>
  <c r="G573" i="6"/>
  <c r="G949" i="6"/>
  <c r="G1248" i="6"/>
  <c r="G498" i="6"/>
  <c r="G1346" i="6"/>
  <c r="G1271" i="6"/>
  <c r="E1140" i="6"/>
  <c r="G1121" i="6"/>
  <c r="G1046" i="6"/>
  <c r="G971" i="6"/>
  <c r="E917" i="6"/>
  <c r="A955" i="6"/>
  <c r="E915" i="6"/>
  <c r="B955" i="6"/>
  <c r="D955" i="6"/>
  <c r="G896" i="6"/>
  <c r="E840" i="6"/>
  <c r="E843" i="6"/>
  <c r="A730" i="6"/>
  <c r="A732" i="6"/>
  <c r="A734" i="6"/>
  <c r="A738" i="6"/>
  <c r="B730" i="6"/>
  <c r="B732" i="6"/>
  <c r="B734" i="6"/>
  <c r="D730" i="6"/>
  <c r="D732" i="6"/>
  <c r="D734" i="6"/>
  <c r="D736" i="6"/>
  <c r="D738" i="6"/>
  <c r="G618" i="6"/>
  <c r="G671" i="6"/>
  <c r="E617" i="6"/>
  <c r="A655" i="6"/>
  <c r="A657" i="6"/>
  <c r="A659" i="6"/>
  <c r="E615" i="6"/>
  <c r="B655" i="6"/>
  <c r="B657" i="6"/>
  <c r="B663" i="6"/>
  <c r="E618" i="6"/>
  <c r="D655" i="6"/>
  <c r="D657" i="6"/>
  <c r="D663" i="6"/>
  <c r="A505" i="6"/>
  <c r="A507" i="6"/>
  <c r="A509" i="6"/>
  <c r="A511" i="6"/>
  <c r="A513" i="6"/>
  <c r="E465" i="6"/>
  <c r="B505" i="6"/>
  <c r="B507" i="6"/>
  <c r="B509" i="6"/>
  <c r="B511" i="6"/>
  <c r="B513" i="6"/>
  <c r="D505" i="6"/>
  <c r="D507" i="6"/>
  <c r="D509" i="6"/>
  <c r="D511" i="6"/>
  <c r="D513" i="6"/>
  <c r="G440" i="6"/>
  <c r="A430" i="6"/>
  <c r="A432" i="6"/>
  <c r="A434" i="6"/>
  <c r="A436" i="6"/>
  <c r="A438" i="6"/>
  <c r="B438" i="6"/>
  <c r="D430" i="6"/>
  <c r="D432" i="6"/>
  <c r="D434" i="6"/>
  <c r="D436" i="6"/>
  <c r="D438" i="6"/>
  <c r="E2873" i="6" l="1"/>
  <c r="B659" i="6"/>
  <c r="F840" i="6"/>
  <c r="G840" i="6" s="1"/>
  <c r="C1065" i="6"/>
  <c r="A959" i="6"/>
  <c r="F843" i="6"/>
  <c r="G843" i="6" s="1"/>
  <c r="C1068" i="6"/>
  <c r="F844" i="6"/>
  <c r="G844" i="6" s="1"/>
  <c r="C1069" i="6"/>
  <c r="E844" i="6"/>
  <c r="F964" i="6"/>
  <c r="G964" i="6" s="1"/>
  <c r="D964" i="6"/>
  <c r="C1189" i="6"/>
  <c r="B964" i="6"/>
  <c r="A964" i="6"/>
  <c r="F732" i="6"/>
  <c r="G732" i="6" s="1"/>
  <c r="C957" i="6"/>
  <c r="D1144" i="6"/>
  <c r="D661" i="6"/>
  <c r="F656" i="6"/>
  <c r="G656" i="6" s="1"/>
  <c r="D656" i="6"/>
  <c r="C881" i="6"/>
  <c r="B656" i="6"/>
  <c r="A656" i="6"/>
  <c r="F955" i="6"/>
  <c r="G955" i="6" s="1"/>
  <c r="C1180" i="6"/>
  <c r="F879" i="6"/>
  <c r="G879" i="6" s="1"/>
  <c r="C1104" i="6"/>
  <c r="B879" i="6"/>
  <c r="A879" i="6"/>
  <c r="D879" i="6"/>
  <c r="F885" i="6"/>
  <c r="G885" i="6" s="1"/>
  <c r="B885" i="6"/>
  <c r="C1110" i="6"/>
  <c r="D885" i="6"/>
  <c r="A885" i="6"/>
  <c r="F614" i="6"/>
  <c r="G614" i="6" s="1"/>
  <c r="C839" i="6"/>
  <c r="F663" i="6"/>
  <c r="G663" i="6" s="1"/>
  <c r="C888" i="6"/>
  <c r="F662" i="6"/>
  <c r="G662" i="6" s="1"/>
  <c r="D662" i="6"/>
  <c r="C887" i="6"/>
  <c r="B662" i="6"/>
  <c r="A662" i="6"/>
  <c r="D1294" i="6"/>
  <c r="A663" i="6"/>
  <c r="F657" i="6"/>
  <c r="G657" i="6" s="1"/>
  <c r="C882" i="6"/>
  <c r="A661" i="6"/>
  <c r="F655" i="6"/>
  <c r="G655" i="6" s="1"/>
  <c r="G665" i="6" s="1"/>
  <c r="C880" i="6"/>
  <c r="C962" i="6"/>
  <c r="F737" i="6"/>
  <c r="G737" i="6" s="1"/>
  <c r="D737" i="6"/>
  <c r="B737" i="6"/>
  <c r="A737" i="6"/>
  <c r="E616" i="6"/>
  <c r="C841" i="6"/>
  <c r="F616" i="6"/>
  <c r="G616" i="6" s="1"/>
  <c r="F919" i="6"/>
  <c r="G919" i="6" s="1"/>
  <c r="E919" i="6"/>
  <c r="C1144" i="6"/>
  <c r="F959" i="6"/>
  <c r="G959" i="6" s="1"/>
  <c r="C1184" i="6"/>
  <c r="F659" i="6"/>
  <c r="G659" i="6" s="1"/>
  <c r="C884" i="6"/>
  <c r="D959" i="6"/>
  <c r="C918" i="6"/>
  <c r="F693" i="6"/>
  <c r="G693" i="6" s="1"/>
  <c r="E693" i="6"/>
  <c r="C956" i="6"/>
  <c r="A731" i="6"/>
  <c r="F731" i="6"/>
  <c r="G731" i="6" s="1"/>
  <c r="D731" i="6"/>
  <c r="B731" i="6"/>
  <c r="F658" i="6"/>
  <c r="G658" i="6" s="1"/>
  <c r="C883" i="6"/>
  <c r="B658" i="6"/>
  <c r="D658" i="6"/>
  <c r="A658" i="6"/>
  <c r="C960" i="6"/>
  <c r="A735" i="6"/>
  <c r="F735" i="6"/>
  <c r="G735" i="6" s="1"/>
  <c r="D735" i="6"/>
  <c r="B735" i="6"/>
  <c r="F889" i="6"/>
  <c r="G889" i="6" s="1"/>
  <c r="D889" i="6"/>
  <c r="C1114" i="6"/>
  <c r="B889" i="6"/>
  <c r="A889" i="6"/>
  <c r="C958" i="6"/>
  <c r="F733" i="6"/>
  <c r="G733" i="6" s="1"/>
  <c r="D733" i="6"/>
  <c r="B733" i="6"/>
  <c r="A733" i="6"/>
  <c r="F617" i="6"/>
  <c r="G617" i="6" s="1"/>
  <c r="C842" i="6"/>
  <c r="E1141" i="6"/>
  <c r="F1141" i="6"/>
  <c r="G1141" i="6" s="1"/>
  <c r="F661" i="6"/>
  <c r="G661" i="6" s="1"/>
  <c r="C886" i="6"/>
  <c r="F736" i="6"/>
  <c r="G736" i="6" s="1"/>
  <c r="C961" i="6"/>
  <c r="B736" i="6"/>
  <c r="F917" i="6"/>
  <c r="G917" i="6" s="1"/>
  <c r="C1142" i="6"/>
  <c r="F738" i="6"/>
  <c r="G738" i="6" s="1"/>
  <c r="C963" i="6"/>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8" i="26"/>
  <c r="C7" i="26"/>
  <c r="B7" i="26"/>
  <c r="B8" i="26"/>
  <c r="A27" i="2"/>
  <c r="A34" i="2"/>
  <c r="B28" i="9"/>
  <c r="A28" i="2"/>
  <c r="A30" i="2"/>
  <c r="A29" i="2"/>
  <c r="B25" i="9"/>
  <c r="A35" i="2"/>
  <c r="B30" i="9"/>
  <c r="B24" i="9"/>
  <c r="A33" i="2"/>
  <c r="B31" i="9"/>
  <c r="B29" i="9"/>
  <c r="B27" i="9"/>
  <c r="B26" i="9"/>
  <c r="A32" i="2"/>
  <c r="A31" i="2"/>
  <c r="F884" i="6" l="1"/>
  <c r="G884" i="6" s="1"/>
  <c r="C1109" i="6"/>
  <c r="A884" i="6"/>
  <c r="D884" i="6"/>
  <c r="B884" i="6"/>
  <c r="F1110" i="6"/>
  <c r="G1110" i="6" s="1"/>
  <c r="B1110" i="6"/>
  <c r="A1110" i="6"/>
  <c r="C1335" i="6"/>
  <c r="D1110" i="6"/>
  <c r="F881" i="6"/>
  <c r="G881" i="6" s="1"/>
  <c r="D881" i="6"/>
  <c r="C1106" i="6"/>
  <c r="B881" i="6"/>
  <c r="A881" i="6"/>
  <c r="F886" i="6"/>
  <c r="G886" i="6" s="1"/>
  <c r="C1111" i="6"/>
  <c r="A886" i="6"/>
  <c r="D886" i="6"/>
  <c r="B886" i="6"/>
  <c r="F883" i="6"/>
  <c r="G883" i="6" s="1"/>
  <c r="D883" i="6"/>
  <c r="C1108" i="6"/>
  <c r="B883" i="6"/>
  <c r="A883" i="6"/>
  <c r="F887" i="6"/>
  <c r="G887" i="6" s="1"/>
  <c r="D887" i="6"/>
  <c r="C1112" i="6"/>
  <c r="A887" i="6"/>
  <c r="B887" i="6"/>
  <c r="F963" i="6"/>
  <c r="G963" i="6" s="1"/>
  <c r="C1188" i="6"/>
  <c r="D963" i="6"/>
  <c r="A963" i="6"/>
  <c r="B963" i="6"/>
  <c r="F882" i="6"/>
  <c r="G882" i="6" s="1"/>
  <c r="C1107" i="6"/>
  <c r="A882" i="6"/>
  <c r="D882" i="6"/>
  <c r="B882" i="6"/>
  <c r="F839" i="6"/>
  <c r="G839" i="6" s="1"/>
  <c r="C1064" i="6"/>
  <c r="E839" i="6"/>
  <c r="F1104" i="6"/>
  <c r="G1104" i="6" s="1"/>
  <c r="D1104" i="6"/>
  <c r="B1104" i="6"/>
  <c r="A1104" i="6"/>
  <c r="C1329" i="6"/>
  <c r="E841" i="6"/>
  <c r="F841" i="6"/>
  <c r="G841" i="6" s="1"/>
  <c r="C1066" i="6"/>
  <c r="F1114" i="6"/>
  <c r="G1114" i="6" s="1"/>
  <c r="D1114" i="6"/>
  <c r="B1114" i="6"/>
  <c r="A1114" i="6"/>
  <c r="C1339" i="6"/>
  <c r="F1184" i="6"/>
  <c r="G1184" i="6" s="1"/>
  <c r="D1184" i="6"/>
  <c r="A1184" i="6"/>
  <c r="B1184" i="6"/>
  <c r="F962" i="6"/>
  <c r="G962" i="6" s="1"/>
  <c r="D962" i="6"/>
  <c r="C1187" i="6"/>
  <c r="B962" i="6"/>
  <c r="A962" i="6"/>
  <c r="F880" i="6"/>
  <c r="G880" i="6" s="1"/>
  <c r="G890" i="6" s="1"/>
  <c r="C1105" i="6"/>
  <c r="B880" i="6"/>
  <c r="D880" i="6"/>
  <c r="A880" i="6"/>
  <c r="C1294" i="6"/>
  <c r="F1069" i="6"/>
  <c r="G1069" i="6" s="1"/>
  <c r="E1069" i="6"/>
  <c r="F957" i="6"/>
  <c r="G957" i="6" s="1"/>
  <c r="C1182" i="6"/>
  <c r="D957" i="6"/>
  <c r="B957" i="6"/>
  <c r="A957" i="6"/>
  <c r="F1144" i="6"/>
  <c r="G1144" i="6" s="1"/>
  <c r="E1144" i="6"/>
  <c r="F888" i="6"/>
  <c r="G888" i="6" s="1"/>
  <c r="C1113" i="6"/>
  <c r="A888" i="6"/>
  <c r="D888" i="6"/>
  <c r="B888" i="6"/>
  <c r="F842" i="6"/>
  <c r="G842" i="6" s="1"/>
  <c r="C1067" i="6"/>
  <c r="E842" i="6"/>
  <c r="F1068" i="6"/>
  <c r="G1068" i="6" s="1"/>
  <c r="C1293" i="6"/>
  <c r="E1068" i="6"/>
  <c r="F1142" i="6"/>
  <c r="G1142" i="6" s="1"/>
  <c r="E1142" i="6"/>
  <c r="F1065" i="6"/>
  <c r="G1065" i="6" s="1"/>
  <c r="E1065" i="6"/>
  <c r="C1290" i="6"/>
  <c r="F956" i="6"/>
  <c r="G956" i="6" s="1"/>
  <c r="C1181" i="6"/>
  <c r="B956" i="6"/>
  <c r="A956" i="6"/>
  <c r="D956" i="6"/>
  <c r="F1180" i="6"/>
  <c r="G1180" i="6" s="1"/>
  <c r="D1180" i="6"/>
  <c r="B1180" i="6"/>
  <c r="A1180" i="6"/>
  <c r="F960" i="6"/>
  <c r="G960" i="6" s="1"/>
  <c r="D960" i="6"/>
  <c r="C1185" i="6"/>
  <c r="B960" i="6"/>
  <c r="A960" i="6"/>
  <c r="F918" i="6"/>
  <c r="G918" i="6" s="1"/>
  <c r="C1143" i="6"/>
  <c r="E918" i="6"/>
  <c r="F961" i="6"/>
  <c r="G961" i="6" s="1"/>
  <c r="C1186" i="6"/>
  <c r="B961" i="6"/>
  <c r="D961" i="6"/>
  <c r="A961" i="6"/>
  <c r="F958" i="6"/>
  <c r="G958" i="6" s="1"/>
  <c r="D958" i="6"/>
  <c r="C1183" i="6"/>
  <c r="B958" i="6"/>
  <c r="A958" i="6"/>
  <c r="F1189" i="6"/>
  <c r="G1189" i="6" s="1"/>
  <c r="D1189" i="6"/>
  <c r="B1189" i="6"/>
  <c r="A1189" i="6"/>
  <c r="E34" i="2"/>
  <c r="E31" i="2"/>
  <c r="E28" i="2"/>
  <c r="E35" i="2"/>
  <c r="E32" i="2"/>
  <c r="E29" i="2"/>
  <c r="E33" i="2"/>
  <c r="E30" i="2"/>
  <c r="E27" i="2"/>
  <c r="B11" i="18"/>
  <c r="F1185" i="6" l="1"/>
  <c r="G1185" i="6" s="1"/>
  <c r="D1185" i="6"/>
  <c r="B1185" i="6"/>
  <c r="A1185" i="6"/>
  <c r="F1290" i="6"/>
  <c r="G1290" i="6" s="1"/>
  <c r="E1290" i="6"/>
  <c r="F1107" i="6"/>
  <c r="G1107" i="6" s="1"/>
  <c r="C1332" i="6"/>
  <c r="A1107" i="6"/>
  <c r="B1107" i="6"/>
  <c r="D1107" i="6"/>
  <c r="F1294" i="6"/>
  <c r="G1294" i="6" s="1"/>
  <c r="E1294" i="6"/>
  <c r="F1113" i="6"/>
  <c r="G1113" i="6" s="1"/>
  <c r="C1338" i="6"/>
  <c r="B1113" i="6"/>
  <c r="A1113" i="6"/>
  <c r="D1113" i="6"/>
  <c r="F1108" i="6"/>
  <c r="G1108" i="6" s="1"/>
  <c r="D1108" i="6"/>
  <c r="B1108" i="6"/>
  <c r="A1108" i="6"/>
  <c r="C1333" i="6"/>
  <c r="F1109" i="6"/>
  <c r="G1109" i="6" s="1"/>
  <c r="C1334" i="6"/>
  <c r="A1109" i="6"/>
  <c r="D1109" i="6"/>
  <c r="B1109" i="6"/>
  <c r="F1186" i="6"/>
  <c r="G1186" i="6" s="1"/>
  <c r="A1186" i="6"/>
  <c r="B1186" i="6"/>
  <c r="D1186" i="6"/>
  <c r="G1115" i="6"/>
  <c r="F1335" i="6"/>
  <c r="G1335" i="6" s="1"/>
  <c r="D1335" i="6"/>
  <c r="B1335" i="6"/>
  <c r="A1335" i="6"/>
  <c r="F1339" i="6"/>
  <c r="G1339" i="6" s="1"/>
  <c r="D1339" i="6"/>
  <c r="B1339" i="6"/>
  <c r="A1339" i="6"/>
  <c r="F1064" i="6"/>
  <c r="G1064" i="6" s="1"/>
  <c r="C1289" i="6"/>
  <c r="E1064" i="6"/>
  <c r="F1293" i="6"/>
  <c r="G1293" i="6" s="1"/>
  <c r="E1293" i="6"/>
  <c r="F1111" i="6"/>
  <c r="G1111" i="6" s="1"/>
  <c r="C1336" i="6"/>
  <c r="A1111" i="6"/>
  <c r="D1111" i="6"/>
  <c r="B1111" i="6"/>
  <c r="F1105" i="6"/>
  <c r="G1105" i="6" s="1"/>
  <c r="C1330" i="6"/>
  <c r="D1105" i="6"/>
  <c r="B1105" i="6"/>
  <c r="A1105" i="6"/>
  <c r="F1188" i="6"/>
  <c r="G1188" i="6" s="1"/>
  <c r="A1188" i="6"/>
  <c r="D1188" i="6"/>
  <c r="B1188" i="6"/>
  <c r="F1143" i="6"/>
  <c r="G1143" i="6" s="1"/>
  <c r="E1143" i="6"/>
  <c r="F1183" i="6"/>
  <c r="G1183" i="6" s="1"/>
  <c r="D1183" i="6"/>
  <c r="B1183" i="6"/>
  <c r="A1183" i="6"/>
  <c r="F1181" i="6"/>
  <c r="G1181" i="6" s="1"/>
  <c r="B1181" i="6"/>
  <c r="A1181" i="6"/>
  <c r="D1181" i="6"/>
  <c r="F1067" i="6"/>
  <c r="G1067" i="6" s="1"/>
  <c r="C1292" i="6"/>
  <c r="E1067" i="6"/>
  <c r="F1182" i="6"/>
  <c r="G1182" i="6" s="1"/>
  <c r="A1182" i="6"/>
  <c r="B1182" i="6"/>
  <c r="D1182" i="6"/>
  <c r="F1187" i="6"/>
  <c r="G1187" i="6" s="1"/>
  <c r="D1187" i="6"/>
  <c r="B1187" i="6"/>
  <c r="A1187" i="6"/>
  <c r="E1066" i="6"/>
  <c r="F1066" i="6"/>
  <c r="G1066" i="6" s="1"/>
  <c r="C1291" i="6"/>
  <c r="F1112" i="6"/>
  <c r="G1112" i="6" s="1"/>
  <c r="D1112" i="6"/>
  <c r="B1112" i="6"/>
  <c r="A1112" i="6"/>
  <c r="C1337" i="6"/>
  <c r="B1329" i="6"/>
  <c r="A1329" i="6"/>
  <c r="F1329" i="6"/>
  <c r="G1329" i="6" s="1"/>
  <c r="D1329" i="6"/>
  <c r="F1106" i="6"/>
  <c r="G1106" i="6" s="1"/>
  <c r="C1331" i="6"/>
  <c r="D1106" i="6"/>
  <c r="B1106" i="6"/>
  <c r="A1106" i="6"/>
  <c r="C1" i="26"/>
  <c r="E1291" i="6" l="1"/>
  <c r="F1291" i="6"/>
  <c r="G1291" i="6" s="1"/>
  <c r="B1333" i="6"/>
  <c r="A1333" i="6"/>
  <c r="F1333" i="6"/>
  <c r="G1333" i="6" s="1"/>
  <c r="D1333" i="6"/>
  <c r="F1332" i="6"/>
  <c r="G1332" i="6" s="1"/>
  <c r="A1332" i="6"/>
  <c r="B1332" i="6"/>
  <c r="D1332" i="6"/>
  <c r="B1337" i="6"/>
  <c r="A1337" i="6"/>
  <c r="F1337" i="6"/>
  <c r="G1337" i="6" s="1"/>
  <c r="D1337" i="6"/>
  <c r="F1330" i="6"/>
  <c r="G1330" i="6" s="1"/>
  <c r="G1340" i="6" s="1"/>
  <c r="A1330" i="6"/>
  <c r="D1330" i="6"/>
  <c r="B1330" i="6"/>
  <c r="F1289" i="6"/>
  <c r="G1289" i="6" s="1"/>
  <c r="E1289" i="6"/>
  <c r="F1338" i="6"/>
  <c r="G1338" i="6" s="1"/>
  <c r="A1338" i="6"/>
  <c r="D1338" i="6"/>
  <c r="B1338" i="6"/>
  <c r="F1292" i="6"/>
  <c r="G1292" i="6" s="1"/>
  <c r="E1292" i="6"/>
  <c r="F1336" i="6"/>
  <c r="G1336" i="6" s="1"/>
  <c r="D1336" i="6"/>
  <c r="A1336" i="6"/>
  <c r="B1336" i="6"/>
  <c r="F1331" i="6"/>
  <c r="G1331" i="6" s="1"/>
  <c r="D1331" i="6"/>
  <c r="B1331" i="6"/>
  <c r="A1331" i="6"/>
  <c r="F1334" i="6"/>
  <c r="G1334" i="6" s="1"/>
  <c r="D1334" i="6"/>
  <c r="B1334" i="6"/>
  <c r="A1334" i="6"/>
  <c r="K20" i="28"/>
  <c r="K13" i="28"/>
  <c r="K14" i="28"/>
  <c r="K15" i="28"/>
  <c r="K16" i="28"/>
  <c r="K17" i="28"/>
  <c r="K18" i="28"/>
  <c r="K19" i="28"/>
  <c r="F14" i="27"/>
  <c r="F15" i="27"/>
  <c r="F16" i="27"/>
  <c r="F17" i="27"/>
  <c r="F18" i="27"/>
  <c r="F19" i="27"/>
  <c r="F20" i="27"/>
  <c r="F13" i="27"/>
  <c r="C6" i="28" l="1"/>
  <c r="C13" i="6" l="1"/>
  <c r="C362" i="6"/>
  <c r="C587" i="6" s="1"/>
  <c r="C363" i="6"/>
  <c r="C588" i="6" s="1"/>
  <c r="C364" i="6"/>
  <c r="C589" i="6" s="1"/>
  <c r="D313" i="6"/>
  <c r="D538" i="6" s="1"/>
  <c r="C318" i="6"/>
  <c r="C543" i="6" s="1"/>
  <c r="D318" i="6"/>
  <c r="D543" i="6" s="1"/>
  <c r="D768" i="6" s="1"/>
  <c r="C319" i="6"/>
  <c r="C544" i="6" s="1"/>
  <c r="D319" i="6"/>
  <c r="D544" i="6" s="1"/>
  <c r="D312" i="6"/>
  <c r="D537" i="6" s="1"/>
  <c r="C279" i="6"/>
  <c r="C504" i="6" s="1"/>
  <c r="C239" i="6"/>
  <c r="C464" i="6" s="1"/>
  <c r="C238" i="6"/>
  <c r="C463" i="6" s="1"/>
  <c r="C237" i="6"/>
  <c r="C462" i="6" s="1"/>
  <c r="C163" i="6"/>
  <c r="C388" i="6" s="1"/>
  <c r="C162" i="6"/>
  <c r="C387" i="6" s="1"/>
  <c r="D118" i="6"/>
  <c r="C136" i="6"/>
  <c r="C135" i="6"/>
  <c r="F135" i="6" s="1"/>
  <c r="C134" i="6"/>
  <c r="C133" i="6"/>
  <c r="C132" i="6"/>
  <c r="C357" i="6" s="1"/>
  <c r="C582" i="6" s="1"/>
  <c r="C131" i="6"/>
  <c r="C356" i="6" s="1"/>
  <c r="C581" i="6" s="1"/>
  <c r="C130" i="6"/>
  <c r="C355" i="6" s="1"/>
  <c r="C580" i="6" s="1"/>
  <c r="C129" i="6"/>
  <c r="C92" i="6"/>
  <c r="C317" i="6" s="1"/>
  <c r="C542" i="6" s="1"/>
  <c r="C91" i="6"/>
  <c r="C316" i="6" s="1"/>
  <c r="C541" i="6" s="1"/>
  <c r="C90" i="6"/>
  <c r="C89" i="6"/>
  <c r="C88" i="6"/>
  <c r="C87" i="6"/>
  <c r="C312" i="6" s="1"/>
  <c r="C537" i="6" s="1"/>
  <c r="C44" i="6"/>
  <c r="C45" i="6"/>
  <c r="C46" i="6"/>
  <c r="C43" i="6"/>
  <c r="E388" i="6" l="1"/>
  <c r="C613" i="6"/>
  <c r="F388" i="6"/>
  <c r="G388" i="6" s="1"/>
  <c r="F542" i="6"/>
  <c r="G542" i="6" s="1"/>
  <c r="C767" i="6"/>
  <c r="E542" i="6"/>
  <c r="F587" i="6"/>
  <c r="G587" i="6" s="1"/>
  <c r="A587" i="6"/>
  <c r="C812" i="6"/>
  <c r="D587" i="6"/>
  <c r="B587" i="6"/>
  <c r="E463" i="6"/>
  <c r="C688" i="6"/>
  <c r="F463" i="6"/>
  <c r="G463" i="6" s="1"/>
  <c r="B580" i="6"/>
  <c r="C805" i="6"/>
  <c r="F580" i="6"/>
  <c r="G580" i="6" s="1"/>
  <c r="D580" i="6"/>
  <c r="A580" i="6"/>
  <c r="F464" i="6"/>
  <c r="G464" i="6" s="1"/>
  <c r="C689" i="6"/>
  <c r="E464" i="6"/>
  <c r="E541" i="6"/>
  <c r="C766" i="6"/>
  <c r="F541" i="6"/>
  <c r="G541" i="6" s="1"/>
  <c r="B588" i="6"/>
  <c r="F588" i="6"/>
  <c r="G588" i="6" s="1"/>
  <c r="D588" i="6"/>
  <c r="C813" i="6"/>
  <c r="A588" i="6"/>
  <c r="F462" i="6"/>
  <c r="G462" i="6" s="1"/>
  <c r="C687" i="6"/>
  <c r="E462" i="6"/>
  <c r="E473" i="6" s="1"/>
  <c r="F581" i="6"/>
  <c r="G581" i="6" s="1"/>
  <c r="C806" i="6"/>
  <c r="D581" i="6"/>
  <c r="A581" i="6"/>
  <c r="B581" i="6"/>
  <c r="F504" i="6"/>
  <c r="G504" i="6" s="1"/>
  <c r="G515" i="6" s="1"/>
  <c r="C729" i="6"/>
  <c r="D504" i="6"/>
  <c r="B504" i="6"/>
  <c r="A504" i="6"/>
  <c r="B582" i="6"/>
  <c r="C807" i="6"/>
  <c r="F582" i="6"/>
  <c r="G582" i="6" s="1"/>
  <c r="D582" i="6"/>
  <c r="A582" i="6"/>
  <c r="D762" i="6"/>
  <c r="F543" i="6"/>
  <c r="G543" i="6" s="1"/>
  <c r="C768" i="6"/>
  <c r="E543" i="6"/>
  <c r="F387" i="6"/>
  <c r="G387" i="6" s="1"/>
  <c r="C612" i="6"/>
  <c r="E387" i="6"/>
  <c r="E398" i="6" s="1"/>
  <c r="F589" i="6"/>
  <c r="G589" i="6" s="1"/>
  <c r="C814" i="6"/>
  <c r="D589" i="6"/>
  <c r="A589" i="6"/>
  <c r="B589" i="6"/>
  <c r="D769" i="6"/>
  <c r="C769" i="6"/>
  <c r="E544" i="6"/>
  <c r="F544" i="6"/>
  <c r="G544" i="6" s="1"/>
  <c r="F537" i="6"/>
  <c r="G537" i="6" s="1"/>
  <c r="E537" i="6"/>
  <c r="C762" i="6"/>
  <c r="D993" i="6"/>
  <c r="D763" i="6"/>
  <c r="D988" i="6" s="1"/>
  <c r="D1213" i="6" s="1"/>
  <c r="C315" i="6"/>
  <c r="C540" i="6" s="1"/>
  <c r="C314" i="6"/>
  <c r="C539" i="6" s="1"/>
  <c r="C361" i="6"/>
  <c r="C586" i="6" s="1"/>
  <c r="C271" i="6"/>
  <c r="C496" i="6" s="1"/>
  <c r="C269" i="6"/>
  <c r="C494" i="6" s="1"/>
  <c r="C194" i="6"/>
  <c r="C419" i="6" s="1"/>
  <c r="C359" i="6"/>
  <c r="C584" i="6" s="1"/>
  <c r="C270" i="6"/>
  <c r="C495" i="6" s="1"/>
  <c r="C360" i="6"/>
  <c r="C585" i="6" s="1"/>
  <c r="C121" i="6"/>
  <c r="G135" i="6"/>
  <c r="C193" i="6"/>
  <c r="C418" i="6" s="1"/>
  <c r="C354" i="6"/>
  <c r="C579" i="6" s="1"/>
  <c r="C358" i="6"/>
  <c r="C583" i="6" s="1"/>
  <c r="C196" i="6"/>
  <c r="C421" i="6" s="1"/>
  <c r="C120" i="6"/>
  <c r="C119" i="6"/>
  <c r="C195" i="6"/>
  <c r="C420" i="6" s="1"/>
  <c r="C118" i="6"/>
  <c r="C268" i="6"/>
  <c r="C493" i="6" s="1"/>
  <c r="C313" i="6"/>
  <c r="C538" i="6" s="1"/>
  <c r="C31" i="6"/>
  <c r="C32" i="6"/>
  <c r="C33" i="6"/>
  <c r="C30" i="6"/>
  <c r="C646" i="6" l="1"/>
  <c r="B421" i="6"/>
  <c r="A421" i="6"/>
  <c r="E421" i="6"/>
  <c r="C994" i="6"/>
  <c r="F769" i="6"/>
  <c r="E769" i="6"/>
  <c r="F768" i="6"/>
  <c r="G768" i="6" s="1"/>
  <c r="C993" i="6"/>
  <c r="E768" i="6"/>
  <c r="C954" i="6"/>
  <c r="F729" i="6"/>
  <c r="G729" i="6" s="1"/>
  <c r="G740" i="6" s="1"/>
  <c r="D729" i="6"/>
  <c r="B729" i="6"/>
  <c r="A729" i="6"/>
  <c r="F579" i="6"/>
  <c r="G579" i="6" s="1"/>
  <c r="A579" i="6"/>
  <c r="C804" i="6"/>
  <c r="D579" i="6"/>
  <c r="B579" i="6"/>
  <c r="E613" i="6"/>
  <c r="F613" i="6"/>
  <c r="G613" i="6" s="1"/>
  <c r="C838" i="6"/>
  <c r="E688" i="6"/>
  <c r="C913" i="6"/>
  <c r="F688" i="6"/>
  <c r="G688" i="6" s="1"/>
  <c r="E766" i="6"/>
  <c r="C991" i="6"/>
  <c r="F766" i="6"/>
  <c r="G766" i="6" s="1"/>
  <c r="C914" i="6"/>
  <c r="F689" i="6"/>
  <c r="G689" i="6" s="1"/>
  <c r="E689" i="6"/>
  <c r="F812" i="6"/>
  <c r="G812" i="6" s="1"/>
  <c r="C1037" i="6"/>
  <c r="D812" i="6"/>
  <c r="B812" i="6"/>
  <c r="A812" i="6"/>
  <c r="B584" i="6"/>
  <c r="C809" i="6"/>
  <c r="D584" i="6"/>
  <c r="F584" i="6"/>
  <c r="G584" i="6" s="1"/>
  <c r="A584" i="6"/>
  <c r="B586" i="6"/>
  <c r="F586" i="6"/>
  <c r="G586" i="6" s="1"/>
  <c r="D586" i="6"/>
  <c r="C811" i="6"/>
  <c r="A586" i="6"/>
  <c r="F583" i="6"/>
  <c r="G583" i="6" s="1"/>
  <c r="A583" i="6"/>
  <c r="C808" i="6"/>
  <c r="D583" i="6"/>
  <c r="B583" i="6"/>
  <c r="F539" i="6"/>
  <c r="G539" i="6" s="1"/>
  <c r="C764" i="6"/>
  <c r="E539" i="6"/>
  <c r="F540" i="6"/>
  <c r="G540" i="6" s="1"/>
  <c r="C765" i="6"/>
  <c r="E540" i="6"/>
  <c r="G762" i="6"/>
  <c r="D987" i="6"/>
  <c r="D1212" i="6" s="1"/>
  <c r="E418" i="6"/>
  <c r="C643" i="6"/>
  <c r="A418" i="6"/>
  <c r="B418" i="6"/>
  <c r="F806" i="6"/>
  <c r="G806" i="6" s="1"/>
  <c r="C1031" i="6"/>
  <c r="D806" i="6"/>
  <c r="B806" i="6"/>
  <c r="A806" i="6"/>
  <c r="E538" i="6"/>
  <c r="C763" i="6"/>
  <c r="F538" i="6"/>
  <c r="G538" i="6" s="1"/>
  <c r="F585" i="6"/>
  <c r="G585" i="6" s="1"/>
  <c r="C810" i="6"/>
  <c r="D585" i="6"/>
  <c r="A585" i="6"/>
  <c r="B585" i="6"/>
  <c r="D1218" i="6"/>
  <c r="F814" i="6"/>
  <c r="G814" i="6" s="1"/>
  <c r="B814" i="6"/>
  <c r="C1039" i="6"/>
  <c r="A814" i="6"/>
  <c r="D814" i="6"/>
  <c r="E493" i="6"/>
  <c r="C718" i="6"/>
  <c r="B493" i="6"/>
  <c r="A493" i="6"/>
  <c r="E495" i="6"/>
  <c r="C720" i="6"/>
  <c r="A495" i="6"/>
  <c r="B495" i="6"/>
  <c r="C987" i="6"/>
  <c r="F762" i="6"/>
  <c r="E762" i="6"/>
  <c r="D807" i="6"/>
  <c r="B807" i="6"/>
  <c r="C1032" i="6"/>
  <c r="F807" i="6"/>
  <c r="G807" i="6" s="1"/>
  <c r="A807" i="6"/>
  <c r="F687" i="6"/>
  <c r="G687" i="6" s="1"/>
  <c r="G698" i="6" s="1"/>
  <c r="C912" i="6"/>
  <c r="E687" i="6"/>
  <c r="E420" i="6"/>
  <c r="C645" i="6"/>
  <c r="A420" i="6"/>
  <c r="B420" i="6"/>
  <c r="C644" i="6"/>
  <c r="B419" i="6"/>
  <c r="E419" i="6"/>
  <c r="A419" i="6"/>
  <c r="E612" i="6"/>
  <c r="E623" i="6" s="1"/>
  <c r="F612" i="6"/>
  <c r="G612" i="6" s="1"/>
  <c r="G623" i="6" s="1"/>
  <c r="C837" i="6"/>
  <c r="G473" i="6"/>
  <c r="C719" i="6"/>
  <c r="B494" i="6"/>
  <c r="E494" i="6"/>
  <c r="A494" i="6"/>
  <c r="G398" i="6"/>
  <c r="C721" i="6"/>
  <c r="E496" i="6"/>
  <c r="B496" i="6"/>
  <c r="A496" i="6"/>
  <c r="D813" i="6"/>
  <c r="F813" i="6"/>
  <c r="G813" i="6" s="1"/>
  <c r="C1038" i="6"/>
  <c r="B813" i="6"/>
  <c r="A813" i="6"/>
  <c r="F767" i="6"/>
  <c r="G767" i="6" s="1"/>
  <c r="C992" i="6"/>
  <c r="E767" i="6"/>
  <c r="D805" i="6"/>
  <c r="C1030" i="6"/>
  <c r="F805" i="6"/>
  <c r="G805" i="6" s="1"/>
  <c r="B805" i="6"/>
  <c r="A805" i="6"/>
  <c r="G769" i="6"/>
  <c r="D994" i="6"/>
  <c r="C346" i="6"/>
  <c r="C571" i="6" s="1"/>
  <c r="C345" i="6"/>
  <c r="C570" i="6" s="1"/>
  <c r="C344" i="6"/>
  <c r="C569" i="6" s="1"/>
  <c r="C343" i="6"/>
  <c r="C568" i="6" s="1"/>
  <c r="C182" i="6"/>
  <c r="C482" i="6" s="1"/>
  <c r="C107" i="6"/>
  <c r="C407" i="6" s="1"/>
  <c r="C332" i="6"/>
  <c r="C632" i="6" s="1"/>
  <c r="C257" i="6"/>
  <c r="C557" i="6" s="1"/>
  <c r="C331" i="6"/>
  <c r="C631" i="6" s="1"/>
  <c r="C256" i="6"/>
  <c r="C556" i="6" s="1"/>
  <c r="C181" i="6"/>
  <c r="C481" i="6" s="1"/>
  <c r="C106" i="6"/>
  <c r="C406" i="6" s="1"/>
  <c r="C108" i="6"/>
  <c r="C408" i="6" s="1"/>
  <c r="C333" i="6"/>
  <c r="C633" i="6" s="1"/>
  <c r="C258" i="6"/>
  <c r="C558" i="6" s="1"/>
  <c r="C183" i="6"/>
  <c r="C483" i="6" s="1"/>
  <c r="C105" i="6"/>
  <c r="C405" i="6" s="1"/>
  <c r="C255" i="6"/>
  <c r="C555" i="6" s="1"/>
  <c r="C330" i="6"/>
  <c r="C630" i="6" s="1"/>
  <c r="C180" i="6"/>
  <c r="C480" i="6" s="1"/>
  <c r="D30" i="19"/>
  <c r="C15" i="6"/>
  <c r="C14" i="6"/>
  <c r="C12" i="6"/>
  <c r="D556" i="6" l="1"/>
  <c r="C856" i="6"/>
  <c r="A556" i="6"/>
  <c r="B556" i="6"/>
  <c r="C1219" i="6"/>
  <c r="F994" i="6"/>
  <c r="E994" i="6"/>
  <c r="A631" i="6"/>
  <c r="C931" i="6"/>
  <c r="D631" i="6"/>
  <c r="B631" i="6"/>
  <c r="E991" i="6"/>
  <c r="C1216" i="6"/>
  <c r="F991" i="6"/>
  <c r="G991" i="6" s="1"/>
  <c r="D809" i="6"/>
  <c r="C1034" i="6"/>
  <c r="B809" i="6"/>
  <c r="F809" i="6"/>
  <c r="G809" i="6" s="1"/>
  <c r="A809" i="6"/>
  <c r="D630" i="6"/>
  <c r="C930" i="6"/>
  <c r="B630" i="6"/>
  <c r="A630" i="6"/>
  <c r="F1032" i="6"/>
  <c r="G1032" i="6" s="1"/>
  <c r="C1257" i="6"/>
  <c r="B1032" i="6"/>
  <c r="A1032" i="6"/>
  <c r="D1032" i="6"/>
  <c r="C705" i="6"/>
  <c r="B405" i="6"/>
  <c r="A405" i="6"/>
  <c r="D405" i="6"/>
  <c r="D482" i="6"/>
  <c r="C782" i="6"/>
  <c r="A482" i="6"/>
  <c r="B482" i="6"/>
  <c r="E644" i="6"/>
  <c r="C869" i="6"/>
  <c r="B644" i="6"/>
  <c r="A644" i="6"/>
  <c r="G548" i="6"/>
  <c r="C988" i="6"/>
  <c r="F763" i="6"/>
  <c r="G763" i="6" s="1"/>
  <c r="E763" i="6"/>
  <c r="A558" i="6"/>
  <c r="B558" i="6"/>
  <c r="C858" i="6"/>
  <c r="D558" i="6"/>
  <c r="E570" i="6"/>
  <c r="C795" i="6"/>
  <c r="A570" i="6"/>
  <c r="B570" i="6"/>
  <c r="E568" i="6"/>
  <c r="C793" i="6"/>
  <c r="A568" i="6"/>
  <c r="B568" i="6"/>
  <c r="F954" i="6"/>
  <c r="G954" i="6" s="1"/>
  <c r="G965" i="6" s="1"/>
  <c r="D954" i="6"/>
  <c r="C1179" i="6"/>
  <c r="B954" i="6"/>
  <c r="A954" i="6"/>
  <c r="C794" i="6"/>
  <c r="E569" i="6"/>
  <c r="B569" i="6"/>
  <c r="A569" i="6"/>
  <c r="F1039" i="6"/>
  <c r="G1039" i="6" s="1"/>
  <c r="C1264" i="6"/>
  <c r="D1039" i="6"/>
  <c r="B1039" i="6"/>
  <c r="A1039" i="6"/>
  <c r="D811" i="6"/>
  <c r="C1036" i="6"/>
  <c r="F811" i="6"/>
  <c r="G811" i="6" s="1"/>
  <c r="B811" i="6"/>
  <c r="A811" i="6"/>
  <c r="F1037" i="6"/>
  <c r="G1037" i="6" s="1"/>
  <c r="C1262" i="6"/>
  <c r="D1037" i="6"/>
  <c r="B1037" i="6"/>
  <c r="A1037" i="6"/>
  <c r="A633" i="6"/>
  <c r="C933" i="6"/>
  <c r="B633" i="6"/>
  <c r="D633" i="6"/>
  <c r="E645" i="6"/>
  <c r="A645" i="6"/>
  <c r="C870" i="6"/>
  <c r="B645" i="6"/>
  <c r="C1212" i="6"/>
  <c r="F987" i="6"/>
  <c r="G987" i="6" s="1"/>
  <c r="E987" i="6"/>
  <c r="F765" i="6"/>
  <c r="G765" i="6" s="1"/>
  <c r="C990" i="6"/>
  <c r="E765" i="6"/>
  <c r="F993" i="6"/>
  <c r="G993" i="6" s="1"/>
  <c r="C1218" i="6"/>
  <c r="E993" i="6"/>
  <c r="C796" i="6"/>
  <c r="B571" i="6"/>
  <c r="A571" i="6"/>
  <c r="E571" i="6"/>
  <c r="E698" i="6"/>
  <c r="E548" i="6"/>
  <c r="A483" i="6"/>
  <c r="C783" i="6"/>
  <c r="B483" i="6"/>
  <c r="D483" i="6"/>
  <c r="F992" i="6"/>
  <c r="G992" i="6" s="1"/>
  <c r="C1217" i="6"/>
  <c r="E992" i="6"/>
  <c r="F838" i="6"/>
  <c r="G838" i="6" s="1"/>
  <c r="E838" i="6"/>
  <c r="C1063" i="6"/>
  <c r="A408" i="6"/>
  <c r="C708" i="6"/>
  <c r="B408" i="6"/>
  <c r="D408" i="6"/>
  <c r="C944" i="6"/>
  <c r="E719" i="6"/>
  <c r="A719" i="6"/>
  <c r="B719" i="6"/>
  <c r="D406" i="6"/>
  <c r="B406" i="6"/>
  <c r="A406" i="6"/>
  <c r="C706" i="6"/>
  <c r="G994" i="6"/>
  <c r="D1219" i="6"/>
  <c r="F1038" i="6"/>
  <c r="G1038" i="6" s="1"/>
  <c r="C1263" i="6"/>
  <c r="D1038" i="6"/>
  <c r="A1038" i="6"/>
  <c r="B1038" i="6"/>
  <c r="A481" i="6"/>
  <c r="B481" i="6"/>
  <c r="C781" i="6"/>
  <c r="D481" i="6"/>
  <c r="C1062" i="6"/>
  <c r="F837" i="6"/>
  <c r="G837" i="6" s="1"/>
  <c r="E837" i="6"/>
  <c r="E912" i="6"/>
  <c r="E923" i="6" s="1"/>
  <c r="C1137" i="6"/>
  <c r="F912" i="6"/>
  <c r="G912" i="6" s="1"/>
  <c r="G923" i="6" s="1"/>
  <c r="B720" i="6"/>
  <c r="A720" i="6"/>
  <c r="C945" i="6"/>
  <c r="E720" i="6"/>
  <c r="F1031" i="6"/>
  <c r="G1031" i="6" s="1"/>
  <c r="B1031" i="6"/>
  <c r="A1031" i="6"/>
  <c r="C1256" i="6"/>
  <c r="D1031" i="6"/>
  <c r="F764" i="6"/>
  <c r="G764" i="6" s="1"/>
  <c r="G773" i="6" s="1"/>
  <c r="C989" i="6"/>
  <c r="E764" i="6"/>
  <c r="E773" i="6" s="1"/>
  <c r="F914" i="6"/>
  <c r="G914" i="6" s="1"/>
  <c r="C1139" i="6"/>
  <c r="E914" i="6"/>
  <c r="F804" i="6"/>
  <c r="G804" i="6" s="1"/>
  <c r="G815" i="6" s="1"/>
  <c r="D804" i="6"/>
  <c r="A804" i="6"/>
  <c r="C1029" i="6"/>
  <c r="B804" i="6"/>
  <c r="G590" i="6"/>
  <c r="A480" i="6"/>
  <c r="B480" i="6"/>
  <c r="D480" i="6"/>
  <c r="C780" i="6"/>
  <c r="C857" i="6"/>
  <c r="D557" i="6"/>
  <c r="A557" i="6"/>
  <c r="B557" i="6"/>
  <c r="C932" i="6"/>
  <c r="A632" i="6"/>
  <c r="B632" i="6"/>
  <c r="D632" i="6"/>
  <c r="F1030" i="6"/>
  <c r="G1030" i="6" s="1"/>
  <c r="C1255" i="6"/>
  <c r="A1030" i="6"/>
  <c r="D1030" i="6"/>
  <c r="B1030" i="6"/>
  <c r="C943" i="6"/>
  <c r="E718" i="6"/>
  <c r="B718" i="6"/>
  <c r="A718" i="6"/>
  <c r="F810" i="6"/>
  <c r="G810" i="6" s="1"/>
  <c r="C1035" i="6"/>
  <c r="D810" i="6"/>
  <c r="B810" i="6"/>
  <c r="A810" i="6"/>
  <c r="E643" i="6"/>
  <c r="C868" i="6"/>
  <c r="A643" i="6"/>
  <c r="B643" i="6"/>
  <c r="F808" i="6"/>
  <c r="G808" i="6" s="1"/>
  <c r="B808" i="6"/>
  <c r="C1033" i="6"/>
  <c r="D808" i="6"/>
  <c r="A808" i="6"/>
  <c r="C855" i="6"/>
  <c r="D555" i="6"/>
  <c r="B555" i="6"/>
  <c r="A555" i="6"/>
  <c r="D407" i="6"/>
  <c r="C707" i="6"/>
  <c r="A407" i="6"/>
  <c r="B407" i="6"/>
  <c r="C946" i="6"/>
  <c r="E721" i="6"/>
  <c r="A721" i="6"/>
  <c r="B721" i="6"/>
  <c r="E913" i="6"/>
  <c r="F913" i="6"/>
  <c r="G913" i="6" s="1"/>
  <c r="C1138" i="6"/>
  <c r="E646" i="6"/>
  <c r="C871" i="6"/>
  <c r="B646" i="6"/>
  <c r="A646" i="6"/>
  <c r="C5" i="28"/>
  <c r="C4" i="28"/>
  <c r="C3" i="28"/>
  <c r="C2" i="28"/>
  <c r="C1" i="28"/>
  <c r="F10" i="27"/>
  <c r="C6" i="27"/>
  <c r="C5" i="27"/>
  <c r="C4" i="27"/>
  <c r="C3" i="27"/>
  <c r="C2" i="27"/>
  <c r="C1" i="27"/>
  <c r="E944" i="6" l="1"/>
  <c r="C1169" i="6"/>
  <c r="B944" i="6"/>
  <c r="A944" i="6"/>
  <c r="F990" i="6"/>
  <c r="G990" i="6" s="1"/>
  <c r="C1215" i="6"/>
  <c r="E990" i="6"/>
  <c r="F1217" i="6"/>
  <c r="G1217" i="6" s="1"/>
  <c r="E1217" i="6"/>
  <c r="C1096" i="6"/>
  <c r="E871" i="6"/>
  <c r="B871" i="6"/>
  <c r="A871" i="6"/>
  <c r="E868" i="6"/>
  <c r="C1093" i="6"/>
  <c r="A868" i="6"/>
  <c r="B868" i="6"/>
  <c r="D780" i="6"/>
  <c r="C1080" i="6"/>
  <c r="B780" i="6"/>
  <c r="A780" i="6"/>
  <c r="F1179" i="6"/>
  <c r="G1179" i="6" s="1"/>
  <c r="G1190" i="6" s="1"/>
  <c r="D1179" i="6"/>
  <c r="B1179" i="6"/>
  <c r="A1179" i="6"/>
  <c r="A858" i="6"/>
  <c r="C1158" i="6"/>
  <c r="B858" i="6"/>
  <c r="D858" i="6"/>
  <c r="D1255" i="6"/>
  <c r="B1255" i="6"/>
  <c r="F1255" i="6"/>
  <c r="G1255" i="6" s="1"/>
  <c r="A1255" i="6"/>
  <c r="C1082" i="6"/>
  <c r="A782" i="6"/>
  <c r="D782" i="6"/>
  <c r="B782" i="6"/>
  <c r="D1263" i="6"/>
  <c r="F1263" i="6"/>
  <c r="G1263" i="6" s="1"/>
  <c r="B1263" i="6"/>
  <c r="A1263" i="6"/>
  <c r="A783" i="6"/>
  <c r="C1083" i="6"/>
  <c r="B783" i="6"/>
  <c r="D783" i="6"/>
  <c r="D930" i="6"/>
  <c r="C1230" i="6"/>
  <c r="B930" i="6"/>
  <c r="A930" i="6"/>
  <c r="C1231" i="6"/>
  <c r="D931" i="6"/>
  <c r="A931" i="6"/>
  <c r="B931" i="6"/>
  <c r="C1155" i="6"/>
  <c r="D855" i="6"/>
  <c r="B855" i="6"/>
  <c r="A855" i="6"/>
  <c r="G1219" i="6"/>
  <c r="A708" i="6"/>
  <c r="C1008" i="6"/>
  <c r="B708" i="6"/>
  <c r="D708" i="6"/>
  <c r="B1264" i="6"/>
  <c r="A1264" i="6"/>
  <c r="F1264" i="6"/>
  <c r="G1264" i="6" s="1"/>
  <c r="D1264" i="6"/>
  <c r="E848" i="6"/>
  <c r="F1035" i="6"/>
  <c r="G1035" i="6" s="1"/>
  <c r="D1035" i="6"/>
  <c r="B1035" i="6"/>
  <c r="C1260" i="6"/>
  <c r="A1035" i="6"/>
  <c r="F1256" i="6"/>
  <c r="G1256" i="6" s="1"/>
  <c r="D1256" i="6"/>
  <c r="B1256" i="6"/>
  <c r="A1256" i="6"/>
  <c r="G848" i="6"/>
  <c r="F1029" i="6"/>
  <c r="G1029" i="6" s="1"/>
  <c r="C1254" i="6"/>
  <c r="D1029" i="6"/>
  <c r="B1029" i="6"/>
  <c r="A1029" i="6"/>
  <c r="E1062" i="6"/>
  <c r="C1287" i="6"/>
  <c r="F1062" i="6"/>
  <c r="G1062" i="6" s="1"/>
  <c r="G1073" i="6" s="1"/>
  <c r="B706" i="6"/>
  <c r="C1006" i="6"/>
  <c r="A706" i="6"/>
  <c r="D706" i="6"/>
  <c r="C1288" i="6"/>
  <c r="F1063" i="6"/>
  <c r="G1063" i="6" s="1"/>
  <c r="E1063" i="6"/>
  <c r="F1212" i="6"/>
  <c r="G1212" i="6" s="1"/>
  <c r="E1212" i="6"/>
  <c r="F1262" i="6"/>
  <c r="G1262" i="6" s="1"/>
  <c r="D1262" i="6"/>
  <c r="B1262" i="6"/>
  <c r="A1262" i="6"/>
  <c r="E793" i="6"/>
  <c r="C1018" i="6"/>
  <c r="A793" i="6"/>
  <c r="B793" i="6"/>
  <c r="E988" i="6"/>
  <c r="F988" i="6"/>
  <c r="G988" i="6" s="1"/>
  <c r="G998" i="6" s="1"/>
  <c r="C1213" i="6"/>
  <c r="F1137" i="6"/>
  <c r="G1137" i="6" s="1"/>
  <c r="E1137" i="6"/>
  <c r="E1148" i="6" s="1"/>
  <c r="C1005" i="6"/>
  <c r="D705" i="6"/>
  <c r="B705" i="6"/>
  <c r="A705" i="6"/>
  <c r="F1219" i="6"/>
  <c r="E1219" i="6"/>
  <c r="A933" i="6"/>
  <c r="B933" i="6"/>
  <c r="C1233" i="6"/>
  <c r="D933" i="6"/>
  <c r="E1138" i="6"/>
  <c r="F1138" i="6"/>
  <c r="G1138" i="6" s="1"/>
  <c r="F989" i="6"/>
  <c r="G989" i="6" s="1"/>
  <c r="C1214" i="6"/>
  <c r="E989" i="6"/>
  <c r="E998" i="6" s="1"/>
  <c r="E946" i="6"/>
  <c r="C1171" i="6"/>
  <c r="A946" i="6"/>
  <c r="B946" i="6"/>
  <c r="E870" i="6"/>
  <c r="C1095" i="6"/>
  <c r="A870" i="6"/>
  <c r="B870" i="6"/>
  <c r="E796" i="6"/>
  <c r="C1021" i="6"/>
  <c r="B796" i="6"/>
  <c r="A796" i="6"/>
  <c r="A794" i="6"/>
  <c r="C1019" i="6"/>
  <c r="E794" i="6"/>
  <c r="B794" i="6"/>
  <c r="F1033" i="6"/>
  <c r="G1033" i="6" s="1"/>
  <c r="C1258" i="6"/>
  <c r="D1033" i="6"/>
  <c r="B1033" i="6"/>
  <c r="A1033" i="6"/>
  <c r="C1232" i="6"/>
  <c r="D932" i="6"/>
  <c r="A932" i="6"/>
  <c r="B932" i="6"/>
  <c r="A781" i="6"/>
  <c r="C1081" i="6"/>
  <c r="D781" i="6"/>
  <c r="B781" i="6"/>
  <c r="F1034" i="6"/>
  <c r="G1034" i="6" s="1"/>
  <c r="C1259" i="6"/>
  <c r="B1034" i="6"/>
  <c r="A1034" i="6"/>
  <c r="D1034" i="6"/>
  <c r="E943" i="6"/>
  <c r="C1168" i="6"/>
  <c r="A943" i="6"/>
  <c r="B943" i="6"/>
  <c r="E945" i="6"/>
  <c r="A945" i="6"/>
  <c r="C1170" i="6"/>
  <c r="B945" i="6"/>
  <c r="E795" i="6"/>
  <c r="C1020" i="6"/>
  <c r="A795" i="6"/>
  <c r="B795" i="6"/>
  <c r="C1094" i="6"/>
  <c r="E869" i="6"/>
  <c r="B869" i="6"/>
  <c r="A869" i="6"/>
  <c r="A856" i="6"/>
  <c r="D856" i="6"/>
  <c r="C1156" i="6"/>
  <c r="B856" i="6"/>
  <c r="C1007" i="6"/>
  <c r="D707" i="6"/>
  <c r="B707" i="6"/>
  <c r="A707" i="6"/>
  <c r="C1157" i="6"/>
  <c r="D857" i="6"/>
  <c r="A857" i="6"/>
  <c r="B857" i="6"/>
  <c r="F1139" i="6"/>
  <c r="G1139" i="6" s="1"/>
  <c r="E1139" i="6"/>
  <c r="F1218" i="6"/>
  <c r="G1218" i="6" s="1"/>
  <c r="E1218" i="6"/>
  <c r="F1036" i="6"/>
  <c r="G1036" i="6" s="1"/>
  <c r="C1261" i="6"/>
  <c r="A1036" i="6"/>
  <c r="B1036" i="6"/>
  <c r="D1036" i="6"/>
  <c r="D1257" i="6"/>
  <c r="F1257" i="6"/>
  <c r="G1257" i="6" s="1"/>
  <c r="B1257" i="6"/>
  <c r="A1257" i="6"/>
  <c r="E1216" i="6"/>
  <c r="F1216" i="6"/>
  <c r="G1216" i="6" s="1"/>
  <c r="B51" i="2"/>
  <c r="B55" i="2"/>
  <c r="E55" i="2"/>
  <c r="E51" i="2"/>
  <c r="B1258" i="6" l="1"/>
  <c r="A1258" i="6"/>
  <c r="F1258" i="6"/>
  <c r="G1258" i="6" s="1"/>
  <c r="D1258" i="6"/>
  <c r="G1148" i="6"/>
  <c r="E1073" i="6"/>
  <c r="B1080" i="6"/>
  <c r="A1080" i="6"/>
  <c r="D1080" i="6"/>
  <c r="C1307" i="6"/>
  <c r="A1007" i="6"/>
  <c r="B1007" i="6"/>
  <c r="D1007" i="6"/>
  <c r="D1259" i="6"/>
  <c r="F1259" i="6"/>
  <c r="G1259" i="6" s="1"/>
  <c r="B1259" i="6"/>
  <c r="A1259" i="6"/>
  <c r="D1231" i="6"/>
  <c r="B1231" i="6"/>
  <c r="A1231" i="6"/>
  <c r="D1157" i="6"/>
  <c r="A1157" i="6"/>
  <c r="B1157" i="6"/>
  <c r="E1018" i="6"/>
  <c r="C1243" i="6"/>
  <c r="A1018" i="6"/>
  <c r="B1018" i="6"/>
  <c r="E1095" i="6"/>
  <c r="C1320" i="6"/>
  <c r="A1095" i="6"/>
  <c r="B1095" i="6"/>
  <c r="F1260" i="6"/>
  <c r="G1260" i="6" s="1"/>
  <c r="D1260" i="6"/>
  <c r="B1260" i="6"/>
  <c r="A1260" i="6"/>
  <c r="A1158" i="6"/>
  <c r="B1158" i="6"/>
  <c r="D1158" i="6"/>
  <c r="A1081" i="6"/>
  <c r="D1081" i="6"/>
  <c r="B1081" i="6"/>
  <c r="A1008" i="6"/>
  <c r="B1008" i="6"/>
  <c r="C1308" i="6"/>
  <c r="D1008" i="6"/>
  <c r="G1223" i="6"/>
  <c r="E1019" i="6"/>
  <c r="B1019" i="6"/>
  <c r="A1019" i="6"/>
  <c r="C1244" i="6"/>
  <c r="F1254" i="6"/>
  <c r="G1254" i="6" s="1"/>
  <c r="G1265" i="6" s="1"/>
  <c r="D1254" i="6"/>
  <c r="B1254" i="6"/>
  <c r="A1254" i="6"/>
  <c r="B1230" i="6"/>
  <c r="D1230" i="6"/>
  <c r="A1230" i="6"/>
  <c r="E1093" i="6"/>
  <c r="A1093" i="6"/>
  <c r="C1318" i="6"/>
  <c r="B1093" i="6"/>
  <c r="F1215" i="6"/>
  <c r="G1215" i="6" s="1"/>
  <c r="E1215" i="6"/>
  <c r="A1094" i="6"/>
  <c r="C1319" i="6"/>
  <c r="B1094" i="6"/>
  <c r="E1094" i="6"/>
  <c r="B1232" i="6"/>
  <c r="A1232" i="6"/>
  <c r="D1232" i="6"/>
  <c r="F1287" i="6"/>
  <c r="G1287" i="6" s="1"/>
  <c r="E1287" i="6"/>
  <c r="D1156" i="6"/>
  <c r="B1156" i="6"/>
  <c r="A1156" i="6"/>
  <c r="E1170" i="6"/>
  <c r="A1170" i="6"/>
  <c r="B1170" i="6"/>
  <c r="C1246" i="6"/>
  <c r="E1021" i="6"/>
  <c r="B1021" i="6"/>
  <c r="A1021" i="6"/>
  <c r="E1223" i="6"/>
  <c r="A1233" i="6"/>
  <c r="B1233" i="6"/>
  <c r="D1233" i="6"/>
  <c r="E1213" i="6"/>
  <c r="F1213" i="6"/>
  <c r="G1213" i="6" s="1"/>
  <c r="E1171" i="6"/>
  <c r="B1171" i="6"/>
  <c r="A1171" i="6"/>
  <c r="F1288" i="6"/>
  <c r="G1288" i="6" s="1"/>
  <c r="E1288" i="6"/>
  <c r="G1040" i="6"/>
  <c r="E1168" i="6"/>
  <c r="A1168" i="6"/>
  <c r="B1168" i="6"/>
  <c r="D1082" i="6"/>
  <c r="A1082" i="6"/>
  <c r="B1082" i="6"/>
  <c r="A1006" i="6"/>
  <c r="C1306" i="6"/>
  <c r="D1006" i="6"/>
  <c r="B1006" i="6"/>
  <c r="D1261" i="6"/>
  <c r="B1261" i="6"/>
  <c r="F1261" i="6"/>
  <c r="G1261" i="6" s="1"/>
  <c r="A1261" i="6"/>
  <c r="A1083" i="6"/>
  <c r="B1083" i="6"/>
  <c r="D1083" i="6"/>
  <c r="F1214" i="6"/>
  <c r="G1214" i="6" s="1"/>
  <c r="E1214" i="6"/>
  <c r="D1155" i="6"/>
  <c r="B1155" i="6"/>
  <c r="A1155" i="6"/>
  <c r="E1169" i="6"/>
  <c r="B1169" i="6"/>
  <c r="A1169" i="6"/>
  <c r="E1020" i="6"/>
  <c r="A1020" i="6"/>
  <c r="C1245" i="6"/>
  <c r="B1020" i="6"/>
  <c r="B1005" i="6"/>
  <c r="A1005" i="6"/>
  <c r="C1305" i="6"/>
  <c r="D1005" i="6"/>
  <c r="C1321" i="6"/>
  <c r="B1096" i="6"/>
  <c r="A1096" i="6"/>
  <c r="E1096"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A361" i="6"/>
  <c r="F360" i="6"/>
  <c r="G360" i="6" s="1"/>
  <c r="D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A271" i="6"/>
  <c r="E270" i="6"/>
  <c r="A270" i="6"/>
  <c r="E269" i="6"/>
  <c r="A269" i="6"/>
  <c r="E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A136" i="6"/>
  <c r="D135" i="6"/>
  <c r="A135" i="6"/>
  <c r="F134" i="6"/>
  <c r="G134" i="6" s="1"/>
  <c r="D134" i="6"/>
  <c r="A134" i="6"/>
  <c r="F133" i="6"/>
  <c r="G133" i="6" s="1"/>
  <c r="D133" i="6"/>
  <c r="A133" i="6"/>
  <c r="F132" i="6"/>
  <c r="G132" i="6" s="1"/>
  <c r="D132" i="6"/>
  <c r="A132" i="6"/>
  <c r="F131" i="6"/>
  <c r="D131" i="6"/>
  <c r="A131" i="6"/>
  <c r="F130" i="6"/>
  <c r="G130" i="6" s="1"/>
  <c r="D130" i="6"/>
  <c r="A130" i="6"/>
  <c r="F129" i="6"/>
  <c r="D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B1321" i="6" l="1"/>
  <c r="A1321" i="6"/>
  <c r="E1321" i="6"/>
  <c r="D1307" i="6"/>
  <c r="E1307" i="6" s="1"/>
  <c r="A1307" i="6"/>
  <c r="B1307" i="6"/>
  <c r="A1308" i="6"/>
  <c r="B1308" i="6"/>
  <c r="D1308" i="6"/>
  <c r="E1308" i="6" s="1"/>
  <c r="B1305" i="6"/>
  <c r="A1305" i="6"/>
  <c r="D1305" i="6"/>
  <c r="E1233" i="6"/>
  <c r="B1319" i="6"/>
  <c r="A1319" i="6"/>
  <c r="E1319" i="6"/>
  <c r="E1231" i="6"/>
  <c r="A1306" i="6"/>
  <c r="D1306" i="6"/>
  <c r="B1306" i="6"/>
  <c r="B1244" i="6"/>
  <c r="E1244" i="6"/>
  <c r="A1244" i="6"/>
  <c r="E1320" i="6"/>
  <c r="A1320" i="6"/>
  <c r="B1320" i="6"/>
  <c r="E1245" i="6"/>
  <c r="B1245" i="6"/>
  <c r="A1245" i="6"/>
  <c r="E1298" i="6"/>
  <c r="E1318" i="6"/>
  <c r="A1318" i="6"/>
  <c r="B1318" i="6"/>
  <c r="G1298" i="6"/>
  <c r="E1232" i="6"/>
  <c r="E1243" i="6"/>
  <c r="B1243" i="6"/>
  <c r="A1243" i="6"/>
  <c r="B1246" i="6"/>
  <c r="A1246" i="6"/>
  <c r="E1246" i="6"/>
  <c r="G146" i="6"/>
  <c r="G221" i="6"/>
  <c r="E323" i="6"/>
  <c r="E1083" i="6" s="1"/>
  <c r="G348" i="6"/>
  <c r="G349" i="6"/>
  <c r="G347" i="6"/>
  <c r="G365" i="6"/>
  <c r="G272" i="6"/>
  <c r="G371"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E406" i="6" l="1"/>
  <c r="E405" i="6"/>
  <c r="E630" i="6"/>
  <c r="E407" i="6"/>
  <c r="E482" i="6"/>
  <c r="E632" i="6"/>
  <c r="E480" i="6"/>
  <c r="E556" i="6"/>
  <c r="E631" i="6"/>
  <c r="E555" i="6"/>
  <c r="E481" i="6"/>
  <c r="E557" i="6"/>
  <c r="E706" i="6"/>
  <c r="E780" i="6"/>
  <c r="E707" i="6"/>
  <c r="E856" i="6"/>
  <c r="E931" i="6"/>
  <c r="E781" i="6"/>
  <c r="E930" i="6"/>
  <c r="E782" i="6"/>
  <c r="E705" i="6"/>
  <c r="E857" i="6"/>
  <c r="E855" i="6"/>
  <c r="E932" i="6"/>
  <c r="E1305" i="6"/>
  <c r="E1008" i="6"/>
  <c r="E1007" i="6"/>
  <c r="E1156" i="6"/>
  <c r="E1306" i="6"/>
  <c r="E1080" i="6"/>
  <c r="E1157" i="6"/>
  <c r="E1006" i="6"/>
  <c r="E483" i="6"/>
  <c r="E408" i="6"/>
  <c r="E633" i="6"/>
  <c r="E558" i="6"/>
  <c r="E708" i="6"/>
  <c r="E933" i="6"/>
  <c r="E783" i="6"/>
  <c r="E858" i="6"/>
  <c r="E1082" i="6"/>
  <c r="E1155" i="6"/>
  <c r="E1005" i="6"/>
  <c r="E1158" i="6"/>
  <c r="E1230" i="6"/>
  <c r="E1081" i="6"/>
  <c r="G290" i="6"/>
  <c r="G140" i="6"/>
  <c r="G215" i="6"/>
  <c r="B17" i="9"/>
  <c r="B14" i="9"/>
  <c r="A21" i="2"/>
  <c r="A19" i="2"/>
  <c r="B18" i="9"/>
  <c r="B16" i="9"/>
  <c r="B23" i="9"/>
  <c r="A25" i="2"/>
  <c r="B22" i="9"/>
  <c r="B19" i="9"/>
  <c r="A17" i="2"/>
  <c r="A22" i="2"/>
  <c r="A26" i="2"/>
  <c r="B15" i="9"/>
  <c r="B21" i="9"/>
  <c r="A24" i="2"/>
  <c r="A20" i="2"/>
  <c r="A23" i="2"/>
  <c r="B20" i="9"/>
  <c r="B13" i="9"/>
  <c r="A18" i="2"/>
  <c r="C41" i="9" l="1"/>
  <c r="C40" i="9"/>
  <c r="C39" i="9"/>
  <c r="C38" i="9"/>
  <c r="C37" i="9"/>
  <c r="E19" i="2"/>
  <c r="E24" i="2"/>
  <c r="A16" i="28"/>
  <c r="A16" i="27" s="1"/>
  <c r="A19" i="28"/>
  <c r="A19" i="27" s="1"/>
  <c r="A20" i="28"/>
  <c r="A20" i="27" s="1"/>
  <c r="A17" i="28"/>
  <c r="A17" i="27" s="1"/>
  <c r="A15" i="28"/>
  <c r="A15" i="27" s="1"/>
  <c r="A13" i="28"/>
  <c r="A13" i="27" s="1"/>
  <c r="A18" i="28"/>
  <c r="A18" i="27" s="1"/>
  <c r="A14" i="28"/>
  <c r="A14" i="27" s="1"/>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54" i="2" l="1"/>
  <c r="B54" i="2"/>
  <c r="E52" i="2"/>
  <c r="B52" i="2"/>
  <c r="E49" i="2"/>
  <c r="B49" i="2"/>
  <c r="F49" i="6"/>
  <c r="G49" i="6" s="1"/>
  <c r="F47" i="6"/>
  <c r="G47"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4" i="6" l="1"/>
  <c r="D35" i="6"/>
  <c r="D36" i="6"/>
  <c r="D37" i="6"/>
  <c r="D38" i="6"/>
  <c r="A31"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1" i="6" l="1"/>
  <c r="F32" i="6"/>
  <c r="F33" i="6"/>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5" i="6" l="1"/>
  <c r="G50" i="6"/>
  <c r="B85" i="18" l="1"/>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L62" i="20" s="1"/>
  <c r="O13" i="20"/>
  <c r="O4" i="20"/>
  <c r="E51" i="19"/>
  <c r="E48" i="19"/>
  <c r="E45" i="19"/>
  <c r="E42" i="19"/>
  <c r="E39" i="19"/>
  <c r="E36" i="19"/>
  <c r="D22" i="19"/>
  <c r="D19" i="19"/>
  <c r="D16" i="19"/>
  <c r="D13" i="19"/>
  <c r="D10" i="19"/>
  <c r="B5" i="19"/>
  <c r="E4" i="19"/>
  <c r="B4" i="19"/>
  <c r="B3" i="19"/>
  <c r="B2" i="19"/>
  <c r="A28" i="18"/>
  <c r="A38" i="18"/>
  <c r="A42" i="18"/>
  <c r="A59" i="18"/>
  <c r="A25" i="18"/>
  <c r="A64" i="18"/>
  <c r="A36" i="18"/>
  <c r="A43" i="18"/>
  <c r="A41" i="18"/>
  <c r="A70" i="18"/>
  <c r="A69" i="18"/>
  <c r="A27" i="18"/>
  <c r="A62" i="18"/>
  <c r="A51" i="18"/>
  <c r="A31" i="18"/>
  <c r="A26" i="18"/>
  <c r="A53" i="18"/>
  <c r="A54" i="18"/>
  <c r="A55" i="18"/>
  <c r="A35" i="18"/>
  <c r="A56" i="18"/>
  <c r="A75" i="18"/>
  <c r="A39" i="18"/>
  <c r="A24" i="18"/>
  <c r="A40" i="18"/>
  <c r="A50" i="18"/>
  <c r="A45" i="18"/>
  <c r="A67" i="18"/>
  <c r="A47" i="18"/>
  <c r="A46" i="18"/>
  <c r="A21" i="18"/>
  <c r="A65" i="18"/>
  <c r="A32" i="18"/>
  <c r="A17" i="18"/>
  <c r="A72" i="18"/>
  <c r="A52" i="18"/>
  <c r="A73" i="18"/>
  <c r="A66" i="18"/>
  <c r="A61" i="18"/>
  <c r="A30" i="18"/>
  <c r="A34" i="18"/>
  <c r="A74" i="18"/>
  <c r="A68" i="18"/>
  <c r="A33" i="18"/>
  <c r="A63" i="18"/>
  <c r="A48" i="18"/>
  <c r="A44" i="18"/>
  <c r="A57" i="18"/>
  <c r="A29" i="18"/>
  <c r="A37" i="18"/>
  <c r="A71" i="18"/>
  <c r="A49" i="18"/>
  <c r="A58" i="18"/>
  <c r="A60" i="18"/>
  <c r="D35" i="18" l="1"/>
  <c r="D37" i="18"/>
  <c r="D39" i="18"/>
  <c r="D36" i="18"/>
  <c r="D38" i="18"/>
  <c r="D33" i="18"/>
  <c r="D28" i="18"/>
  <c r="D31" i="18"/>
  <c r="D30" i="18"/>
  <c r="D32" i="18"/>
  <c r="D34" i="18"/>
  <c r="D29" i="18"/>
  <c r="M44" i="21"/>
  <c r="D332" i="6"/>
  <c r="E332" i="6" s="1"/>
  <c r="D182" i="6"/>
  <c r="E182" i="6" s="1"/>
  <c r="D107" i="6"/>
  <c r="E107" i="6" s="1"/>
  <c r="D257" i="6"/>
  <c r="E257" i="6" s="1"/>
  <c r="D32" i="6"/>
  <c r="E32" i="6" s="1"/>
  <c r="G32" i="6" s="1"/>
  <c r="K36" i="20"/>
  <c r="K41" i="21"/>
  <c r="K44" i="20"/>
  <c r="I45" i="21"/>
  <c r="I60" i="21"/>
  <c r="I39" i="21"/>
  <c r="I63" i="21"/>
  <c r="I64" i="21"/>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D30" i="6"/>
  <c r="E30" i="6" s="1"/>
  <c r="G30" i="6" s="1"/>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8" i="18"/>
  <c r="A16" i="18"/>
  <c r="A22" i="18"/>
  <c r="A19" i="18"/>
  <c r="A20" i="18"/>
  <c r="A23" i="18"/>
  <c r="D183" i="6" l="1"/>
  <c r="E183" i="6" s="1"/>
  <c r="D258" i="6"/>
  <c r="E258" i="6" s="1"/>
  <c r="D108" i="6"/>
  <c r="E108" i="6" s="1"/>
  <c r="D333" i="6"/>
  <c r="E333" i="6" s="1"/>
  <c r="D33" i="6"/>
  <c r="E33" i="6" s="1"/>
  <c r="G33" i="6" s="1"/>
  <c r="D180" i="6"/>
  <c r="E180" i="6" s="1"/>
  <c r="D105" i="6"/>
  <c r="E105" i="6" s="1"/>
  <c r="D255" i="6"/>
  <c r="E255" i="6" s="1"/>
  <c r="D330" i="6"/>
  <c r="E330" i="6" s="1"/>
  <c r="D256" i="6"/>
  <c r="E256" i="6" s="1"/>
  <c r="D181" i="6"/>
  <c r="E181" i="6" s="1"/>
  <c r="D106" i="6"/>
  <c r="E106" i="6" s="1"/>
  <c r="D331" i="6"/>
  <c r="E331" i="6" s="1"/>
  <c r="D31" i="6"/>
  <c r="E31" i="6" s="1"/>
  <c r="G31"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R678" i="12"/>
  <c r="Q678" i="12"/>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D51" i="15" l="1"/>
  <c r="D34" i="2" s="1"/>
  <c r="D55" i="15"/>
  <c r="D38" i="2" s="1"/>
  <c r="C37" i="18" s="1"/>
  <c r="D47" i="15"/>
  <c r="D30" i="2" s="1"/>
  <c r="D54" i="15"/>
  <c r="D37" i="2" s="1"/>
  <c r="C36" i="18" s="1"/>
  <c r="D52" i="15"/>
  <c r="D35" i="2" s="1"/>
  <c r="D56" i="15"/>
  <c r="D39" i="2" s="1"/>
  <c r="C38" i="18" s="1"/>
  <c r="D50" i="15"/>
  <c r="D33" i="2" s="1"/>
  <c r="C32" i="18" s="1"/>
  <c r="D53" i="15"/>
  <c r="D36" i="2" s="1"/>
  <c r="C35" i="18" s="1"/>
  <c r="D48" i="15"/>
  <c r="D31" i="2" s="1"/>
  <c r="D49" i="15"/>
  <c r="D32" i="2" s="1"/>
  <c r="D183" i="15"/>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40" i="2"/>
  <c r="C39" i="18" s="1"/>
  <c r="D45" i="15"/>
  <c r="D28" i="2" s="1"/>
  <c r="D43" i="15"/>
  <c r="D41" i="15"/>
  <c r="D39" i="15"/>
  <c r="D37" i="15"/>
  <c r="D35" i="15"/>
  <c r="A35" i="15" s="1"/>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55" i="15"/>
  <c r="B38" i="2" s="1"/>
  <c r="C53" i="15"/>
  <c r="B36" i="2" s="1"/>
  <c r="C51" i="15"/>
  <c r="B34" i="2" s="1"/>
  <c r="C49" i="15"/>
  <c r="B32" i="2" s="1"/>
  <c r="C47" i="15"/>
  <c r="B30" i="2" s="1"/>
  <c r="C45" i="15"/>
  <c r="B28" i="2" s="1"/>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46" i="15"/>
  <c r="D29" i="2" s="1"/>
  <c r="D44" i="15"/>
  <c r="D27" i="2" s="1"/>
  <c r="D42" i="15"/>
  <c r="D40" i="15"/>
  <c r="D38" i="15"/>
  <c r="D36" i="15"/>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56" i="15"/>
  <c r="B39" i="2" s="1"/>
  <c r="C54" i="15"/>
  <c r="B37" i="2" s="1"/>
  <c r="C52" i="15"/>
  <c r="B35" i="2" s="1"/>
  <c r="C50" i="15"/>
  <c r="B33" i="2" s="1"/>
  <c r="C48" i="15"/>
  <c r="B31" i="2" s="1"/>
  <c r="C46" i="15"/>
  <c r="B29" i="2" s="1"/>
  <c r="C44" i="15"/>
  <c r="B27" i="2" s="1"/>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B36" i="18" l="1"/>
  <c r="C33" i="9"/>
  <c r="B37" i="18"/>
  <c r="C34" i="9"/>
  <c r="B38" i="18"/>
  <c r="C35" i="9"/>
  <c r="C32" i="9"/>
  <c r="B35" i="18"/>
  <c r="B40" i="2"/>
  <c r="A36" i="15"/>
  <c r="C34" i="18"/>
  <c r="C33" i="18"/>
  <c r="C31" i="18"/>
  <c r="C30" i="18"/>
  <c r="C29" i="18"/>
  <c r="A37" i="15"/>
  <c r="C29" i="9"/>
  <c r="B32" i="18"/>
  <c r="C27" i="9"/>
  <c r="B30" i="18"/>
  <c r="C30" i="9"/>
  <c r="B33" i="18"/>
  <c r="C31" i="9"/>
  <c r="B34" i="18"/>
  <c r="C28" i="9"/>
  <c r="B31" i="18"/>
  <c r="C26" i="9"/>
  <c r="B29" i="18"/>
  <c r="A38" i="15"/>
  <c r="C36" i="8"/>
  <c r="C11" i="8"/>
  <c r="B39" i="18" l="1"/>
  <c r="C36" i="9"/>
  <c r="A39" i="15"/>
  <c r="A40" i="15" s="1"/>
  <c r="A41" i="15" s="1"/>
  <c r="A42" i="15" s="1"/>
  <c r="C75" i="8"/>
  <c r="C1" i="5"/>
  <c r="C1" i="4"/>
  <c r="A43" i="15" l="1"/>
  <c r="C10" i="2"/>
  <c r="C9" i="2"/>
  <c r="C8" i="2"/>
  <c r="C7" i="2"/>
  <c r="C5" i="2"/>
  <c r="C4" i="2"/>
  <c r="C3" i="2"/>
  <c r="C2" i="2"/>
  <c r="C1" i="2"/>
  <c r="A44" i="15" l="1"/>
  <c r="B1" i="8"/>
  <c r="A45" i="15" l="1"/>
  <c r="E17" i="14"/>
  <c r="E22" i="14"/>
  <c r="E26" i="14"/>
  <c r="E30" i="14"/>
  <c r="E34" i="14"/>
  <c r="E38" i="14"/>
  <c r="E42" i="14"/>
  <c r="E46" i="14"/>
  <c r="E50" i="14"/>
  <c r="E54" i="14"/>
  <c r="E58" i="14"/>
  <c r="E62" i="14"/>
  <c r="E66" i="14"/>
  <c r="E70"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7" i="14"/>
  <c r="E63" i="14"/>
  <c r="E68" i="14"/>
  <c r="E73"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E12" i="14"/>
  <c r="E15" i="14"/>
  <c r="E24" i="14"/>
  <c r="E33" i="14"/>
  <c r="E44" i="14"/>
  <c r="E53" i="14"/>
  <c r="E61" i="14"/>
  <c r="E72"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40" i="14"/>
  <c r="E168" i="14"/>
  <c r="E197" i="14"/>
  <c r="E225" i="14"/>
  <c r="E252" i="14"/>
  <c r="E274" i="14"/>
  <c r="E295" i="14"/>
  <c r="E316" i="14"/>
  <c r="E338" i="14"/>
  <c r="E359" i="14"/>
  <c r="E380" i="14"/>
  <c r="E398" i="14"/>
  <c r="E414" i="14"/>
  <c r="E425" i="14"/>
  <c r="E436" i="14"/>
  <c r="E462" i="14"/>
  <c r="E478" i="14"/>
  <c r="A46" i="15" l="1"/>
  <c r="B196" i="6"/>
  <c r="B271" i="6"/>
  <c r="B121" i="6"/>
  <c r="B346" i="6"/>
  <c r="B46" i="6"/>
  <c r="B269" i="6"/>
  <c r="B119" i="6"/>
  <c r="B194" i="6"/>
  <c r="B344" i="6"/>
  <c r="B44" i="6"/>
  <c r="B120" i="6"/>
  <c r="B270" i="6"/>
  <c r="B345" i="6"/>
  <c r="B195" i="6"/>
  <c r="B45" i="6"/>
  <c r="B354" i="6"/>
  <c r="B129" i="6"/>
  <c r="B330" i="6"/>
  <c r="B180" i="6"/>
  <c r="B105" i="6"/>
  <c r="B255" i="6"/>
  <c r="B130" i="6"/>
  <c r="B355" i="6"/>
  <c r="B134" i="6"/>
  <c r="B359" i="6"/>
  <c r="B43" i="6"/>
  <c r="B343" i="6"/>
  <c r="B193" i="6"/>
  <c r="B268" i="6"/>
  <c r="B118" i="6"/>
  <c r="B279" i="6"/>
  <c r="B256" i="6"/>
  <c r="B106" i="6"/>
  <c r="B181" i="6"/>
  <c r="B331" i="6"/>
  <c r="B31" i="6"/>
  <c r="B136" i="6"/>
  <c r="B361" i="6"/>
  <c r="B183" i="6"/>
  <c r="B258" i="6"/>
  <c r="B108" i="6"/>
  <c r="B333" i="6"/>
  <c r="B33" i="6"/>
  <c r="B356" i="6"/>
  <c r="B131" i="6"/>
  <c r="B360" i="6"/>
  <c r="B135" i="6"/>
  <c r="B107" i="6"/>
  <c r="B332" i="6"/>
  <c r="B182" i="6"/>
  <c r="B257" i="6"/>
  <c r="B32" i="6"/>
  <c r="B30" i="6"/>
  <c r="B132" i="6"/>
  <c r="B357" i="6"/>
  <c r="B358" i="6"/>
  <c r="B133" i="6"/>
  <c r="B64" i="6"/>
  <c r="B62" i="6"/>
  <c r="B60" i="6"/>
  <c r="B58" i="6"/>
  <c r="B56" i="6"/>
  <c r="B54" i="6"/>
  <c r="B59" i="6"/>
  <c r="B55" i="6"/>
  <c r="B63" i="6"/>
  <c r="B61" i="6"/>
  <c r="B57" i="6"/>
  <c r="H11" i="9"/>
  <c r="I11" i="9" s="1"/>
  <c r="J11" i="9" s="1"/>
  <c r="K11" i="9" s="1"/>
  <c r="A47" i="15" l="1"/>
  <c r="A48"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49"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0" i="15" l="1"/>
  <c r="E75" i="8"/>
  <c r="A51" i="15" l="1"/>
  <c r="D36" i="8"/>
  <c r="A52" i="15" l="1"/>
  <c r="A53" i="15" s="1"/>
  <c r="A54" i="15" s="1"/>
  <c r="B5" i="8"/>
  <c r="B4" i="8"/>
  <c r="B3" i="8"/>
  <c r="B2" i="8"/>
  <c r="A55" i="15" l="1"/>
  <c r="D6" i="9"/>
  <c r="D4" i="9"/>
  <c r="D3" i="9"/>
  <c r="D2" i="9"/>
  <c r="D1" i="9"/>
  <c r="D5" i="9"/>
  <c r="A56" i="15" l="1"/>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B16" i="28" s="1"/>
  <c r="E21" i="2"/>
  <c r="E20" i="2"/>
  <c r="B20" i="2"/>
  <c r="D20" i="2"/>
  <c r="B19" i="2"/>
  <c r="D19" i="2"/>
  <c r="C26" i="18" s="1"/>
  <c r="E18" i="2"/>
  <c r="D18" i="2"/>
  <c r="B18" i="2"/>
  <c r="B13" i="28" s="1"/>
  <c r="B17" i="2"/>
  <c r="D17" i="2"/>
  <c r="E17" i="2"/>
  <c r="A94" i="15"/>
  <c r="B24" i="2"/>
  <c r="D23" i="2"/>
  <c r="C27" i="18" s="1"/>
  <c r="B26" i="2"/>
  <c r="B25" i="2"/>
  <c r="D24" i="2"/>
  <c r="C28" i="18" s="1"/>
  <c r="D26" i="2"/>
  <c r="B22" i="2"/>
  <c r="B17" i="28" s="1"/>
  <c r="E22" i="2"/>
  <c r="D26" i="18" s="1"/>
  <c r="E26" i="2"/>
  <c r="E23" i="2"/>
  <c r="D27" i="18" s="1"/>
  <c r="D22" i="2"/>
  <c r="B20" i="28"/>
  <c r="D25" i="2"/>
  <c r="B23" i="2"/>
  <c r="E25" i="2"/>
  <c r="C25" i="9" l="1"/>
  <c r="B28" i="18"/>
  <c r="C24" i="9"/>
  <c r="B27" i="18"/>
  <c r="B18" i="28"/>
  <c r="F18" i="28" s="1"/>
  <c r="B19" i="28"/>
  <c r="F19" i="28" s="1"/>
  <c r="B15" i="28"/>
  <c r="F15" i="28" s="1"/>
  <c r="B14" i="28"/>
  <c r="F14" i="28" s="1"/>
  <c r="B26" i="18"/>
  <c r="D19" i="18"/>
  <c r="D20" i="18"/>
  <c r="F17" i="28"/>
  <c r="B17" i="27"/>
  <c r="F20" i="28"/>
  <c r="B20" i="27"/>
  <c r="F16" i="28"/>
  <c r="B16" i="27"/>
  <c r="F13" i="28"/>
  <c r="B13" i="27"/>
  <c r="A95" i="15"/>
  <c r="D25" i="18"/>
  <c r="D21" i="18"/>
  <c r="D22" i="18"/>
  <c r="D24" i="18"/>
  <c r="B18" i="27" l="1"/>
  <c r="B19" i="27"/>
  <c r="B15" i="27"/>
  <c r="B14" i="27"/>
  <c r="A96" i="15"/>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B27" i="23" l="1"/>
  <c r="B30" i="23"/>
  <c r="B11" i="23"/>
  <c r="D11" i="23" s="1"/>
  <c r="B12" i="23"/>
  <c r="B28" i="23"/>
  <c r="B29" i="23"/>
  <c r="B32" i="23"/>
  <c r="B31" i="23"/>
  <c r="B33" i="23"/>
  <c r="B35" i="23"/>
  <c r="B36" i="23"/>
  <c r="B34" i="23"/>
  <c r="B50" i="23"/>
  <c r="B43" i="23"/>
  <c r="B48" i="23"/>
  <c r="B53" i="23"/>
  <c r="B42" i="23"/>
  <c r="B41" i="23"/>
  <c r="B44" i="23"/>
  <c r="B45" i="23"/>
  <c r="B37" i="23"/>
  <c r="B46" i="23"/>
  <c r="B49" i="23"/>
  <c r="B52" i="23"/>
  <c r="B38" i="23"/>
  <c r="B54" i="23"/>
  <c r="B47" i="23"/>
  <c r="B39" i="23"/>
  <c r="B40" i="23"/>
  <c r="B51" i="23"/>
  <c r="B14" i="23"/>
  <c r="B20" i="23"/>
  <c r="B24" i="23"/>
  <c r="B16" i="23"/>
  <c r="B26" i="23"/>
  <c r="B13" i="23"/>
  <c r="B15" i="23"/>
  <c r="B19" i="23"/>
  <c r="B18" i="23"/>
  <c r="B22" i="23"/>
  <c r="B17" i="23"/>
  <c r="B21" i="23"/>
  <c r="B23" i="23"/>
  <c r="B25" i="23"/>
  <c r="B7" i="6"/>
  <c r="B10" i="23"/>
  <c r="D31" i="23" l="1"/>
  <c r="F31" i="23" s="1"/>
  <c r="C31" i="23"/>
  <c r="D32" i="23"/>
  <c r="F32" i="23" s="1"/>
  <c r="C32" i="23"/>
  <c r="D29" i="23"/>
  <c r="F29" i="23" s="1"/>
  <c r="C29" i="23"/>
  <c r="D28" i="23"/>
  <c r="F28" i="23" s="1"/>
  <c r="C28" i="23"/>
  <c r="D34" i="23"/>
  <c r="F34" i="23" s="1"/>
  <c r="C34" i="23"/>
  <c r="C36" i="23"/>
  <c r="D36" i="23"/>
  <c r="F36" i="23" s="1"/>
  <c r="C35" i="23"/>
  <c r="D35" i="23"/>
  <c r="F35" i="23" s="1"/>
  <c r="D30" i="23"/>
  <c r="F30" i="23" s="1"/>
  <c r="C30" i="23"/>
  <c r="C33" i="23"/>
  <c r="D33" i="23"/>
  <c r="F33" i="23" s="1"/>
  <c r="D27" i="23"/>
  <c r="F27" i="23" s="1"/>
  <c r="C27" i="23"/>
  <c r="C52" i="23"/>
  <c r="D52" i="23"/>
  <c r="F52" i="23" s="1"/>
  <c r="C49" i="23"/>
  <c r="D49" i="23"/>
  <c r="F49" i="23" s="1"/>
  <c r="D46" i="23"/>
  <c r="F46" i="23" s="1"/>
  <c r="C46" i="23"/>
  <c r="D37" i="23"/>
  <c r="F37" i="23" s="1"/>
  <c r="C37" i="23"/>
  <c r="C45" i="23"/>
  <c r="D45" i="23"/>
  <c r="F45" i="23" s="1"/>
  <c r="C44" i="23"/>
  <c r="D44" i="23"/>
  <c r="F44" i="23" s="1"/>
  <c r="C51" i="23"/>
  <c r="D51" i="23"/>
  <c r="F51" i="23" s="1"/>
  <c r="C41" i="23"/>
  <c r="D41" i="23"/>
  <c r="F41" i="23" s="1"/>
  <c r="D40" i="23"/>
  <c r="F40" i="23" s="1"/>
  <c r="C40" i="23"/>
  <c r="C42" i="23"/>
  <c r="D42" i="23"/>
  <c r="F42" i="23" s="1"/>
  <c r="C39" i="23"/>
  <c r="D39" i="23"/>
  <c r="F39" i="23" s="1"/>
  <c r="C53" i="23"/>
  <c r="D53" i="23"/>
  <c r="F53" i="23" s="1"/>
  <c r="C47" i="23"/>
  <c r="D47" i="23"/>
  <c r="F47" i="23" s="1"/>
  <c r="C48" i="23"/>
  <c r="D48" i="23"/>
  <c r="F48" i="23" s="1"/>
  <c r="C54" i="23"/>
  <c r="D54" i="23"/>
  <c r="F54" i="23" s="1"/>
  <c r="D43" i="23"/>
  <c r="F43" i="23" s="1"/>
  <c r="C43" i="23"/>
  <c r="C38" i="23"/>
  <c r="D38" i="23"/>
  <c r="F38" i="23" s="1"/>
  <c r="C50" i="23"/>
  <c r="D50" i="23"/>
  <c r="F50" i="23" s="1"/>
  <c r="C21" i="23"/>
  <c r="D21" i="23"/>
  <c r="F21" i="23" s="1"/>
  <c r="C22" i="23"/>
  <c r="D22" i="23"/>
  <c r="F22" i="23" s="1"/>
  <c r="C19" i="23"/>
  <c r="D19" i="23"/>
  <c r="F19" i="23" s="1"/>
  <c r="C26" i="23"/>
  <c r="D26" i="23"/>
  <c r="F26" i="23" s="1"/>
  <c r="C24" i="23"/>
  <c r="D24" i="23"/>
  <c r="F24" i="23" s="1"/>
  <c r="C25" i="23"/>
  <c r="D25" i="23"/>
  <c r="F25" i="23" s="1"/>
  <c r="C20" i="23"/>
  <c r="D20" i="23"/>
  <c r="F20" i="23" s="1"/>
  <c r="C23" i="23"/>
  <c r="D23" i="23"/>
  <c r="F23" i="23" s="1"/>
  <c r="D10" i="23"/>
  <c r="F10" i="23" s="1"/>
  <c r="C10" i="23"/>
  <c r="B6" i="6"/>
  <c r="A73" i="6"/>
  <c r="C14" i="23"/>
  <c r="D14" i="23"/>
  <c r="F14" i="23" s="1"/>
  <c r="C13" i="23"/>
  <c r="D13" i="23"/>
  <c r="F13" i="23" s="1"/>
  <c r="C12" i="23"/>
  <c r="D12" i="23"/>
  <c r="F12" i="23" s="1"/>
  <c r="C11" i="23"/>
  <c r="F11" i="23"/>
  <c r="C17" i="23"/>
  <c r="D17" i="23"/>
  <c r="F17" i="23" s="1"/>
  <c r="C16" i="23"/>
  <c r="D16" i="23"/>
  <c r="F16" i="23" s="1"/>
  <c r="D18" i="23"/>
  <c r="F18" i="23" s="1"/>
  <c r="C18" i="23"/>
  <c r="C15" i="23"/>
  <c r="D15" i="23"/>
  <c r="F15" i="23" s="1"/>
  <c r="F108" i="6" l="1"/>
  <c r="G108" i="6" s="1"/>
  <c r="F106" i="6"/>
  <c r="G106" i="6" s="1"/>
  <c r="F107" i="6"/>
  <c r="G107" i="6" s="1"/>
  <c r="F121" i="6"/>
  <c r="G121" i="6" s="1"/>
  <c r="F119" i="6"/>
  <c r="G119" i="6" s="1"/>
  <c r="F120" i="6"/>
  <c r="G120" i="6" s="1"/>
  <c r="F118" i="6"/>
  <c r="G118" i="6" s="1"/>
  <c r="F105" i="6"/>
  <c r="G105" i="6" s="1"/>
  <c r="D100" i="6"/>
  <c r="B82" i="6"/>
  <c r="G125" i="6" l="1"/>
  <c r="G114" i="6"/>
  <c r="A148" i="6"/>
  <c r="B81" i="6"/>
  <c r="G148" i="6" l="1"/>
  <c r="G149" i="6" s="1"/>
  <c r="F196" i="6"/>
  <c r="G196" i="6" s="1"/>
  <c r="F183" i="6"/>
  <c r="G183" i="6" s="1"/>
  <c r="F194" i="6"/>
  <c r="G194" i="6" s="1"/>
  <c r="F182" i="6"/>
  <c r="G182" i="6" s="1"/>
  <c r="F181" i="6"/>
  <c r="G181" i="6" s="1"/>
  <c r="F195" i="6"/>
  <c r="G195" i="6" s="1"/>
  <c r="F193" i="6"/>
  <c r="G193" i="6" s="1"/>
  <c r="F180" i="6"/>
  <c r="G180" i="6" s="1"/>
  <c r="D175" i="6"/>
  <c r="B157" i="6"/>
  <c r="G200" i="6" l="1"/>
  <c r="G189" i="6"/>
  <c r="A223" i="6"/>
  <c r="B156" i="6"/>
  <c r="G223" i="6" l="1"/>
  <c r="G224" i="6" s="1"/>
  <c r="F268" i="6"/>
  <c r="G268" i="6" s="1"/>
  <c r="F256" i="6"/>
  <c r="G256" i="6" s="1"/>
  <c r="F257" i="6"/>
  <c r="G257" i="6" s="1"/>
  <c r="F255" i="6"/>
  <c r="G255" i="6" s="1"/>
  <c r="F269" i="6"/>
  <c r="G269" i="6" s="1"/>
  <c r="F271" i="6"/>
  <c r="G271" i="6" s="1"/>
  <c r="F258" i="6"/>
  <c r="G258" i="6" s="1"/>
  <c r="F270" i="6"/>
  <c r="G270" i="6" s="1"/>
  <c r="D250" i="6"/>
  <c r="B232" i="6"/>
  <c r="G264" i="6" l="1"/>
  <c r="G275" i="6"/>
  <c r="A298" i="6"/>
  <c r="B231" i="6"/>
  <c r="G298" i="6" l="1"/>
  <c r="G299" i="6" s="1"/>
  <c r="F344" i="6"/>
  <c r="G344" i="6" s="1"/>
  <c r="F333" i="6"/>
  <c r="G333" i="6" s="1"/>
  <c r="F346" i="6"/>
  <c r="G346" i="6" s="1"/>
  <c r="F331" i="6"/>
  <c r="G331" i="6" s="1"/>
  <c r="F345" i="6"/>
  <c r="G345" i="6" s="1"/>
  <c r="F332" i="6"/>
  <c r="G332" i="6" s="1"/>
  <c r="F330" i="6"/>
  <c r="G330" i="6" s="1"/>
  <c r="F343" i="6"/>
  <c r="G343" i="6" s="1"/>
  <c r="D325" i="6"/>
  <c r="B307" i="6"/>
  <c r="G350" i="6" l="1"/>
  <c r="G339" i="6"/>
  <c r="H321" i="6" s="1"/>
  <c r="A373" i="6"/>
  <c r="B306" i="6"/>
  <c r="F420" i="6" l="1"/>
  <c r="G420" i="6" s="1"/>
  <c r="F408" i="6"/>
  <c r="G408" i="6" s="1"/>
  <c r="F419" i="6"/>
  <c r="G419" i="6" s="1"/>
  <c r="F407" i="6"/>
  <c r="G407" i="6" s="1"/>
  <c r="B382" i="6"/>
  <c r="F421" i="6"/>
  <c r="G421" i="6" s="1"/>
  <c r="F418" i="6"/>
  <c r="G418" i="6" s="1"/>
  <c r="F405" i="6"/>
  <c r="G405" i="6" s="1"/>
  <c r="F406" i="6"/>
  <c r="G406" i="6" s="1"/>
  <c r="D400" i="6"/>
  <c r="G373" i="6"/>
  <c r="G374" i="6" s="1"/>
  <c r="G425" i="6" l="1"/>
  <c r="G414" i="6"/>
  <c r="B381" i="6"/>
  <c r="A448" i="6"/>
  <c r="G39" i="6"/>
  <c r="G73" i="6" s="1"/>
  <c r="B17" i="18"/>
  <c r="B18" i="18"/>
  <c r="B19" i="18"/>
  <c r="B20" i="18"/>
  <c r="B21" i="18"/>
  <c r="B22" i="18"/>
  <c r="B23" i="18"/>
  <c r="B24" i="18"/>
  <c r="B25" i="18"/>
  <c r="C17" i="18"/>
  <c r="C18" i="18"/>
  <c r="C19" i="18"/>
  <c r="C20" i="18"/>
  <c r="C21" i="18"/>
  <c r="C22" i="18"/>
  <c r="C23" i="18"/>
  <c r="C24" i="18"/>
  <c r="C25" i="18"/>
  <c r="C16" i="18"/>
  <c r="B16" i="18"/>
  <c r="C14" i="9"/>
  <c r="C23" i="9"/>
  <c r="C22" i="9"/>
  <c r="C19" i="9"/>
  <c r="C18" i="9"/>
  <c r="C16" i="9"/>
  <c r="C15" i="9"/>
  <c r="C17" i="9"/>
  <c r="C20" i="9"/>
  <c r="C21" i="9"/>
  <c r="C13" i="9"/>
  <c r="G448" i="6" l="1"/>
  <c r="G449" i="6" s="1"/>
  <c r="F480" i="6"/>
  <c r="G480" i="6" s="1"/>
  <c r="F483" i="6"/>
  <c r="G483" i="6" s="1"/>
  <c r="F481" i="6"/>
  <c r="G481" i="6" s="1"/>
  <c r="F493" i="6"/>
  <c r="G493" i="6" s="1"/>
  <c r="B457" i="6"/>
  <c r="D475" i="6"/>
  <c r="F496" i="6"/>
  <c r="G496" i="6" s="1"/>
  <c r="F494" i="6"/>
  <c r="G494" i="6" s="1"/>
  <c r="F495" i="6"/>
  <c r="G495" i="6" s="1"/>
  <c r="F482" i="6"/>
  <c r="G482" i="6" s="1"/>
  <c r="G74" i="6"/>
  <c r="D17" i="18"/>
  <c r="D16" i="18"/>
  <c r="B456" i="6" l="1"/>
  <c r="A523" i="6"/>
  <c r="G500" i="6"/>
  <c r="G489" i="6"/>
  <c r="H17" i="2"/>
  <c r="G523" i="6" l="1"/>
  <c r="G524" i="6" s="1"/>
  <c r="F555" i="6"/>
  <c r="G555" i="6" s="1"/>
  <c r="F558" i="6"/>
  <c r="G558" i="6" s="1"/>
  <c r="F556" i="6"/>
  <c r="G556" i="6" s="1"/>
  <c r="F571" i="6"/>
  <c r="G571" i="6" s="1"/>
  <c r="F568" i="6"/>
  <c r="G568" i="6" s="1"/>
  <c r="F557" i="6"/>
  <c r="G557" i="6" s="1"/>
  <c r="F569" i="6"/>
  <c r="G569" i="6" s="1"/>
  <c r="B532" i="6"/>
  <c r="F570" i="6"/>
  <c r="G570" i="6" s="1"/>
  <c r="D550" i="6"/>
  <c r="F16" i="18"/>
  <c r="E16" i="18" s="1"/>
  <c r="B531" i="6" l="1"/>
  <c r="A598" i="6"/>
  <c r="G575" i="6"/>
  <c r="G564" i="6"/>
  <c r="G16" i="18"/>
  <c r="G598" i="6" l="1"/>
  <c r="G599" i="6" s="1"/>
  <c r="F630" i="6"/>
  <c r="G630" i="6" s="1"/>
  <c r="F646" i="6"/>
  <c r="G646" i="6" s="1"/>
  <c r="F645" i="6"/>
  <c r="G645" i="6" s="1"/>
  <c r="F633" i="6"/>
  <c r="G633" i="6" s="1"/>
  <c r="B607" i="6"/>
  <c r="F644" i="6"/>
  <c r="G644" i="6" s="1"/>
  <c r="F631" i="6"/>
  <c r="G631" i="6" s="1"/>
  <c r="F632" i="6"/>
  <c r="G632" i="6" s="1"/>
  <c r="F643" i="6"/>
  <c r="G643" i="6" s="1"/>
  <c r="D625" i="6"/>
  <c r="E52" i="14"/>
  <c r="G650" i="6" l="1"/>
  <c r="B606" i="6"/>
  <c r="A673" i="6"/>
  <c r="G639" i="6"/>
  <c r="J13" i="28"/>
  <c r="G673" i="6" l="1"/>
  <c r="G674" i="6" s="1"/>
  <c r="F708" i="6"/>
  <c r="G708" i="6" s="1"/>
  <c r="F705" i="6"/>
  <c r="G705" i="6" s="1"/>
  <c r="F707" i="6"/>
  <c r="G707" i="6" s="1"/>
  <c r="D700" i="6"/>
  <c r="F706" i="6"/>
  <c r="G706" i="6" s="1"/>
  <c r="B682" i="6"/>
  <c r="F720" i="6"/>
  <c r="G720" i="6" s="1"/>
  <c r="F718" i="6"/>
  <c r="G718" i="6" s="1"/>
  <c r="F721" i="6"/>
  <c r="G721" i="6" s="1"/>
  <c r="F719" i="6"/>
  <c r="G719" i="6" s="1"/>
  <c r="J20" i="28"/>
  <c r="G20" i="27" s="1"/>
  <c r="H20" i="27"/>
  <c r="J18" i="28"/>
  <c r="G18" i="27" s="1"/>
  <c r="H18" i="27"/>
  <c r="J15" i="28"/>
  <c r="G15" i="27" s="1"/>
  <c r="H15" i="27"/>
  <c r="J19" i="28"/>
  <c r="G19" i="27" s="1"/>
  <c r="H19" i="27"/>
  <c r="J17" i="28"/>
  <c r="G17" i="27" s="1"/>
  <c r="H17" i="27"/>
  <c r="J16" i="28"/>
  <c r="G16" i="27" s="1"/>
  <c r="H16" i="27"/>
  <c r="J14" i="28"/>
  <c r="G14" i="27" s="1"/>
  <c r="H14" i="27"/>
  <c r="H13" i="27"/>
  <c r="G13" i="27"/>
  <c r="G725" i="6" l="1"/>
  <c r="B681" i="6"/>
  <c r="A748" i="6"/>
  <c r="G714" i="6"/>
  <c r="G748" i="6" l="1"/>
  <c r="F782" i="6"/>
  <c r="G782" i="6" s="1"/>
  <c r="F781" i="6"/>
  <c r="G781" i="6" s="1"/>
  <c r="F780" i="6"/>
  <c r="G780" i="6" s="1"/>
  <c r="F793" i="6"/>
  <c r="G793" i="6" s="1"/>
  <c r="F794" i="6"/>
  <c r="G794" i="6" s="1"/>
  <c r="D775" i="6"/>
  <c r="B757" i="6"/>
  <c r="F783" i="6"/>
  <c r="G783" i="6" s="1"/>
  <c r="F795" i="6"/>
  <c r="G795" i="6" s="1"/>
  <c r="F796" i="6"/>
  <c r="G796" i="6" s="1"/>
  <c r="G749" i="6" l="1"/>
  <c r="B756" i="6"/>
  <c r="A823" i="6"/>
  <c r="G800" i="6"/>
  <c r="G789" i="6"/>
  <c r="G823" i="6" l="1"/>
  <c r="G824" i="6" s="1"/>
  <c r="F868" i="6"/>
  <c r="G868" i="6" s="1"/>
  <c r="F855" i="6"/>
  <c r="G855" i="6" s="1"/>
  <c r="F871" i="6"/>
  <c r="G871" i="6" s="1"/>
  <c r="F869" i="6"/>
  <c r="G869" i="6" s="1"/>
  <c r="F857" i="6"/>
  <c r="G857" i="6" s="1"/>
  <c r="B832" i="6"/>
  <c r="F858" i="6"/>
  <c r="G858" i="6" s="1"/>
  <c r="F856" i="6"/>
  <c r="G856" i="6" s="1"/>
  <c r="D850" i="6"/>
  <c r="F870" i="6"/>
  <c r="G870" i="6" s="1"/>
  <c r="B831" i="6" l="1"/>
  <c r="A898" i="6"/>
  <c r="G864" i="6"/>
  <c r="G875" i="6"/>
  <c r="G898" i="6" l="1"/>
  <c r="G899" i="6" s="1"/>
  <c r="F930" i="6"/>
  <c r="G930" i="6" s="1"/>
  <c r="F931" i="6"/>
  <c r="G931" i="6" s="1"/>
  <c r="F933" i="6"/>
  <c r="G933" i="6" s="1"/>
  <c r="F945" i="6"/>
  <c r="G945" i="6" s="1"/>
  <c r="F944" i="6"/>
  <c r="G944" i="6" s="1"/>
  <c r="D925" i="6"/>
  <c r="F946" i="6"/>
  <c r="G946" i="6" s="1"/>
  <c r="F932" i="6"/>
  <c r="G932" i="6" s="1"/>
  <c r="F943" i="6"/>
  <c r="G943" i="6" s="1"/>
  <c r="B907" i="6"/>
  <c r="G939" i="6" l="1"/>
  <c r="B906" i="6"/>
  <c r="A973" i="6"/>
  <c r="G950" i="6"/>
  <c r="G973" i="6" l="1"/>
  <c r="G974" i="6" s="1"/>
  <c r="F1005" i="6"/>
  <c r="G1005" i="6" s="1"/>
  <c r="F1006" i="6"/>
  <c r="G1006" i="6" s="1"/>
  <c r="F1007" i="6"/>
  <c r="G1007" i="6" s="1"/>
  <c r="F1020" i="6"/>
  <c r="G1020" i="6" s="1"/>
  <c r="F1008" i="6"/>
  <c r="G1008" i="6" s="1"/>
  <c r="F1021" i="6"/>
  <c r="G1021" i="6" s="1"/>
  <c r="F1019" i="6"/>
  <c r="G1019" i="6" s="1"/>
  <c r="F1018" i="6"/>
  <c r="G1018" i="6" s="1"/>
  <c r="B982" i="6"/>
  <c r="D1000" i="6"/>
  <c r="G1025" i="6" l="1"/>
  <c r="B981" i="6"/>
  <c r="A1048" i="6"/>
  <c r="G1014" i="6"/>
  <c r="G1048" i="6" s="1"/>
  <c r="G1049" i="6" s="1"/>
  <c r="F1081" i="6" l="1"/>
  <c r="G1081" i="6" s="1"/>
  <c r="F1080" i="6"/>
  <c r="G1080" i="6" s="1"/>
  <c r="F1095" i="6"/>
  <c r="G1095" i="6" s="1"/>
  <c r="F1082" i="6"/>
  <c r="G1082" i="6" s="1"/>
  <c r="F1083" i="6"/>
  <c r="G1083" i="6" s="1"/>
  <c r="F1094" i="6"/>
  <c r="G1094" i="6" s="1"/>
  <c r="D1075" i="6"/>
  <c r="F1093" i="6"/>
  <c r="G1093" i="6" s="1"/>
  <c r="B1057" i="6"/>
  <c r="F1096" i="6"/>
  <c r="G1096" i="6" s="1"/>
  <c r="G1089" i="6" l="1"/>
  <c r="G1100" i="6"/>
  <c r="B1056" i="6"/>
  <c r="A1123" i="6"/>
  <c r="G1123" i="6" l="1"/>
  <c r="F1155" i="6"/>
  <c r="G1155" i="6" s="1"/>
  <c r="F1157" i="6"/>
  <c r="G1157" i="6" s="1"/>
  <c r="F1169" i="6"/>
  <c r="G1169" i="6" s="1"/>
  <c r="F1171" i="6"/>
  <c r="G1171" i="6" s="1"/>
  <c r="F1170" i="6"/>
  <c r="G1170" i="6" s="1"/>
  <c r="F1156" i="6"/>
  <c r="G1156" i="6" s="1"/>
  <c r="F1158" i="6"/>
  <c r="G1158" i="6" s="1"/>
  <c r="F1168" i="6"/>
  <c r="G1168" i="6" s="1"/>
  <c r="B1132" i="6"/>
  <c r="D1150" i="6"/>
  <c r="G1124" i="6" l="1"/>
  <c r="B1131" i="6"/>
  <c r="A1198" i="6"/>
  <c r="G1175" i="6"/>
  <c r="G1164" i="6"/>
  <c r="G1198" i="6" l="1"/>
  <c r="F1246" i="6"/>
  <c r="G1246" i="6" s="1"/>
  <c r="F1231" i="6"/>
  <c r="G1231" i="6" s="1"/>
  <c r="F1243" i="6"/>
  <c r="G1243" i="6" s="1"/>
  <c r="F1230" i="6"/>
  <c r="G1230" i="6" s="1"/>
  <c r="D1225" i="6"/>
  <c r="B1207" i="6"/>
  <c r="F1245" i="6"/>
  <c r="G1245" i="6" s="1"/>
  <c r="F1244" i="6"/>
  <c r="G1244" i="6" s="1"/>
  <c r="F1232" i="6"/>
  <c r="G1232" i="6" s="1"/>
  <c r="F1233" i="6"/>
  <c r="G1233" i="6" s="1"/>
  <c r="G1199" i="6" l="1"/>
  <c r="B1206" i="6"/>
  <c r="A1273" i="6"/>
  <c r="G1239" i="6"/>
  <c r="G1250" i="6"/>
  <c r="G1273" i="6" l="1"/>
  <c r="F1321" i="6"/>
  <c r="G1321" i="6" s="1"/>
  <c r="F1307" i="6"/>
  <c r="G1307" i="6" s="1"/>
  <c r="F1305" i="6"/>
  <c r="G1305" i="6" s="1"/>
  <c r="F1306" i="6"/>
  <c r="G1306" i="6" s="1"/>
  <c r="F1308" i="6"/>
  <c r="G1308" i="6" s="1"/>
  <c r="F1320" i="6"/>
  <c r="G1320" i="6" s="1"/>
  <c r="B1282" i="6"/>
  <c r="F1318" i="6"/>
  <c r="G1318" i="6" s="1"/>
  <c r="D1300" i="6"/>
  <c r="F1319" i="6"/>
  <c r="G1319" i="6" s="1"/>
  <c r="G1274" i="6" l="1"/>
  <c r="G1325" i="6"/>
  <c r="B1281" i="6"/>
  <c r="A1348" i="6"/>
  <c r="G1314" i="6"/>
  <c r="F1380" i="6" l="1"/>
  <c r="G1380" i="6" s="1"/>
  <c r="D1375" i="6"/>
  <c r="F1382" i="6"/>
  <c r="G1382" i="6" s="1"/>
  <c r="F1393" i="6"/>
  <c r="G1393" i="6" s="1"/>
  <c r="F1396" i="6"/>
  <c r="G1396" i="6" s="1"/>
  <c r="F1395" i="6"/>
  <c r="G1395" i="6" s="1"/>
  <c r="F1394" i="6"/>
  <c r="G1394" i="6" s="1"/>
  <c r="F1381" i="6"/>
  <c r="G1381" i="6" s="1"/>
  <c r="B1357" i="6"/>
  <c r="F1383" i="6"/>
  <c r="G1383" i="6" s="1"/>
  <c r="G1348" i="6"/>
  <c r="B1356" i="6" l="1"/>
  <c r="A1423" i="6"/>
  <c r="G1400" i="6"/>
  <c r="G1389" i="6"/>
  <c r="G1423" i="6" s="1"/>
  <c r="G1424" i="6" s="1"/>
  <c r="G1349" i="6"/>
  <c r="F1469" i="6" l="1"/>
  <c r="G1469" i="6" s="1"/>
  <c r="F1455" i="6"/>
  <c r="G1455" i="6" s="1"/>
  <c r="F1471" i="6"/>
  <c r="G1471" i="6" s="1"/>
  <c r="F1456" i="6"/>
  <c r="G1456" i="6" s="1"/>
  <c r="F1468" i="6"/>
  <c r="G1468" i="6" s="1"/>
  <c r="D1450" i="6"/>
  <c r="F1470" i="6"/>
  <c r="G1470" i="6" s="1"/>
  <c r="F1458" i="6"/>
  <c r="G1458" i="6" s="1"/>
  <c r="F1457" i="6"/>
  <c r="G1457" i="6" s="1"/>
  <c r="B1432" i="6"/>
  <c r="G1475" i="6" l="1"/>
  <c r="G1464" i="6"/>
  <c r="B1431" i="6"/>
  <c r="A1498" i="6"/>
  <c r="G1498" i="6" l="1"/>
  <c r="G1499" i="6" s="1"/>
  <c r="F1544" i="6"/>
  <c r="G1544" i="6" s="1"/>
  <c r="F1546" i="6"/>
  <c r="G1546" i="6" s="1"/>
  <c r="F1530" i="6"/>
  <c r="G1530" i="6" s="1"/>
  <c r="F1533" i="6"/>
  <c r="G1533" i="6" s="1"/>
  <c r="F1532" i="6"/>
  <c r="G1532" i="6" s="1"/>
  <c r="D1525" i="6"/>
  <c r="F1543" i="6"/>
  <c r="G1543" i="6" s="1"/>
  <c r="F1545" i="6"/>
  <c r="G1545" i="6" s="1"/>
  <c r="B1507" i="6"/>
  <c r="F1531" i="6"/>
  <c r="G1531" i="6" s="1"/>
  <c r="G1550" i="6" l="1"/>
  <c r="B1506" i="6"/>
  <c r="A1573" i="6"/>
  <c r="G1539" i="6"/>
  <c r="G1573" i="6" s="1"/>
  <c r="G1574" i="6" s="1"/>
  <c r="F1607" i="6" l="1"/>
  <c r="G1607" i="6" s="1"/>
  <c r="B1582" i="6"/>
  <c r="F1620" i="6"/>
  <c r="G1620" i="6" s="1"/>
  <c r="F1606" i="6"/>
  <c r="G1606" i="6" s="1"/>
  <c r="F1608" i="6"/>
  <c r="G1608" i="6" s="1"/>
  <c r="F1618" i="6"/>
  <c r="G1618" i="6" s="1"/>
  <c r="D1600" i="6"/>
  <c r="F1619" i="6"/>
  <c r="G1619" i="6" s="1"/>
  <c r="F1621" i="6"/>
  <c r="G1621" i="6" s="1"/>
  <c r="F1605" i="6"/>
  <c r="G1605" i="6" s="1"/>
  <c r="G1625" i="6" l="1"/>
  <c r="B1581" i="6"/>
  <c r="A1648" i="6"/>
  <c r="G1614" i="6"/>
  <c r="G1648" i="6" s="1"/>
  <c r="G1649" i="6" s="1"/>
  <c r="F1681" i="6" l="1"/>
  <c r="G1681" i="6" s="1"/>
  <c r="F1694" i="6"/>
  <c r="G1694" i="6" s="1"/>
  <c r="F1695" i="6"/>
  <c r="G1695" i="6" s="1"/>
  <c r="F1693" i="6"/>
  <c r="G1693" i="6" s="1"/>
  <c r="F1680" i="6"/>
  <c r="G1680" i="6" s="1"/>
  <c r="F1696" i="6"/>
  <c r="G1696" i="6" s="1"/>
  <c r="B1657" i="6"/>
  <c r="F1683" i="6"/>
  <c r="G1683" i="6" s="1"/>
  <c r="F1682" i="6"/>
  <c r="G1682" i="6" s="1"/>
  <c r="D1675" i="6"/>
  <c r="B1656" i="6" l="1"/>
  <c r="A1723" i="6"/>
  <c r="G1689" i="6"/>
  <c r="G1700" i="6"/>
  <c r="G1723" i="6" l="1"/>
  <c r="G1724" i="6" s="1"/>
  <c r="F1758" i="6"/>
  <c r="G1758" i="6" s="1"/>
  <c r="F1757" i="6"/>
  <c r="G1757" i="6" s="1"/>
  <c r="F1756" i="6"/>
  <c r="G1756" i="6" s="1"/>
  <c r="F1771" i="6"/>
  <c r="G1771" i="6" s="1"/>
  <c r="B1732" i="6"/>
  <c r="F1755" i="6"/>
  <c r="G1755" i="6" s="1"/>
  <c r="F1768" i="6"/>
  <c r="G1768" i="6" s="1"/>
  <c r="D1750" i="6"/>
  <c r="F1769" i="6"/>
  <c r="G1769" i="6" s="1"/>
  <c r="F1770" i="6"/>
  <c r="G1770" i="6" s="1"/>
  <c r="G1775" i="6" l="1"/>
  <c r="G1764" i="6"/>
  <c r="G1798" i="6" s="1"/>
  <c r="G1799" i="6" s="1"/>
  <c r="B1731" i="6"/>
  <c r="A1798" i="6"/>
  <c r="B1807" i="6" l="1"/>
  <c r="F1846" i="6"/>
  <c r="G1846" i="6" s="1"/>
  <c r="F1845" i="6"/>
  <c r="G1845" i="6" s="1"/>
  <c r="F1843" i="6"/>
  <c r="G1843" i="6" s="1"/>
  <c r="D1825" i="6"/>
  <c r="F1833" i="6"/>
  <c r="G1833" i="6" s="1"/>
  <c r="F1844" i="6"/>
  <c r="G1844" i="6" s="1"/>
  <c r="F1832" i="6"/>
  <c r="G1832" i="6" s="1"/>
  <c r="F1831" i="6"/>
  <c r="G1831" i="6" s="1"/>
  <c r="F1830" i="6"/>
  <c r="G1830" i="6" s="1"/>
  <c r="G1850" i="6" l="1"/>
  <c r="B1806" i="6"/>
  <c r="A1873" i="6"/>
  <c r="G1839" i="6"/>
  <c r="G1873" i="6" l="1"/>
  <c r="G1874" i="6" s="1"/>
  <c r="F1905" i="6"/>
  <c r="G1905" i="6" s="1"/>
  <c r="F1907" i="6"/>
  <c r="G1907" i="6" s="1"/>
  <c r="F1908" i="6"/>
  <c r="G1908" i="6" s="1"/>
  <c r="F1921" i="6"/>
  <c r="G1921" i="6" s="1"/>
  <c r="D1900" i="6"/>
  <c r="F1919" i="6"/>
  <c r="G1919" i="6" s="1"/>
  <c r="F1906" i="6"/>
  <c r="G1906" i="6" s="1"/>
  <c r="F1920" i="6"/>
  <c r="G1920" i="6" s="1"/>
  <c r="B1882" i="6"/>
  <c r="F1918" i="6"/>
  <c r="G1918" i="6" s="1"/>
  <c r="B1881" i="6" l="1"/>
  <c r="A1948" i="6"/>
  <c r="G1914" i="6"/>
  <c r="G1925" i="6"/>
  <c r="G1948" i="6" l="1"/>
  <c r="G1949" i="6" s="1"/>
  <c r="F1981" i="6"/>
  <c r="G1981" i="6" s="1"/>
  <c r="F1996" i="6"/>
  <c r="G1996" i="6" s="1"/>
  <c r="D1975" i="6"/>
  <c r="F1995" i="6"/>
  <c r="G1995" i="6" s="1"/>
  <c r="F1993" i="6"/>
  <c r="G1993" i="6" s="1"/>
  <c r="F1983" i="6"/>
  <c r="G1983" i="6" s="1"/>
  <c r="F1980" i="6"/>
  <c r="G1980" i="6" s="1"/>
  <c r="B1957" i="6"/>
  <c r="F1994" i="6"/>
  <c r="G1994" i="6" s="1"/>
  <c r="F1982" i="6"/>
  <c r="G1982" i="6" s="1"/>
  <c r="B1956" i="6" l="1"/>
  <c r="A2023" i="6"/>
  <c r="G1989" i="6"/>
  <c r="G2000" i="6"/>
  <c r="G2023" i="6" s="1"/>
  <c r="G2024" i="6" s="1"/>
  <c r="F2069" i="6" l="1"/>
  <c r="G2069" i="6" s="1"/>
  <c r="F2071" i="6"/>
  <c r="G2071" i="6" s="1"/>
  <c r="F2055" i="6"/>
  <c r="G2055" i="6" s="1"/>
  <c r="F2068" i="6"/>
  <c r="G2068" i="6" s="1"/>
  <c r="B2032" i="6"/>
  <c r="F2057" i="6"/>
  <c r="G2057" i="6" s="1"/>
  <c r="F2056" i="6"/>
  <c r="G2056" i="6" s="1"/>
  <c r="F2070" i="6"/>
  <c r="G2070" i="6" s="1"/>
  <c r="D2050" i="6"/>
  <c r="F2058" i="6"/>
  <c r="G2058" i="6" s="1"/>
  <c r="G2064" i="6" l="1"/>
  <c r="G2075" i="6"/>
  <c r="B2031" i="6"/>
  <c r="A2098" i="6"/>
  <c r="G2098" i="6" l="1"/>
  <c r="G2099" i="6" s="1"/>
  <c r="D2125" i="6"/>
  <c r="F2144" i="6"/>
  <c r="G2144" i="6" s="1"/>
  <c r="F2133" i="6"/>
  <c r="G2133" i="6" s="1"/>
  <c r="F2145" i="6"/>
  <c r="G2145" i="6" s="1"/>
  <c r="B2107" i="6"/>
  <c r="F2130" i="6"/>
  <c r="G2130" i="6" s="1"/>
  <c r="F2146" i="6"/>
  <c r="G2146" i="6" s="1"/>
  <c r="F2132" i="6"/>
  <c r="G2132" i="6" s="1"/>
  <c r="F2131" i="6"/>
  <c r="G2131" i="6" s="1"/>
  <c r="F2143" i="6"/>
  <c r="G2143" i="6" s="1"/>
  <c r="G2150" i="6" l="1"/>
  <c r="G2139" i="6"/>
  <c r="G2173" i="6" s="1"/>
  <c r="G2174" i="6" s="1"/>
  <c r="B2106" i="6"/>
  <c r="A2173" i="6"/>
  <c r="D2200" i="6" l="1"/>
  <c r="F2207" i="6"/>
  <c r="G2207" i="6" s="1"/>
  <c r="F2221" i="6"/>
  <c r="G2221" i="6" s="1"/>
  <c r="B2182" i="6"/>
  <c r="F2205" i="6"/>
  <c r="G2205" i="6" s="1"/>
  <c r="F2220" i="6"/>
  <c r="G2220" i="6" s="1"/>
  <c r="F2206" i="6"/>
  <c r="G2206" i="6" s="1"/>
  <c r="F2208" i="6"/>
  <c r="G2208" i="6" s="1"/>
  <c r="F2218" i="6"/>
  <c r="G2218" i="6" s="1"/>
  <c r="F2219" i="6"/>
  <c r="G2219" i="6" s="1"/>
  <c r="G2225" i="6" l="1"/>
  <c r="G2214" i="6"/>
  <c r="G2248" i="6" s="1"/>
  <c r="G2249" i="6" s="1"/>
  <c r="B2181" i="6"/>
  <c r="A2248" i="6"/>
  <c r="B2257" i="6" l="1"/>
  <c r="F2295" i="6"/>
  <c r="G2295" i="6" s="1"/>
  <c r="F2294" i="6"/>
  <c r="G2294" i="6" s="1"/>
  <c r="F2280" i="6"/>
  <c r="G2280" i="6" s="1"/>
  <c r="F2282" i="6"/>
  <c r="G2282" i="6" s="1"/>
  <c r="F2283" i="6"/>
  <c r="G2283" i="6" s="1"/>
  <c r="F2293" i="6"/>
  <c r="G2293" i="6" s="1"/>
  <c r="D2275" i="6"/>
  <c r="F2281" i="6"/>
  <c r="G2281" i="6" s="1"/>
  <c r="F2296" i="6"/>
  <c r="G2296" i="6" s="1"/>
  <c r="G2300" i="6" l="1"/>
  <c r="G2289" i="6"/>
  <c r="B2256" i="6"/>
  <c r="A2323" i="6"/>
  <c r="G2323" i="6" l="1"/>
  <c r="G2324" i="6" s="1"/>
  <c r="F2355" i="6"/>
  <c r="G2355" i="6" s="1"/>
  <c r="F2371" i="6"/>
  <c r="G2371" i="6" s="1"/>
  <c r="B2332" i="6"/>
  <c r="F2368" i="6"/>
  <c r="G2368" i="6" s="1"/>
  <c r="F2358" i="6"/>
  <c r="G2358" i="6" s="1"/>
  <c r="D2350" i="6"/>
  <c r="F2357" i="6"/>
  <c r="G2357" i="6" s="1"/>
  <c r="F2356" i="6"/>
  <c r="G2356" i="6" s="1"/>
  <c r="F2369" i="6"/>
  <c r="G2369" i="6" s="1"/>
  <c r="F2370" i="6"/>
  <c r="G2370" i="6" s="1"/>
  <c r="G2375" i="6" l="1"/>
  <c r="B2331" i="6"/>
  <c r="A2398" i="6"/>
  <c r="G2364" i="6"/>
  <c r="G2398" i="6" l="1"/>
  <c r="G2399" i="6" s="1"/>
  <c r="F2433" i="6"/>
  <c r="G2433" i="6" s="1"/>
  <c r="D2425" i="6"/>
  <c r="F2444" i="6"/>
  <c r="G2444" i="6" s="1"/>
  <c r="F2430" i="6"/>
  <c r="G2430" i="6" s="1"/>
  <c r="F2445" i="6"/>
  <c r="G2445" i="6" s="1"/>
  <c r="F2443" i="6"/>
  <c r="G2443" i="6" s="1"/>
  <c r="F2432" i="6"/>
  <c r="G2432" i="6" s="1"/>
  <c r="F2431" i="6"/>
  <c r="G2431" i="6" s="1"/>
  <c r="F2446" i="6"/>
  <c r="G2446" i="6" s="1"/>
  <c r="B2407" i="6"/>
  <c r="G2450" i="6" l="1"/>
  <c r="G2439" i="6"/>
  <c r="B2406" i="6"/>
  <c r="A2473" i="6"/>
  <c r="G2473" i="6" l="1"/>
  <c r="G2474" i="6" s="1"/>
  <c r="F2505" i="6"/>
  <c r="G2505" i="6" s="1"/>
  <c r="F2508" i="6"/>
  <c r="G2508" i="6" s="1"/>
  <c r="F2518" i="6"/>
  <c r="G2518" i="6" s="1"/>
  <c r="F2507" i="6"/>
  <c r="G2507" i="6" s="1"/>
  <c r="F2521" i="6"/>
  <c r="G2521" i="6" s="1"/>
  <c r="D2500" i="6"/>
  <c r="F2519" i="6"/>
  <c r="G2519" i="6" s="1"/>
  <c r="B2482" i="6"/>
  <c r="F2520" i="6"/>
  <c r="G2520" i="6" s="1"/>
  <c r="F2506" i="6"/>
  <c r="G2506" i="6" s="1"/>
  <c r="G2525" i="6" l="1"/>
  <c r="B2481" i="6"/>
  <c r="A2548" i="6"/>
  <c r="G2514" i="6"/>
  <c r="G2548" i="6" l="1"/>
  <c r="G2549" i="6" s="1"/>
  <c r="F2580" i="6"/>
  <c r="G2580" i="6" s="1"/>
  <c r="D2575" i="6"/>
  <c r="F2582" i="6"/>
  <c r="G2582" i="6" s="1"/>
  <c r="F2595" i="6"/>
  <c r="G2595" i="6" s="1"/>
  <c r="B2557" i="6"/>
  <c r="F2596" i="6"/>
  <c r="G2596" i="6" s="1"/>
  <c r="F2581" i="6"/>
  <c r="G2581" i="6" s="1"/>
  <c r="F2594" i="6"/>
  <c r="G2594" i="6" s="1"/>
  <c r="F2593" i="6"/>
  <c r="G2593" i="6" s="1"/>
  <c r="F2583" i="6"/>
  <c r="G2583" i="6" s="1"/>
  <c r="G2600" i="6" l="1"/>
  <c r="B2556" i="6"/>
  <c r="A2623" i="6"/>
  <c r="G2589" i="6"/>
  <c r="G2623" i="6" l="1"/>
  <c r="G2624" i="6" s="1"/>
  <c r="F2669" i="6"/>
  <c r="G2669" i="6" s="1"/>
  <c r="F2655" i="6"/>
  <c r="G2655" i="6" s="1"/>
  <c r="F2671" i="6"/>
  <c r="G2671" i="6" s="1"/>
  <c r="B2632" i="6"/>
  <c r="D2650" i="6"/>
  <c r="F2658" i="6"/>
  <c r="G2658" i="6" s="1"/>
  <c r="F2668" i="6"/>
  <c r="G2668" i="6" s="1"/>
  <c r="F2670" i="6"/>
  <c r="G2670" i="6" s="1"/>
  <c r="F2657" i="6"/>
  <c r="G2657" i="6" s="1"/>
  <c r="F2656" i="6"/>
  <c r="G2656" i="6" s="1"/>
  <c r="G2675" i="6" l="1"/>
  <c r="G2664" i="6"/>
  <c r="B2631" i="6"/>
  <c r="A2698" i="6"/>
  <c r="G2698" i="6" l="1"/>
  <c r="G2699" i="6" s="1"/>
  <c r="F2745" i="6"/>
  <c r="G2745" i="6" s="1"/>
  <c r="F2730" i="6"/>
  <c r="G2730" i="6" s="1"/>
  <c r="D2725" i="6"/>
  <c r="F2744" i="6"/>
  <c r="G2744" i="6" s="1"/>
  <c r="F2732" i="6"/>
  <c r="G2732" i="6" s="1"/>
  <c r="F2746" i="6"/>
  <c r="G2746" i="6" s="1"/>
  <c r="F2733" i="6"/>
  <c r="G2733" i="6" s="1"/>
  <c r="B2707" i="6"/>
  <c r="F2731" i="6"/>
  <c r="G2731" i="6" s="1"/>
  <c r="F2743" i="6"/>
  <c r="G2743" i="6" s="1"/>
  <c r="B2706" i="6" l="1"/>
  <c r="A2773" i="6"/>
  <c r="G2739" i="6"/>
  <c r="G2750" i="6"/>
  <c r="G2773" i="6" l="1"/>
  <c r="G2774" i="6" s="1"/>
  <c r="F2819" i="6"/>
  <c r="G2819" i="6" s="1"/>
  <c r="F2821" i="6"/>
  <c r="G2821" i="6" s="1"/>
  <c r="F2805" i="6"/>
  <c r="G2805" i="6" s="1"/>
  <c r="F2818" i="6"/>
  <c r="G2818" i="6" s="1"/>
  <c r="F2808" i="6"/>
  <c r="G2808" i="6" s="1"/>
  <c r="B2782" i="6"/>
  <c r="F2807" i="6"/>
  <c r="G2807" i="6" s="1"/>
  <c r="D2800" i="6"/>
  <c r="F2820" i="6"/>
  <c r="G2820" i="6" s="1"/>
  <c r="F2806" i="6"/>
  <c r="G2806" i="6" s="1"/>
  <c r="G2814" i="6" l="1"/>
  <c r="G2825" i="6"/>
  <c r="B2781" i="6"/>
  <c r="A2848" i="6"/>
  <c r="G2848" i="6" l="1"/>
  <c r="G2849" i="6" s="1"/>
  <c r="F2880" i="6"/>
  <c r="G2880" i="6" s="1"/>
  <c r="F2883" i="6"/>
  <c r="G2883" i="6" s="1"/>
  <c r="F2893" i="6"/>
  <c r="G2893" i="6" s="1"/>
  <c r="F2881" i="6"/>
  <c r="G2881" i="6" s="1"/>
  <c r="F2896" i="6"/>
  <c r="G2896" i="6" s="1"/>
  <c r="F2895" i="6"/>
  <c r="G2895" i="6" s="1"/>
  <c r="B2857" i="6"/>
  <c r="D2875" i="6"/>
  <c r="F2894" i="6"/>
  <c r="G2894" i="6" s="1"/>
  <c r="F2882" i="6"/>
  <c r="G2882" i="6" s="1"/>
  <c r="B2856" i="6" l="1"/>
  <c r="A2923" i="6"/>
  <c r="G2889" i="6"/>
  <c r="G2900" i="6"/>
  <c r="G2923" i="6" l="1"/>
  <c r="G2924" i="6" s="1"/>
  <c r="F2955" i="6"/>
  <c r="G2955" i="6" s="1"/>
  <c r="F2958" i="6"/>
  <c r="G2958" i="6" s="1"/>
  <c r="F2968" i="6"/>
  <c r="G2968" i="6" s="1"/>
  <c r="D2950" i="6"/>
  <c r="B2932" i="6"/>
  <c r="F2969" i="6"/>
  <c r="G2969" i="6" s="1"/>
  <c r="F2970" i="6"/>
  <c r="G2970" i="6" s="1"/>
  <c r="F2971" i="6"/>
  <c r="G2971" i="6" s="1"/>
  <c r="F2957" i="6"/>
  <c r="G2957" i="6" s="1"/>
  <c r="F2956" i="6"/>
  <c r="G2956" i="6" s="1"/>
  <c r="B2931" i="6" l="1"/>
  <c r="A2998" i="6"/>
  <c r="G2964" i="6"/>
  <c r="G2975" i="6"/>
  <c r="G2998" i="6" l="1"/>
  <c r="G2999" i="6" s="1"/>
  <c r="F3030" i="6"/>
  <c r="G3030" i="6" s="1"/>
  <c r="F3044" i="6"/>
  <c r="G3044" i="6" s="1"/>
  <c r="F3046" i="6"/>
  <c r="G3046" i="6" s="1"/>
  <c r="F3043" i="6"/>
  <c r="G3043" i="6" s="1"/>
  <c r="F3033" i="6"/>
  <c r="G3033" i="6" s="1"/>
  <c r="F3045" i="6"/>
  <c r="G3045" i="6" s="1"/>
  <c r="D3025" i="6"/>
  <c r="F3031" i="6"/>
  <c r="G3031" i="6" s="1"/>
  <c r="F3032" i="6"/>
  <c r="G3032" i="6" s="1"/>
  <c r="B3007" i="6"/>
  <c r="G3039" i="6" l="1"/>
  <c r="G3050" i="6"/>
  <c r="B3006" i="6"/>
  <c r="A3073" i="6"/>
  <c r="G3073" i="6" l="1"/>
  <c r="G3074" i="6" s="1"/>
  <c r="F3108" i="6"/>
  <c r="G3108" i="6" s="1"/>
  <c r="D3100" i="6"/>
  <c r="F3107" i="6"/>
  <c r="G3107" i="6" s="1"/>
  <c r="F3121" i="6"/>
  <c r="G3121" i="6" s="1"/>
  <c r="F3105" i="6"/>
  <c r="G3105" i="6" s="1"/>
  <c r="F3119" i="6"/>
  <c r="G3119" i="6" s="1"/>
  <c r="F3106" i="6"/>
  <c r="G3106" i="6" s="1"/>
  <c r="F3120" i="6"/>
  <c r="G3120" i="6" s="1"/>
  <c r="B3082" i="6"/>
  <c r="F3118" i="6"/>
  <c r="G3118" i="6" s="1"/>
  <c r="G3125" i="6" l="1"/>
  <c r="B3081" i="6"/>
  <c r="A3148" i="6"/>
  <c r="G3114" i="6"/>
  <c r="G3148" i="6" s="1"/>
  <c r="G3149" i="6" s="1"/>
  <c r="F3195" i="6" l="1"/>
  <c r="G3195" i="6" s="1"/>
  <c r="F3183" i="6"/>
  <c r="G3183" i="6" s="1"/>
  <c r="F3181" i="6"/>
  <c r="G3181" i="6" s="1"/>
  <c r="B3157" i="6"/>
  <c r="F3182" i="6"/>
  <c r="G3182" i="6" s="1"/>
  <c r="F3193" i="6"/>
  <c r="G3193" i="6" s="1"/>
  <c r="F3180" i="6"/>
  <c r="G3180" i="6" s="1"/>
  <c r="D3175" i="6"/>
  <c r="F3196" i="6"/>
  <c r="G3196" i="6" s="1"/>
  <c r="F3194" i="6"/>
  <c r="G3194" i="6" s="1"/>
  <c r="G3200" i="6" l="1"/>
  <c r="G3189" i="6"/>
  <c r="G3223" i="6" s="1"/>
  <c r="G3224" i="6" s="1"/>
  <c r="B3156" i="6"/>
  <c r="A3223" i="6"/>
  <c r="B3232" i="6" l="1"/>
  <c r="F3258" i="6"/>
  <c r="G3258" i="6" s="1"/>
  <c r="F3271" i="6"/>
  <c r="G3271" i="6" s="1"/>
  <c r="F3269" i="6"/>
  <c r="G3269" i="6" s="1"/>
  <c r="F3257" i="6"/>
  <c r="G3257" i="6" s="1"/>
  <c r="F3268" i="6"/>
  <c r="G3268" i="6" s="1"/>
  <c r="D3250" i="6"/>
  <c r="F3255" i="6"/>
  <c r="G3255" i="6" s="1"/>
  <c r="F3256" i="6"/>
  <c r="G3256" i="6" s="1"/>
  <c r="F3270" i="6"/>
  <c r="G3270" i="6" s="1"/>
  <c r="G3264" i="6" l="1"/>
  <c r="G3275" i="6"/>
  <c r="B3231" i="6"/>
  <c r="A3298" i="6"/>
  <c r="G3298" i="6" l="1"/>
  <c r="G3299" i="6" s="1"/>
  <c r="F3346" i="6"/>
  <c r="G3346" i="6" s="1"/>
  <c r="F3331" i="6"/>
  <c r="G3331" i="6" s="1"/>
  <c r="F3344" i="6"/>
  <c r="G3344" i="6" s="1"/>
  <c r="F3333" i="6"/>
  <c r="G3333" i="6" s="1"/>
  <c r="F3343" i="6"/>
  <c r="G3343" i="6" s="1"/>
  <c r="F3332" i="6"/>
  <c r="G3332" i="6" s="1"/>
  <c r="F3330" i="6"/>
  <c r="G3330" i="6" s="1"/>
  <c r="D3325" i="6"/>
  <c r="B3307" i="6"/>
  <c r="F3345" i="6"/>
  <c r="G3345" i="6" s="1"/>
  <c r="B3306" i="6" l="1"/>
  <c r="A3373" i="6"/>
  <c r="G3339" i="6"/>
  <c r="G3350" i="6"/>
  <c r="G3373" i="6" l="1"/>
  <c r="G3374" i="6" s="1"/>
  <c r="F37" i="2"/>
  <c r="G37" i="2" s="1"/>
  <c r="F21" i="2"/>
  <c r="G21" i="2" s="1"/>
  <c r="F33" i="2"/>
  <c r="G33" i="2" s="1"/>
  <c r="F29" i="2"/>
  <c r="G29" i="2" s="1"/>
  <c r="F17" i="2"/>
  <c r="F25" i="2"/>
  <c r="G25" i="2" s="1"/>
  <c r="F20" i="2" l="1"/>
  <c r="G20" i="2" s="1"/>
  <c r="F19" i="2"/>
  <c r="G19" i="2" s="1"/>
  <c r="F36" i="2"/>
  <c r="G36" i="2" s="1"/>
  <c r="F38" i="2"/>
  <c r="G38" i="2" s="1"/>
  <c r="F35" i="2"/>
  <c r="G35" i="2" s="1"/>
  <c r="F31" i="2"/>
  <c r="G31" i="2" s="1"/>
  <c r="F32" i="2"/>
  <c r="G32" i="2" s="1"/>
  <c r="F30" i="2"/>
  <c r="G30" i="2" s="1"/>
  <c r="F34" i="2"/>
  <c r="G34" i="2" s="1"/>
  <c r="F39" i="2"/>
  <c r="G39" i="2" s="1"/>
  <c r="F24" i="2"/>
  <c r="G24" i="2" s="1"/>
  <c r="F23" i="2"/>
  <c r="G23" i="2" s="1"/>
  <c r="F28" i="2"/>
  <c r="G28" i="2" s="1"/>
  <c r="F22" i="2"/>
  <c r="G22" i="2" s="1"/>
  <c r="F27" i="2"/>
  <c r="G27" i="2" s="1"/>
  <c r="F26" i="2"/>
  <c r="G26" i="2" s="1"/>
  <c r="F40" i="2"/>
  <c r="G40" i="2" s="1"/>
  <c r="F18" i="2"/>
  <c r="G18" i="2" s="1"/>
  <c r="F24" i="18"/>
  <c r="H25" i="2"/>
  <c r="H37" i="2"/>
  <c r="F36" i="18"/>
  <c r="H29" i="2"/>
  <c r="F28" i="18"/>
  <c r="H33" i="2"/>
  <c r="F32" i="18"/>
  <c r="F20" i="18"/>
  <c r="H21" i="2"/>
  <c r="H26" i="2" l="1"/>
  <c r="F25" i="18"/>
  <c r="F29" i="18"/>
  <c r="H30" i="2"/>
  <c r="H27" i="2"/>
  <c r="F26" i="18"/>
  <c r="F31" i="18"/>
  <c r="H32" i="2"/>
  <c r="H22" i="2"/>
  <c r="F21" i="18"/>
  <c r="F30" i="18"/>
  <c r="H31" i="2"/>
  <c r="H28" i="2"/>
  <c r="F27" i="18"/>
  <c r="F34" i="18"/>
  <c r="H35" i="2"/>
  <c r="F22" i="18"/>
  <c r="H23" i="2"/>
  <c r="H38" i="2"/>
  <c r="F37" i="18"/>
  <c r="H24" i="2"/>
  <c r="F23" i="18"/>
  <c r="H36" i="2"/>
  <c r="F35" i="18"/>
  <c r="H18" i="2"/>
  <c r="F17" i="18"/>
  <c r="H39" i="2"/>
  <c r="F38" i="18"/>
  <c r="H19" i="2"/>
  <c r="F18" i="18"/>
  <c r="H40" i="2"/>
  <c r="F39" i="18"/>
  <c r="H34" i="2"/>
  <c r="F33" i="18"/>
  <c r="F19" i="18"/>
  <c r="H20" i="2"/>
  <c r="E24" i="18"/>
  <c r="G24" i="18"/>
  <c r="E32" i="18"/>
  <c r="G32" i="18"/>
  <c r="E28" i="18"/>
  <c r="G28" i="18"/>
  <c r="G20" i="18"/>
  <c r="E20" i="18"/>
  <c r="E36" i="18"/>
  <c r="G36" i="18"/>
  <c r="H46" i="2" l="1"/>
  <c r="E39" i="18"/>
  <c r="G39" i="18"/>
  <c r="G35" i="18"/>
  <c r="E35" i="18"/>
  <c r="E34" i="18"/>
  <c r="G34" i="18"/>
  <c r="G31" i="18"/>
  <c r="E31" i="18"/>
  <c r="G18" i="18"/>
  <c r="E18" i="18"/>
  <c r="G27" i="18"/>
  <c r="E27" i="18"/>
  <c r="G26" i="18"/>
  <c r="E26" i="18"/>
  <c r="E23" i="18"/>
  <c r="G23" i="18"/>
  <c r="E38" i="18"/>
  <c r="G38" i="18"/>
  <c r="G37" i="18"/>
  <c r="E37" i="18"/>
  <c r="G19" i="18"/>
  <c r="E19" i="18"/>
  <c r="G30" i="18"/>
  <c r="E30" i="18"/>
  <c r="G29" i="18"/>
  <c r="E29" i="18"/>
  <c r="E17" i="18"/>
  <c r="G17" i="18"/>
  <c r="E21" i="18"/>
  <c r="G21" i="18"/>
  <c r="G25" i="18"/>
  <c r="E25" i="18"/>
  <c r="E33" i="18"/>
  <c r="G33" i="18"/>
  <c r="G22" i="18"/>
  <c r="E22" i="18"/>
  <c r="A59" i="2"/>
  <c r="C44" i="9" l="1"/>
  <c r="C43" i="9"/>
  <c r="C42" i="9"/>
  <c r="D41" i="18"/>
  <c r="D66" i="18"/>
  <c r="D52" i="18"/>
  <c r="D58" i="18"/>
  <c r="D71" i="18"/>
  <c r="D47" i="18"/>
  <c r="D67" i="18"/>
  <c r="D59" i="18"/>
  <c r="D74" i="18"/>
  <c r="D42" i="18"/>
  <c r="D43" i="18"/>
  <c r="D48" i="18"/>
  <c r="D54" i="18"/>
  <c r="D75" i="18"/>
  <c r="D60" i="18"/>
  <c r="D49" i="18"/>
  <c r="D68" i="18"/>
  <c r="D44" i="18"/>
  <c r="D45" i="18"/>
  <c r="D55" i="18"/>
  <c r="D61" i="18"/>
  <c r="D69" i="18"/>
  <c r="D63" i="18"/>
  <c r="D50" i="18"/>
  <c r="D53" i="18"/>
  <c r="D70" i="18"/>
  <c r="D40" i="18"/>
  <c r="D64" i="18"/>
  <c r="D62" i="18"/>
  <c r="D56" i="18"/>
  <c r="D72" i="18"/>
  <c r="D46" i="18"/>
  <c r="D65" i="18"/>
  <c r="D57" i="18"/>
  <c r="D51" i="18"/>
  <c r="D73" i="18"/>
  <c r="C53" i="18"/>
  <c r="C54" i="18"/>
  <c r="C42" i="18"/>
  <c r="C45" i="18"/>
  <c r="C50" i="18"/>
  <c r="C69" i="18"/>
  <c r="C70" i="18"/>
  <c r="C58" i="18"/>
  <c r="C61" i="18"/>
  <c r="C66" i="18"/>
  <c r="C55" i="18"/>
  <c r="C40" i="18"/>
  <c r="C74" i="18"/>
  <c r="C47" i="18"/>
  <c r="C51" i="18"/>
  <c r="C71" i="18"/>
  <c r="C56" i="18"/>
  <c r="C43" i="18"/>
  <c r="C63" i="18"/>
  <c r="C67" i="18"/>
  <c r="C46" i="18"/>
  <c r="C72" i="18"/>
  <c r="C59" i="18"/>
  <c r="C64" i="18"/>
  <c r="C62" i="18"/>
  <c r="C41" i="18"/>
  <c r="C75" i="18"/>
  <c r="C49" i="18"/>
  <c r="C52" i="18"/>
  <c r="C57" i="18"/>
  <c r="C44" i="18"/>
  <c r="C65" i="18"/>
  <c r="C68" i="18"/>
  <c r="C73" i="18"/>
  <c r="C60" i="18"/>
  <c r="C48" i="18"/>
  <c r="B56" i="18"/>
  <c r="B61" i="18"/>
  <c r="B44" i="18"/>
  <c r="B64" i="18"/>
  <c r="B57" i="18"/>
  <c r="B63" i="18"/>
  <c r="B67" i="18"/>
  <c r="B43" i="18"/>
  <c r="B66" i="18"/>
  <c r="B70" i="18"/>
  <c r="B46" i="18"/>
  <c r="B52" i="18"/>
  <c r="B40" i="18"/>
  <c r="B68" i="18"/>
  <c r="B55" i="18"/>
  <c r="B45" i="18"/>
  <c r="B51" i="18"/>
  <c r="B60" i="18"/>
  <c r="B72" i="18"/>
  <c r="B75" i="18"/>
  <c r="B62" i="18"/>
  <c r="B74" i="18"/>
  <c r="B65" i="18"/>
  <c r="B73" i="18"/>
  <c r="B42" i="18"/>
  <c r="B41" i="18"/>
  <c r="B69" i="18"/>
  <c r="B54" i="18"/>
  <c r="B53" i="18"/>
  <c r="B59" i="18"/>
  <c r="B58" i="18"/>
  <c r="B50" i="18"/>
  <c r="B48" i="18"/>
  <c r="B71" i="18"/>
  <c r="B47" i="18"/>
  <c r="B49" i="18"/>
  <c r="F69" i="18"/>
  <c r="E69" i="18" s="1"/>
  <c r="F65" i="18"/>
  <c r="E65" i="18" s="1"/>
  <c r="F43" i="18"/>
  <c r="E43" i="18" s="1"/>
  <c r="F55" i="18"/>
  <c r="E55" i="18" s="1"/>
  <c r="F53" i="18"/>
  <c r="E53" i="18" s="1"/>
  <c r="F68" i="18"/>
  <c r="E68" i="18" s="1"/>
  <c r="F48" i="18"/>
  <c r="E48" i="18" s="1"/>
  <c r="F66" i="18"/>
  <c r="E66" i="18" s="1"/>
  <c r="F70" i="18"/>
  <c r="E70" i="18" s="1"/>
  <c r="F52" i="18"/>
  <c r="E52" i="18" s="1"/>
  <c r="F58" i="18"/>
  <c r="E58" i="18" s="1"/>
  <c r="F42" i="18"/>
  <c r="E42" i="18" s="1"/>
  <c r="F75" i="18"/>
  <c r="E75" i="18" s="1"/>
  <c r="F40" i="18"/>
  <c r="E40" i="18" s="1"/>
  <c r="F59" i="18"/>
  <c r="E59" i="18" s="1"/>
  <c r="F45" i="18"/>
  <c r="E45" i="18" s="1"/>
  <c r="F62" i="18"/>
  <c r="E62" i="18" s="1"/>
  <c r="F73" i="18"/>
  <c r="E73" i="18" s="1"/>
  <c r="F57" i="18"/>
  <c r="E57" i="18" s="1"/>
  <c r="F47" i="18"/>
  <c r="E47" i="18" s="1"/>
  <c r="F44" i="18"/>
  <c r="E44" i="18" s="1"/>
  <c r="F72" i="18"/>
  <c r="E72" i="18" s="1"/>
  <c r="F50" i="18"/>
  <c r="F61" i="18"/>
  <c r="E61" i="18" s="1"/>
  <c r="F67" i="18"/>
  <c r="F64" i="18"/>
  <c r="E64" i="18" s="1"/>
  <c r="F41" i="18"/>
  <c r="E41" i="18" s="1"/>
  <c r="F46" i="18"/>
  <c r="E46" i="18" s="1"/>
  <c r="F60" i="18"/>
  <c r="E60" i="18" s="1"/>
  <c r="F63" i="18"/>
  <c r="E63" i="18" s="1"/>
  <c r="F56" i="18"/>
  <c r="F54" i="18"/>
  <c r="E54" i="18" s="1"/>
  <c r="F51" i="18"/>
  <c r="E51" i="18" s="1"/>
  <c r="F49" i="18"/>
  <c r="E49" i="18" s="1"/>
  <c r="F74" i="18"/>
  <c r="E74" i="18" s="1"/>
  <c r="F71" i="18"/>
  <c r="E71" i="18" s="1"/>
  <c r="I30" i="2"/>
  <c r="E26" i="9" s="1"/>
  <c r="I17" i="2"/>
  <c r="E13" i="9" s="1"/>
  <c r="I36" i="2"/>
  <c r="E32" i="9" s="1"/>
  <c r="I35" i="2"/>
  <c r="E31" i="9" s="1"/>
  <c r="I40" i="2"/>
  <c r="I18" i="2"/>
  <c r="E14" i="9" s="1"/>
  <c r="I39" i="2"/>
  <c r="I22" i="2"/>
  <c r="D17" i="28" s="1"/>
  <c r="D17" i="27" s="1"/>
  <c r="I25" i="2"/>
  <c r="E21" i="9" s="1"/>
  <c r="I26" i="2"/>
  <c r="E22" i="9" s="1"/>
  <c r="I19" i="2"/>
  <c r="D14" i="28" s="1"/>
  <c r="D14" i="27" s="1"/>
  <c r="I34" i="2"/>
  <c r="E30" i="9" s="1"/>
  <c r="I20" i="2"/>
  <c r="E16" i="9" s="1"/>
  <c r="F49" i="9"/>
  <c r="F50" i="9" s="1"/>
  <c r="A79" i="18"/>
  <c r="I27" i="2"/>
  <c r="E23" i="9" s="1"/>
  <c r="I28" i="2"/>
  <c r="E24" i="9" s="1"/>
  <c r="I23" i="2"/>
  <c r="E19" i="9" s="1"/>
  <c r="I24" i="2"/>
  <c r="E20" i="9" s="1"/>
  <c r="I21" i="2"/>
  <c r="D16" i="28" s="1"/>
  <c r="D16" i="27" s="1"/>
  <c r="I37" i="2"/>
  <c r="H57" i="2"/>
  <c r="C11" i="2"/>
  <c r="I32" i="2"/>
  <c r="E28" i="9" s="1"/>
  <c r="I33" i="2"/>
  <c r="E29" i="9" s="1"/>
  <c r="I31" i="2"/>
  <c r="E27" i="9" s="1"/>
  <c r="H48" i="2"/>
  <c r="H49" i="2" s="1"/>
  <c r="H50" i="2" s="1"/>
  <c r="H52" i="2" s="1"/>
  <c r="I38" i="2"/>
  <c r="I29" i="2"/>
  <c r="E25" i="9" s="1"/>
  <c r="C157" i="6"/>
  <c r="B223" i="6" s="1"/>
  <c r="C381" i="6"/>
  <c r="C906" i="6"/>
  <c r="G382" i="6"/>
  <c r="F449" i="6" s="1"/>
  <c r="G232" i="6"/>
  <c r="E250" i="6" s="1"/>
  <c r="G607" i="6"/>
  <c r="F674" i="6" s="1"/>
  <c r="G982" i="6"/>
  <c r="E1000" i="6" s="1"/>
  <c r="G1582" i="6"/>
  <c r="E1600" i="6" s="1"/>
  <c r="C1731" i="6"/>
  <c r="C1957" i="6"/>
  <c r="B2023" i="6" s="1"/>
  <c r="C2182" i="6"/>
  <c r="B2248" i="6" s="1"/>
  <c r="C2331" i="6"/>
  <c r="C2557" i="6"/>
  <c r="B2623" i="6" s="1"/>
  <c r="G2782" i="6"/>
  <c r="F2848" i="6" s="1"/>
  <c r="C2931" i="6"/>
  <c r="G3157" i="6"/>
  <c r="F3224" i="6" s="1"/>
  <c r="C1431" i="6"/>
  <c r="C1506" i="6"/>
  <c r="G2932" i="6"/>
  <c r="E2950" i="6" s="1"/>
  <c r="G82" i="6"/>
  <c r="F149" i="6" s="1"/>
  <c r="C7" i="6"/>
  <c r="B73" i="6" s="1"/>
  <c r="G682" i="6"/>
  <c r="F748" i="6" s="1"/>
  <c r="C981" i="6"/>
  <c r="C382" i="6"/>
  <c r="B448" i="6" s="1"/>
  <c r="G1507" i="6"/>
  <c r="F1574" i="6" s="1"/>
  <c r="C607" i="6"/>
  <c r="B673" i="6" s="1"/>
  <c r="C531" i="6"/>
  <c r="C1582" i="6"/>
  <c r="B1648" i="6" s="1"/>
  <c r="G1807" i="6"/>
  <c r="F1874" i="6" s="1"/>
  <c r="C1956" i="6"/>
  <c r="G2182" i="6"/>
  <c r="F2248" i="6" s="1"/>
  <c r="C2407" i="6"/>
  <c r="B2473" i="6" s="1"/>
  <c r="C2556" i="6"/>
  <c r="C2782" i="6"/>
  <c r="B2848" i="6" s="1"/>
  <c r="G3007" i="6"/>
  <c r="E3025" i="6" s="1"/>
  <c r="C3156" i="6"/>
  <c r="C832" i="6"/>
  <c r="B898" i="6" s="1"/>
  <c r="C2106" i="6"/>
  <c r="C81" i="6"/>
  <c r="C1357" i="6"/>
  <c r="B1423" i="6" s="1"/>
  <c r="C231" i="6"/>
  <c r="G457" i="6"/>
  <c r="E475" i="6" s="1"/>
  <c r="C457" i="6"/>
  <c r="B523" i="6" s="1"/>
  <c r="G532" i="6"/>
  <c r="E550" i="6" s="1"/>
  <c r="C1507" i="6"/>
  <c r="B1573" i="6" s="1"/>
  <c r="G832" i="6"/>
  <c r="F898" i="6" s="1"/>
  <c r="C1581" i="6"/>
  <c r="C1807" i="6"/>
  <c r="B1873" i="6" s="1"/>
  <c r="C2032" i="6"/>
  <c r="B2098" i="6" s="1"/>
  <c r="C2181" i="6"/>
  <c r="G2407" i="6"/>
  <c r="F2474" i="6" s="1"/>
  <c r="G2632" i="6"/>
  <c r="E2650" i="6" s="1"/>
  <c r="C2781" i="6"/>
  <c r="C3007" i="6"/>
  <c r="B3073" i="6" s="1"/>
  <c r="G3232" i="6"/>
  <c r="F3299" i="6" s="1"/>
  <c r="G157" i="6"/>
  <c r="E175" i="6" s="1"/>
  <c r="G1207" i="6"/>
  <c r="F1273" i="6" s="1"/>
  <c r="C2706" i="6"/>
  <c r="C82" i="6"/>
  <c r="B148" i="6" s="1"/>
  <c r="G1357" i="6"/>
  <c r="F1424" i="6" s="1"/>
  <c r="G1057" i="6"/>
  <c r="E1075" i="6" s="1"/>
  <c r="C682" i="6"/>
  <c r="B748" i="6" s="1"/>
  <c r="G757" i="6"/>
  <c r="F823" i="6" s="1"/>
  <c r="C757" i="6"/>
  <c r="B823" i="6" s="1"/>
  <c r="C532" i="6"/>
  <c r="B598" i="6" s="1"/>
  <c r="C907" i="6"/>
  <c r="B973" i="6" s="1"/>
  <c r="C1657" i="6"/>
  <c r="B1723" i="6" s="1"/>
  <c r="C1806" i="6"/>
  <c r="G2032" i="6"/>
  <c r="E2050" i="6" s="1"/>
  <c r="C2257" i="6"/>
  <c r="B2323" i="6" s="1"/>
  <c r="C2406" i="6"/>
  <c r="C2632" i="6"/>
  <c r="B2698" i="6" s="1"/>
  <c r="G2857" i="6"/>
  <c r="F2924" i="6" s="1"/>
  <c r="C3006" i="6"/>
  <c r="C3232" i="6"/>
  <c r="B3298" i="6" s="1"/>
  <c r="C756" i="6"/>
  <c r="G2557" i="6"/>
  <c r="F2624" i="6" s="1"/>
  <c r="C156" i="6"/>
  <c r="C1356" i="6"/>
  <c r="C1056" i="6"/>
  <c r="C306" i="6"/>
  <c r="G307" i="6"/>
  <c r="F374" i="6" s="1"/>
  <c r="C232" i="6"/>
  <c r="B298" i="6" s="1"/>
  <c r="C307" i="6"/>
  <c r="B373" i="6" s="1"/>
  <c r="C831" i="6"/>
  <c r="G1657" i="6"/>
  <c r="E1675" i="6" s="1"/>
  <c r="G1882" i="6"/>
  <c r="F1948" i="6" s="1"/>
  <c r="C2031" i="6"/>
  <c r="G2257" i="6"/>
  <c r="F2323" i="6" s="1"/>
  <c r="C2482" i="6"/>
  <c r="B2548" i="6" s="1"/>
  <c r="C2631" i="6"/>
  <c r="C2857" i="6"/>
  <c r="B2923" i="6" s="1"/>
  <c r="G3082" i="6"/>
  <c r="E3100" i="6" s="1"/>
  <c r="C3231" i="6"/>
  <c r="G1132" i="6"/>
  <c r="F1199" i="6" s="1"/>
  <c r="G1957" i="6"/>
  <c r="F2024" i="6" s="1"/>
  <c r="C3157" i="6"/>
  <c r="B3223" i="6" s="1"/>
  <c r="C6" i="6"/>
  <c r="C1432" i="6"/>
  <c r="B1498" i="6" s="1"/>
  <c r="G1282" i="6"/>
  <c r="F1349" i="6" s="1"/>
  <c r="C1057" i="6"/>
  <c r="B1123" i="6" s="1"/>
  <c r="C606" i="6"/>
  <c r="C681" i="6"/>
  <c r="G907" i="6"/>
  <c r="F974" i="6" s="1"/>
  <c r="C982" i="6"/>
  <c r="B1048" i="6" s="1"/>
  <c r="C1656" i="6"/>
  <c r="C1882" i="6"/>
  <c r="B1948" i="6" s="1"/>
  <c r="G2107" i="6"/>
  <c r="F2173" i="6" s="1"/>
  <c r="C2256" i="6"/>
  <c r="G2482" i="6"/>
  <c r="F2548" i="6" s="1"/>
  <c r="G2707" i="6"/>
  <c r="F2773" i="6" s="1"/>
  <c r="C2856" i="6"/>
  <c r="C3082" i="6"/>
  <c r="B3148" i="6" s="1"/>
  <c r="G3307" i="6"/>
  <c r="F3374" i="6" s="1"/>
  <c r="C1207" i="6"/>
  <c r="B1273" i="6" s="1"/>
  <c r="G1732" i="6"/>
  <c r="F1799" i="6" s="1"/>
  <c r="C3306" i="6"/>
  <c r="G7" i="6"/>
  <c r="F73" i="6" s="1"/>
  <c r="G1432" i="6"/>
  <c r="E1450" i="6" s="1"/>
  <c r="C1282" i="6"/>
  <c r="B1348" i="6" s="1"/>
  <c r="C456" i="6"/>
  <c r="C1281" i="6"/>
  <c r="C1132" i="6"/>
  <c r="B1198" i="6" s="1"/>
  <c r="C1131" i="6"/>
  <c r="C1206" i="6"/>
  <c r="C1732" i="6"/>
  <c r="B1798" i="6" s="1"/>
  <c r="C1881" i="6"/>
  <c r="C2107" i="6"/>
  <c r="B2173" i="6" s="1"/>
  <c r="G2332" i="6"/>
  <c r="F2399" i="6" s="1"/>
  <c r="C2481" i="6"/>
  <c r="C2707" i="6"/>
  <c r="B2773" i="6" s="1"/>
  <c r="C2932" i="6"/>
  <c r="B2998" i="6" s="1"/>
  <c r="C3081" i="6"/>
  <c r="C3307" i="6"/>
  <c r="B3373" i="6" s="1"/>
  <c r="C2332" i="6"/>
  <c r="B2398" i="6" s="1"/>
  <c r="E15" i="9" l="1"/>
  <c r="D13" i="28"/>
  <c r="D13" i="27" s="1"/>
  <c r="G49" i="18"/>
  <c r="H51" i="2"/>
  <c r="G48" i="18"/>
  <c r="E18" i="9"/>
  <c r="G44" i="18"/>
  <c r="G59" i="18"/>
  <c r="D15" i="28"/>
  <c r="D15" i="27" s="1"/>
  <c r="G73" i="18"/>
  <c r="G64" i="18"/>
  <c r="G57" i="18"/>
  <c r="D18" i="28"/>
  <c r="D18" i="27" s="1"/>
  <c r="E17" i="9"/>
  <c r="G65" i="18"/>
  <c r="G46" i="18"/>
  <c r="D19" i="28"/>
  <c r="D19" i="27" s="1"/>
  <c r="G72" i="18"/>
  <c r="G63" i="18"/>
  <c r="G60" i="18"/>
  <c r="D20" i="28"/>
  <c r="D20" i="27" s="1"/>
  <c r="G69" i="18"/>
  <c r="G75" i="18"/>
  <c r="G47" i="18"/>
  <c r="G62" i="18"/>
  <c r="G61" i="18"/>
  <c r="G54" i="18"/>
  <c r="G71" i="18"/>
  <c r="G55" i="18"/>
  <c r="G58" i="18"/>
  <c r="G67" i="18"/>
  <c r="E67" i="18"/>
  <c r="G56" i="18"/>
  <c r="E56" i="18"/>
  <c r="G50" i="18"/>
  <c r="E50" i="18"/>
  <c r="G51" i="18"/>
  <c r="G40" i="18"/>
  <c r="G45" i="18"/>
  <c r="G43" i="18"/>
  <c r="G52" i="18"/>
  <c r="G70" i="18"/>
  <c r="G42" i="18"/>
  <c r="G66" i="18"/>
  <c r="G53" i="18"/>
  <c r="G68" i="18"/>
  <c r="G74" i="18"/>
  <c r="G41" i="18"/>
  <c r="I46" i="2"/>
  <c r="F899" i="6"/>
  <c r="F2549" i="6"/>
  <c r="E25" i="6"/>
  <c r="E2350" i="6"/>
  <c r="F2023" i="6"/>
  <c r="E2800" i="6"/>
  <c r="F2174" i="6"/>
  <c r="E3325" i="6"/>
  <c r="E1225" i="6"/>
  <c r="F2849" i="6"/>
  <c r="E625" i="6"/>
  <c r="F2324" i="6"/>
  <c r="F74" i="6"/>
  <c r="E100" i="6"/>
  <c r="F523" i="6"/>
  <c r="F524" i="6"/>
  <c r="E2425" i="6"/>
  <c r="F2698" i="6"/>
  <c r="E325" i="6"/>
  <c r="F373" i="6"/>
  <c r="F2774" i="6"/>
  <c r="E3250" i="6"/>
  <c r="F1724" i="6"/>
  <c r="F1124" i="6"/>
  <c r="F1723" i="6"/>
  <c r="E1825" i="6"/>
  <c r="F749" i="6"/>
  <c r="E850" i="6"/>
  <c r="F2098" i="6"/>
  <c r="F3149" i="6"/>
  <c r="F2998" i="6"/>
  <c r="F2249" i="6"/>
  <c r="F598" i="6"/>
  <c r="F1123" i="6"/>
  <c r="E2575" i="6"/>
  <c r="F1873" i="6"/>
  <c r="E700" i="6"/>
  <c r="F2099" i="6"/>
  <c r="F3148" i="6"/>
  <c r="F2999" i="6"/>
  <c r="F3073" i="6"/>
  <c r="F599" i="6"/>
  <c r="F2699" i="6"/>
  <c r="E1750" i="6"/>
  <c r="F673" i="6"/>
  <c r="F148" i="6"/>
  <c r="E2725" i="6"/>
  <c r="F1798" i="6"/>
  <c r="F3074" i="6"/>
  <c r="E1375" i="6"/>
  <c r="F1348" i="6"/>
  <c r="E1300" i="6"/>
  <c r="F973" i="6"/>
  <c r="E3175" i="6"/>
  <c r="F2473" i="6"/>
  <c r="E775" i="6"/>
  <c r="E925" i="6"/>
  <c r="F3373" i="6"/>
  <c r="F448" i="6"/>
  <c r="E1900" i="6"/>
  <c r="E2125" i="6"/>
  <c r="E400" i="6"/>
  <c r="F1198" i="6"/>
  <c r="F1649" i="6"/>
  <c r="F1648" i="6"/>
  <c r="F2398" i="6"/>
  <c r="E2875" i="6"/>
  <c r="F298" i="6"/>
  <c r="E1525" i="6"/>
  <c r="F3298" i="6"/>
  <c r="F2923" i="6"/>
  <c r="F1949" i="6"/>
  <c r="E1150" i="6"/>
  <c r="F299" i="6"/>
  <c r="F1573" i="6"/>
  <c r="F1498" i="6"/>
  <c r="F223" i="6"/>
  <c r="F1048" i="6"/>
  <c r="F824" i="6"/>
  <c r="F2623" i="6"/>
  <c r="E2200" i="6"/>
  <c r="F1049" i="6"/>
  <c r="F1423" i="6"/>
  <c r="E2275" i="6"/>
  <c r="E2500" i="6"/>
  <c r="F1274" i="6"/>
  <c r="F3223" i="6"/>
  <c r="F1499" i="6"/>
  <c r="E1975" i="6"/>
  <c r="F224" i="6"/>
  <c r="H53" i="2"/>
  <c r="H54" i="2" s="1"/>
  <c r="G77" i="18" l="1"/>
  <c r="C2" i="26" s="1"/>
  <c r="H46" i="9"/>
  <c r="H49" i="9" s="1"/>
  <c r="G46" i="9"/>
  <c r="G47" i="9" s="1"/>
  <c r="K46" i="9"/>
  <c r="K49" i="9" s="1"/>
  <c r="D22" i="28"/>
  <c r="I22" i="28"/>
  <c r="J22" i="28"/>
  <c r="K6" i="28" s="1"/>
  <c r="H6" i="27" s="1"/>
  <c r="K22" i="28"/>
  <c r="H55" i="2"/>
  <c r="F22" i="27"/>
  <c r="H22" i="27"/>
  <c r="D22" i="27"/>
  <c r="G22" i="27"/>
  <c r="H47" i="9" l="1"/>
  <c r="G49" i="9"/>
  <c r="G50" i="9" s="1"/>
  <c r="H5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<sst xmlns="http://schemas.openxmlformats.org/spreadsheetml/2006/main" count="7343" uniqueCount="2018">
  <si>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</si>
  <si>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</si>
  <si>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</si>
  <si>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</si>
  <si>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</si>
  <si>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</si>
  <si>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</si>
  <si>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</si>
  <si>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</si>
  <si>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</si>
  <si>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</si>
  <si>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</si>
  <si>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</si>
  <si>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</si>
  <si>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</si>
  <si>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</si>
  <si>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</si>
  <si>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</si>
  <si>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</si>
  <si>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</si>
  <si>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</si>
  <si>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</si>
  <si>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</si>
  <si>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</si>
  <si>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</si>
  <si>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</si>
  <si>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</si>
  <si>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</si>
  <si>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</si>
  <si>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</si>
  <si>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</si>
  <si>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</si>
  <si>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</si>
  <si>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</si>
  <si>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</si>
  <si>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</si>
  <si>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</si>
  <si>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</si>
  <si>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</si>
  <si>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</si>
  <si>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</si>
  <si>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</si>
  <si>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</si>
  <si>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</si>
  <si>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</si>
  <si>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</si>
  <si>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</si>
  <si>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</si>
  <si>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</si>
  <si>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</si>
  <si>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</si>
  <si>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</si>
  <si>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</si>
  <si>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</si>
  <si>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</si>
  <si>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</si>
  <si>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</si>
  <si>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</si>
  <si>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</si>
  <si>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</si>
  <si>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</si>
  <si>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</si>
  <si>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</si>
  <si>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</si>
  <si>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</si>
  <si>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</si>
  <si>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</si>
  <si>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</si>
  <si>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</si>
  <si>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</si>
  <si>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</si>
  <si>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</si>
  <si>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</si>
  <si>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</si>
  <si>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</si>
  <si>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</si>
  <si>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</si>
  <si>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</si>
  <si>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</si>
  <si>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</si>
  <si>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</si>
  <si>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</si>
  <si>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</si>
  <si>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</si>
  <si>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</si>
  <si>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</si>
  <si>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</si>
  <si>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</si>
  <si>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</si>
  <si>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</si>
  <si>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</si>
  <si>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</si>
  <si>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</si>
  <si>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</si>
  <si>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</si>
  <si>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</si>
  <si>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</si>
  <si>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</si>
  <si>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</si>
  <si>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</si>
  <si>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</si>
  <si>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</si>
  <si>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</si>
  <si>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</si>
  <si>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</si>
  <si>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</si>
  <si>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</si>
  <si>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</si>
  <si>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</si>
  <si>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</si>
  <si>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</si>
  <si>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</si>
  <si>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</si>
  <si>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</si>
  <si>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</si>
  <si>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</si>
  <si>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</si>
  <si>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</si>
  <si>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</si>
  <si>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</si>
  <si>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</si>
  <si>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</si>
  <si>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</si>
  <si>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</si>
  <si>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</si>
  <si>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</si>
  <si>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</si>
  <si>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</si>
  <si>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</si>
  <si>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</si>
  <si>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</si>
  <si>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</si>
  <si>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</si>
  <si>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</si>
  <si>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</si>
  <si>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</si>
  <si>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</si>
  <si>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</si>
  <si>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</si>
  <si>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</si>
  <si>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</si>
  <si>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</si>
  <si>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</si>
  <si>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</si>
  <si>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</si>
  <si>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</si>
  <si>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</si>
  <si>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</si>
  <si>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</si>
  <si>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</si>
  <si>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</si>
  <si>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</si>
  <si>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</si>
  <si>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</si>
  <si>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</si>
  <si>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</si>
  <si>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</si>
  <si>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</si>
  <si>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</si>
  <si>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</si>
  <si>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</si>
  <si>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</si>
  <si>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</si>
  <si>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</si>
  <si>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</si>
  <si>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</si>
  <si>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</si>
  <si>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</si>
  <si>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</si>
  <si>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</si>
  <si>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</si>
  <si>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</si>
  <si>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</si>
  <si>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</si>
  <si>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</si>
  <si>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</si>
  <si>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</si>
  <si>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</si>
  <si>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</si>
  <si>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</si>
  <si>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</si>
  <si>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</si>
  <si>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</si>
  <si>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</si>
  <si>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</si>
  <si>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</si>
  <si>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</si>
  <si>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</si>
  <si>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</si>
  <si>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</si>
  <si>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</si>
  <si>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</si>
  <si>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</si>
  <si>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</si>
  <si>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</si>
  <si>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</si>
  <si>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</si>
  <si>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</si>
  <si>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</si>
  <si>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</si>
  <si>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</si>
  <si>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</si>
  <si>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</si>
  <si>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</si>
  <si>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</si>
  <si>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</si>
  <si>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</si>
  <si>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</si>
  <si>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</si>
  <si>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</si>
  <si>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</si>
  <si>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</si>
  <si>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</si>
  <si>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</si>
  <si>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</si>
  <si>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</si>
  <si>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</si>
  <si>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</si>
  <si>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</si>
  <si>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</si>
  <si>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</si>
  <si>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</si>
  <si>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</si>
  <si>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</si>
  <si>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</si>
  <si>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</si>
  <si>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</si>
  <si>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</si>
  <si>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</si>
  <si>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</si>
  <si>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</si>
  <si>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</si>
  <si>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</si>
  <si>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</si>
  <si>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</si>
  <si>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</si>
  <si>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</si>
  <si>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</si>
  <si>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</si>
  <si>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</si>
  <si>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</si>
  <si>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</si>
  <si>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</si>
  <si>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</si>
  <si>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</si>
  <si>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</si>
  <si>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</si>
  <si>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</si>
  <si>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</si>
  <si>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</si>
  <si>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</si>
  <si>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</si>
  <si>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</si>
  <si>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</si>
  <si>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</si>
  <si>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</si>
  <si>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</si>
  <si>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</si>
  <si>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</si>
  <si>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</si>
  <si>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</si>
  <si>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</si>
  <si>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</si>
  <si>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</si>
  <si>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</si>
  <si>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</si>
  <si>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</si>
  <si>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</si>
  <si>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</si>
  <si>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</si>
  <si>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</si>
  <si>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</si>
  <si>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</si>
  <si>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</si>
  <si>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</si>
  <si>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</si>
  <si>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</si>
  <si>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</si>
  <si>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</si>
  <si>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</si>
  <si>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</si>
  <si>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</si>
  <si>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</si>
  <si>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</si>
  <si>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</si>
  <si>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</si>
  <si>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</si>
  <si>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</si>
  <si>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</si>
  <si>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</si>
  <si>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</si>
  <si>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</si>
  <si>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</si>
  <si>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</si>
  <si>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</si>
  <si>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</si>
  <si>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</si>
  <si>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</si>
  <si>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</si>
  <si>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</si>
  <si>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</si>
  <si>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</si>
  <si>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</si>
  <si>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</si>
  <si>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</si>
  <si>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</si>
  <si>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</si>
  <si>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</si>
  <si>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</si>
  <si>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</si>
  <si>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</si>
  <si>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</si>
  <si>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</si>
  <si>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</si>
  <si>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</si>
  <si>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</si>
  <si>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</si>
  <si>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</si>
  <si>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</si>
  <si>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</si>
  <si>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</si>
  <si>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</si>
  <si>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</si>
  <si>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</si>
  <si>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</si>
  <si>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</si>
  <si>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</si>
  <si>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</si>
  <si>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</si>
  <si>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</si>
  <si>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</si>
  <si>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</si>
  <si>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</si>
  <si>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</si>
  <si>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</si>
  <si>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</si>
  <si>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</si>
  <si>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</si>
  <si>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</si>
  <si>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</si>
  <si>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</si>
  <si>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</si>
  <si>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</si>
  <si>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</si>
  <si>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</si>
  <si>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</si>
  <si>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</si>
  <si>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</si>
  <si>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</si>
  <si>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</si>
  <si>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</si>
  <si>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</si>
  <si>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</si>
  <si>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</si>
  <si>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</si>
  <si>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</si>
  <si>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</si>
  <si>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</si>
  <si>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</si>
  <si>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</si>
  <si>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</si>
  <si>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</si>
  <si>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</si>
  <si>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</si>
  <si>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</si>
  <si>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</si>
  <si>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</si>
  <si>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</si>
  <si>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</si>
  <si>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</si>
  <si>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</si>
  <si>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</si>
  <si>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</si>
  <si>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</si>
  <si>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</si>
  <si>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</si>
  <si>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</si>
  <si>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</si>
  <si>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</si>
  <si>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</si>
  <si>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</si>
  <si>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</si>
  <si>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</si>
  <si>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</si>
  <si>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</si>
  <si>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</si>
  <si>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</si>
  <si>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</si>
  <si>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</si>
  <si>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</si>
  <si>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</si>
  <si>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</si>
  <si>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</si>
  <si>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</si>
  <si>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</si>
  <si>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</si>
  <si>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</si>
  <si>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</si>
  <si>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</si>
  <si>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</si>
  <si>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</si>
  <si>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</si>
  <si>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</si>
  <si>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</si>
  <si>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</si>
  <si>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</si>
  <si>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</si>
  <si>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</si>
  <si>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</si>
  <si>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</si>
  <si>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</si>
  <si>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</si>
  <si>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</si>
  <si>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</si>
  <si>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</si>
  <si>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</si>
  <si>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</si>
  <si>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</si>
  <si>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</si>
  <si>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</si>
  <si>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</si>
  <si>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</si>
  <si>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</si>
  <si>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</si>
  <si>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</si>
  <si>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</si>
  <si>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</si>
  <si>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</si>
  <si>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</si>
  <si>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</si>
  <si>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</si>
  <si>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</si>
  <si>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</si>
  <si>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</si>
  <si>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</si>
  <si>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</si>
  <si>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</si>
  <si>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</si>
  <si>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</si>
  <si>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</si>
  <si>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</si>
  <si>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</si>
  <si>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</si>
  <si>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</si>
  <si>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</si>
  <si>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</si>
  <si>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</si>
  <si>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</si>
  <si>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</si>
  <si>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</si>
  <si>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</si>
  <si>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</si>
  <si>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</si>
  <si>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</si>
  <si>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</si>
  <si>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</si>
  <si>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</si>
  <si>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</si>
  <si>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</si>
  <si>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</si>
  <si>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</si>
  <si>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</si>
  <si>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</si>
  <si>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</si>
  <si>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</si>
  <si>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</si>
  <si>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</si>
  <si>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</si>
  <si>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</si>
  <si>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</si>
  <si>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</si>
  <si>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</si>
  <si>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</si>
  <si>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</si>
  <si>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</si>
  <si>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</si>
  <si>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</si>
  <si>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</si>
  <si>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</si>
  <si>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</si>
  <si>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</si>
  <si>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</si>
  <si>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</si>
  <si>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</si>
  <si>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</si>
  <si>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</si>
  <si>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</si>
  <si>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</si>
  <si>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</si>
  <si>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</si>
  <si>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</si>
  <si>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</si>
  <si>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</si>
  <si>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</si>
  <si>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</si>
  <si>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</si>
  <si>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</si>
  <si>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</si>
  <si>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</si>
  <si>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</si>
  <si>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</si>
  <si>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</si>
  <si>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</si>
  <si>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</si>
  <si>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</si>
  <si>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</si>
  <si>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</si>
  <si>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</si>
  <si>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</si>
  <si>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</si>
  <si>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</si>
  <si>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</si>
  <si>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</si>
  <si>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</si>
  <si>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</si>
  <si>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</si>
  <si>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</si>
  <si>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</si>
  <si>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</si>
  <si>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</si>
  <si>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</si>
  <si>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</si>
  <si>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</si>
  <si>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</si>
  <si>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</si>
  <si>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</si>
  <si>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</si>
  <si>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</si>
  <si>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</si>
  <si>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</si>
  <si>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</si>
  <si>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</si>
  <si>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</si>
  <si>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</si>
  <si>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</si>
  <si>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</si>
  <si>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</si>
  <si>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</si>
  <si>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</si>
  <si>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</si>
  <si>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</si>
  <si>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</si>
  <si>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</si>
  <si>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</si>
  <si>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</si>
  <si>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</si>
  <si>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</si>
  <si>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</si>
  <si>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</si>
  <si>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</si>
  <si>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</si>
  <si>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</si>
  <si>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</si>
  <si>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</si>
  <si>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</si>
  <si>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</si>
  <si>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</si>
  <si>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</si>
  <si>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</si>
  <si>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</si>
  <si>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</si>
  <si>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</si>
  <si>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</si>
  <si>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</si>
  <si>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</si>
  <si>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</si>
  <si>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</si>
  <si>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</si>
  <si>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</si>
  <si>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</si>
  <si>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</si>
  <si>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</si>
  <si>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</si>
  <si>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</si>
  <si>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</si>
  <si>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</si>
  <si>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</si>
  <si>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</si>
  <si>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</si>
  <si>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</si>
  <si>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</si>
  <si>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</si>
  <si>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</si>
  <si>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</si>
  <si>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</si>
  <si>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</si>
  <si>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</si>
  <si>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</si>
  <si>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</si>
  <si>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</si>
  <si>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</si>
  <si>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</si>
  <si>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</si>
  <si>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</si>
  <si>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</si>
  <si>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</si>
  <si>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</si>
  <si>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</si>
  <si>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</si>
  <si>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</si>
  <si>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</si>
  <si>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</si>
  <si>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</si>
  <si>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</si>
  <si>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</si>
  <si>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</si>
  <si>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</si>
  <si>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</si>
  <si>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</si>
  <si>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</si>
  <si>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</si>
  <si>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</si>
  <si>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</si>
  <si>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</si>
  <si>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</si>
  <si>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</si>
  <si>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</si>
  <si>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</si>
  <si>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</si>
  <si>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</si>
  <si>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</si>
  <si>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</si>
  <si>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</si>
  <si>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</si>
  <si>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</si>
  <si>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</si>
  <si>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</si>
  <si>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</si>
  <si>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</si>
  <si>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</si>
  <si>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</si>
  <si>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</si>
  <si>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</si>
  <si>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</si>
  <si>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</si>
  <si>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</si>
  <si>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</si>
  <si>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</si>
  <si>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</si>
  <si>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</si>
  <si>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</si>
  <si>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</si>
  <si>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</si>
  <si>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</si>
  <si>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</si>
  <si>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</si>
  <si>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</si>
  <si>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</si>
  <si>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</si>
  <si>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</si>
  <si>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</si>
  <si>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</si>
  <si>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</si>
  <si>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</si>
  <si>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</si>
  <si>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</si>
  <si>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</si>
  <si>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</si>
  <si>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</si>
  <si>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</si>
  <si>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</si>
  <si>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</si>
  <si>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</si>
  <si>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</si>
  <si>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</si>
  <si>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</si>
  <si>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</si>
  <si>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</si>
  <si>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</si>
  <si>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</si>
  <si>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</si>
  <si>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</si>
  <si>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</si>
  <si>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</si>
  <si>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</si>
  <si>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</si>
  <si>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</si>
  <si>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</si>
  <si>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</si>
  <si>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</si>
  <si>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</si>
  <si>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</si>
  <si>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</si>
  <si>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</si>
  <si>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</si>
  <si>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</si>
  <si>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</si>
  <si>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</si>
  <si>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</si>
  <si>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</si>
  <si>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</si>
  <si>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</si>
  <si>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</si>
  <si>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</si>
  <si>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</si>
  <si>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</si>
  <si>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</si>
  <si>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</si>
  <si>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</si>
  <si>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</si>
  <si>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</si>
  <si>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</si>
  <si>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</si>
  <si>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</si>
  <si>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</si>
  <si>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</si>
  <si>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</si>
  <si>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</si>
  <si>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</si>
  <si>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</si>
  <si>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</si>
  <si>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</si>
  <si>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</si>
  <si>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</si>
  <si>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</si>
  <si>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</si>
  <si>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</si>
  <si>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</si>
  <si>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</si>
  <si>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</si>
  <si>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</si>
  <si>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</si>
  <si>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</si>
  <si>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</si>
  <si>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</si>
  <si>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</si>
  <si>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</si>
  <si>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</si>
  <si>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</si>
  <si>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</si>
  <si>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</si>
  <si>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</si>
  <si>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</si>
  <si>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</si>
  <si>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</si>
  <si>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</si>
  <si>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</si>
  <si>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</si>
  <si>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</si>
  <si>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</si>
  <si>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</si>
  <si>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</si>
  <si>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</si>
  <si>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</si>
  <si>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</si>
  <si>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</si>
  <si>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</si>
  <si>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</si>
  <si>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</si>
  <si>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</si>
  <si>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</si>
  <si>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</si>
  <si>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</si>
  <si>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</si>
  <si>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</si>
  <si>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</si>
  <si>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</si>
  <si>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</si>
  <si>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</si>
  <si>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</si>
  <si>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</si>
  <si>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</si>
  <si>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</si>
  <si>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</si>
  <si>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</si>
  <si>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</si>
  <si>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</si>
  <si>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</si>
  <si>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</si>
  <si>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</si>
  <si>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</si>
  <si>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</si>
  <si>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</si>
  <si>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</si>
  <si>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</si>
  <si>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</si>
  <si>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</si>
  <si>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</si>
  <si>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</si>
  <si>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</si>
  <si>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</si>
  <si>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</si>
  <si>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</si>
  <si>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</si>
  <si>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</si>
  <si>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</si>
  <si>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</si>
  <si>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</si>
  <si>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</si>
  <si>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</si>
  <si>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</si>
  <si>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</si>
  <si>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</si>
  <si>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</si>
  <si>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</si>
  <si>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</si>
  <si>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</si>
  <si>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</si>
  <si>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</si>
  <si>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</si>
  <si>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</si>
  <si>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</si>
  <si>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</si>
  <si>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</si>
  <si>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</si>
  <si>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</si>
  <si>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</si>
  <si>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</si>
  <si>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</si>
  <si>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</si>
  <si>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</si>
  <si>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</si>
  <si>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</si>
  <si>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</si>
  <si>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</si>
  <si>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</si>
  <si>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</si>
  <si>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</si>
  <si>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</si>
  <si>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</si>
  <si>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</si>
  <si>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</si>
  <si>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</si>
  <si>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</si>
  <si>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</si>
  <si>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</si>
  <si>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</si>
  <si>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</si>
  <si>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</si>
  <si>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</si>
  <si>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</si>
  <si>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</si>
  <si>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</si>
  <si>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</si>
  <si>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</si>
  <si>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</si>
  <si>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</si>
  <si>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</si>
  <si>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</si>
  <si>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</si>
  <si>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</si>
  <si>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</si>
  <si>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</si>
  <si>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</si>
  <si>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</si>
  <si>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</si>
  <si>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</si>
  <si>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</si>
  <si>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</si>
  <si>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</si>
  <si>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</si>
  <si>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</si>
  <si>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</si>
  <si>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</si>
  <si>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</si>
  <si>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</si>
  <si>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</si>
  <si>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</si>
  <si>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</si>
  <si>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</si>
  <si>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</si>
  <si>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</si>
  <si>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</si>
  <si>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</si>
  <si>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</si>
  <si>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</si>
  <si>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</si>
  <si>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</si>
  <si>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</si>
  <si>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</si>
  <si>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</si>
  <si>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</si>
  <si>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</si>
  <si>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</si>
  <si>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</si>
  <si>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</si>
  <si>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</si>
  <si>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</si>
  <si>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</si>
  <si>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</si>
  <si>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</si>
  <si>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</si>
  <si>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</si>
  <si>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</si>
  <si>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</si>
  <si>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</si>
  <si>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</si>
  <si>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</si>
  <si>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</si>
  <si>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</si>
  <si>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</si>
  <si>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ANTICIPO FINANCIERO/ACOPIO:</t>
  </si>
  <si>
    <t>RUBRO ITEM</t>
  </si>
  <si>
    <t>1-</t>
  </si>
  <si>
    <t>2-</t>
  </si>
  <si>
    <t>3-</t>
  </si>
  <si>
    <t>4-</t>
  </si>
  <si>
    <t>5-</t>
  </si>
  <si>
    <t>CODIGO</t>
  </si>
  <si>
    <t>DESCRIPCION</t>
  </si>
  <si>
    <t>IIEE-SJ - 103000</t>
  </si>
  <si>
    <t>Oficial</t>
  </si>
  <si>
    <t>IIEE-SJ - 102000</t>
  </si>
  <si>
    <t>IIEE-SJ - 101000</t>
  </si>
  <si>
    <t>PRECIO SIN IVA</t>
  </si>
  <si>
    <t>hs</t>
  </si>
  <si>
    <t>IIEE-SJ - 205002</t>
  </si>
  <si>
    <t>IIEE-SJ - 203002</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</si>
  <si>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</si>
  <si>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</si>
  <si>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</si>
  <si>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</si>
  <si>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</si>
  <si>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</si>
  <si>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</si>
  <si>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</si>
  <si>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</si>
  <si>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</si>
  <si>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</si>
  <si>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</si>
  <si>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</si>
  <si>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</si>
  <si>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</si>
  <si>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</si>
  <si>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</si>
  <si>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</si>
  <si>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</si>
  <si>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</si>
  <si>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</si>
  <si>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</si>
  <si>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</si>
  <si>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</si>
  <si>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</si>
  <si>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</si>
  <si>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</si>
  <si>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</si>
  <si>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</si>
  <si>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</si>
  <si>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</si>
  <si>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</si>
  <si>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</si>
  <si>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</si>
  <si>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</si>
  <si>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</si>
  <si>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</si>
  <si>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</si>
  <si>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</si>
  <si>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</si>
  <si>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</si>
  <si>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</si>
  <si>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</si>
  <si>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</si>
  <si>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</si>
  <si>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</si>
  <si>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</si>
  <si>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</si>
  <si>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</si>
  <si>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PROPUESTA</t>
  </si>
  <si>
    <t>PRECIO UNITARIO COTIZADO</t>
  </si>
  <si>
    <t>EN LETRAS</t>
  </si>
  <si>
    <t>EN NÚMERO</t>
  </si>
  <si>
    <t>TOTAL PRECIO</t>
  </si>
  <si>
    <t>FIRMA DE LOS PROPONENTES:</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</si>
  <si>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</si>
  <si>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</si>
  <si>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</si>
  <si>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</si>
  <si>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</si>
  <si>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</si>
  <si>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</si>
  <si>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</si>
  <si>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</si>
  <si>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</si>
  <si>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</si>
  <si>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</si>
  <si>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</si>
  <si>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</si>
  <si>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</si>
  <si>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</si>
  <si>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</si>
  <si>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</si>
  <si>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</si>
  <si>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</si>
  <si>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</si>
  <si>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</si>
  <si>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</si>
  <si>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</si>
  <si>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</si>
  <si>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</si>
  <si>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</si>
  <si>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</si>
  <si>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</si>
  <si>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</si>
  <si>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</si>
  <si>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</si>
  <si>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</si>
  <si>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</si>
  <si>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</si>
  <si>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</si>
  <si>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</si>
  <si>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</si>
  <si>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</si>
  <si>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</si>
  <si>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</si>
  <si>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</si>
  <si>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</si>
  <si>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</si>
  <si>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</si>
  <si>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</si>
  <si>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</si>
  <si>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</si>
  <si>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</si>
  <si>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</si>
  <si>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</si>
  <si>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</si>
  <si>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</si>
  <si>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</si>
  <si>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</si>
  <si>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</si>
  <si>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</si>
  <si>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</si>
  <si>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</si>
  <si>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</si>
  <si>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</si>
  <si>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</si>
  <si>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</si>
  <si>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</si>
  <si>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</si>
  <si>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</si>
  <si>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</si>
  <si>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</si>
  <si>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</si>
  <si>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</si>
  <si>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</si>
  <si>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</si>
  <si>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</si>
  <si>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</si>
  <si>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</si>
  <si>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</si>
  <si>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</si>
  <si>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</si>
  <si>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</si>
  <si>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</si>
  <si>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</si>
  <si>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</si>
  <si>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</si>
  <si>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</si>
  <si>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</si>
  <si>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</si>
  <si>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</si>
  <si>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</si>
  <si>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</si>
  <si>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</si>
  <si>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</si>
  <si>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</si>
  <si>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</si>
  <si>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</si>
  <si>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</si>
  <si>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</si>
  <si>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</si>
  <si>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</si>
  <si>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</si>
  <si>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</si>
  <si>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</si>
  <si>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</si>
  <si>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</si>
  <si>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</si>
  <si>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</si>
  <si>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</si>
  <si>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</si>
  <si>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</si>
  <si>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</si>
  <si>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</si>
  <si>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</si>
  <si>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</si>
  <si>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</si>
  <si>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</si>
  <si>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</si>
  <si>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</si>
  <si>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</si>
  <si>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</si>
  <si>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</si>
  <si>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</si>
  <si>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</si>
  <si>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</si>
  <si>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</si>
  <si>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</si>
  <si>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</si>
  <si>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</si>
  <si>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</si>
  <si>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</si>
  <si>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</si>
  <si>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</si>
  <si>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</si>
  <si>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</si>
  <si>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</si>
  <si>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</si>
  <si>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</si>
  <si>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</si>
  <si>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</si>
  <si>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</si>
  <si>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</si>
  <si>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</si>
  <si>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</si>
  <si>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</si>
  <si>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</si>
  <si>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</si>
  <si>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</si>
  <si>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</si>
  <si>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</si>
  <si>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</si>
  <si>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</si>
  <si>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</si>
  <si>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</si>
  <si>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</si>
  <si>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</si>
  <si>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</si>
  <si>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</si>
  <si>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</si>
  <si>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</si>
  <si>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</si>
  <si>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</si>
  <si>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</si>
  <si>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</si>
  <si>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</si>
  <si>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</si>
  <si>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</si>
  <si>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</si>
  <si>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</si>
  <si>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</si>
  <si>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</si>
  <si>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</si>
  <si>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</si>
  <si>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</si>
  <si>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</si>
  <si>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</si>
  <si>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</si>
  <si>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</si>
  <si>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</si>
  <si>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</si>
  <si>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</si>
  <si>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</si>
  <si>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</si>
  <si>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</si>
  <si>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</si>
  <si>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</si>
  <si>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</si>
  <si>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</si>
  <si>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</si>
  <si>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</si>
  <si>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</si>
  <si>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</si>
  <si>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</si>
  <si>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</si>
  <si>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</si>
  <si>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</si>
  <si>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</si>
  <si>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</si>
  <si>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</si>
  <si>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</si>
  <si>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</si>
  <si>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</si>
  <si>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</si>
  <si>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</si>
  <si>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</si>
  <si>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</si>
  <si>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</si>
  <si>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</si>
  <si>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</si>
  <si>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</si>
  <si>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</si>
  <si>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</si>
  <si>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</si>
  <si>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</si>
  <si>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</si>
  <si>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</si>
  <si>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</si>
  <si>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</si>
  <si>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</si>
  <si>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</si>
  <si>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</si>
  <si>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</si>
  <si>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</si>
  <si>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</si>
  <si>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</si>
  <si>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</si>
  <si>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</si>
  <si>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</si>
  <si>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</si>
  <si>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</si>
  <si>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</si>
  <si>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</si>
  <si>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</si>
  <si>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</si>
  <si>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</si>
  <si>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</si>
  <si>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</si>
  <si>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</si>
  <si>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</si>
  <si>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</si>
  <si>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</si>
  <si>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</si>
  <si>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</si>
  <si>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</si>
  <si>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</si>
  <si>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</si>
  <si>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</si>
  <si>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</si>
  <si>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</si>
  <si>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</si>
  <si>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</si>
  <si>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</si>
  <si>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</si>
  <si>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</si>
  <si>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</si>
  <si>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</si>
  <si>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</si>
  <si>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</si>
  <si>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</si>
  <si>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</si>
  <si>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</si>
  <si>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</si>
  <si>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</si>
  <si>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</si>
  <si>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</si>
  <si>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</si>
  <si>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</si>
  <si>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</si>
  <si>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</si>
  <si>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</si>
  <si>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</si>
  <si>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</si>
  <si>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</si>
  <si>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</si>
  <si>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</si>
  <si>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</si>
  <si>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</si>
  <si>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</si>
  <si>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</si>
  <si>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</si>
  <si>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</si>
  <si>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</si>
  <si>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</si>
  <si>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</si>
  <si>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</si>
  <si>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</si>
  <si>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</si>
  <si>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</si>
  <si>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</si>
  <si>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</si>
  <si>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</si>
  <si>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</si>
  <si>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</si>
  <si>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</si>
  <si>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</si>
  <si>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</si>
  <si>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</si>
  <si>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</si>
  <si>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</si>
  <si>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</si>
  <si>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</si>
  <si>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</si>
  <si>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</si>
  <si>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</si>
  <si>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</si>
  <si>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</si>
  <si>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</si>
  <si>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</si>
  <si>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</si>
  <si>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</si>
  <si>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</si>
  <si>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</si>
  <si>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</si>
  <si>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</si>
  <si>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</si>
  <si>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</si>
  <si>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</si>
  <si>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</si>
  <si>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</si>
  <si>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</si>
  <si>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</si>
  <si>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</si>
  <si>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</si>
  <si>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</si>
  <si>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</si>
  <si>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</si>
  <si>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</si>
  <si>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</si>
  <si>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</si>
  <si>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</si>
  <si>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</si>
  <si>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</si>
  <si>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</si>
  <si>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</si>
  <si>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</si>
  <si>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</si>
  <si>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</si>
  <si>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</si>
  <si>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</si>
  <si>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</si>
  <si>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</si>
  <si>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</si>
  <si>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</si>
  <si>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</si>
  <si>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</si>
  <si>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</si>
  <si>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</si>
  <si>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</si>
  <si>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</si>
  <si>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</si>
  <si>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</si>
  <si>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</si>
  <si>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</si>
  <si>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</si>
  <si>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</si>
  <si>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</si>
  <si>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</si>
  <si>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</si>
  <si>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</si>
  <si>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</si>
  <si>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</si>
  <si>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</si>
  <si>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</si>
  <si>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</si>
  <si>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</si>
  <si>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</si>
  <si>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</si>
  <si>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</si>
  <si>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</si>
  <si>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</si>
  <si>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</si>
  <si>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</si>
  <si>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</si>
  <si>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</si>
  <si>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</si>
  <si>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</si>
  <si>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</si>
  <si>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</si>
  <si>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</si>
  <si>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</si>
  <si>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</si>
  <si>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</si>
  <si>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</si>
  <si>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</si>
  <si>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</si>
  <si>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</si>
  <si>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</si>
  <si>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</si>
  <si>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</si>
  <si>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</si>
  <si>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</si>
  <si>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</si>
  <si>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</si>
  <si>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</si>
  <si>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</si>
  <si>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</si>
  <si>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</si>
  <si>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</si>
  <si>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</si>
  <si>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</si>
  <si>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</si>
  <si>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</si>
  <si>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</si>
  <si>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</si>
  <si>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</si>
  <si>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</si>
  <si>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</si>
  <si>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</si>
  <si>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</si>
  <si>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</si>
  <si>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</si>
  <si>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</si>
  <si>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</si>
  <si>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</si>
  <si>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</si>
  <si>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</si>
  <si>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</si>
  <si>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</si>
  <si>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</si>
  <si>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</si>
  <si>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</si>
  <si>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</si>
  <si>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</si>
  <si>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</si>
  <si>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</si>
  <si>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</si>
  <si>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</si>
  <si>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</si>
  <si>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</si>
  <si>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</si>
  <si>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</si>
  <si>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</si>
  <si>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</si>
  <si>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</si>
  <si>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</si>
  <si>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</si>
  <si>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</si>
  <si>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</si>
  <si>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</si>
  <si>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</si>
  <si>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</si>
  <si>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</si>
  <si>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</si>
  <si>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</si>
  <si>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</si>
  <si>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</si>
  <si>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</si>
  <si>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</si>
  <si>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</si>
  <si>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</si>
  <si>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</si>
  <si>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</si>
  <si>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</si>
  <si>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</si>
  <si>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</si>
  <si>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</si>
  <si>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</si>
  <si>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</si>
  <si>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</si>
  <si>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</si>
  <si>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</si>
  <si>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</si>
  <si>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</si>
  <si>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</si>
  <si>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</si>
  <si>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</si>
  <si>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</si>
  <si>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</si>
  <si>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</si>
  <si>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</si>
  <si>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</si>
  <si>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</si>
  <si>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</si>
  <si>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</si>
  <si>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</si>
  <si>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</si>
  <si>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</si>
  <si>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</si>
  <si>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</si>
  <si>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</si>
  <si>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</si>
  <si>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</si>
  <si>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</si>
  <si>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</si>
  <si>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</si>
  <si>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</si>
  <si>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</si>
  <si>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</si>
  <si>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</si>
  <si>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</si>
  <si>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</si>
  <si>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</si>
  <si>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</si>
  <si>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</si>
  <si>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</si>
  <si>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</si>
  <si>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</si>
  <si>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</si>
  <si>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</si>
  <si>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</si>
  <si>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</si>
  <si>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</si>
  <si>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</si>
  <si>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</si>
  <si>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</si>
  <si>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</si>
  <si>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</si>
  <si>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</si>
  <si>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</si>
  <si>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</si>
  <si>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</si>
  <si>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</si>
  <si>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</si>
  <si>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</si>
  <si>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</si>
  <si>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</si>
  <si>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</si>
  <si>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</si>
  <si>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</si>
  <si>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</si>
  <si>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</si>
  <si>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</si>
  <si>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</si>
  <si>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</si>
  <si>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</si>
  <si>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</si>
  <si>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</si>
  <si>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</si>
  <si>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</si>
  <si>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</si>
  <si>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</si>
  <si>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</si>
  <si>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</si>
  <si>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</si>
  <si>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</si>
  <si>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</si>
  <si>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</si>
  <si>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</si>
  <si>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</si>
  <si>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</si>
  <si>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</si>
  <si>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</si>
  <si>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</si>
  <si>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</si>
  <si>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</si>
  <si>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</si>
  <si>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</si>
  <si>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</si>
  <si>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</si>
  <si>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</si>
  <si>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</si>
  <si>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</si>
  <si>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</si>
  <si>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</si>
  <si>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</si>
  <si>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</si>
  <si>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</si>
  <si>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</si>
  <si>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</si>
  <si>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</si>
  <si>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</si>
  <si>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</si>
  <si>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</si>
  <si>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</si>
  <si>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</si>
  <si>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</si>
  <si>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</si>
  <si>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</si>
  <si>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</si>
  <si>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</si>
  <si>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</si>
  <si>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</si>
  <si>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</si>
  <si>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</si>
  <si>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</si>
  <si>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</si>
  <si>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</si>
  <si>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</si>
  <si>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</si>
  <si>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</si>
  <si>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</si>
  <si>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</si>
  <si>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</si>
  <si>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</si>
  <si>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</si>
  <si>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</si>
  <si>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</si>
  <si>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</si>
  <si>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</si>
  <si>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</si>
  <si>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</si>
  <si>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</si>
  <si>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</si>
  <si>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</si>
  <si>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</si>
  <si>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</si>
  <si>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</si>
  <si>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</si>
  <si>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</si>
  <si>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</si>
  <si>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</si>
  <si>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</si>
  <si>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</si>
  <si>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</si>
  <si>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</si>
  <si>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</si>
  <si>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</si>
  <si>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</si>
  <si>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</si>
  <si>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</si>
  <si>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</si>
  <si>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</si>
  <si>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</si>
  <si>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</si>
  <si>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</si>
  <si>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</si>
  <si>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</si>
  <si>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</si>
  <si>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</si>
  <si>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</si>
  <si>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</si>
  <si>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</si>
  <si>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</si>
  <si>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</si>
  <si>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Combustibles y Lubricantes</t>
  </si>
  <si>
    <t>IIEE-SJ - 214002</t>
  </si>
  <si>
    <t>IIEE-SJ - 214004</t>
  </si>
  <si>
    <t>IIEE-SJ - 214006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</si>
  <si>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</si>
  <si>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</si>
  <si>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</si>
  <si>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</si>
  <si>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</si>
  <si>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</si>
  <si>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</si>
  <si>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</si>
  <si>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</si>
  <si>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</si>
  <si>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</si>
  <si>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</si>
  <si>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</si>
  <si>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</si>
  <si>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</si>
  <si>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</si>
  <si>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</si>
  <si>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</si>
  <si>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</si>
  <si>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</si>
  <si>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</si>
  <si>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</si>
  <si>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</si>
  <si>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</si>
  <si>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</si>
  <si>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</si>
  <si>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</si>
  <si>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</si>
  <si>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</si>
  <si>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</si>
  <si>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</si>
  <si>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</si>
  <si>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</si>
  <si>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</si>
  <si>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</si>
  <si>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</si>
  <si>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</si>
  <si>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</si>
  <si>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</si>
  <si>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</si>
  <si>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</si>
  <si>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</si>
  <si>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</si>
  <si>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</si>
  <si>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</si>
  <si>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</si>
  <si>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</si>
  <si>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</si>
  <si>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</si>
  <si>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</si>
  <si>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</si>
  <si>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</si>
  <si>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</si>
  <si>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</si>
  <si>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</si>
  <si>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</si>
  <si>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</si>
  <si>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</si>
  <si>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</si>
  <si>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</si>
  <si>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</si>
  <si>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</si>
  <si>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</si>
  <si>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</si>
  <si>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</si>
  <si>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</si>
  <si>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</si>
  <si>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</si>
  <si>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</si>
  <si>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</si>
  <si>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</si>
  <si>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</si>
  <si>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</si>
  <si>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</si>
  <si>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</si>
  <si>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</si>
  <si>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</si>
  <si>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</si>
  <si>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</si>
  <si>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</si>
  <si>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</si>
  <si>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</si>
  <si>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</si>
  <si>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</si>
  <si>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</si>
  <si>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</si>
  <si>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</si>
  <si>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</si>
  <si>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</si>
  <si>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</si>
  <si>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</si>
  <si>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</si>
  <si>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</si>
  <si>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</si>
  <si>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</si>
  <si>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</si>
  <si>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</si>
  <si>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</si>
  <si>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</si>
  <si>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</si>
  <si>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</si>
  <si>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</si>
  <si>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</si>
  <si>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</si>
  <si>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</si>
  <si>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</si>
  <si>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</si>
  <si>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</si>
  <si>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</si>
  <si>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</si>
  <si>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</si>
  <si>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</si>
  <si>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</si>
  <si>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</si>
  <si>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</si>
  <si>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</si>
  <si>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</si>
  <si>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</si>
  <si>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</si>
  <si>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</si>
  <si>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</si>
  <si>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</si>
  <si>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</si>
  <si>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</si>
  <si>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</si>
  <si>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</si>
  <si>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</si>
  <si>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</si>
  <si>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</si>
  <si>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</si>
  <si>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</si>
  <si>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</si>
  <si>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</si>
  <si>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</si>
  <si>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</si>
  <si>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</si>
  <si>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</si>
  <si>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</si>
  <si>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</si>
  <si>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</si>
  <si>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</si>
  <si>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</si>
  <si>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</si>
  <si>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</si>
  <si>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</si>
  <si>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</si>
  <si>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</si>
  <si>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</si>
  <si>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</si>
  <si>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</si>
  <si>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</si>
  <si>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</si>
  <si>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</si>
  <si>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</si>
  <si>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</si>
  <si>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</si>
  <si>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</si>
  <si>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</si>
  <si>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</si>
  <si>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</si>
  <si>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</si>
  <si>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</si>
  <si>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</si>
  <si>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</si>
  <si>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</si>
  <si>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</si>
  <si>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</si>
  <si>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</si>
  <si>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</si>
  <si>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</si>
  <si>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</si>
  <si>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</si>
  <si>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</si>
  <si>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</si>
  <si>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</si>
  <si>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</si>
  <si>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</si>
  <si>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</si>
  <si>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</si>
  <si>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</si>
  <si>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</si>
  <si>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</si>
  <si>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</si>
  <si>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</si>
  <si>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</si>
  <si>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</si>
  <si>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</si>
  <si>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</si>
  <si>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</si>
  <si>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</si>
  <si>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</si>
  <si>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</si>
  <si>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</si>
  <si>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</si>
  <si>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</si>
  <si>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</si>
  <si>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</si>
  <si>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</si>
  <si>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</si>
  <si>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</si>
  <si>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</si>
  <si>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</si>
  <si>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</si>
  <si>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</si>
  <si>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</si>
  <si>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</si>
  <si>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</si>
  <si>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</si>
  <si>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</si>
  <si>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</si>
  <si>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</si>
  <si>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</si>
  <si>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</si>
  <si>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</si>
  <si>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</si>
  <si>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</si>
  <si>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</si>
  <si>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</si>
  <si>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</si>
  <si>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</si>
  <si>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</si>
  <si>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</si>
  <si>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</si>
  <si>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</si>
  <si>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</si>
  <si>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</si>
  <si>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</si>
  <si>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</si>
  <si>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</si>
  <si>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</si>
  <si>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</si>
  <si>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</si>
  <si>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</si>
  <si>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</si>
  <si>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</si>
  <si>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</si>
  <si>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</si>
  <si>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</si>
  <si>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</si>
  <si>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</si>
  <si>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</si>
  <si>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</si>
  <si>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</si>
  <si>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</si>
  <si>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</si>
  <si>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</si>
  <si>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</si>
  <si>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</si>
  <si>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</si>
  <si>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</si>
  <si>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</si>
  <si>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</si>
  <si>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</si>
  <si>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</si>
  <si>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</si>
  <si>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</si>
  <si>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</si>
  <si>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</si>
  <si>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</si>
  <si>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</si>
  <si>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</si>
  <si>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</si>
  <si>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</si>
  <si>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</si>
  <si>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</si>
  <si>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</si>
  <si>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</si>
  <si>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</si>
  <si>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</si>
  <si>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</si>
  <si>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</si>
  <si>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</si>
  <si>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</si>
  <si>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</si>
  <si>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</si>
  <si>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</si>
  <si>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</si>
  <si>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</si>
  <si>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</si>
  <si>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</si>
  <si>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</si>
  <si>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</si>
  <si>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</si>
  <si>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</si>
  <si>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</si>
  <si>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</si>
  <si>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</si>
  <si>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</si>
  <si>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</si>
  <si>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</si>
  <si>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</si>
  <si>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</si>
  <si>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</si>
  <si>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</si>
  <si>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</si>
  <si>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</si>
  <si>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</si>
  <si>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</si>
  <si>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</si>
  <si>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</si>
  <si>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</si>
  <si>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</si>
  <si>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</si>
  <si>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</si>
  <si>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</si>
  <si>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</si>
  <si>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</si>
  <si>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</si>
  <si>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</si>
  <si>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</si>
  <si>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</si>
  <si>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</si>
  <si>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</si>
  <si>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</si>
  <si>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</si>
  <si>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</si>
  <si>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</si>
  <si>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</si>
  <si>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</si>
  <si>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</si>
  <si>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</si>
  <si>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</si>
  <si>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</si>
  <si>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</si>
  <si>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</si>
  <si>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</si>
  <si>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</si>
  <si>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</si>
  <si>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</si>
  <si>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</si>
  <si>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</si>
  <si>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</si>
  <si>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</si>
  <si>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</si>
  <si>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</si>
  <si>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</si>
  <si>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</si>
  <si>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</si>
  <si>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</si>
  <si>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</si>
  <si>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</si>
  <si>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</si>
  <si>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</si>
  <si>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</si>
  <si>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</si>
  <si>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</si>
  <si>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</si>
  <si>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</si>
  <si>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</si>
  <si>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</si>
  <si>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</si>
  <si>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</si>
  <si>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</si>
  <si>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</si>
  <si>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</si>
  <si>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</si>
  <si>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</si>
  <si>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</si>
  <si>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NRO OBRA</t>
  </si>
  <si>
    <t>DEPARTAMENTO DE HIDRAULICA</t>
  </si>
  <si>
    <t>FECHA APERTURA DE LAS PROPUESTAS:</t>
  </si>
  <si>
    <t>CONTRATACION DIRECTA N°:</t>
  </si>
  <si>
    <t>PLAZO DE PROYECTO:</t>
  </si>
  <si>
    <t>PROYECTO :</t>
  </si>
  <si>
    <t xml:space="preserve">EMPRESA CONSULTORA:  </t>
  </si>
  <si>
    <t>_____ que suscribe(n) ____________________  en su carácter de  ____________  declara(n) que ha(n) dado cumplimiento a lo establecido en la documentación correspondiente, ha examinado el terreno, Pliego de Condiciones y Terminos de Referencia relativas al proyecto ejecutivo licitatorio indicado en el título y se compromete(n) a realizarla en un todo de acuerdo con los mencionados documentos que aclara(n) conocer en todas sus partes, ofreciendo ejecutar el proyecto ejecutivo licitatorio correspondientes a los precios unitarios que consignan a continuación:</t>
  </si>
  <si>
    <t>LISTADO DE INSUMOS - MANO DE OBRA, MATERIALES Y EQUIPOS - PARA EL PROYECTO</t>
  </si>
  <si>
    <t>FECHA DE CONTRATACION:</t>
  </si>
  <si>
    <t>1.1</t>
  </si>
  <si>
    <t>2.1</t>
  </si>
  <si>
    <t>2.2</t>
  </si>
  <si>
    <t>2.3</t>
  </si>
  <si>
    <t>3.1</t>
  </si>
  <si>
    <t>3.2</t>
  </si>
  <si>
    <t>3.3</t>
  </si>
  <si>
    <t>X/X/2023</t>
  </si>
  <si>
    <t>$ / hora</t>
  </si>
  <si>
    <t>El que suscribe  en su carácter de,  declara que ha dado cumplimiento a lo establecido en la documentación correspondiente, ha examinado el terreno, terminos de referencia,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</si>
  <si>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Encamisado Parcial del Canal de Calle América</t>
  </si>
  <si>
    <t>Departamento Rawson</t>
  </si>
  <si>
    <t>LICITACIÓN PÚBLICA N°:</t>
  </si>
  <si>
    <t>___/2023</t>
  </si>
  <si>
    <t>506-000095-2023</t>
  </si>
  <si>
    <t>PROYECTO EJECUTIVO</t>
  </si>
  <si>
    <t>Elaboración Proyecto Ejecutivo</t>
  </si>
  <si>
    <t>CANAL AMÉRICA</t>
  </si>
  <si>
    <t>Preparación y Limpieza del Terreno</t>
  </si>
  <si>
    <t>Nivelación y Replanteo</t>
  </si>
  <si>
    <t>Demolición de las Bocas del Sifón</t>
  </si>
  <si>
    <t>Extracción de Membrana</t>
  </si>
  <si>
    <t>Relleno y Compactación con Cama de Asiento</t>
  </si>
  <si>
    <t>Excavación Caja del Canal</t>
  </si>
  <si>
    <t>Hormigón de Limpieza</t>
  </si>
  <si>
    <t>Hormigón H21</t>
  </si>
  <si>
    <t>Armadura Colocada en Obra</t>
  </si>
  <si>
    <t>Juntas de Contracción y Dilatación</t>
  </si>
  <si>
    <t>Colocación de Membrana de 400 micrones</t>
  </si>
  <si>
    <t>PUENTES DE HORMIGÓN</t>
  </si>
  <si>
    <t>Demolición de Puentes</t>
  </si>
  <si>
    <t>Excavación Cimiento</t>
  </si>
  <si>
    <t>Gl</t>
  </si>
  <si>
    <t>ML</t>
  </si>
  <si>
    <t>M3</t>
  </si>
  <si>
    <t>KG</t>
  </si>
  <si>
    <t>M2</t>
  </si>
  <si>
    <t>2.4</t>
  </si>
  <si>
    <t>2.5</t>
  </si>
  <si>
    <t>2.6</t>
  </si>
  <si>
    <t>2.7</t>
  </si>
  <si>
    <t>2.8</t>
  </si>
  <si>
    <t>2.9</t>
  </si>
  <si>
    <t>2.10</t>
  </si>
  <si>
    <t>2.11</t>
  </si>
  <si>
    <t>3.4</t>
  </si>
  <si>
    <t>3.5</t>
  </si>
  <si>
    <t>3.6</t>
  </si>
  <si>
    <t>3.7</t>
  </si>
  <si>
    <t>3.8</t>
  </si>
  <si>
    <t>SRA. DIRECTORA GENERAL DEL DEPARTAMENTO DE HIDRÁULICA</t>
  </si>
  <si>
    <t>FORTALECIMIENTO INSTITUCIONAL</t>
  </si>
  <si>
    <t>4.1</t>
  </si>
  <si>
    <t>4.2</t>
  </si>
  <si>
    <t>4.3</t>
  </si>
  <si>
    <t>4.4</t>
  </si>
  <si>
    <t>4.5</t>
  </si>
  <si>
    <t xml:space="preserve">Equipo de computación PC Core I7 10400 16gb RAM 240 Ssd + 2TR HD, con Monitor 24 W10 LISTA PARA USAR CON ANTIVIRUS con teclado y mouse inalámbrico. </t>
  </si>
  <si>
    <t>Dron</t>
  </si>
  <si>
    <t>GPS diferencial</t>
  </si>
  <si>
    <t>Nivel Óptico</t>
  </si>
  <si>
    <t>Camioneta 0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</si>
</sst>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 &quot;hs&quot;"/>
    <numFmt numFmtId="193" formatCode="0.00\ &quot;lts/HP&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0000"/>
    <numFmt numFmtId="230" formatCode="_ &quot;$&quot;\ * #,##0.000_ ;_ &quot;$&quot;\ * \-#,##0.000_ ;_ &quot;$&quot;\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10"/>
      <color rgb="FFFF0000"/>
      <name val="Arial"/>
      <family val="2"/>
    </font>
    <font>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5">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12">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795">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0" fontId="13" fillId="0" borderId="0" xfId="7" applyFont="1" applyAlignment="1" applyProtection="1">
      <alignment horizontal="right" vertical="center"/>
      <protection hidden="1"/>
    </xf>
    <xf numFmtId="168" fontId="13" fillId="0" borderId="0" xfId="7" applyNumberFormat="1" applyFont="1" applyAlignment="1" applyProtection="1">
      <alignment vertical="center"/>
      <protection hidden="1"/>
    </xf>
    <xf numFmtId="0" fontId="12" fillId="0" borderId="5" xfId="7" applyFont="1" applyBorder="1" applyAlignment="1" applyProtection="1">
      <alignment horizontal="center"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0" xfId="7" applyAlignment="1" applyProtection="1">
      <alignment horizontal="center"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9" fontId="8" fillId="3" borderId="0" xfId="1" applyFont="1" applyFill="1" applyBorder="1" applyAlignment="1" applyProtection="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12" fillId="0" borderId="13" xfId="0" applyFont="1" applyBorder="1" applyAlignment="1">
      <alignment horizontal="center"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8" fontId="8" fillId="0" borderId="8" xfId="0" applyNumberFormat="1" applyFont="1" applyBorder="1" applyAlignment="1" applyProtection="1">
      <alignment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3" fillId="0" borderId="0" xfId="20" applyFont="1" applyAlignment="1">
      <alignment vertical="center"/>
    </xf>
    <xf numFmtId="2" fontId="11" fillId="0" borderId="0" xfId="20" applyNumberFormat="1" applyFont="1" applyAlignment="1">
      <alignment horizontal="center" vertical="center"/>
    </xf>
    <xf numFmtId="0" fontId="44"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2"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3" fontId="9" fillId="0" borderId="3" xfId="20" applyNumberFormat="1" applyFont="1" applyBorder="1" applyAlignment="1" applyProtection="1">
      <alignment horizontal="center" vertical="center"/>
      <protection locked="0"/>
    </xf>
    <xf numFmtId="194" fontId="9" fillId="0" borderId="3" xfId="81" applyNumberFormat="1" applyFont="1" applyFill="1" applyBorder="1" applyAlignment="1" applyProtection="1">
      <alignment horizontal="center" vertical="center"/>
      <protection locked="0"/>
    </xf>
    <xf numFmtId="195" fontId="9" fillId="0" borderId="3" xfId="20" applyNumberFormat="1" applyFont="1" applyBorder="1" applyAlignment="1">
      <alignment horizontal="center" vertical="center"/>
    </xf>
    <xf numFmtId="196" fontId="9" fillId="0" borderId="3" xfId="20" applyNumberFormat="1" applyFont="1" applyBorder="1" applyAlignment="1">
      <alignment horizontal="center" vertical="center"/>
    </xf>
    <xf numFmtId="0" fontId="9" fillId="0" borderId="5" xfId="20" applyFont="1" applyBorder="1"/>
    <xf numFmtId="197" fontId="9" fillId="0" borderId="3" xfId="20" applyNumberFormat="1" applyFont="1" applyBorder="1" applyProtection="1">
      <protection locked="0"/>
    </xf>
    <xf numFmtId="198" fontId="9" fillId="0" borderId="3" xfId="20" applyNumberFormat="1" applyFont="1" applyBorder="1" applyProtection="1">
      <protection locked="0"/>
    </xf>
    <xf numFmtId="199" fontId="9" fillId="0" borderId="3" xfId="20" applyNumberFormat="1" applyFont="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20" applyNumberFormat="1" applyFont="1" applyBorder="1" applyAlignment="1">
      <alignment horizontal="center" vertical="center"/>
    </xf>
    <xf numFmtId="203" fontId="9" fillId="0" borderId="3" xfId="20" applyNumberFormat="1" applyFont="1" applyBorder="1" applyAlignment="1">
      <alignment horizontal="center" vertical="center"/>
    </xf>
    <xf numFmtId="203" fontId="9" fillId="0" borderId="0" xfId="20" applyNumberFormat="1" applyFont="1" applyAlignment="1">
      <alignment horizontal="center" vertical="center"/>
    </xf>
    <xf numFmtId="203" fontId="9" fillId="0" borderId="0" xfId="20" applyNumberFormat="1" applyFont="1" applyAlignment="1">
      <alignment horizontal="right" vertical="center"/>
    </xf>
    <xf numFmtId="204" fontId="9" fillId="0" borderId="3" xfId="20" applyNumberFormat="1" applyFont="1" applyBorder="1" applyProtection="1">
      <protection locked="0"/>
    </xf>
    <xf numFmtId="205" fontId="9" fillId="0" borderId="3" xfId="81" applyNumberFormat="1" applyFont="1" applyFill="1" applyBorder="1" applyAlignment="1" applyProtection="1">
      <alignment horizontal="center" vertical="center"/>
      <protection locked="0"/>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7" fontId="8" fillId="0" borderId="3" xfId="20" applyNumberFormat="1" applyBorder="1" applyAlignment="1" applyProtection="1">
      <alignment horizontal="center" vertical="center"/>
      <protection hidden="1"/>
    </xf>
    <xf numFmtId="207" fontId="8" fillId="0" borderId="0" xfId="20" applyNumberFormat="1" applyProtection="1">
      <protection hidden="1"/>
    </xf>
    <xf numFmtId="208" fontId="8" fillId="0" borderId="0" xfId="20" applyNumberFormat="1" applyAlignment="1" applyProtection="1">
      <alignment shrinkToFit="1"/>
      <protection hidden="1"/>
    </xf>
    <xf numFmtId="209"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0"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3" fontId="8" fillId="0" borderId="0" xfId="20" applyNumberFormat="1" applyProtection="1">
      <protection hidden="1"/>
    </xf>
    <xf numFmtId="214" fontId="8" fillId="0" borderId="0" xfId="20" applyNumberFormat="1" applyAlignment="1" applyProtection="1">
      <alignment horizontal="center"/>
      <protection hidden="1"/>
    </xf>
    <xf numFmtId="215" fontId="8" fillId="0" borderId="0" xfId="20" applyNumberFormat="1" applyAlignment="1" applyProtection="1">
      <alignment horizontal="center" vertical="center" shrinkToFit="1"/>
      <protection hidden="1"/>
    </xf>
    <xf numFmtId="217" fontId="8" fillId="0" borderId="0" xfId="20" applyNumberFormat="1" applyAlignment="1" applyProtection="1">
      <alignment shrinkToFit="1"/>
      <protection hidden="1"/>
    </xf>
    <xf numFmtId="218" fontId="8" fillId="0" borderId="0" xfId="20" applyNumberFormat="1" applyAlignment="1" applyProtection="1">
      <alignment horizontal="center" shrinkToFit="1"/>
      <protection hidden="1"/>
    </xf>
    <xf numFmtId="219" fontId="8" fillId="0" borderId="0" xfId="20" applyNumberFormat="1" applyAlignment="1" applyProtection="1">
      <alignment horizontal="center"/>
      <protection hidden="1"/>
    </xf>
    <xf numFmtId="220"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09" fontId="9"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09"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hidden="1"/>
    </xf>
    <xf numFmtId="206" fontId="9" fillId="0" borderId="3" xfId="20" applyNumberFormat="1" applyFont="1" applyBorder="1" applyAlignment="1" applyProtection="1">
      <alignment horizontal="center" vertical="center"/>
      <protection hidden="1"/>
    </xf>
    <xf numFmtId="226" fontId="11" fillId="0" borderId="3" xfId="20" applyNumberFormat="1" applyFont="1" applyBorder="1" applyAlignment="1" applyProtection="1">
      <alignment horizontal="center" vertical="center"/>
      <protection hidden="1"/>
    </xf>
    <xf numFmtId="226" fontId="8" fillId="0" borderId="0" xfId="20" applyNumberFormat="1" applyAlignment="1" applyProtection="1">
      <alignment vertical="center"/>
      <protection hidden="1"/>
    </xf>
    <xf numFmtId="222"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hidden="1"/>
    </xf>
    <xf numFmtId="227"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6"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1"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2" fontId="12" fillId="0" borderId="3" xfId="20" applyNumberFormat="1" applyFont="1" applyBorder="1" applyProtection="1">
      <protection locked="0"/>
    </xf>
    <xf numFmtId="214" fontId="12" fillId="0" borderId="3" xfId="20" applyNumberFormat="1" applyFont="1" applyBorder="1" applyProtection="1">
      <protection locked="0"/>
    </xf>
    <xf numFmtId="197" fontId="12" fillId="0" borderId="3" xfId="20" applyNumberFormat="1" applyFont="1" applyBorder="1" applyProtection="1">
      <protection locked="0"/>
    </xf>
    <xf numFmtId="199" fontId="12" fillId="0" borderId="3" xfId="20" applyNumberFormat="1" applyFont="1" applyBorder="1" applyProtection="1">
      <protection locked="0"/>
    </xf>
    <xf numFmtId="216" fontId="12" fillId="0" borderId="3" xfId="20" applyNumberFormat="1" applyFont="1" applyBorder="1" applyProtection="1">
      <protection locked="0"/>
    </xf>
    <xf numFmtId="221" fontId="12" fillId="0" borderId="3" xfId="20" applyNumberFormat="1" applyFont="1" applyBorder="1" applyProtection="1">
      <protection locked="0"/>
    </xf>
    <xf numFmtId="209" fontId="12" fillId="0" borderId="3" xfId="20" applyNumberFormat="1" applyFont="1" applyBorder="1" applyProtection="1">
      <protection locked="0"/>
    </xf>
    <xf numFmtId="168" fontId="12" fillId="0" borderId="3" xfId="49" applyFont="1" applyBorder="1" applyProtection="1">
      <protection hidden="1"/>
    </xf>
    <xf numFmtId="211"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2" fontId="8" fillId="0" borderId="3" xfId="20" applyNumberFormat="1" applyBorder="1" applyProtection="1">
      <protection hidden="1"/>
    </xf>
    <xf numFmtId="214" fontId="12" fillId="0" borderId="3" xfId="20" applyNumberFormat="1" applyFont="1" applyBorder="1" applyProtection="1">
      <protection hidden="1"/>
    </xf>
    <xf numFmtId="197" fontId="8" fillId="0" borderId="3" xfId="20" applyNumberFormat="1" applyBorder="1" applyProtection="1">
      <protection hidden="1"/>
    </xf>
    <xf numFmtId="199" fontId="8" fillId="0" borderId="3" xfId="20" applyNumberFormat="1" applyBorder="1" applyProtection="1">
      <protection hidden="1"/>
    </xf>
    <xf numFmtId="216" fontId="12" fillId="0" borderId="3" xfId="20" applyNumberFormat="1" applyFont="1" applyBorder="1" applyProtection="1">
      <protection hidden="1"/>
    </xf>
    <xf numFmtId="221" fontId="8" fillId="0" borderId="3" xfId="20" applyNumberFormat="1" applyBorder="1" applyProtection="1">
      <protection hidden="1"/>
    </xf>
    <xf numFmtId="209"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0" fontId="48" fillId="5" borderId="13" xfId="0" applyFont="1" applyFill="1" applyBorder="1" applyAlignment="1">
      <alignment vertical="center"/>
    </xf>
    <xf numFmtId="168" fontId="12" fillId="0" borderId="8" xfId="0" applyNumberFormat="1" applyFont="1" applyBorder="1" applyAlignment="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12" fillId="0" borderId="70" xfId="7" applyFont="1" applyBorder="1" applyAlignment="1" applyProtection="1">
      <alignment horizontal="center" vertical="center"/>
      <protection hidden="1"/>
    </xf>
    <xf numFmtId="17" fontId="12" fillId="0" borderId="71" xfId="7" applyNumberFormat="1" applyFont="1" applyBorder="1" applyAlignment="1" applyProtection="1">
      <alignment horizontal="center" vertical="center"/>
      <protection hidden="1"/>
    </xf>
    <xf numFmtId="10" fontId="12" fillId="0" borderId="72"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0" fontId="53" fillId="0" borderId="70" xfId="7" applyFont="1" applyBorder="1" applyAlignment="1" applyProtection="1">
      <alignment horizontal="center" vertical="center"/>
      <protection hidden="1"/>
    </xf>
    <xf numFmtId="17" fontId="53" fillId="2" borderId="71" xfId="7" applyNumberFormat="1" applyFont="1" applyFill="1" applyBorder="1" applyAlignment="1" applyProtection="1">
      <alignment horizontal="center" vertical="center"/>
      <protection hidden="1"/>
    </xf>
    <xf numFmtId="10" fontId="53" fillId="0" borderId="72" xfId="7" applyNumberFormat="1"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229" fontId="13" fillId="0" borderId="3" xfId="0" applyNumberFormat="1" applyFont="1" applyBorder="1" applyAlignment="1">
      <alignment vertical="center"/>
    </xf>
    <xf numFmtId="2" fontId="13" fillId="0" borderId="0" xfId="0" applyNumberFormat="1" applyFont="1" applyAlignment="1" applyProtection="1">
      <alignment vertical="center"/>
      <protection locked="0"/>
    </xf>
    <xf numFmtId="206" fontId="13" fillId="0" borderId="0" xfId="0" applyNumberFormat="1" applyFont="1" applyAlignment="1" applyProtection="1">
      <alignment vertical="center"/>
      <protection locked="0"/>
    </xf>
    <xf numFmtId="168" fontId="13" fillId="0" borderId="0" xfId="0" applyNumberFormat="1" applyFont="1" applyAlignment="1" applyProtection="1">
      <alignment vertical="center"/>
      <protection locked="0"/>
    </xf>
    <xf numFmtId="230" fontId="13" fillId="0" borderId="0" xfId="0" applyNumberFormat="1" applyFont="1" applyAlignment="1" applyProtection="1">
      <alignment vertical="center"/>
      <protection locked="0"/>
    </xf>
    <xf numFmtId="228" fontId="13" fillId="0" borderId="0" xfId="0" applyNumberFormat="1" applyFont="1" applyAlignment="1" applyProtection="1">
      <alignment vertical="center"/>
      <protection locked="0"/>
    </xf>
    <xf numFmtId="166" fontId="13" fillId="0" borderId="0" xfId="0" applyNumberFormat="1" applyFont="1" applyAlignment="1" applyProtection="1">
      <alignment vertical="center"/>
      <protection locked="0"/>
    </xf>
    <xf numFmtId="166" fontId="0" fillId="0" borderId="0" xfId="0" applyNumberFormat="1" applyAlignment="1">
      <alignment vertical="center"/>
    </xf>
    <xf numFmtId="168" fontId="0" fillId="0" borderId="0" xfId="2" applyFont="1" applyFill="1" applyAlignment="1" applyProtection="1">
      <alignment vertical="center"/>
      <protection hidden="1"/>
    </xf>
    <xf numFmtId="168" fontId="0" fillId="0" borderId="0" xfId="2" applyFont="1" applyFill="1" applyBorder="1" applyAlignment="1" applyProtection="1">
      <alignment vertical="center"/>
      <protection hidden="1"/>
    </xf>
    <xf numFmtId="168" fontId="8" fillId="0" borderId="0" xfId="2" applyFont="1" applyFill="1" applyBorder="1" applyAlignment="1" applyProtection="1">
      <protection hidden="1"/>
    </xf>
    <xf numFmtId="168" fontId="8" fillId="0" borderId="0" xfId="2" applyFont="1" applyFill="1" applyBorder="1" applyAlignment="1" applyProtection="1">
      <alignment vertical="center"/>
      <protection hidden="1"/>
    </xf>
    <xf numFmtId="166"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67" fontId="13" fillId="0" borderId="0" xfId="82" applyFont="1" applyFill="1" applyAlignment="1" applyProtection="1">
      <alignment vertical="center"/>
      <protection locked="0"/>
    </xf>
    <xf numFmtId="167" fontId="0" fillId="0" borderId="0" xfId="82" applyFont="1" applyFill="1" applyAlignment="1" applyProtection="1">
      <alignment vertical="center"/>
    </xf>
    <xf numFmtId="169"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9" fontId="0" fillId="0" borderId="0" xfId="1" applyNumberFormat="1" applyFont="1" applyFill="1" applyBorder="1" applyAlignment="1" applyProtection="1">
      <alignment vertical="center"/>
      <protection hidden="1"/>
    </xf>
    <xf numFmtId="169" fontId="8" fillId="0" borderId="0" xfId="1" applyNumberFormat="1" applyFont="1" applyFill="1" applyBorder="1" applyAlignment="1" applyProtection="1">
      <alignment vertical="center"/>
      <protection hidden="1"/>
    </xf>
    <xf numFmtId="169" fontId="0" fillId="0" borderId="0" xfId="1" applyNumberFormat="1" applyFont="1" applyFill="1" applyAlignment="1" applyProtection="1">
      <alignment vertical="center"/>
      <protection hidden="1"/>
    </xf>
    <xf numFmtId="169" fontId="15" fillId="0" borderId="0" xfId="1" applyNumberFormat="1" applyFont="1" applyFill="1" applyBorder="1" applyAlignment="1" applyProtection="1">
      <alignment vertical="center"/>
      <protection hidden="1"/>
    </xf>
    <xf numFmtId="169" fontId="12" fillId="0" borderId="0" xfId="1" applyNumberFormat="1" applyFont="1" applyFill="1" applyBorder="1" applyAlignment="1" applyProtection="1">
      <alignment horizontal="center" vertical="center" wrapText="1"/>
      <protection hidden="1"/>
    </xf>
    <xf numFmtId="169" fontId="8" fillId="2" borderId="65" xfId="1" applyNumberFormat="1" applyFont="1" applyFill="1" applyBorder="1" applyAlignment="1" applyProtection="1">
      <alignment horizontal="center" vertical="center"/>
      <protection hidden="1"/>
    </xf>
    <xf numFmtId="169" fontId="12" fillId="0" borderId="0" xfId="1" applyNumberFormat="1" applyFont="1" applyFill="1" applyBorder="1" applyAlignment="1" applyProtection="1">
      <alignment vertical="center"/>
      <protection hidden="1"/>
    </xf>
    <xf numFmtId="169" fontId="13" fillId="0" borderId="0" xfId="1" applyNumberFormat="1" applyFont="1" applyFill="1" applyBorder="1" applyAlignment="1" applyProtection="1">
      <alignment horizontal="right" vertical="center"/>
      <protection hidden="1"/>
    </xf>
    <xf numFmtId="169"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9" fillId="2" borderId="0" xfId="7" applyFont="1" applyFill="1" applyAlignment="1">
      <alignment horizontal="center" vertical="center"/>
    </xf>
    <xf numFmtId="0" fontId="9" fillId="2" borderId="0" xfId="19" applyFont="1" applyFill="1" applyAlignment="1">
      <alignment horizontal="center" vertical="center"/>
    </xf>
    <xf numFmtId="0" fontId="9" fillId="2" borderId="0" xfId="19" applyFont="1" applyFill="1" applyAlignment="1">
      <alignment vertical="center"/>
    </xf>
    <xf numFmtId="0" fontId="9" fillId="2" borderId="0" xfId="7" applyFont="1" applyFill="1" applyAlignment="1">
      <alignment vertical="center"/>
    </xf>
    <xf numFmtId="0" fontId="0" fillId="2" borderId="0" xfId="0" applyFill="1"/>
    <xf numFmtId="0" fontId="8" fillId="0" borderId="5" xfId="0" applyFont="1" applyBorder="1" applyAlignment="1">
      <alignment horizontal="left" vertical="center" wrapText="1"/>
    </xf>
    <xf numFmtId="49" fontId="8" fillId="3" borderId="3" xfId="0" applyNumberFormat="1" applyFont="1" applyFill="1" applyBorder="1" applyAlignment="1">
      <alignment horizontal="center" vertical="center"/>
    </xf>
    <xf numFmtId="0" fontId="8" fillId="3" borderId="3" xfId="0" applyFont="1" applyFill="1" applyBorder="1" applyAlignment="1">
      <alignment vertical="center" wrapText="1"/>
    </xf>
    <xf numFmtId="0" fontId="12" fillId="3" borderId="0" xfId="0" applyFont="1" applyFill="1" applyAlignment="1" applyProtection="1">
      <alignment vertical="center"/>
      <protection hidden="1"/>
    </xf>
    <xf numFmtId="0" fontId="12" fillId="3" borderId="0" xfId="7" applyFont="1" applyFill="1" applyAlignment="1">
      <alignment vertical="center" shrinkToFit="1"/>
    </xf>
    <xf numFmtId="49" fontId="54" fillId="3" borderId="0" xfId="7" quotePrefix="1" applyNumberFormat="1" applyFont="1" applyFill="1" applyAlignment="1">
      <alignment horizontal="center" vertical="center"/>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14" fontId="54" fillId="3" borderId="0" xfId="7" applyNumberFormat="1" applyFont="1" applyFill="1" applyAlignment="1">
      <alignment horizontal="center" vertical="center"/>
    </xf>
    <xf numFmtId="174" fontId="8" fillId="3" borderId="0" xfId="7" applyNumberFormat="1" applyFill="1" applyAlignment="1">
      <alignment horizontal="center" vertical="center"/>
    </xf>
    <xf numFmtId="0" fontId="0" fillId="0" borderId="15" xfId="0" applyBorder="1" applyAlignment="1">
      <alignment vertical="center"/>
    </xf>
    <xf numFmtId="0" fontId="0" fillId="0" borderId="15" xfId="0" applyBorder="1" applyAlignment="1">
      <alignment horizontal="left" vertical="center"/>
    </xf>
    <xf numFmtId="168" fontId="8" fillId="0" borderId="0" xfId="2" applyFont="1" applyFill="1" applyBorder="1" applyAlignment="1" applyProtection="1">
      <alignment vertical="center"/>
    </xf>
    <xf numFmtId="10" fontId="8" fillId="0" borderId="0" xfId="1" applyNumberFormat="1" applyFont="1" applyFill="1" applyBorder="1" applyAlignment="1" applyProtection="1">
      <alignment vertical="center"/>
      <protection locked="0"/>
    </xf>
    <xf numFmtId="168" fontId="8" fillId="0" borderId="0" xfId="2" applyFont="1" applyFill="1" applyBorder="1" applyAlignment="1" applyProtection="1">
      <alignment vertical="center"/>
      <protection locked="0"/>
    </xf>
    <xf numFmtId="0" fontId="12" fillId="3" borderId="0" xfId="0" applyFont="1" applyFill="1" applyAlignment="1">
      <alignment vertical="center" wrapText="1"/>
    </xf>
    <xf numFmtId="0" fontId="8" fillId="5" borderId="0" xfId="7" applyFill="1" applyAlignment="1" applyProtection="1">
      <alignment vertical="center"/>
      <protection hidden="1"/>
    </xf>
    <xf numFmtId="0" fontId="13" fillId="5" borderId="0" xfId="7" applyFont="1" applyFill="1" applyAlignment="1" applyProtection="1">
      <alignment vertical="center"/>
      <protection hidden="1"/>
    </xf>
    <xf numFmtId="0" fontId="12" fillId="5" borderId="0" xfId="7" applyFont="1" applyFill="1" applyAlignment="1" applyProtection="1">
      <alignment horizontal="center" vertical="center" wrapText="1"/>
      <protection hidden="1"/>
    </xf>
    <xf numFmtId="176" fontId="12" fillId="5" borderId="3" xfId="7" applyNumberFormat="1" applyFont="1" applyFill="1" applyBorder="1" applyAlignment="1" applyProtection="1">
      <alignment horizontal="center" vertical="center"/>
      <protection hidden="1"/>
    </xf>
    <xf numFmtId="0" fontId="12" fillId="5" borderId="5" xfId="7" applyFont="1" applyFill="1" applyBorder="1" applyAlignment="1" applyProtection="1">
      <alignment horizontal="center" vertical="center" wrapText="1"/>
      <protection hidden="1"/>
    </xf>
    <xf numFmtId="0" fontId="12" fillId="5" borderId="8" xfId="7" applyFont="1" applyFill="1" applyBorder="1" applyAlignment="1" applyProtection="1">
      <alignment horizontal="center" vertical="center"/>
      <protection hidden="1"/>
    </xf>
    <xf numFmtId="0" fontId="12" fillId="5" borderId="11" xfId="7"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protection hidden="1"/>
    </xf>
    <xf numFmtId="0" fontId="8" fillId="5" borderId="5" xfId="7" applyFill="1" applyBorder="1" applyAlignment="1" applyProtection="1">
      <alignment vertical="center"/>
      <protection hidden="1"/>
    </xf>
    <xf numFmtId="0" fontId="12" fillId="5" borderId="11" xfId="7" applyFont="1" applyFill="1" applyBorder="1" applyAlignment="1" applyProtection="1">
      <alignment horizontal="left" vertical="center" wrapText="1"/>
      <protection hidden="1"/>
    </xf>
    <xf numFmtId="169" fontId="8" fillId="5" borderId="3" xfId="1" applyNumberFormat="1" applyFont="1" applyFill="1" applyBorder="1" applyAlignment="1" applyProtection="1">
      <alignment vertical="center"/>
      <protection hidden="1"/>
    </xf>
    <xf numFmtId="166" fontId="8" fillId="5" borderId="0" xfId="7" applyNumberFormat="1" applyFill="1" applyAlignment="1" applyProtection="1">
      <alignment vertical="center"/>
      <protection hidden="1"/>
    </xf>
    <xf numFmtId="169" fontId="8" fillId="5" borderId="0" xfId="16" applyNumberFormat="1" applyFont="1" applyFill="1" applyBorder="1" applyAlignment="1" applyProtection="1">
      <alignment vertical="center"/>
      <protection hidden="1"/>
    </xf>
    <xf numFmtId="9" fontId="13" fillId="5" borderId="0" xfId="16" applyFont="1" applyFill="1" applyBorder="1" applyAlignment="1" applyProtection="1">
      <alignment vertical="center"/>
      <protection hidden="1"/>
    </xf>
    <xf numFmtId="169" fontId="12" fillId="5" borderId="0" xfId="16" applyNumberFormat="1" applyFont="1" applyFill="1" applyBorder="1" applyAlignment="1" applyProtection="1">
      <alignment vertical="center"/>
      <protection hidden="1"/>
    </xf>
    <xf numFmtId="0" fontId="8" fillId="5" borderId="3" xfId="7" applyFill="1" applyBorder="1" applyAlignment="1" applyProtection="1">
      <alignment vertical="center"/>
      <protection hidden="1"/>
    </xf>
    <xf numFmtId="0" fontId="8" fillId="5" borderId="3" xfId="7" applyFill="1" applyBorder="1" applyAlignment="1" applyProtection="1">
      <alignment horizontal="right" vertical="center"/>
      <protection hidden="1"/>
    </xf>
    <xf numFmtId="10" fontId="8" fillId="5" borderId="3" xfId="16" applyNumberFormat="1" applyFont="1" applyFill="1" applyBorder="1" applyAlignment="1" applyProtection="1">
      <alignment vertical="center"/>
      <protection hidden="1"/>
    </xf>
    <xf numFmtId="10" fontId="13" fillId="5" borderId="0" xfId="16" applyNumberFormat="1" applyFont="1" applyFill="1" applyBorder="1" applyAlignment="1" applyProtection="1">
      <alignment vertical="center"/>
      <protection hidden="1"/>
    </xf>
    <xf numFmtId="0" fontId="8" fillId="5" borderId="0" xfId="7" applyFill="1" applyAlignment="1" applyProtection="1">
      <alignment horizontal="center" vertical="center"/>
      <protection hidden="1"/>
    </xf>
    <xf numFmtId="0" fontId="8" fillId="5" borderId="0" xfId="7" applyFill="1" applyAlignment="1" applyProtection="1">
      <alignment horizontal="right" vertical="center"/>
      <protection hidden="1"/>
    </xf>
    <xf numFmtId="168" fontId="8" fillId="5" borderId="0" xfId="2" applyFont="1" applyFill="1" applyAlignment="1" applyProtection="1">
      <alignment vertical="center"/>
      <protection hidden="1"/>
    </xf>
    <xf numFmtId="168" fontId="8" fillId="5" borderId="5" xfId="7" applyNumberFormat="1" applyFill="1" applyBorder="1" applyAlignment="1" applyProtection="1">
      <alignment vertical="center"/>
      <protection hidden="1"/>
    </xf>
    <xf numFmtId="168" fontId="13" fillId="5" borderId="0" xfId="7" applyNumberFormat="1" applyFont="1" applyFill="1" applyAlignment="1" applyProtection="1">
      <alignment vertical="center"/>
      <protection hidden="1"/>
    </xf>
    <xf numFmtId="0" fontId="13" fillId="5" borderId="0" xfId="7" applyFont="1" applyFill="1" applyAlignment="1" applyProtection="1">
      <alignment horizontal="right" vertical="center"/>
      <protection hidden="1"/>
    </xf>
    <xf numFmtId="166" fontId="13" fillId="5" borderId="0" xfId="7" applyNumberFormat="1" applyFont="1" applyFill="1" applyAlignment="1" applyProtection="1">
      <alignment vertical="center"/>
      <protection hidden="1"/>
    </xf>
    <xf numFmtId="0" fontId="0" fillId="5" borderId="0" xfId="0" applyFill="1" applyAlignment="1" applyProtection="1">
      <alignment vertical="center"/>
      <protection hidden="1"/>
    </xf>
    <xf numFmtId="0" fontId="17" fillId="5" borderId="17" xfId="7" applyFont="1" applyFill="1" applyBorder="1" applyAlignment="1" applyProtection="1">
      <alignment horizontal="center" vertical="center"/>
      <protection hidden="1"/>
    </xf>
    <xf numFmtId="0" fontId="17" fillId="5" borderId="0" xfId="7" applyFont="1" applyFill="1" applyAlignment="1" applyProtection="1">
      <alignment horizontal="center" vertical="center"/>
      <protection hidden="1"/>
    </xf>
    <xf numFmtId="169" fontId="8" fillId="5" borderId="3" xfId="16" applyNumberFormat="1" applyFont="1" applyFill="1" applyBorder="1" applyAlignment="1" applyProtection="1">
      <alignment vertical="center"/>
      <protection locked="0"/>
    </xf>
    <xf numFmtId="168" fontId="8" fillId="0" borderId="0" xfId="2" applyFont="1" applyAlignment="1">
      <alignment vertical="center"/>
    </xf>
    <xf numFmtId="168" fontId="8" fillId="0" borderId="0" xfId="7" applyNumberFormat="1" applyAlignment="1">
      <alignment vertical="center"/>
    </xf>
    <xf numFmtId="169" fontId="17" fillId="0" borderId="3" xfId="7" applyNumberFormat="1" applyFont="1" applyBorder="1" applyAlignment="1" applyProtection="1">
      <alignment horizontal="center" vertical="center" wrapText="1"/>
      <protection hidden="1"/>
    </xf>
    <xf numFmtId="9" fontId="0" fillId="0" borderId="0" xfId="1" applyFont="1" applyAlignment="1">
      <alignment vertical="center"/>
    </xf>
    <xf numFmtId="9" fontId="0" fillId="0" borderId="3" xfId="0" applyNumberFormat="1" applyBorder="1"/>
    <xf numFmtId="0" fontId="12" fillId="0" borderId="5" xfId="0" applyFont="1" applyBorder="1" applyAlignment="1">
      <alignment horizontal="left" vertical="center"/>
    </xf>
    <xf numFmtId="0" fontId="12" fillId="0" borderId="5" xfId="7" applyFont="1" applyBorder="1" applyAlignment="1" applyProtection="1">
      <alignment vertical="center" wrapText="1"/>
      <protection hidden="1"/>
    </xf>
    <xf numFmtId="181" fontId="8" fillId="0" borderId="8" xfId="2" applyNumberFormat="1" applyFont="1" applyFill="1" applyBorder="1" applyAlignment="1" applyProtection="1">
      <alignment vertical="center"/>
    </xf>
    <xf numFmtId="181" fontId="8" fillId="0" borderId="11" xfId="49" applyNumberFormat="1" applyFont="1" applyFill="1" applyBorder="1" applyAlignment="1" applyProtection="1">
      <alignment vertical="center"/>
    </xf>
    <xf numFmtId="0" fontId="8" fillId="5" borderId="5" xfId="7" applyFill="1" applyBorder="1" applyAlignment="1" applyProtection="1">
      <alignment vertical="center" wrapText="1"/>
      <protection hidden="1"/>
    </xf>
    <xf numFmtId="0" fontId="8" fillId="5" borderId="11" xfId="7" applyFill="1" applyBorder="1" applyAlignment="1" applyProtection="1">
      <alignment vertical="center" wrapText="1"/>
      <protection hidden="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5" borderId="3" xfId="0" applyFont="1" applyFill="1" applyBorder="1" applyAlignment="1" applyProtection="1">
      <alignment horizontal="center" vertical="center" wrapText="1"/>
      <protection hidden="1"/>
    </xf>
    <xf numFmtId="0" fontId="12" fillId="5" borderId="3" xfId="7" applyFont="1" applyFill="1" applyBorder="1" applyAlignment="1" applyProtection="1">
      <alignment horizontal="center" vertical="center"/>
      <protection hidden="1"/>
    </xf>
    <xf numFmtId="0" fontId="12" fillId="5" borderId="3" xfId="7" applyFont="1" applyFill="1" applyBorder="1" applyAlignment="1" applyProtection="1">
      <alignment horizontal="center" vertical="center" wrapText="1"/>
      <protection hidden="1"/>
    </xf>
    <xf numFmtId="0" fontId="52" fillId="2" borderId="0" xfId="0" applyFont="1" applyFill="1" applyAlignment="1">
      <alignment horizontal="center"/>
    </xf>
    <xf numFmtId="0" fontId="9" fillId="0" borderId="0" xfId="7" applyFont="1" applyAlignment="1">
      <alignment horizontal="center" vertical="center" wrapText="1"/>
    </xf>
    <xf numFmtId="0" fontId="36" fillId="0" borderId="0" xfId="3" applyFont="1" applyAlignment="1">
      <alignment horizontal="center"/>
    </xf>
    <xf numFmtId="0" fontId="36" fillId="0" borderId="0" xfId="3" applyFont="1" applyAlignment="1">
      <alignment horizontal="center" wrapText="1"/>
    </xf>
    <xf numFmtId="0" fontId="14" fillId="0" borderId="0" xfId="20" applyFont="1" applyAlignment="1">
      <alignment horizontal="center"/>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2" fillId="0" borderId="3" xfId="7" applyFont="1" applyBorder="1" applyAlignment="1" applyProtection="1">
      <alignment horizontal="center" vertical="center" wrapText="1"/>
      <protection hidden="1"/>
    </xf>
    <xf numFmtId="0" fontId="8" fillId="0" borderId="73" xfId="7" applyBorder="1" applyAlignment="1" applyProtection="1">
      <alignment horizontal="left" vertical="center" wrapText="1"/>
      <protection hidden="1"/>
    </xf>
    <xf numFmtId="0" fontId="8" fillId="0" borderId="74" xfId="7" applyBorder="1" applyAlignment="1" applyProtection="1">
      <alignment horizontal="left" vertical="center" wrapText="1"/>
      <protection hidden="1"/>
    </xf>
    <xf numFmtId="169" fontId="12" fillId="0" borderId="3" xfId="1"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5" fillId="0" borderId="0" xfId="20" applyFont="1" applyAlignment="1" applyProtection="1">
      <alignment horizontal="center"/>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197"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11" xfId="111" xr:uid="{9E4A2C85-E49E-4DF0-A2ED-CECD52A13DB9}"/>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4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PTyCI!$F$11:$K$11</c:f>
              <c:numCache>
                <c:formatCode>"Mes "#,#00\ </c:formatCode>
                <c:ptCount val="6"/>
                <c:pt idx="0" formatCode="General">
                  <c:v>0</c:v>
                </c:pt>
                <c:pt idx="1">
                  <c:v>1</c:v>
                </c:pt>
                <c:pt idx="2">
                  <c:v>2</c:v>
                </c:pt>
                <c:pt idx="3">
                  <c:v>3</c:v>
                </c:pt>
                <c:pt idx="4">
                  <c:v>4</c:v>
                </c:pt>
                <c:pt idx="5">
                  <c:v>5</c:v>
                </c:pt>
              </c:numCache>
            </c:numRef>
          </c:cat>
          <c:val>
            <c:numRef>
              <c:f>PTyCI!$F$46:$H$46</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PTyCI!$F$11:$K$11</c:f>
              <c:numCache>
                <c:formatCode>"Mes "#,#00\ </c:formatCode>
                <c:ptCount val="6"/>
                <c:pt idx="0" formatCode="General">
                  <c:v>0</c:v>
                </c:pt>
                <c:pt idx="1">
                  <c:v>1</c:v>
                </c:pt>
                <c:pt idx="2">
                  <c:v>2</c:v>
                </c:pt>
                <c:pt idx="3">
                  <c:v>3</c:v>
                </c:pt>
                <c:pt idx="4">
                  <c:v>4</c:v>
                </c:pt>
                <c:pt idx="5">
                  <c:v>5</c:v>
                </c:pt>
              </c:numCache>
            </c:numRef>
          </c:cat>
          <c:val>
            <c:numRef>
              <c:f>PTyCI!$F$47:$H$47</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48673792"/>
        <c:axId val="248675712"/>
      </c:lineChart>
      <c:catAx>
        <c:axId val="24867379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8675712"/>
        <c:crossesAt val="0"/>
        <c:auto val="1"/>
        <c:lblAlgn val="ctr"/>
        <c:lblOffset val="100"/>
        <c:noMultiLvlLbl val="0"/>
      </c:catAx>
      <c:valAx>
        <c:axId val="2486757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4867379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PTyCI!$F$11:$H$11</c:f>
              <c:numCache>
                <c:formatCode>"Mes "#,#00\ </c:formatCode>
                <c:ptCount val="3"/>
                <c:pt idx="0" formatCode="General">
                  <c:v>0</c:v>
                </c:pt>
                <c:pt idx="1">
                  <c:v>1</c:v>
                </c:pt>
                <c:pt idx="2">
                  <c:v>2</c:v>
                </c:pt>
              </c:numCache>
            </c:numRef>
          </c:cat>
          <c:val>
            <c:numRef>
              <c:f>PTyCI!$F$49:$H$49</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PTyCI!$F$11:$H$11</c:f>
              <c:numCache>
                <c:formatCode>"Mes "#,#00\ </c:formatCode>
                <c:ptCount val="3"/>
                <c:pt idx="0" formatCode="General">
                  <c:v>0</c:v>
                </c:pt>
                <c:pt idx="1">
                  <c:v>1</c:v>
                </c:pt>
                <c:pt idx="2">
                  <c:v>2</c:v>
                </c:pt>
              </c:numCache>
            </c:numRef>
          </c:cat>
          <c:val>
            <c:numRef>
              <c:f>PTyCI!$F$50:$H$50</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48016256"/>
        <c:axId val="248018432"/>
      </c:lineChart>
      <c:catAx>
        <c:axId val="2480162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8018432"/>
        <c:crosses val="autoZero"/>
        <c:auto val="1"/>
        <c:lblAlgn val="ctr"/>
        <c:lblOffset val="100"/>
        <c:noMultiLvlLbl val="0"/>
      </c:catAx>
      <c:valAx>
        <c:axId val="24801843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480162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654006</xdr:colOff>
      <xdr:row>40</xdr:row>
      <xdr:rowOff>31750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3" sqref="A3"/>
    </sheetView>
  </sheetViews>
  <sheetFormatPr baseColWidth="10" defaultRowHeight="12.75" x14ac:dyDescent="0.2"/>
  <cols>
    <col min="1" max="1" width="148.5703125" style="543" customWidth="1"/>
    <col min="2" max="16384" width="11.42578125" style="543"/>
  </cols>
  <sheetData>
    <row r="1" spans="1:7" ht="30" customHeight="1" x14ac:dyDescent="0.2">
      <c r="A1" s="546" t="s">
        <v>921</v>
      </c>
    </row>
    <row r="2" spans="1:7" ht="165" x14ac:dyDescent="0.2">
      <c r="A2" s="544" t="s">
        <v>1917</v>
      </c>
    </row>
    <row r="3" spans="1:7" ht="30" customHeight="1" x14ac:dyDescent="0.2">
      <c r="A3" s="546" t="s">
        <v>922</v>
      </c>
    </row>
    <row r="4" spans="1:7" ht="30" customHeight="1" x14ac:dyDescent="0.2">
      <c r="A4" s="546" t="s">
        <v>941</v>
      </c>
    </row>
    <row r="5" spans="1:7" ht="195" x14ac:dyDescent="0.2">
      <c r="A5" s="549" t="s">
        <v>1918</v>
      </c>
    </row>
    <row r="6" spans="1:7" ht="105.75" x14ac:dyDescent="0.2">
      <c r="A6" s="549" t="s">
        <v>1916</v>
      </c>
      <c r="B6" s="547"/>
      <c r="C6" s="547"/>
      <c r="D6" s="547"/>
      <c r="E6" s="547"/>
      <c r="F6" s="547"/>
      <c r="G6" s="547"/>
    </row>
    <row r="7" spans="1:7" ht="60" x14ac:dyDescent="0.2">
      <c r="A7" s="549" t="s">
        <v>1915</v>
      </c>
      <c r="B7" s="547"/>
      <c r="C7" s="547"/>
      <c r="D7" s="547"/>
      <c r="E7" s="547"/>
      <c r="F7" s="547"/>
      <c r="G7" s="547"/>
    </row>
    <row r="8" spans="1:7" ht="165" x14ac:dyDescent="0.2">
      <c r="A8" s="549" t="s">
        <v>1919</v>
      </c>
      <c r="B8" s="547"/>
      <c r="C8" s="547"/>
      <c r="D8" s="547"/>
      <c r="E8" s="547"/>
      <c r="F8" s="547"/>
      <c r="G8" s="547"/>
    </row>
    <row r="9" spans="1:7" ht="15" x14ac:dyDescent="0.2">
      <c r="A9" s="544" t="s">
        <v>942</v>
      </c>
      <c r="B9" s="547"/>
      <c r="C9" s="547"/>
      <c r="D9" s="547"/>
      <c r="E9" s="547"/>
      <c r="F9" s="547"/>
      <c r="G9" s="547"/>
    </row>
    <row r="10" spans="1:7" ht="45" customHeight="1" x14ac:dyDescent="0.2">
      <c r="A10" s="544" t="s">
        <v>943</v>
      </c>
      <c r="B10" s="547"/>
      <c r="C10" s="547"/>
      <c r="D10" s="547"/>
      <c r="E10" s="547"/>
      <c r="F10" s="547"/>
      <c r="G10" s="547"/>
    </row>
    <row r="11" spans="1:7" ht="30" x14ac:dyDescent="0.2">
      <c r="A11" s="544" t="s">
        <v>945</v>
      </c>
      <c r="B11" s="547" t="s">
        <v>3</v>
      </c>
      <c r="C11" s="547"/>
      <c r="D11" s="547"/>
      <c r="E11" s="547"/>
      <c r="F11" s="547"/>
      <c r="G11" s="547"/>
    </row>
    <row r="12" spans="1:7" ht="15" x14ac:dyDescent="0.2">
      <c r="A12" s="544" t="s">
        <v>1914</v>
      </c>
      <c r="B12" s="547"/>
      <c r="C12" s="547"/>
      <c r="D12" s="547"/>
      <c r="E12" s="547"/>
      <c r="F12" s="547"/>
      <c r="G12" s="547"/>
    </row>
    <row r="13" spans="1:7" ht="47.25" x14ac:dyDescent="0.2">
      <c r="A13" s="548" t="s">
        <v>1913</v>
      </c>
      <c r="B13" s="547"/>
      <c r="C13" s="547"/>
      <c r="D13" s="547"/>
      <c r="E13" s="547"/>
      <c r="F13" s="547"/>
      <c r="G13" s="547"/>
    </row>
    <row r="14" spans="1:7" ht="30" customHeight="1" x14ac:dyDescent="0.2">
      <c r="A14" s="546" t="s">
        <v>951</v>
      </c>
    </row>
    <row r="15" spans="1:7" ht="150" x14ac:dyDescent="0.2">
      <c r="A15" s="544" t="s">
        <v>1924</v>
      </c>
    </row>
    <row r="16" spans="1:7" ht="45" customHeight="1" x14ac:dyDescent="0.2">
      <c r="A16" s="544" t="s">
        <v>1912</v>
      </c>
      <c r="B16" s="547"/>
      <c r="C16" s="547"/>
      <c r="D16" s="547"/>
      <c r="E16" s="547"/>
      <c r="F16" s="547"/>
      <c r="G16" s="547"/>
    </row>
    <row r="17" spans="1:7" ht="30" customHeight="1" x14ac:dyDescent="0.2">
      <c r="A17" s="546" t="s">
        <v>923</v>
      </c>
    </row>
    <row r="18" spans="1:7" ht="45" customHeight="1" x14ac:dyDescent="0.2">
      <c r="A18" s="544" t="s">
        <v>1911</v>
      </c>
      <c r="B18" s="547"/>
      <c r="C18" s="547"/>
      <c r="D18" s="547"/>
      <c r="E18" s="547"/>
      <c r="F18" s="547"/>
      <c r="G18" s="547"/>
    </row>
    <row r="19" spans="1:7" ht="45" customHeight="1" x14ac:dyDescent="0.2">
      <c r="A19" s="544" t="s">
        <v>946</v>
      </c>
      <c r="B19" s="547"/>
      <c r="C19" s="547"/>
      <c r="D19" s="547"/>
      <c r="E19" s="547"/>
      <c r="F19" s="547"/>
      <c r="G19" s="547"/>
    </row>
    <row r="20" spans="1:7" ht="45" customHeight="1" x14ac:dyDescent="0.2">
      <c r="A20" s="544" t="s">
        <v>1910</v>
      </c>
      <c r="B20" s="547"/>
      <c r="C20" s="547"/>
      <c r="D20" s="547"/>
      <c r="E20" s="547"/>
      <c r="F20" s="547"/>
      <c r="G20" s="547"/>
    </row>
    <row r="21" spans="1:7" ht="30" x14ac:dyDescent="0.2">
      <c r="A21" s="544" t="s">
        <v>944</v>
      </c>
      <c r="B21" s="547"/>
      <c r="C21" s="547"/>
      <c r="D21" s="547"/>
      <c r="E21" s="547"/>
      <c r="F21" s="547"/>
      <c r="G21" s="547"/>
    </row>
    <row r="22" spans="1:7" ht="15" x14ac:dyDescent="0.2">
      <c r="A22" s="544"/>
      <c r="B22" s="547"/>
      <c r="C22" s="547"/>
      <c r="D22" s="547"/>
      <c r="E22" s="547"/>
      <c r="F22" s="547"/>
      <c r="G22" s="547"/>
    </row>
    <row r="23" spans="1:7" ht="30" customHeight="1" x14ac:dyDescent="0.2">
      <c r="A23" s="546" t="s">
        <v>924</v>
      </c>
    </row>
    <row r="24" spans="1:7" ht="45" x14ac:dyDescent="0.2">
      <c r="A24" s="544" t="s">
        <v>1909</v>
      </c>
      <c r="B24" s="547"/>
      <c r="C24" s="547"/>
      <c r="D24" s="547"/>
      <c r="E24" s="547"/>
      <c r="F24" s="547"/>
      <c r="G24" s="547"/>
    </row>
    <row r="25" spans="1:7" ht="15" x14ac:dyDescent="0.2">
      <c r="A25" s="544" t="s">
        <v>947</v>
      </c>
      <c r="B25" s="547"/>
      <c r="C25" s="547"/>
      <c r="D25" s="547"/>
      <c r="E25" s="547"/>
      <c r="F25" s="547"/>
      <c r="G25" s="547"/>
    </row>
    <row r="26" spans="1:7" ht="30" x14ac:dyDescent="0.2">
      <c r="A26" s="544" t="s">
        <v>1908</v>
      </c>
      <c r="B26" s="547"/>
      <c r="C26" s="547"/>
      <c r="D26" s="547"/>
      <c r="E26" s="547"/>
      <c r="F26" s="547"/>
      <c r="G26" s="547"/>
    </row>
    <row r="27" spans="1:7" ht="30" x14ac:dyDescent="0.2">
      <c r="A27" s="544" t="s">
        <v>1907</v>
      </c>
      <c r="B27" s="547"/>
      <c r="C27" s="547"/>
      <c r="D27" s="547"/>
      <c r="E27" s="547"/>
      <c r="F27" s="547"/>
      <c r="G27" s="547"/>
    </row>
    <row r="28" spans="1:7" ht="30" x14ac:dyDescent="0.2">
      <c r="A28" s="544" t="s">
        <v>1906</v>
      </c>
    </row>
    <row r="29" spans="1:7" ht="45" x14ac:dyDescent="0.2">
      <c r="A29" s="544" t="s">
        <v>953</v>
      </c>
    </row>
    <row r="30" spans="1:7" ht="31.5" x14ac:dyDescent="0.2">
      <c r="A30" s="544" t="s">
        <v>1925</v>
      </c>
    </row>
    <row r="31" spans="1:7" ht="135.75" x14ac:dyDescent="0.2">
      <c r="A31" s="544" t="s">
        <v>1905</v>
      </c>
    </row>
    <row r="32" spans="1:7" ht="30" customHeight="1" x14ac:dyDescent="0.2">
      <c r="A32" s="546" t="s">
        <v>925</v>
      </c>
    </row>
    <row r="33" spans="1:7" ht="45" x14ac:dyDescent="0.2">
      <c r="A33" s="544" t="s">
        <v>1904</v>
      </c>
    </row>
    <row r="34" spans="1:7" ht="150" x14ac:dyDescent="0.2">
      <c r="A34" s="544" t="s">
        <v>1903</v>
      </c>
    </row>
    <row r="35" spans="1:7" ht="120" x14ac:dyDescent="0.2">
      <c r="A35" s="544" t="s">
        <v>954</v>
      </c>
    </row>
    <row r="36" spans="1:7" ht="44.25" customHeight="1" x14ac:dyDescent="0.2">
      <c r="A36" s="544" t="s">
        <v>926</v>
      </c>
    </row>
    <row r="37" spans="1:7" ht="15" x14ac:dyDescent="0.2">
      <c r="A37" s="544" t="s">
        <v>1902</v>
      </c>
    </row>
    <row r="38" spans="1:7" ht="30" customHeight="1" x14ac:dyDescent="0.2">
      <c r="A38" s="546" t="s">
        <v>927</v>
      </c>
    </row>
    <row r="39" spans="1:7" ht="45" x14ac:dyDescent="0.2">
      <c r="A39" s="544" t="s">
        <v>948</v>
      </c>
      <c r="B39" s="547"/>
      <c r="C39" s="547"/>
      <c r="D39" s="547"/>
      <c r="E39" s="547"/>
      <c r="F39" s="547"/>
      <c r="G39" s="547"/>
    </row>
    <row r="40" spans="1:7" ht="30" x14ac:dyDescent="0.2">
      <c r="A40" s="544" t="s">
        <v>955</v>
      </c>
    </row>
    <row r="41" spans="1:7" ht="30" x14ac:dyDescent="0.2">
      <c r="A41" s="544" t="s">
        <v>956</v>
      </c>
    </row>
    <row r="42" spans="1:7" ht="15" x14ac:dyDescent="0.2">
      <c r="A42" s="544"/>
    </row>
    <row r="43" spans="1:7" ht="15.75" x14ac:dyDescent="0.2">
      <c r="A43" s="546" t="s">
        <v>928</v>
      </c>
    </row>
    <row r="44" spans="1:7" ht="45" x14ac:dyDescent="0.2">
      <c r="A44" s="544" t="s">
        <v>929</v>
      </c>
    </row>
    <row r="46" spans="1:7" ht="30" customHeight="1" x14ac:dyDescent="0.2">
      <c r="A46" s="546" t="s">
        <v>949</v>
      </c>
    </row>
    <row r="47" spans="1:7" ht="45" x14ac:dyDescent="0.2">
      <c r="A47" s="544" t="s">
        <v>950</v>
      </c>
    </row>
    <row r="48" spans="1:7" ht="30" x14ac:dyDescent="0.2">
      <c r="A48" s="544" t="s">
        <v>952</v>
      </c>
    </row>
    <row r="49" spans="1:1" ht="25.5" x14ac:dyDescent="0.2">
      <c r="A49" s="545" t="s">
        <v>1901</v>
      </c>
    </row>
    <row r="50" spans="1:1" ht="15" x14ac:dyDescent="0.2">
      <c r="A50" s="544"/>
    </row>
    <row r="51" spans="1:1" ht="30" customHeight="1" x14ac:dyDescent="0.2">
      <c r="A51" s="546" t="s">
        <v>1926</v>
      </c>
    </row>
    <row r="52" spans="1:1" ht="30" x14ac:dyDescent="0.2">
      <c r="A52" s="544" t="s">
        <v>1927</v>
      </c>
    </row>
  </sheetData>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pageSetUpPr fitToPage="1"/>
  </sheetPr>
  <dimension ref="C1:J3"/>
  <sheetViews>
    <sheetView showGridLines="0" topLeftCell="C1" zoomScaleNormal="100" zoomScaleSheetLayoutView="75" workbookViewId="0">
      <selection activeCell="O29" sqref="O2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46" t="str">
        <f>"OBRA: " &amp; UPPER(Obra)</f>
        <v>OBRA: ENCAMISADO PARCIAL DEL CANAL DE CALLE AMÉRICA</v>
      </c>
      <c r="D1" s="746"/>
      <c r="E1" s="746"/>
      <c r="F1" s="746"/>
      <c r="G1" s="746"/>
      <c r="H1" s="746"/>
      <c r="I1" s="746"/>
      <c r="J1" s="746"/>
    </row>
    <row r="2" spans="3:10" ht="23.25" x14ac:dyDescent="0.35">
      <c r="C2" s="745" t="s">
        <v>932</v>
      </c>
      <c r="D2" s="745"/>
      <c r="E2" s="745"/>
      <c r="F2" s="745"/>
      <c r="G2" s="745"/>
      <c r="H2" s="745"/>
      <c r="I2" s="745"/>
      <c r="J2" s="745"/>
    </row>
    <row r="3" spans="3:10" ht="23.25" x14ac:dyDescent="0.35">
      <c r="C3" s="745" t="s">
        <v>933</v>
      </c>
      <c r="D3" s="745"/>
      <c r="E3" s="745"/>
      <c r="F3" s="745"/>
      <c r="G3" s="745"/>
      <c r="H3" s="745"/>
      <c r="I3" s="745"/>
      <c r="J3" s="7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E545"/>
  <sheetViews>
    <sheetView zoomScale="90" zoomScaleNormal="90" workbookViewId="0">
      <selection activeCell="H53" sqref="H53"/>
    </sheetView>
  </sheetViews>
  <sheetFormatPr baseColWidth="10" defaultColWidth="11.42578125" defaultRowHeight="12" x14ac:dyDescent="0.2"/>
  <cols>
    <col min="1" max="1" width="46.42578125" style="46" customWidth="1"/>
    <col min="2" max="2" width="7.28515625" style="48" customWidth="1"/>
    <col min="3" max="3" width="15.140625" style="611" bestFit="1" customWidth="1"/>
    <col min="4" max="4" width="19" style="46" customWidth="1"/>
    <col min="5" max="5" width="46.5703125" style="46" customWidth="1"/>
    <col min="6" max="16384" width="11.42578125" style="46"/>
  </cols>
  <sheetData>
    <row r="1" spans="1:5" x14ac:dyDescent="0.2">
      <c r="A1" s="45" t="s">
        <v>1954</v>
      </c>
    </row>
    <row r="3" spans="1:5" s="48" customFormat="1" x14ac:dyDescent="0.2">
      <c r="A3" s="47" t="s">
        <v>919</v>
      </c>
      <c r="B3" s="47" t="s">
        <v>1</v>
      </c>
      <c r="C3" s="612" t="s">
        <v>904</v>
      </c>
      <c r="D3" s="47" t="s">
        <v>898</v>
      </c>
      <c r="E3" s="47" t="s">
        <v>899</v>
      </c>
    </row>
    <row r="4" spans="1:5" x14ac:dyDescent="0.2">
      <c r="A4" s="49"/>
      <c r="B4" s="47"/>
      <c r="C4" s="613"/>
      <c r="D4" s="49"/>
      <c r="E4" s="49" t="str">
        <f t="shared" ref="E4:E68" si="0">IFERROR(VLOOKUP(D4,T_Indices,5,FALSE),"")</f>
        <v/>
      </c>
    </row>
    <row r="5" spans="1:5" x14ac:dyDescent="0.2">
      <c r="A5" s="49"/>
      <c r="B5" s="47"/>
      <c r="C5" s="613"/>
      <c r="D5" s="49"/>
      <c r="E5" s="49" t="str">
        <f t="shared" si="0"/>
        <v/>
      </c>
    </row>
    <row r="6" spans="1:5" x14ac:dyDescent="0.2">
      <c r="A6" s="49"/>
      <c r="B6" s="47"/>
      <c r="C6" s="613"/>
      <c r="D6" s="49"/>
      <c r="E6" s="49" t="str">
        <f t="shared" si="0"/>
        <v/>
      </c>
    </row>
    <row r="7" spans="1:5" x14ac:dyDescent="0.2">
      <c r="A7" s="49"/>
      <c r="B7" s="47"/>
      <c r="C7" s="613"/>
      <c r="D7" s="49"/>
      <c r="E7" s="49" t="str">
        <f t="shared" si="0"/>
        <v/>
      </c>
    </row>
    <row r="8" spans="1:5" x14ac:dyDescent="0.2">
      <c r="A8" s="49"/>
      <c r="B8" s="47"/>
      <c r="C8" s="613"/>
      <c r="D8" s="49"/>
      <c r="E8" s="49" t="str">
        <f t="shared" si="0"/>
        <v/>
      </c>
    </row>
    <row r="9" spans="1:5" x14ac:dyDescent="0.2">
      <c r="A9" s="49"/>
      <c r="B9" s="47"/>
      <c r="C9" s="613"/>
      <c r="D9" s="49"/>
      <c r="E9" s="49" t="str">
        <f t="shared" si="0"/>
        <v/>
      </c>
    </row>
    <row r="10" spans="1:5" x14ac:dyDescent="0.2">
      <c r="A10" s="49"/>
      <c r="B10" s="47"/>
      <c r="C10" s="613"/>
      <c r="D10" s="49"/>
      <c r="E10" s="49" t="str">
        <f t="shared" si="0"/>
        <v/>
      </c>
    </row>
    <row r="11" spans="1:5" x14ac:dyDescent="0.2">
      <c r="A11" s="49"/>
      <c r="B11" s="47"/>
      <c r="C11" s="613"/>
      <c r="D11" s="49"/>
      <c r="E11" s="49" t="str">
        <f t="shared" si="0"/>
        <v/>
      </c>
    </row>
    <row r="12" spans="1:5" x14ac:dyDescent="0.2">
      <c r="A12" s="49"/>
      <c r="B12" s="47"/>
      <c r="C12" s="613"/>
      <c r="D12" s="49"/>
      <c r="E12" s="49" t="str">
        <f t="shared" si="0"/>
        <v/>
      </c>
    </row>
    <row r="13" spans="1:5" x14ac:dyDescent="0.2">
      <c r="A13" s="49"/>
      <c r="B13" s="47"/>
      <c r="C13" s="613"/>
      <c r="D13" s="49"/>
      <c r="E13" s="49" t="str">
        <f t="shared" si="0"/>
        <v/>
      </c>
    </row>
    <row r="14" spans="1:5" x14ac:dyDescent="0.2">
      <c r="A14" s="49"/>
      <c r="B14" s="47"/>
      <c r="C14" s="614"/>
      <c r="D14" s="49"/>
      <c r="E14" s="49" t="str">
        <f t="shared" si="0"/>
        <v/>
      </c>
    </row>
    <row r="15" spans="1:5" x14ac:dyDescent="0.2">
      <c r="A15" s="49"/>
      <c r="B15" s="47"/>
      <c r="C15" s="614"/>
      <c r="D15" s="49"/>
      <c r="E15" s="49" t="str">
        <f t="shared" si="0"/>
        <v/>
      </c>
    </row>
    <row r="16" spans="1:5" x14ac:dyDescent="0.2">
      <c r="A16" s="49"/>
      <c r="B16" s="47"/>
      <c r="C16" s="614"/>
      <c r="D16" s="49"/>
      <c r="E16" s="49" t="str">
        <f t="shared" si="0"/>
        <v/>
      </c>
    </row>
    <row r="17" spans="1:5" x14ac:dyDescent="0.2">
      <c r="A17" s="49"/>
      <c r="B17" s="47"/>
      <c r="C17" s="614"/>
      <c r="D17" s="49"/>
      <c r="E17" s="49" t="str">
        <f t="shared" si="0"/>
        <v/>
      </c>
    </row>
    <row r="18" spans="1:5" x14ac:dyDescent="0.2">
      <c r="A18" s="49"/>
      <c r="B18" s="47"/>
      <c r="C18" s="614"/>
      <c r="D18" s="49"/>
      <c r="E18" s="49" t="str">
        <f t="shared" si="0"/>
        <v/>
      </c>
    </row>
    <row r="19" spans="1:5" x14ac:dyDescent="0.2">
      <c r="A19" s="49"/>
      <c r="B19" s="47"/>
      <c r="C19" s="614"/>
      <c r="D19" s="49"/>
      <c r="E19" s="49" t="str">
        <f t="shared" si="0"/>
        <v/>
      </c>
    </row>
    <row r="20" spans="1:5" x14ac:dyDescent="0.2">
      <c r="A20" s="49"/>
      <c r="B20" s="47"/>
      <c r="C20" s="614"/>
      <c r="D20" s="49"/>
      <c r="E20" s="49" t="str">
        <f t="shared" si="0"/>
        <v/>
      </c>
    </row>
    <row r="21" spans="1:5" x14ac:dyDescent="0.2">
      <c r="A21" s="49"/>
      <c r="B21" s="47"/>
      <c r="C21" s="614"/>
      <c r="D21" s="49"/>
      <c r="E21" s="49" t="str">
        <f t="shared" ref="E21" si="1">IFERROR(VLOOKUP(D21,T_Indices,5,FALSE),"")</f>
        <v/>
      </c>
    </row>
    <row r="22" spans="1:5" x14ac:dyDescent="0.2">
      <c r="A22" s="49"/>
      <c r="B22" s="47"/>
      <c r="C22" s="614"/>
      <c r="D22" s="49"/>
      <c r="E22" s="49" t="str">
        <f t="shared" si="0"/>
        <v/>
      </c>
    </row>
    <row r="23" spans="1:5" x14ac:dyDescent="0.2">
      <c r="A23" s="49"/>
      <c r="B23" s="47"/>
      <c r="C23" s="614"/>
      <c r="D23" s="49"/>
      <c r="E23" s="49" t="str">
        <f t="shared" si="0"/>
        <v/>
      </c>
    </row>
    <row r="24" spans="1:5" x14ac:dyDescent="0.2">
      <c r="A24" s="49"/>
      <c r="B24" s="47"/>
      <c r="C24" s="614"/>
      <c r="D24" s="49"/>
      <c r="E24" s="49" t="str">
        <f t="shared" si="0"/>
        <v/>
      </c>
    </row>
    <row r="25" spans="1:5" x14ac:dyDescent="0.2">
      <c r="A25" s="49"/>
      <c r="B25" s="47"/>
      <c r="C25" s="614"/>
      <c r="D25" s="49"/>
      <c r="E25" s="49" t="str">
        <f t="shared" si="0"/>
        <v/>
      </c>
    </row>
    <row r="26" spans="1:5" x14ac:dyDescent="0.2">
      <c r="A26" s="49"/>
      <c r="B26" s="47"/>
      <c r="C26" s="614"/>
      <c r="D26" s="49"/>
      <c r="E26" s="49" t="str">
        <f t="shared" si="0"/>
        <v/>
      </c>
    </row>
    <row r="27" spans="1:5" x14ac:dyDescent="0.2">
      <c r="A27" s="49"/>
      <c r="B27" s="47"/>
      <c r="C27" s="614"/>
      <c r="D27" s="49"/>
      <c r="E27" s="49" t="str">
        <f t="shared" si="0"/>
        <v/>
      </c>
    </row>
    <row r="28" spans="1:5" x14ac:dyDescent="0.2">
      <c r="A28" s="49"/>
      <c r="B28" s="47"/>
      <c r="C28" s="613"/>
      <c r="D28" s="49"/>
      <c r="E28" s="49" t="str">
        <f t="shared" si="0"/>
        <v/>
      </c>
    </row>
    <row r="29" spans="1:5" x14ac:dyDescent="0.2">
      <c r="A29" s="49"/>
      <c r="B29" s="47"/>
      <c r="C29" s="613"/>
      <c r="D29" s="49"/>
      <c r="E29" s="49" t="str">
        <f t="shared" si="0"/>
        <v/>
      </c>
    </row>
    <row r="30" spans="1:5" x14ac:dyDescent="0.2">
      <c r="A30" s="49"/>
      <c r="B30" s="47"/>
      <c r="C30" s="613"/>
      <c r="D30" s="49"/>
      <c r="E30" s="49" t="str">
        <f t="shared" si="0"/>
        <v/>
      </c>
    </row>
    <row r="31" spans="1:5" x14ac:dyDescent="0.2">
      <c r="A31" s="49"/>
      <c r="B31" s="47"/>
      <c r="C31" s="613"/>
      <c r="D31" s="49"/>
      <c r="E31" s="49" t="str">
        <f t="shared" si="0"/>
        <v/>
      </c>
    </row>
    <row r="32" spans="1:5" x14ac:dyDescent="0.2">
      <c r="A32" s="49"/>
      <c r="B32" s="47"/>
      <c r="C32" s="613"/>
      <c r="D32" s="49"/>
      <c r="E32" s="49" t="str">
        <f t="shared" si="0"/>
        <v/>
      </c>
    </row>
    <row r="33" spans="1:5" x14ac:dyDescent="0.2">
      <c r="A33" s="49"/>
      <c r="B33" s="47"/>
      <c r="C33" s="613"/>
      <c r="D33" s="49"/>
      <c r="E33" s="49" t="str">
        <f t="shared" si="0"/>
        <v/>
      </c>
    </row>
    <row r="34" spans="1:5" x14ac:dyDescent="0.2">
      <c r="A34" s="49"/>
      <c r="B34" s="47"/>
      <c r="C34" s="613"/>
      <c r="D34" s="49"/>
      <c r="E34" s="49" t="str">
        <f t="shared" si="0"/>
        <v/>
      </c>
    </row>
    <row r="35" spans="1:5" x14ac:dyDescent="0.2">
      <c r="A35" s="49"/>
      <c r="B35" s="47"/>
      <c r="C35" s="613"/>
      <c r="D35" s="49"/>
      <c r="E35" s="49" t="str">
        <f t="shared" si="0"/>
        <v/>
      </c>
    </row>
    <row r="36" spans="1:5" x14ac:dyDescent="0.2">
      <c r="A36" s="49"/>
      <c r="B36" s="47"/>
      <c r="C36" s="613"/>
      <c r="D36" s="49"/>
      <c r="E36" s="49" t="str">
        <f t="shared" si="0"/>
        <v/>
      </c>
    </row>
    <row r="37" spans="1:5" x14ac:dyDescent="0.2">
      <c r="A37" s="49"/>
      <c r="B37" s="47"/>
      <c r="C37" s="613"/>
      <c r="D37" s="49"/>
      <c r="E37" s="49" t="str">
        <f t="shared" si="0"/>
        <v/>
      </c>
    </row>
    <row r="38" spans="1:5" x14ac:dyDescent="0.2">
      <c r="A38" s="49"/>
      <c r="B38" s="47"/>
      <c r="C38" s="613"/>
      <c r="D38" s="49"/>
      <c r="E38" s="49" t="str">
        <f t="shared" si="0"/>
        <v/>
      </c>
    </row>
    <row r="39" spans="1:5" x14ac:dyDescent="0.2">
      <c r="A39" s="49"/>
      <c r="B39" s="47"/>
      <c r="C39" s="613"/>
      <c r="D39" s="49"/>
      <c r="E39" s="49" t="str">
        <f t="shared" si="0"/>
        <v/>
      </c>
    </row>
    <row r="40" spans="1:5" x14ac:dyDescent="0.2">
      <c r="A40" s="49"/>
      <c r="B40" s="47"/>
      <c r="C40" s="613"/>
      <c r="D40" s="49"/>
      <c r="E40" s="49" t="str">
        <f t="shared" si="0"/>
        <v/>
      </c>
    </row>
    <row r="41" spans="1:5" x14ac:dyDescent="0.2">
      <c r="A41" s="49"/>
      <c r="B41" s="47"/>
      <c r="C41" s="613"/>
      <c r="D41" s="49"/>
      <c r="E41" s="49" t="str">
        <f t="shared" si="0"/>
        <v/>
      </c>
    </row>
    <row r="42" spans="1:5" x14ac:dyDescent="0.2">
      <c r="A42" s="49"/>
      <c r="B42" s="47"/>
      <c r="C42" s="613"/>
      <c r="D42" s="121"/>
      <c r="E42" s="49" t="str">
        <f t="shared" si="0"/>
        <v/>
      </c>
    </row>
    <row r="43" spans="1:5" x14ac:dyDescent="0.2">
      <c r="A43" s="49"/>
      <c r="B43" s="47"/>
      <c r="C43" s="613"/>
      <c r="D43" s="121"/>
      <c r="E43" s="49" t="str">
        <f t="shared" si="0"/>
        <v/>
      </c>
    </row>
    <row r="44" spans="1:5" x14ac:dyDescent="0.2">
      <c r="A44" s="49"/>
      <c r="B44" s="47"/>
      <c r="C44" s="613"/>
      <c r="D44" s="121"/>
      <c r="E44" s="49" t="str">
        <f t="shared" si="0"/>
        <v/>
      </c>
    </row>
    <row r="45" spans="1:5" x14ac:dyDescent="0.2">
      <c r="A45" s="49"/>
      <c r="B45" s="47"/>
      <c r="C45" s="613"/>
      <c r="D45" s="49"/>
      <c r="E45" s="49" t="str">
        <f t="shared" si="0"/>
        <v/>
      </c>
    </row>
    <row r="46" spans="1:5" x14ac:dyDescent="0.2">
      <c r="A46" s="49"/>
      <c r="B46" s="47"/>
      <c r="C46" s="613"/>
      <c r="D46" s="49"/>
      <c r="E46" s="49" t="str">
        <f t="shared" si="0"/>
        <v/>
      </c>
    </row>
    <row r="47" spans="1:5" x14ac:dyDescent="0.2">
      <c r="A47" s="49"/>
      <c r="B47" s="47"/>
      <c r="C47" s="613"/>
      <c r="D47" s="49"/>
      <c r="E47" s="49" t="str">
        <f t="shared" si="0"/>
        <v/>
      </c>
    </row>
    <row r="48" spans="1:5" x14ac:dyDescent="0.2">
      <c r="A48" s="49"/>
      <c r="B48" s="47"/>
      <c r="C48" s="613"/>
      <c r="D48" s="49"/>
      <c r="E48" s="49" t="str">
        <f t="shared" si="0"/>
        <v/>
      </c>
    </row>
    <row r="49" spans="1:5" x14ac:dyDescent="0.2">
      <c r="A49" s="49"/>
      <c r="B49" s="47"/>
      <c r="C49" s="613"/>
      <c r="D49" s="49"/>
      <c r="E49" s="49" t="str">
        <f t="shared" si="0"/>
        <v/>
      </c>
    </row>
    <row r="50" spans="1:5" x14ac:dyDescent="0.2">
      <c r="A50" s="49"/>
      <c r="B50" s="47"/>
      <c r="C50" s="613"/>
      <c r="D50" s="49"/>
      <c r="E50" s="49" t="str">
        <f t="shared" si="0"/>
        <v/>
      </c>
    </row>
    <row r="51" spans="1:5" x14ac:dyDescent="0.2">
      <c r="A51" s="49"/>
      <c r="B51" s="47"/>
      <c r="C51" s="613"/>
      <c r="D51" s="49"/>
      <c r="E51" s="49" t="str">
        <f t="shared" si="0"/>
        <v/>
      </c>
    </row>
    <row r="52" spans="1:5" x14ac:dyDescent="0.2">
      <c r="A52" s="49"/>
      <c r="B52" s="47"/>
      <c r="C52" s="613"/>
      <c r="D52" s="49"/>
      <c r="E52" s="49" t="str">
        <f t="shared" si="0"/>
        <v/>
      </c>
    </row>
    <row r="53" spans="1:5" x14ac:dyDescent="0.2">
      <c r="A53" s="49"/>
      <c r="B53" s="47"/>
      <c r="C53" s="613"/>
      <c r="D53" s="49"/>
      <c r="E53" s="49" t="str">
        <f t="shared" si="0"/>
        <v/>
      </c>
    </row>
    <row r="54" spans="1:5" x14ac:dyDescent="0.2">
      <c r="A54" s="49"/>
      <c r="B54" s="47"/>
      <c r="C54" s="613"/>
      <c r="D54" s="49"/>
      <c r="E54" s="49" t="str">
        <f t="shared" si="0"/>
        <v/>
      </c>
    </row>
    <row r="55" spans="1:5" x14ac:dyDescent="0.2">
      <c r="A55" s="49"/>
      <c r="B55" s="47"/>
      <c r="C55" s="613"/>
      <c r="D55" s="49"/>
      <c r="E55" s="49" t="str">
        <f t="shared" si="0"/>
        <v/>
      </c>
    </row>
    <row r="56" spans="1:5" x14ac:dyDescent="0.2">
      <c r="A56" s="49"/>
      <c r="B56" s="47"/>
      <c r="C56" s="613"/>
      <c r="D56" s="49"/>
      <c r="E56" s="49" t="str">
        <f t="shared" si="0"/>
        <v/>
      </c>
    </row>
    <row r="57" spans="1:5" x14ac:dyDescent="0.2">
      <c r="A57" s="49"/>
      <c r="B57" s="47"/>
      <c r="C57" s="613"/>
      <c r="D57" s="49"/>
      <c r="E57" s="49" t="str">
        <f t="shared" si="0"/>
        <v/>
      </c>
    </row>
    <row r="58" spans="1:5" x14ac:dyDescent="0.2">
      <c r="A58" s="49"/>
      <c r="B58" s="47"/>
      <c r="C58" s="613"/>
      <c r="D58" s="49"/>
      <c r="E58" s="49" t="str">
        <f t="shared" si="0"/>
        <v/>
      </c>
    </row>
    <row r="59" spans="1:5" x14ac:dyDescent="0.2">
      <c r="A59" s="49"/>
      <c r="B59" s="47"/>
      <c r="C59" s="613"/>
      <c r="D59" s="49"/>
      <c r="E59" s="49" t="str">
        <f t="shared" si="0"/>
        <v/>
      </c>
    </row>
    <row r="60" spans="1:5" x14ac:dyDescent="0.2">
      <c r="A60" s="49"/>
      <c r="B60" s="47"/>
      <c r="C60" s="613"/>
      <c r="D60" s="49"/>
      <c r="E60" s="49" t="str">
        <f t="shared" si="0"/>
        <v/>
      </c>
    </row>
    <row r="61" spans="1:5" x14ac:dyDescent="0.2">
      <c r="A61" s="49"/>
      <c r="B61" s="47"/>
      <c r="C61" s="613"/>
      <c r="D61" s="49"/>
      <c r="E61" s="49" t="str">
        <f t="shared" si="0"/>
        <v/>
      </c>
    </row>
    <row r="62" spans="1:5" x14ac:dyDescent="0.2">
      <c r="A62" s="49"/>
      <c r="B62" s="47"/>
      <c r="C62" s="613"/>
      <c r="D62" s="49"/>
      <c r="E62" s="49" t="str">
        <f t="shared" si="0"/>
        <v/>
      </c>
    </row>
    <row r="63" spans="1:5" x14ac:dyDescent="0.2">
      <c r="A63" s="49"/>
      <c r="B63" s="47"/>
      <c r="C63" s="613"/>
      <c r="D63" s="49"/>
      <c r="E63" s="49" t="str">
        <f t="shared" si="0"/>
        <v/>
      </c>
    </row>
    <row r="64" spans="1:5" x14ac:dyDescent="0.2">
      <c r="A64" s="49"/>
      <c r="B64" s="47"/>
      <c r="C64" s="613"/>
      <c r="D64" s="49"/>
      <c r="E64" s="49" t="str">
        <f t="shared" si="0"/>
        <v/>
      </c>
    </row>
    <row r="65" spans="1:5" x14ac:dyDescent="0.2">
      <c r="A65" s="49"/>
      <c r="B65" s="47"/>
      <c r="C65" s="613"/>
      <c r="D65" s="49"/>
      <c r="E65" s="49" t="str">
        <f t="shared" si="0"/>
        <v/>
      </c>
    </row>
    <row r="66" spans="1:5" x14ac:dyDescent="0.2">
      <c r="A66" s="49"/>
      <c r="B66" s="47"/>
      <c r="C66" s="613"/>
      <c r="D66" s="49"/>
      <c r="E66" s="49" t="str">
        <f t="shared" si="0"/>
        <v/>
      </c>
    </row>
    <row r="67" spans="1:5" x14ac:dyDescent="0.2">
      <c r="A67" s="49"/>
      <c r="B67" s="47"/>
      <c r="C67" s="613"/>
      <c r="D67" s="49"/>
      <c r="E67" s="49" t="str">
        <f t="shared" si="0"/>
        <v/>
      </c>
    </row>
    <row r="68" spans="1:5" x14ac:dyDescent="0.2">
      <c r="A68" s="49"/>
      <c r="B68" s="47"/>
      <c r="C68" s="613"/>
      <c r="D68" s="49"/>
      <c r="E68" s="49" t="str">
        <f t="shared" si="0"/>
        <v/>
      </c>
    </row>
    <row r="69" spans="1:5" x14ac:dyDescent="0.2">
      <c r="A69" s="49"/>
      <c r="B69" s="47"/>
      <c r="C69" s="613"/>
      <c r="D69" s="49"/>
      <c r="E69" s="49" t="str">
        <f t="shared" ref="E69:E132" si="2">IFERROR(VLOOKUP(D69,T_Indices,5,FALSE),"")</f>
        <v/>
      </c>
    </row>
    <row r="70" spans="1:5" x14ac:dyDescent="0.2">
      <c r="A70" s="49"/>
      <c r="B70" s="47"/>
      <c r="C70" s="613"/>
      <c r="D70" s="49"/>
      <c r="E70" s="49" t="str">
        <f t="shared" si="2"/>
        <v/>
      </c>
    </row>
    <row r="71" spans="1:5" x14ac:dyDescent="0.2">
      <c r="A71" s="49"/>
      <c r="B71" s="47"/>
      <c r="C71" s="613"/>
      <c r="D71" s="49"/>
      <c r="E71" s="49" t="str">
        <f t="shared" si="2"/>
        <v/>
      </c>
    </row>
    <row r="72" spans="1:5" x14ac:dyDescent="0.2">
      <c r="A72" s="49"/>
      <c r="B72" s="47"/>
      <c r="C72" s="613"/>
      <c r="D72" s="49"/>
      <c r="E72" s="49" t="str">
        <f t="shared" si="2"/>
        <v/>
      </c>
    </row>
    <row r="73" spans="1:5" x14ac:dyDescent="0.2">
      <c r="A73" s="49"/>
      <c r="B73" s="47"/>
      <c r="C73" s="613"/>
      <c r="D73" s="49"/>
      <c r="E73" s="49" t="str">
        <f t="shared" si="2"/>
        <v/>
      </c>
    </row>
    <row r="74" spans="1:5" x14ac:dyDescent="0.2">
      <c r="A74" s="49"/>
      <c r="B74" s="47"/>
      <c r="C74" s="613"/>
      <c r="D74" s="49"/>
      <c r="E74" s="49"/>
    </row>
    <row r="75" spans="1:5" x14ac:dyDescent="0.2">
      <c r="A75" s="49"/>
      <c r="B75" s="47"/>
      <c r="C75" s="613"/>
      <c r="D75" s="49"/>
      <c r="E75" s="49"/>
    </row>
    <row r="76" spans="1:5" x14ac:dyDescent="0.2">
      <c r="A76" s="49"/>
      <c r="B76" s="47"/>
      <c r="C76" s="613"/>
      <c r="D76" s="49"/>
      <c r="E76" s="49"/>
    </row>
    <row r="77" spans="1:5" x14ac:dyDescent="0.2">
      <c r="A77" s="49"/>
      <c r="B77" s="47"/>
      <c r="C77" s="613"/>
      <c r="D77" s="49"/>
      <c r="E77" s="49"/>
    </row>
    <row r="78" spans="1:5" x14ac:dyDescent="0.2">
      <c r="A78" s="49"/>
      <c r="B78" s="47"/>
      <c r="C78" s="613"/>
      <c r="D78" s="49"/>
      <c r="E78" s="49"/>
    </row>
    <row r="79" spans="1:5" x14ac:dyDescent="0.2">
      <c r="A79" s="49"/>
      <c r="B79" s="47"/>
      <c r="C79" s="613"/>
      <c r="D79" s="49"/>
      <c r="E79" s="49"/>
    </row>
    <row r="80" spans="1:5" x14ac:dyDescent="0.2">
      <c r="A80" s="49"/>
      <c r="B80" s="47"/>
      <c r="C80" s="613"/>
      <c r="D80" s="49"/>
      <c r="E80" s="49"/>
    </row>
    <row r="81" spans="1:5" x14ac:dyDescent="0.2">
      <c r="A81" s="49"/>
      <c r="B81" s="47"/>
      <c r="C81" s="613"/>
      <c r="D81" s="49"/>
      <c r="E81" s="49"/>
    </row>
    <row r="82" spans="1:5" x14ac:dyDescent="0.2">
      <c r="A82" s="49"/>
      <c r="B82" s="47"/>
      <c r="C82" s="613"/>
      <c r="D82" s="49"/>
      <c r="E82" s="49"/>
    </row>
    <row r="83" spans="1:5" x14ac:dyDescent="0.2">
      <c r="A83" s="49"/>
      <c r="B83" s="47"/>
      <c r="C83" s="613"/>
      <c r="D83" s="49"/>
      <c r="E83" s="49"/>
    </row>
    <row r="84" spans="1:5" x14ac:dyDescent="0.2">
      <c r="A84" s="49"/>
      <c r="B84" s="47"/>
      <c r="C84" s="613"/>
      <c r="D84" s="49"/>
      <c r="E84" s="49"/>
    </row>
    <row r="85" spans="1:5" x14ac:dyDescent="0.2">
      <c r="A85" s="49"/>
      <c r="B85" s="47"/>
      <c r="C85" s="613"/>
      <c r="D85" s="49"/>
      <c r="E85" s="49"/>
    </row>
    <row r="86" spans="1:5" x14ac:dyDescent="0.2">
      <c r="A86" s="49"/>
      <c r="B86" s="47"/>
      <c r="C86" s="613"/>
      <c r="D86" s="49"/>
      <c r="E86" s="49"/>
    </row>
    <row r="87" spans="1:5" x14ac:dyDescent="0.2">
      <c r="A87" s="49"/>
      <c r="B87" s="47"/>
      <c r="C87" s="613"/>
      <c r="D87" s="49"/>
      <c r="E87" s="49"/>
    </row>
    <row r="88" spans="1:5" x14ac:dyDescent="0.2">
      <c r="A88" s="49"/>
      <c r="B88" s="47"/>
      <c r="C88" s="613"/>
      <c r="D88" s="49"/>
      <c r="E88" s="49"/>
    </row>
    <row r="89" spans="1:5" x14ac:dyDescent="0.2">
      <c r="A89" s="49"/>
      <c r="B89" s="47"/>
      <c r="C89" s="613"/>
      <c r="D89" s="49"/>
      <c r="E89" s="49"/>
    </row>
    <row r="90" spans="1:5" x14ac:dyDescent="0.2">
      <c r="A90" s="49"/>
      <c r="B90" s="47"/>
      <c r="C90" s="613"/>
      <c r="D90" s="49"/>
      <c r="E90" s="49"/>
    </row>
    <row r="91" spans="1:5" x14ac:dyDescent="0.2">
      <c r="A91" s="49"/>
      <c r="B91" s="47"/>
      <c r="C91" s="613"/>
      <c r="D91" s="49"/>
      <c r="E91" s="49"/>
    </row>
    <row r="92" spans="1:5" x14ac:dyDescent="0.2">
      <c r="A92" s="49"/>
      <c r="B92" s="47"/>
      <c r="C92" s="613"/>
      <c r="D92" s="49"/>
      <c r="E92" s="49"/>
    </row>
    <row r="93" spans="1:5" x14ac:dyDescent="0.2">
      <c r="A93" s="49"/>
      <c r="B93" s="47"/>
      <c r="C93" s="613"/>
      <c r="D93" s="49"/>
      <c r="E93" s="49"/>
    </row>
    <row r="94" spans="1:5" x14ac:dyDescent="0.2">
      <c r="A94" s="49"/>
      <c r="B94" s="47"/>
      <c r="C94" s="613"/>
      <c r="D94" s="49"/>
      <c r="E94" s="49"/>
    </row>
    <row r="95" spans="1:5" x14ac:dyDescent="0.2">
      <c r="A95" s="49"/>
      <c r="B95" s="47"/>
      <c r="C95" s="613"/>
      <c r="D95" s="49"/>
      <c r="E95" s="49"/>
    </row>
    <row r="96" spans="1:5" x14ac:dyDescent="0.2">
      <c r="A96" s="49"/>
      <c r="B96" s="47"/>
      <c r="C96" s="613"/>
      <c r="D96" s="49"/>
      <c r="E96" s="49"/>
    </row>
    <row r="97" spans="1:5" x14ac:dyDescent="0.2">
      <c r="A97" s="49"/>
      <c r="B97" s="47"/>
      <c r="C97" s="613"/>
      <c r="D97" s="49"/>
      <c r="E97" s="49"/>
    </row>
    <row r="98" spans="1:5" x14ac:dyDescent="0.2">
      <c r="A98" s="49"/>
      <c r="B98" s="47"/>
      <c r="C98" s="613"/>
      <c r="D98" s="49"/>
      <c r="E98" s="49"/>
    </row>
    <row r="99" spans="1:5" x14ac:dyDescent="0.2">
      <c r="A99" s="49"/>
      <c r="B99" s="47"/>
      <c r="C99" s="613"/>
      <c r="D99" s="49"/>
      <c r="E99" s="49"/>
    </row>
    <row r="100" spans="1:5" x14ac:dyDescent="0.2">
      <c r="A100" s="49"/>
      <c r="B100" s="47"/>
      <c r="C100" s="613"/>
      <c r="D100" s="49"/>
      <c r="E100" s="49"/>
    </row>
    <row r="101" spans="1:5" x14ac:dyDescent="0.2">
      <c r="A101" s="49"/>
      <c r="B101" s="47"/>
      <c r="C101" s="613"/>
      <c r="D101" s="49"/>
      <c r="E101" s="49"/>
    </row>
    <row r="102" spans="1:5" x14ac:dyDescent="0.2">
      <c r="A102" s="49"/>
      <c r="B102" s="47"/>
      <c r="C102" s="613"/>
      <c r="D102" s="49"/>
      <c r="E102" s="49"/>
    </row>
    <row r="103" spans="1:5" x14ac:dyDescent="0.2">
      <c r="A103" s="49"/>
      <c r="B103" s="47"/>
      <c r="C103" s="613"/>
      <c r="D103" s="49"/>
      <c r="E103" s="49"/>
    </row>
    <row r="104" spans="1:5" x14ac:dyDescent="0.2">
      <c r="A104" s="49"/>
      <c r="B104" s="47"/>
      <c r="C104" s="613"/>
      <c r="D104" s="49"/>
      <c r="E104" s="49"/>
    </row>
    <row r="105" spans="1:5" x14ac:dyDescent="0.2">
      <c r="A105" s="49"/>
      <c r="B105" s="47"/>
      <c r="C105" s="613"/>
      <c r="D105" s="49"/>
      <c r="E105" s="49"/>
    </row>
    <row r="106" spans="1:5" x14ac:dyDescent="0.2">
      <c r="A106" s="49"/>
      <c r="B106" s="47"/>
      <c r="C106" s="613"/>
      <c r="D106" s="49"/>
      <c r="E106" s="49"/>
    </row>
    <row r="107" spans="1:5" x14ac:dyDescent="0.2">
      <c r="A107" s="49"/>
      <c r="B107" s="47"/>
      <c r="C107" s="613"/>
      <c r="D107" s="49"/>
      <c r="E107" s="49"/>
    </row>
    <row r="108" spans="1:5" x14ac:dyDescent="0.2">
      <c r="A108" s="49"/>
      <c r="B108" s="47"/>
      <c r="C108" s="613"/>
      <c r="D108" s="49"/>
      <c r="E108" s="49"/>
    </row>
    <row r="109" spans="1:5" x14ac:dyDescent="0.2">
      <c r="A109" s="49"/>
      <c r="B109" s="47"/>
      <c r="C109" s="613"/>
      <c r="D109" s="49"/>
      <c r="E109" s="49"/>
    </row>
    <row r="110" spans="1:5" x14ac:dyDescent="0.2">
      <c r="A110" s="49"/>
      <c r="B110" s="47"/>
      <c r="C110" s="613"/>
      <c r="D110" s="49"/>
      <c r="E110" s="49"/>
    </row>
    <row r="111" spans="1:5" x14ac:dyDescent="0.2">
      <c r="A111" s="49"/>
      <c r="B111" s="47"/>
      <c r="C111" s="613"/>
      <c r="D111" s="49"/>
      <c r="E111" s="49"/>
    </row>
    <row r="112" spans="1:5" x14ac:dyDescent="0.2">
      <c r="A112" s="49"/>
      <c r="B112" s="47"/>
      <c r="C112" s="613"/>
      <c r="D112" s="49"/>
      <c r="E112" s="49"/>
    </row>
    <row r="113" spans="1:5" x14ac:dyDescent="0.2">
      <c r="A113" s="49"/>
      <c r="B113" s="47"/>
      <c r="C113" s="613"/>
      <c r="D113" s="49"/>
      <c r="E113" s="49"/>
    </row>
    <row r="114" spans="1:5" x14ac:dyDescent="0.2">
      <c r="A114" s="49"/>
      <c r="B114" s="47"/>
      <c r="C114" s="613"/>
      <c r="D114" s="49"/>
      <c r="E114" s="49"/>
    </row>
    <row r="115" spans="1:5" x14ac:dyDescent="0.2">
      <c r="A115" s="49"/>
      <c r="B115" s="47"/>
      <c r="C115" s="613"/>
      <c r="D115" s="49"/>
      <c r="E115" s="49"/>
    </row>
    <row r="116" spans="1:5" x14ac:dyDescent="0.2">
      <c r="A116" s="49"/>
      <c r="B116" s="47"/>
      <c r="C116" s="613"/>
      <c r="D116" s="49"/>
      <c r="E116" s="49"/>
    </row>
    <row r="117" spans="1:5" x14ac:dyDescent="0.2">
      <c r="A117" s="49"/>
      <c r="B117" s="47"/>
      <c r="C117" s="613"/>
      <c r="D117" s="49"/>
      <c r="E117" s="49"/>
    </row>
    <row r="118" spans="1:5" x14ac:dyDescent="0.2">
      <c r="A118" s="49"/>
      <c r="B118" s="47"/>
      <c r="C118" s="613"/>
      <c r="D118" s="49"/>
      <c r="E118" s="49" t="str">
        <f t="shared" si="2"/>
        <v/>
      </c>
    </row>
    <row r="119" spans="1:5" x14ac:dyDescent="0.2">
      <c r="A119" s="49"/>
      <c r="B119" s="47"/>
      <c r="C119" s="613"/>
      <c r="D119" s="49"/>
      <c r="E119" s="49" t="str">
        <f t="shared" si="2"/>
        <v/>
      </c>
    </row>
    <row r="120" spans="1:5" x14ac:dyDescent="0.2">
      <c r="A120" s="49"/>
      <c r="B120" s="47"/>
      <c r="C120" s="613"/>
      <c r="D120" s="49"/>
      <c r="E120" s="49" t="str">
        <f t="shared" si="2"/>
        <v/>
      </c>
    </row>
    <row r="121" spans="1:5" x14ac:dyDescent="0.2">
      <c r="A121" s="49"/>
      <c r="B121" s="47"/>
      <c r="C121" s="613"/>
      <c r="D121" s="49"/>
      <c r="E121" s="49" t="str">
        <f t="shared" si="2"/>
        <v/>
      </c>
    </row>
    <row r="122" spans="1:5" x14ac:dyDescent="0.2">
      <c r="A122" s="49"/>
      <c r="B122" s="47"/>
      <c r="C122" s="613"/>
      <c r="D122" s="49"/>
      <c r="E122" s="49" t="str">
        <f t="shared" si="2"/>
        <v/>
      </c>
    </row>
    <row r="123" spans="1:5" x14ac:dyDescent="0.2">
      <c r="A123" s="49"/>
      <c r="B123" s="47"/>
      <c r="C123" s="613"/>
      <c r="D123" s="49"/>
      <c r="E123" s="49" t="str">
        <f t="shared" si="2"/>
        <v/>
      </c>
    </row>
    <row r="124" spans="1:5" x14ac:dyDescent="0.2">
      <c r="A124" s="49"/>
      <c r="B124" s="47"/>
      <c r="C124" s="613"/>
      <c r="D124" s="49"/>
      <c r="E124" s="49" t="str">
        <f t="shared" si="2"/>
        <v/>
      </c>
    </row>
    <row r="125" spans="1:5" x14ac:dyDescent="0.2">
      <c r="A125" s="49"/>
      <c r="B125" s="47"/>
      <c r="C125" s="613"/>
      <c r="D125" s="49"/>
      <c r="E125" s="49" t="str">
        <f t="shared" si="2"/>
        <v/>
      </c>
    </row>
    <row r="126" spans="1:5" x14ac:dyDescent="0.2">
      <c r="A126" s="49"/>
      <c r="B126" s="47"/>
      <c r="C126" s="613"/>
      <c r="D126" s="49"/>
      <c r="E126" s="49" t="str">
        <f t="shared" si="2"/>
        <v/>
      </c>
    </row>
    <row r="127" spans="1:5" x14ac:dyDescent="0.2">
      <c r="A127" s="49"/>
      <c r="B127" s="47"/>
      <c r="C127" s="613"/>
      <c r="D127" s="49"/>
      <c r="E127" s="49" t="str">
        <f t="shared" si="2"/>
        <v/>
      </c>
    </row>
    <row r="128" spans="1:5" x14ac:dyDescent="0.2">
      <c r="A128" s="49"/>
      <c r="B128" s="47"/>
      <c r="C128" s="613"/>
      <c r="D128" s="49"/>
      <c r="E128" s="49" t="str">
        <f t="shared" si="2"/>
        <v/>
      </c>
    </row>
    <row r="129" spans="1:5" x14ac:dyDescent="0.2">
      <c r="A129" s="49"/>
      <c r="B129" s="47"/>
      <c r="C129" s="613"/>
      <c r="D129" s="49"/>
      <c r="E129" s="49" t="str">
        <f t="shared" si="2"/>
        <v/>
      </c>
    </row>
    <row r="130" spans="1:5" x14ac:dyDescent="0.2">
      <c r="A130" s="49"/>
      <c r="B130" s="47"/>
      <c r="C130" s="613"/>
      <c r="D130" s="49"/>
      <c r="E130" s="49" t="str">
        <f t="shared" si="2"/>
        <v/>
      </c>
    </row>
    <row r="131" spans="1:5" x14ac:dyDescent="0.2">
      <c r="A131" s="49"/>
      <c r="B131" s="47"/>
      <c r="C131" s="613"/>
      <c r="D131" s="49"/>
      <c r="E131" s="49" t="str">
        <f t="shared" si="2"/>
        <v/>
      </c>
    </row>
    <row r="132" spans="1:5" x14ac:dyDescent="0.2">
      <c r="A132" s="49"/>
      <c r="B132" s="47"/>
      <c r="C132" s="613"/>
      <c r="D132" s="49"/>
      <c r="E132" s="49" t="str">
        <f t="shared" si="2"/>
        <v/>
      </c>
    </row>
    <row r="133" spans="1:5" x14ac:dyDescent="0.2">
      <c r="A133" s="49"/>
      <c r="B133" s="47"/>
      <c r="C133" s="613"/>
      <c r="D133" s="49"/>
      <c r="E133" s="49" t="str">
        <f t="shared" ref="E133:E196" si="3">IFERROR(VLOOKUP(D133,T_Indices,5,FALSE),"")</f>
        <v/>
      </c>
    </row>
    <row r="134" spans="1:5" x14ac:dyDescent="0.2">
      <c r="A134" s="49"/>
      <c r="B134" s="47"/>
      <c r="C134" s="613"/>
      <c r="D134" s="49"/>
      <c r="E134" s="49" t="str">
        <f t="shared" si="3"/>
        <v/>
      </c>
    </row>
    <row r="135" spans="1:5" x14ac:dyDescent="0.2">
      <c r="A135" s="49"/>
      <c r="B135" s="47"/>
      <c r="C135" s="613"/>
      <c r="D135" s="49"/>
      <c r="E135" s="49" t="str">
        <f t="shared" si="3"/>
        <v/>
      </c>
    </row>
    <row r="136" spans="1:5" x14ac:dyDescent="0.2">
      <c r="A136" s="49"/>
      <c r="B136" s="47"/>
      <c r="C136" s="613"/>
      <c r="D136" s="49"/>
      <c r="E136" s="49" t="str">
        <f t="shared" si="3"/>
        <v/>
      </c>
    </row>
    <row r="137" spans="1:5" x14ac:dyDescent="0.2">
      <c r="A137" s="49"/>
      <c r="B137" s="47"/>
      <c r="C137" s="613"/>
      <c r="D137" s="49"/>
      <c r="E137" s="49" t="str">
        <f t="shared" si="3"/>
        <v/>
      </c>
    </row>
    <row r="138" spans="1:5" x14ac:dyDescent="0.2">
      <c r="A138" s="49"/>
      <c r="B138" s="47"/>
      <c r="C138" s="613"/>
      <c r="D138" s="49"/>
      <c r="E138" s="49" t="str">
        <f t="shared" si="3"/>
        <v/>
      </c>
    </row>
    <row r="139" spans="1:5" x14ac:dyDescent="0.2">
      <c r="A139" s="49"/>
      <c r="B139" s="47"/>
      <c r="C139" s="613"/>
      <c r="D139" s="49"/>
      <c r="E139" s="49" t="str">
        <f t="shared" si="3"/>
        <v/>
      </c>
    </row>
    <row r="140" spans="1:5" x14ac:dyDescent="0.2">
      <c r="A140" s="49"/>
      <c r="B140" s="47"/>
      <c r="C140" s="613"/>
      <c r="D140" s="49"/>
      <c r="E140" s="49" t="str">
        <f t="shared" si="3"/>
        <v/>
      </c>
    </row>
    <row r="141" spans="1:5" x14ac:dyDescent="0.2">
      <c r="A141" s="49"/>
      <c r="B141" s="47"/>
      <c r="C141" s="613"/>
      <c r="D141" s="49"/>
      <c r="E141" s="49" t="str">
        <f t="shared" si="3"/>
        <v/>
      </c>
    </row>
    <row r="142" spans="1:5" x14ac:dyDescent="0.2">
      <c r="A142" s="49"/>
      <c r="B142" s="47"/>
      <c r="C142" s="613"/>
      <c r="D142" s="49"/>
      <c r="E142" s="49" t="str">
        <f t="shared" si="3"/>
        <v/>
      </c>
    </row>
    <row r="143" spans="1:5" x14ac:dyDescent="0.2">
      <c r="A143" s="49"/>
      <c r="B143" s="47"/>
      <c r="C143" s="613"/>
      <c r="D143" s="49"/>
      <c r="E143" s="49" t="str">
        <f t="shared" si="3"/>
        <v/>
      </c>
    </row>
    <row r="144" spans="1:5" x14ac:dyDescent="0.2">
      <c r="A144" s="49"/>
      <c r="B144" s="47"/>
      <c r="C144" s="613"/>
      <c r="D144" s="49"/>
      <c r="E144" s="49" t="str">
        <f t="shared" si="3"/>
        <v/>
      </c>
    </row>
    <row r="145" spans="1:5" x14ac:dyDescent="0.2">
      <c r="A145" s="49"/>
      <c r="B145" s="47"/>
      <c r="C145" s="613"/>
      <c r="D145" s="49"/>
      <c r="E145" s="49" t="str">
        <f t="shared" si="3"/>
        <v/>
      </c>
    </row>
    <row r="146" spans="1:5" x14ac:dyDescent="0.2">
      <c r="A146" s="49"/>
      <c r="B146" s="47"/>
      <c r="C146" s="613"/>
      <c r="D146" s="49"/>
      <c r="E146" s="49" t="str">
        <f t="shared" si="3"/>
        <v/>
      </c>
    </row>
    <row r="147" spans="1:5" x14ac:dyDescent="0.2">
      <c r="A147" s="49"/>
      <c r="B147" s="47"/>
      <c r="C147" s="613"/>
      <c r="D147" s="49"/>
      <c r="E147" s="49" t="str">
        <f t="shared" si="3"/>
        <v/>
      </c>
    </row>
    <row r="148" spans="1:5" x14ac:dyDescent="0.2">
      <c r="A148" s="49"/>
      <c r="B148" s="47"/>
      <c r="C148" s="613"/>
      <c r="D148" s="49"/>
      <c r="E148" s="49" t="str">
        <f t="shared" si="3"/>
        <v/>
      </c>
    </row>
    <row r="149" spans="1:5" x14ac:dyDescent="0.2">
      <c r="A149" s="49"/>
      <c r="B149" s="47"/>
      <c r="C149" s="613"/>
      <c r="D149" s="49"/>
      <c r="E149" s="49" t="str">
        <f t="shared" si="3"/>
        <v/>
      </c>
    </row>
    <row r="150" spans="1:5" x14ac:dyDescent="0.2">
      <c r="A150" s="49"/>
      <c r="B150" s="47"/>
      <c r="C150" s="613"/>
      <c r="D150" s="49"/>
      <c r="E150" s="49" t="str">
        <f t="shared" si="3"/>
        <v/>
      </c>
    </row>
    <row r="151" spans="1:5" x14ac:dyDescent="0.2">
      <c r="A151" s="49"/>
      <c r="B151" s="47"/>
      <c r="C151" s="613"/>
      <c r="D151" s="49"/>
      <c r="E151" s="49" t="str">
        <f t="shared" si="3"/>
        <v/>
      </c>
    </row>
    <row r="152" spans="1:5" x14ac:dyDescent="0.2">
      <c r="A152" s="49"/>
      <c r="B152" s="47"/>
      <c r="C152" s="613"/>
      <c r="D152" s="49"/>
      <c r="E152" s="49" t="str">
        <f t="shared" si="3"/>
        <v/>
      </c>
    </row>
    <row r="153" spans="1:5" x14ac:dyDescent="0.2">
      <c r="A153" s="49"/>
      <c r="B153" s="47"/>
      <c r="C153" s="613"/>
      <c r="D153" s="49"/>
      <c r="E153" s="49" t="str">
        <f t="shared" si="3"/>
        <v/>
      </c>
    </row>
    <row r="154" spans="1:5" x14ac:dyDescent="0.2">
      <c r="A154" s="49"/>
      <c r="B154" s="47"/>
      <c r="C154" s="613"/>
      <c r="D154" s="49"/>
      <c r="E154" s="49" t="str">
        <f t="shared" si="3"/>
        <v/>
      </c>
    </row>
    <row r="155" spans="1:5" x14ac:dyDescent="0.2">
      <c r="A155" s="49"/>
      <c r="B155" s="47"/>
      <c r="C155" s="613"/>
      <c r="D155" s="49"/>
      <c r="E155" s="49" t="str">
        <f t="shared" si="3"/>
        <v/>
      </c>
    </row>
    <row r="156" spans="1:5" x14ac:dyDescent="0.2">
      <c r="A156" s="49"/>
      <c r="B156" s="47"/>
      <c r="C156" s="613"/>
      <c r="D156" s="49"/>
      <c r="E156" s="49" t="str">
        <f t="shared" si="3"/>
        <v/>
      </c>
    </row>
    <row r="157" spans="1:5" x14ac:dyDescent="0.2">
      <c r="A157" s="49"/>
      <c r="B157" s="47"/>
      <c r="C157" s="613"/>
      <c r="D157" s="49"/>
      <c r="E157" s="49" t="str">
        <f t="shared" si="3"/>
        <v/>
      </c>
    </row>
    <row r="158" spans="1:5" x14ac:dyDescent="0.2">
      <c r="A158" s="49"/>
      <c r="B158" s="47"/>
      <c r="C158" s="613"/>
      <c r="D158" s="49"/>
      <c r="E158" s="49" t="str">
        <f t="shared" si="3"/>
        <v/>
      </c>
    </row>
    <row r="159" spans="1:5" x14ac:dyDescent="0.2">
      <c r="A159" s="49"/>
      <c r="B159" s="47"/>
      <c r="C159" s="613"/>
      <c r="D159" s="49"/>
      <c r="E159" s="49" t="str">
        <f t="shared" si="3"/>
        <v/>
      </c>
    </row>
    <row r="160" spans="1:5" x14ac:dyDescent="0.2">
      <c r="A160" s="49"/>
      <c r="B160" s="47"/>
      <c r="C160" s="613"/>
      <c r="D160" s="49"/>
      <c r="E160" s="49" t="str">
        <f t="shared" si="3"/>
        <v/>
      </c>
    </row>
    <row r="161" spans="1:5" x14ac:dyDescent="0.2">
      <c r="A161" s="49"/>
      <c r="B161" s="47"/>
      <c r="C161" s="613"/>
      <c r="D161" s="49"/>
      <c r="E161" s="49" t="str">
        <f t="shared" si="3"/>
        <v/>
      </c>
    </row>
    <row r="162" spans="1:5" x14ac:dyDescent="0.2">
      <c r="A162" s="49"/>
      <c r="B162" s="47"/>
      <c r="C162" s="613"/>
      <c r="D162" s="49"/>
      <c r="E162" s="49" t="str">
        <f t="shared" si="3"/>
        <v/>
      </c>
    </row>
    <row r="163" spans="1:5" x14ac:dyDescent="0.2">
      <c r="A163" s="49"/>
      <c r="B163" s="47"/>
      <c r="C163" s="613"/>
      <c r="D163" s="49"/>
      <c r="E163" s="49" t="str">
        <f t="shared" si="3"/>
        <v/>
      </c>
    </row>
    <row r="164" spans="1:5" x14ac:dyDescent="0.2">
      <c r="A164" s="49"/>
      <c r="B164" s="47"/>
      <c r="C164" s="613"/>
      <c r="D164" s="49"/>
      <c r="E164" s="49" t="str">
        <f t="shared" si="3"/>
        <v/>
      </c>
    </row>
    <row r="165" spans="1:5" x14ac:dyDescent="0.2">
      <c r="A165" s="49"/>
      <c r="B165" s="47"/>
      <c r="C165" s="613"/>
      <c r="D165" s="49"/>
      <c r="E165" s="49" t="str">
        <f t="shared" si="3"/>
        <v/>
      </c>
    </row>
    <row r="166" spans="1:5" x14ac:dyDescent="0.2">
      <c r="A166" s="49"/>
      <c r="B166" s="47"/>
      <c r="C166" s="613"/>
      <c r="D166" s="49"/>
      <c r="E166" s="49" t="str">
        <f t="shared" si="3"/>
        <v/>
      </c>
    </row>
    <row r="167" spans="1:5" x14ac:dyDescent="0.2">
      <c r="A167" s="49"/>
      <c r="B167" s="47"/>
      <c r="C167" s="613"/>
      <c r="D167" s="49"/>
      <c r="E167" s="49" t="str">
        <f t="shared" si="3"/>
        <v/>
      </c>
    </row>
    <row r="168" spans="1:5" x14ac:dyDescent="0.2">
      <c r="A168" s="49"/>
      <c r="B168" s="47"/>
      <c r="C168" s="613"/>
      <c r="D168" s="49"/>
      <c r="E168" s="49" t="str">
        <f t="shared" si="3"/>
        <v/>
      </c>
    </row>
    <row r="169" spans="1:5" x14ac:dyDescent="0.2">
      <c r="A169" s="49"/>
      <c r="B169" s="47"/>
      <c r="C169" s="613"/>
      <c r="D169" s="49"/>
      <c r="E169" s="49" t="str">
        <f t="shared" si="3"/>
        <v/>
      </c>
    </row>
    <row r="170" spans="1:5" x14ac:dyDescent="0.2">
      <c r="A170" s="49"/>
      <c r="B170" s="47"/>
      <c r="C170" s="613"/>
      <c r="D170" s="49"/>
      <c r="E170" s="49" t="str">
        <f t="shared" si="3"/>
        <v/>
      </c>
    </row>
    <row r="171" spans="1:5" x14ac:dyDescent="0.2">
      <c r="A171" s="49"/>
      <c r="B171" s="47"/>
      <c r="C171" s="613"/>
      <c r="D171" s="49"/>
      <c r="E171" s="49" t="str">
        <f t="shared" si="3"/>
        <v/>
      </c>
    </row>
    <row r="172" spans="1:5" x14ac:dyDescent="0.2">
      <c r="A172" s="49"/>
      <c r="B172" s="47"/>
      <c r="C172" s="613"/>
      <c r="D172" s="49"/>
      <c r="E172" s="49" t="str">
        <f t="shared" si="3"/>
        <v/>
      </c>
    </row>
    <row r="173" spans="1:5" x14ac:dyDescent="0.2">
      <c r="A173" s="49"/>
      <c r="B173" s="47"/>
      <c r="C173" s="613"/>
      <c r="D173" s="49"/>
      <c r="E173" s="49" t="str">
        <f t="shared" si="3"/>
        <v/>
      </c>
    </row>
    <row r="174" spans="1:5" x14ac:dyDescent="0.2">
      <c r="A174" s="49"/>
      <c r="B174" s="47"/>
      <c r="C174" s="613"/>
      <c r="D174" s="49"/>
      <c r="E174" s="49" t="str">
        <f t="shared" si="3"/>
        <v/>
      </c>
    </row>
    <row r="175" spans="1:5" x14ac:dyDescent="0.2">
      <c r="A175" s="49"/>
      <c r="B175" s="47"/>
      <c r="C175" s="613"/>
      <c r="D175" s="49"/>
      <c r="E175" s="49" t="str">
        <f t="shared" si="3"/>
        <v/>
      </c>
    </row>
    <row r="176" spans="1:5" x14ac:dyDescent="0.2">
      <c r="A176" s="49"/>
      <c r="B176" s="47"/>
      <c r="C176" s="613"/>
      <c r="D176" s="49"/>
      <c r="E176" s="49" t="str">
        <f t="shared" si="3"/>
        <v/>
      </c>
    </row>
    <row r="177" spans="1:5" x14ac:dyDescent="0.2">
      <c r="A177" s="49"/>
      <c r="B177" s="47"/>
      <c r="C177" s="613"/>
      <c r="D177" s="49"/>
      <c r="E177" s="49" t="str">
        <f t="shared" si="3"/>
        <v/>
      </c>
    </row>
    <row r="178" spans="1:5" x14ac:dyDescent="0.2">
      <c r="A178" s="49"/>
      <c r="B178" s="47"/>
      <c r="C178" s="613"/>
      <c r="D178" s="49"/>
      <c r="E178" s="49" t="str">
        <f t="shared" si="3"/>
        <v/>
      </c>
    </row>
    <row r="179" spans="1:5" x14ac:dyDescent="0.2">
      <c r="A179" s="49"/>
      <c r="B179" s="47"/>
      <c r="C179" s="613"/>
      <c r="D179" s="49"/>
      <c r="E179" s="49" t="str">
        <f t="shared" si="3"/>
        <v/>
      </c>
    </row>
    <row r="180" spans="1:5" x14ac:dyDescent="0.2">
      <c r="A180" s="49"/>
      <c r="B180" s="47"/>
      <c r="C180" s="613"/>
      <c r="D180" s="49"/>
      <c r="E180" s="49" t="str">
        <f t="shared" si="3"/>
        <v/>
      </c>
    </row>
    <row r="181" spans="1:5" x14ac:dyDescent="0.2">
      <c r="A181" s="49"/>
      <c r="B181" s="47"/>
      <c r="C181" s="613"/>
      <c r="D181" s="49"/>
      <c r="E181" s="49" t="str">
        <f t="shared" si="3"/>
        <v/>
      </c>
    </row>
    <row r="182" spans="1:5" x14ac:dyDescent="0.2">
      <c r="A182" s="49"/>
      <c r="B182" s="47"/>
      <c r="C182" s="613"/>
      <c r="D182" s="49"/>
      <c r="E182" s="49" t="str">
        <f t="shared" si="3"/>
        <v/>
      </c>
    </row>
    <row r="183" spans="1:5" x14ac:dyDescent="0.2">
      <c r="A183" s="49"/>
      <c r="B183" s="47"/>
      <c r="C183" s="613"/>
      <c r="D183" s="49"/>
      <c r="E183" s="49" t="str">
        <f t="shared" si="3"/>
        <v/>
      </c>
    </row>
    <row r="184" spans="1:5" x14ac:dyDescent="0.2">
      <c r="A184" s="49"/>
      <c r="B184" s="47"/>
      <c r="C184" s="613"/>
      <c r="D184" s="49"/>
      <c r="E184" s="49" t="str">
        <f t="shared" si="3"/>
        <v/>
      </c>
    </row>
    <row r="185" spans="1:5" x14ac:dyDescent="0.2">
      <c r="A185" s="49"/>
      <c r="B185" s="47"/>
      <c r="C185" s="613"/>
      <c r="D185" s="49"/>
      <c r="E185" s="49" t="str">
        <f t="shared" si="3"/>
        <v/>
      </c>
    </row>
    <row r="186" spans="1:5" x14ac:dyDescent="0.2">
      <c r="A186" s="49"/>
      <c r="B186" s="47"/>
      <c r="C186" s="613"/>
      <c r="D186" s="49"/>
      <c r="E186" s="49" t="str">
        <f t="shared" si="3"/>
        <v/>
      </c>
    </row>
    <row r="187" spans="1:5" x14ac:dyDescent="0.2">
      <c r="A187" s="49"/>
      <c r="B187" s="47"/>
      <c r="C187" s="613"/>
      <c r="D187" s="49"/>
      <c r="E187" s="49" t="str">
        <f t="shared" si="3"/>
        <v/>
      </c>
    </row>
    <row r="188" spans="1:5" x14ac:dyDescent="0.2">
      <c r="A188" s="49"/>
      <c r="B188" s="47"/>
      <c r="C188" s="613"/>
      <c r="D188" s="49"/>
      <c r="E188" s="49" t="str">
        <f t="shared" si="3"/>
        <v/>
      </c>
    </row>
    <row r="189" spans="1:5" x14ac:dyDescent="0.2">
      <c r="A189" s="49"/>
      <c r="B189" s="47"/>
      <c r="C189" s="613"/>
      <c r="D189" s="49"/>
      <c r="E189" s="49" t="str">
        <f t="shared" si="3"/>
        <v/>
      </c>
    </row>
    <row r="190" spans="1:5" x14ac:dyDescent="0.2">
      <c r="A190" s="49"/>
      <c r="B190" s="47"/>
      <c r="C190" s="613"/>
      <c r="D190" s="49"/>
      <c r="E190" s="49" t="str">
        <f t="shared" si="3"/>
        <v/>
      </c>
    </row>
    <row r="191" spans="1:5" x14ac:dyDescent="0.2">
      <c r="A191" s="49"/>
      <c r="B191" s="47"/>
      <c r="C191" s="613"/>
      <c r="D191" s="49"/>
      <c r="E191" s="49" t="str">
        <f t="shared" si="3"/>
        <v/>
      </c>
    </row>
    <row r="192" spans="1:5" x14ac:dyDescent="0.2">
      <c r="A192" s="49"/>
      <c r="B192" s="47"/>
      <c r="C192" s="613"/>
      <c r="D192" s="49"/>
      <c r="E192" s="49" t="str">
        <f t="shared" si="3"/>
        <v/>
      </c>
    </row>
    <row r="193" spans="1:5" x14ac:dyDescent="0.2">
      <c r="A193" s="49"/>
      <c r="B193" s="47"/>
      <c r="C193" s="613"/>
      <c r="D193" s="49"/>
      <c r="E193" s="49" t="str">
        <f t="shared" si="3"/>
        <v/>
      </c>
    </row>
    <row r="194" spans="1:5" x14ac:dyDescent="0.2">
      <c r="A194" s="49"/>
      <c r="B194" s="47"/>
      <c r="C194" s="613"/>
      <c r="D194" s="49"/>
      <c r="E194" s="49" t="str">
        <f t="shared" si="3"/>
        <v/>
      </c>
    </row>
    <row r="195" spans="1:5" x14ac:dyDescent="0.2">
      <c r="A195" s="49"/>
      <c r="B195" s="47"/>
      <c r="C195" s="613"/>
      <c r="D195" s="49"/>
      <c r="E195" s="49" t="str">
        <f t="shared" si="3"/>
        <v/>
      </c>
    </row>
    <row r="196" spans="1:5" x14ac:dyDescent="0.2">
      <c r="A196" s="49"/>
      <c r="B196" s="47"/>
      <c r="C196" s="613"/>
      <c r="D196" s="49"/>
      <c r="E196" s="49" t="str">
        <f t="shared" si="3"/>
        <v/>
      </c>
    </row>
    <row r="197" spans="1:5" x14ac:dyDescent="0.2">
      <c r="A197" s="49"/>
      <c r="B197" s="47"/>
      <c r="C197" s="613"/>
      <c r="D197" s="49"/>
      <c r="E197" s="49" t="str">
        <f t="shared" ref="E197:E260" si="4">IFERROR(VLOOKUP(D197,T_Indices,5,FALSE),"")</f>
        <v/>
      </c>
    </row>
    <row r="198" spans="1:5" x14ac:dyDescent="0.2">
      <c r="A198" s="49"/>
      <c r="B198" s="47"/>
      <c r="C198" s="613"/>
      <c r="D198" s="49"/>
      <c r="E198" s="49" t="str">
        <f t="shared" si="4"/>
        <v/>
      </c>
    </row>
    <row r="199" spans="1:5" x14ac:dyDescent="0.2">
      <c r="A199" s="49"/>
      <c r="B199" s="47"/>
      <c r="C199" s="613"/>
      <c r="D199" s="49"/>
      <c r="E199" s="49" t="str">
        <f t="shared" si="4"/>
        <v/>
      </c>
    </row>
    <row r="200" spans="1:5" x14ac:dyDescent="0.2">
      <c r="A200" s="49"/>
      <c r="B200" s="47"/>
      <c r="C200" s="613"/>
      <c r="D200" s="49"/>
      <c r="E200" s="49" t="str">
        <f t="shared" si="4"/>
        <v/>
      </c>
    </row>
    <row r="201" spans="1:5" x14ac:dyDescent="0.2">
      <c r="A201" s="49"/>
      <c r="B201" s="47"/>
      <c r="C201" s="613"/>
      <c r="D201" s="49"/>
      <c r="E201" s="49" t="str">
        <f t="shared" si="4"/>
        <v/>
      </c>
    </row>
    <row r="202" spans="1:5" x14ac:dyDescent="0.2">
      <c r="A202" s="49"/>
      <c r="B202" s="47"/>
      <c r="C202" s="613"/>
      <c r="D202" s="49"/>
      <c r="E202" s="49" t="str">
        <f t="shared" si="4"/>
        <v/>
      </c>
    </row>
    <row r="203" spans="1:5" x14ac:dyDescent="0.2">
      <c r="A203" s="49"/>
      <c r="B203" s="47"/>
      <c r="C203" s="613"/>
      <c r="D203" s="49"/>
      <c r="E203" s="49" t="str">
        <f t="shared" si="4"/>
        <v/>
      </c>
    </row>
    <row r="204" spans="1:5" x14ac:dyDescent="0.2">
      <c r="A204" s="49"/>
      <c r="B204" s="47"/>
      <c r="C204" s="613"/>
      <c r="D204" s="49"/>
      <c r="E204" s="49" t="str">
        <f t="shared" si="4"/>
        <v/>
      </c>
    </row>
    <row r="205" spans="1:5" x14ac:dyDescent="0.2">
      <c r="A205" s="49"/>
      <c r="B205" s="47"/>
      <c r="C205" s="613"/>
      <c r="D205" s="49"/>
      <c r="E205" s="49" t="str">
        <f t="shared" si="4"/>
        <v/>
      </c>
    </row>
    <row r="206" spans="1:5" x14ac:dyDescent="0.2">
      <c r="A206" s="49"/>
      <c r="B206" s="47"/>
      <c r="C206" s="613"/>
      <c r="D206" s="49"/>
      <c r="E206" s="49" t="str">
        <f t="shared" si="4"/>
        <v/>
      </c>
    </row>
    <row r="207" spans="1:5" x14ac:dyDescent="0.2">
      <c r="A207" s="49"/>
      <c r="B207" s="47"/>
      <c r="C207" s="613"/>
      <c r="D207" s="49"/>
      <c r="E207" s="49" t="str">
        <f t="shared" si="4"/>
        <v/>
      </c>
    </row>
    <row r="208" spans="1:5" x14ac:dyDescent="0.2">
      <c r="A208" s="49"/>
      <c r="B208" s="47"/>
      <c r="C208" s="613"/>
      <c r="D208" s="49"/>
      <c r="E208" s="49" t="str">
        <f t="shared" si="4"/>
        <v/>
      </c>
    </row>
    <row r="209" spans="1:5" x14ac:dyDescent="0.2">
      <c r="A209" s="49"/>
      <c r="B209" s="47"/>
      <c r="C209" s="613"/>
      <c r="D209" s="49"/>
      <c r="E209" s="49" t="str">
        <f t="shared" si="4"/>
        <v/>
      </c>
    </row>
    <row r="210" spans="1:5" x14ac:dyDescent="0.2">
      <c r="A210" s="49"/>
      <c r="B210" s="47"/>
      <c r="C210" s="613"/>
      <c r="D210" s="49"/>
      <c r="E210" s="49" t="str">
        <f t="shared" si="4"/>
        <v/>
      </c>
    </row>
    <row r="211" spans="1:5" x14ac:dyDescent="0.2">
      <c r="A211" s="49"/>
      <c r="B211" s="47"/>
      <c r="C211" s="613"/>
      <c r="D211" s="49"/>
      <c r="E211" s="49" t="str">
        <f t="shared" si="4"/>
        <v/>
      </c>
    </row>
    <row r="212" spans="1:5" x14ac:dyDescent="0.2">
      <c r="A212" s="49"/>
      <c r="B212" s="47"/>
      <c r="C212" s="613"/>
      <c r="D212" s="49"/>
      <c r="E212" s="49" t="str">
        <f t="shared" si="4"/>
        <v/>
      </c>
    </row>
    <row r="213" spans="1:5" x14ac:dyDescent="0.2">
      <c r="A213" s="49"/>
      <c r="B213" s="47"/>
      <c r="C213" s="613"/>
      <c r="D213" s="49"/>
      <c r="E213" s="49" t="str">
        <f t="shared" si="4"/>
        <v/>
      </c>
    </row>
    <row r="214" spans="1:5" x14ac:dyDescent="0.2">
      <c r="A214" s="49"/>
      <c r="B214" s="47"/>
      <c r="C214" s="613"/>
      <c r="D214" s="49"/>
      <c r="E214" s="49" t="str">
        <f t="shared" si="4"/>
        <v/>
      </c>
    </row>
    <row r="215" spans="1:5" x14ac:dyDescent="0.2">
      <c r="A215" s="49"/>
      <c r="B215" s="47"/>
      <c r="C215" s="613"/>
      <c r="D215" s="49"/>
      <c r="E215" s="49" t="str">
        <f t="shared" si="4"/>
        <v/>
      </c>
    </row>
    <row r="216" spans="1:5" x14ac:dyDescent="0.2">
      <c r="A216" s="49"/>
      <c r="B216" s="47"/>
      <c r="C216" s="613"/>
      <c r="D216" s="49"/>
      <c r="E216" s="49" t="str">
        <f t="shared" si="4"/>
        <v/>
      </c>
    </row>
    <row r="217" spans="1:5" x14ac:dyDescent="0.2">
      <c r="A217" s="49"/>
      <c r="B217" s="47"/>
      <c r="C217" s="613"/>
      <c r="D217" s="49"/>
      <c r="E217" s="49" t="str">
        <f t="shared" si="4"/>
        <v/>
      </c>
    </row>
    <row r="218" spans="1:5" x14ac:dyDescent="0.2">
      <c r="A218" s="49"/>
      <c r="B218" s="47"/>
      <c r="C218" s="613"/>
      <c r="D218" s="49"/>
      <c r="E218" s="49" t="str">
        <f t="shared" si="4"/>
        <v/>
      </c>
    </row>
    <row r="219" spans="1:5" x14ac:dyDescent="0.2">
      <c r="A219" s="49"/>
      <c r="B219" s="47"/>
      <c r="C219" s="613"/>
      <c r="D219" s="49"/>
      <c r="E219" s="49" t="str">
        <f t="shared" si="4"/>
        <v/>
      </c>
    </row>
    <row r="220" spans="1:5" x14ac:dyDescent="0.2">
      <c r="A220" s="49"/>
      <c r="B220" s="47"/>
      <c r="C220" s="613"/>
      <c r="D220" s="49"/>
      <c r="E220" s="49" t="str">
        <f t="shared" si="4"/>
        <v/>
      </c>
    </row>
    <row r="221" spans="1:5" x14ac:dyDescent="0.2">
      <c r="A221" s="49"/>
      <c r="B221" s="47"/>
      <c r="C221" s="613"/>
      <c r="D221" s="49"/>
      <c r="E221" s="49" t="str">
        <f t="shared" si="4"/>
        <v/>
      </c>
    </row>
    <row r="222" spans="1:5" x14ac:dyDescent="0.2">
      <c r="A222" s="49"/>
      <c r="B222" s="47"/>
      <c r="C222" s="613"/>
      <c r="D222" s="49"/>
      <c r="E222" s="49" t="str">
        <f t="shared" si="4"/>
        <v/>
      </c>
    </row>
    <row r="223" spans="1:5" x14ac:dyDescent="0.2">
      <c r="A223" s="49"/>
      <c r="B223" s="47"/>
      <c r="C223" s="613"/>
      <c r="D223" s="49"/>
      <c r="E223" s="49" t="str">
        <f t="shared" si="4"/>
        <v/>
      </c>
    </row>
    <row r="224" spans="1:5" x14ac:dyDescent="0.2">
      <c r="A224" s="49"/>
      <c r="B224" s="47"/>
      <c r="C224" s="613"/>
      <c r="D224" s="49"/>
      <c r="E224" s="49" t="str">
        <f t="shared" si="4"/>
        <v/>
      </c>
    </row>
    <row r="225" spans="1:5" x14ac:dyDescent="0.2">
      <c r="A225" s="49"/>
      <c r="B225" s="47"/>
      <c r="C225" s="613"/>
      <c r="D225" s="49"/>
      <c r="E225" s="49" t="str">
        <f t="shared" si="4"/>
        <v/>
      </c>
    </row>
    <row r="226" spans="1:5" x14ac:dyDescent="0.2">
      <c r="A226" s="49"/>
      <c r="B226" s="47"/>
      <c r="C226" s="613"/>
      <c r="D226" s="49"/>
      <c r="E226" s="49" t="str">
        <f t="shared" si="4"/>
        <v/>
      </c>
    </row>
    <row r="227" spans="1:5" x14ac:dyDescent="0.2">
      <c r="A227" s="49"/>
      <c r="B227" s="47"/>
      <c r="C227" s="613"/>
      <c r="D227" s="49"/>
      <c r="E227" s="49" t="str">
        <f t="shared" si="4"/>
        <v/>
      </c>
    </row>
    <row r="228" spans="1:5" x14ac:dyDescent="0.2">
      <c r="A228" s="49"/>
      <c r="B228" s="47"/>
      <c r="C228" s="613"/>
      <c r="D228" s="49"/>
      <c r="E228" s="49" t="str">
        <f t="shared" si="4"/>
        <v/>
      </c>
    </row>
    <row r="229" spans="1:5" x14ac:dyDescent="0.2">
      <c r="A229" s="49"/>
      <c r="B229" s="47"/>
      <c r="C229" s="613"/>
      <c r="D229" s="49"/>
      <c r="E229" s="49" t="str">
        <f t="shared" si="4"/>
        <v/>
      </c>
    </row>
    <row r="230" spans="1:5" x14ac:dyDescent="0.2">
      <c r="A230" s="49"/>
      <c r="B230" s="47"/>
      <c r="C230" s="613"/>
      <c r="D230" s="49"/>
      <c r="E230" s="49" t="str">
        <f t="shared" si="4"/>
        <v/>
      </c>
    </row>
    <row r="231" spans="1:5" x14ac:dyDescent="0.2">
      <c r="A231" s="49"/>
      <c r="B231" s="47"/>
      <c r="C231" s="613"/>
      <c r="D231" s="49"/>
      <c r="E231" s="49" t="str">
        <f t="shared" si="4"/>
        <v/>
      </c>
    </row>
    <row r="232" spans="1:5" x14ac:dyDescent="0.2">
      <c r="A232" s="49"/>
      <c r="B232" s="47"/>
      <c r="C232" s="613"/>
      <c r="D232" s="49"/>
      <c r="E232" s="49" t="str">
        <f t="shared" si="4"/>
        <v/>
      </c>
    </row>
    <row r="233" spans="1:5" x14ac:dyDescent="0.2">
      <c r="A233" s="49"/>
      <c r="B233" s="47"/>
      <c r="C233" s="613"/>
      <c r="D233" s="49"/>
      <c r="E233" s="49" t="str">
        <f t="shared" si="4"/>
        <v/>
      </c>
    </row>
    <row r="234" spans="1:5" x14ac:dyDescent="0.2">
      <c r="A234" s="49"/>
      <c r="B234" s="47"/>
      <c r="C234" s="613"/>
      <c r="D234" s="49"/>
      <c r="E234" s="49" t="str">
        <f t="shared" si="4"/>
        <v/>
      </c>
    </row>
    <row r="235" spans="1:5" x14ac:dyDescent="0.2">
      <c r="A235" s="49"/>
      <c r="B235" s="47"/>
      <c r="C235" s="613"/>
      <c r="D235" s="49"/>
      <c r="E235" s="49" t="str">
        <f t="shared" si="4"/>
        <v/>
      </c>
    </row>
    <row r="236" spans="1:5" x14ac:dyDescent="0.2">
      <c r="A236" s="49"/>
      <c r="B236" s="47"/>
      <c r="C236" s="613"/>
      <c r="D236" s="49"/>
      <c r="E236" s="49" t="str">
        <f t="shared" si="4"/>
        <v/>
      </c>
    </row>
    <row r="237" spans="1:5" x14ac:dyDescent="0.2">
      <c r="A237" s="49"/>
      <c r="B237" s="47"/>
      <c r="C237" s="613"/>
      <c r="D237" s="49"/>
      <c r="E237" s="49" t="str">
        <f t="shared" si="4"/>
        <v/>
      </c>
    </row>
    <row r="238" spans="1:5" x14ac:dyDescent="0.2">
      <c r="A238" s="49"/>
      <c r="B238" s="47"/>
      <c r="C238" s="613"/>
      <c r="D238" s="49"/>
      <c r="E238" s="49" t="str">
        <f t="shared" si="4"/>
        <v/>
      </c>
    </row>
    <row r="239" spans="1:5" x14ac:dyDescent="0.2">
      <c r="A239" s="49"/>
      <c r="B239" s="47"/>
      <c r="C239" s="613"/>
      <c r="D239" s="49"/>
      <c r="E239" s="49" t="str">
        <f t="shared" si="4"/>
        <v/>
      </c>
    </row>
    <row r="240" spans="1:5" x14ac:dyDescent="0.2">
      <c r="A240" s="49"/>
      <c r="B240" s="47"/>
      <c r="C240" s="613"/>
      <c r="D240" s="49"/>
      <c r="E240" s="49" t="str">
        <f t="shared" si="4"/>
        <v/>
      </c>
    </row>
    <row r="241" spans="1:5" x14ac:dyDescent="0.2">
      <c r="A241" s="49"/>
      <c r="B241" s="47"/>
      <c r="C241" s="613"/>
      <c r="D241" s="49"/>
      <c r="E241" s="49" t="str">
        <f t="shared" si="4"/>
        <v/>
      </c>
    </row>
    <row r="242" spans="1:5" x14ac:dyDescent="0.2">
      <c r="A242" s="49"/>
      <c r="B242" s="47"/>
      <c r="C242" s="613"/>
      <c r="D242" s="49"/>
      <c r="E242" s="49" t="str">
        <f t="shared" si="4"/>
        <v/>
      </c>
    </row>
    <row r="243" spans="1:5" x14ac:dyDescent="0.2">
      <c r="A243" s="49"/>
      <c r="B243" s="47"/>
      <c r="C243" s="613"/>
      <c r="D243" s="49"/>
      <c r="E243" s="49" t="str">
        <f t="shared" si="4"/>
        <v/>
      </c>
    </row>
    <row r="244" spans="1:5" x14ac:dyDescent="0.2">
      <c r="A244" s="49"/>
      <c r="B244" s="47"/>
      <c r="C244" s="613"/>
      <c r="D244" s="49"/>
      <c r="E244" s="49" t="str">
        <f t="shared" si="4"/>
        <v/>
      </c>
    </row>
    <row r="245" spans="1:5" x14ac:dyDescent="0.2">
      <c r="A245" s="49"/>
      <c r="B245" s="47"/>
      <c r="C245" s="613"/>
      <c r="D245" s="49"/>
      <c r="E245" s="49" t="str">
        <f t="shared" si="4"/>
        <v/>
      </c>
    </row>
    <row r="246" spans="1:5" x14ac:dyDescent="0.2">
      <c r="A246" s="49"/>
      <c r="B246" s="47"/>
      <c r="C246" s="613"/>
      <c r="D246" s="49"/>
      <c r="E246" s="49" t="str">
        <f t="shared" si="4"/>
        <v/>
      </c>
    </row>
    <row r="247" spans="1:5" x14ac:dyDescent="0.2">
      <c r="A247" s="49"/>
      <c r="B247" s="47"/>
      <c r="C247" s="613"/>
      <c r="D247" s="49"/>
      <c r="E247" s="49" t="str">
        <f t="shared" si="4"/>
        <v/>
      </c>
    </row>
    <row r="248" spans="1:5" x14ac:dyDescent="0.2">
      <c r="A248" s="49"/>
      <c r="B248" s="47"/>
      <c r="C248" s="613"/>
      <c r="D248" s="49"/>
      <c r="E248" s="49" t="str">
        <f t="shared" si="4"/>
        <v/>
      </c>
    </row>
    <row r="249" spans="1:5" x14ac:dyDescent="0.2">
      <c r="A249" s="49"/>
      <c r="B249" s="47"/>
      <c r="C249" s="613"/>
      <c r="D249" s="49"/>
      <c r="E249" s="49" t="str">
        <f t="shared" si="4"/>
        <v/>
      </c>
    </row>
    <row r="250" spans="1:5" x14ac:dyDescent="0.2">
      <c r="A250" s="49"/>
      <c r="B250" s="47"/>
      <c r="C250" s="613"/>
      <c r="D250" s="49"/>
      <c r="E250" s="49" t="str">
        <f t="shared" si="4"/>
        <v/>
      </c>
    </row>
    <row r="251" spans="1:5" x14ac:dyDescent="0.2">
      <c r="A251" s="49"/>
      <c r="B251" s="47"/>
      <c r="C251" s="613"/>
      <c r="D251" s="49"/>
      <c r="E251" s="49" t="str">
        <f t="shared" si="4"/>
        <v/>
      </c>
    </row>
    <row r="252" spans="1:5" x14ac:dyDescent="0.2">
      <c r="A252" s="49"/>
      <c r="B252" s="47"/>
      <c r="C252" s="613"/>
      <c r="D252" s="49"/>
      <c r="E252" s="49" t="str">
        <f t="shared" si="4"/>
        <v/>
      </c>
    </row>
    <row r="253" spans="1:5" x14ac:dyDescent="0.2">
      <c r="A253" s="49"/>
      <c r="B253" s="47"/>
      <c r="C253" s="613"/>
      <c r="D253" s="49"/>
      <c r="E253" s="49" t="str">
        <f t="shared" si="4"/>
        <v/>
      </c>
    </row>
    <row r="254" spans="1:5" x14ac:dyDescent="0.2">
      <c r="A254" s="49"/>
      <c r="B254" s="47"/>
      <c r="C254" s="613"/>
      <c r="D254" s="49"/>
      <c r="E254" s="49" t="str">
        <f t="shared" si="4"/>
        <v/>
      </c>
    </row>
    <row r="255" spans="1:5" x14ac:dyDescent="0.2">
      <c r="A255" s="49"/>
      <c r="B255" s="47"/>
      <c r="C255" s="613"/>
      <c r="D255" s="49"/>
      <c r="E255" s="49" t="str">
        <f t="shared" si="4"/>
        <v/>
      </c>
    </row>
    <row r="256" spans="1:5" x14ac:dyDescent="0.2">
      <c r="A256" s="49"/>
      <c r="B256" s="47"/>
      <c r="C256" s="613"/>
      <c r="D256" s="49"/>
      <c r="E256" s="49" t="str">
        <f t="shared" si="4"/>
        <v/>
      </c>
    </row>
    <row r="257" spans="1:5" x14ac:dyDescent="0.2">
      <c r="A257" s="49"/>
      <c r="B257" s="47"/>
      <c r="C257" s="613"/>
      <c r="D257" s="49"/>
      <c r="E257" s="49" t="str">
        <f t="shared" si="4"/>
        <v/>
      </c>
    </row>
    <row r="258" spans="1:5" x14ac:dyDescent="0.2">
      <c r="A258" s="49"/>
      <c r="B258" s="47"/>
      <c r="C258" s="613"/>
      <c r="D258" s="49"/>
      <c r="E258" s="49" t="str">
        <f t="shared" si="4"/>
        <v/>
      </c>
    </row>
    <row r="259" spans="1:5" x14ac:dyDescent="0.2">
      <c r="A259" s="49"/>
      <c r="B259" s="47"/>
      <c r="C259" s="613"/>
      <c r="D259" s="49"/>
      <c r="E259" s="49" t="str">
        <f t="shared" si="4"/>
        <v/>
      </c>
    </row>
    <row r="260" spans="1:5" x14ac:dyDescent="0.2">
      <c r="A260" s="49"/>
      <c r="B260" s="47"/>
      <c r="C260" s="613"/>
      <c r="D260" s="49"/>
      <c r="E260" s="49" t="str">
        <f t="shared" si="4"/>
        <v/>
      </c>
    </row>
    <row r="261" spans="1:5" x14ac:dyDescent="0.2">
      <c r="A261" s="49"/>
      <c r="B261" s="47"/>
      <c r="C261" s="613"/>
      <c r="D261" s="49"/>
      <c r="E261" s="49" t="str">
        <f t="shared" ref="E261:E324" si="5">IFERROR(VLOOKUP(D261,T_Indices,5,FALSE),"")</f>
        <v/>
      </c>
    </row>
    <row r="262" spans="1:5" x14ac:dyDescent="0.2">
      <c r="A262" s="49"/>
      <c r="B262" s="47"/>
      <c r="C262" s="613"/>
      <c r="D262" s="49"/>
      <c r="E262" s="49" t="str">
        <f t="shared" si="5"/>
        <v/>
      </c>
    </row>
    <row r="263" spans="1:5" x14ac:dyDescent="0.2">
      <c r="A263" s="49"/>
      <c r="B263" s="47"/>
      <c r="C263" s="613"/>
      <c r="D263" s="49"/>
      <c r="E263" s="49" t="str">
        <f t="shared" si="5"/>
        <v/>
      </c>
    </row>
    <row r="264" spans="1:5" x14ac:dyDescent="0.2">
      <c r="A264" s="49"/>
      <c r="B264" s="47"/>
      <c r="C264" s="613"/>
      <c r="D264" s="49"/>
      <c r="E264" s="49" t="str">
        <f t="shared" si="5"/>
        <v/>
      </c>
    </row>
    <row r="265" spans="1:5" x14ac:dyDescent="0.2">
      <c r="A265" s="49"/>
      <c r="B265" s="47"/>
      <c r="C265" s="613"/>
      <c r="D265" s="49"/>
      <c r="E265" s="49" t="str">
        <f t="shared" si="5"/>
        <v/>
      </c>
    </row>
    <row r="266" spans="1:5" x14ac:dyDescent="0.2">
      <c r="A266" s="49"/>
      <c r="B266" s="47"/>
      <c r="C266" s="613"/>
      <c r="D266" s="49"/>
      <c r="E266" s="49" t="str">
        <f t="shared" si="5"/>
        <v/>
      </c>
    </row>
    <row r="267" spans="1:5" x14ac:dyDescent="0.2">
      <c r="A267" s="49"/>
      <c r="B267" s="47"/>
      <c r="C267" s="613"/>
      <c r="D267" s="49"/>
      <c r="E267" s="49" t="str">
        <f t="shared" si="5"/>
        <v/>
      </c>
    </row>
    <row r="268" spans="1:5" x14ac:dyDescent="0.2">
      <c r="A268" s="49"/>
      <c r="B268" s="47"/>
      <c r="C268" s="613"/>
      <c r="D268" s="49"/>
      <c r="E268" s="49" t="str">
        <f t="shared" si="5"/>
        <v/>
      </c>
    </row>
    <row r="269" spans="1:5" x14ac:dyDescent="0.2">
      <c r="A269" s="49"/>
      <c r="B269" s="47"/>
      <c r="C269" s="613"/>
      <c r="D269" s="49"/>
      <c r="E269" s="49" t="str">
        <f t="shared" si="5"/>
        <v/>
      </c>
    </row>
    <row r="270" spans="1:5" x14ac:dyDescent="0.2">
      <c r="A270" s="49"/>
      <c r="B270" s="47"/>
      <c r="C270" s="613"/>
      <c r="D270" s="49"/>
      <c r="E270" s="49" t="str">
        <f t="shared" si="5"/>
        <v/>
      </c>
    </row>
    <row r="271" spans="1:5" x14ac:dyDescent="0.2">
      <c r="A271" s="49"/>
      <c r="B271" s="47"/>
      <c r="C271" s="613"/>
      <c r="D271" s="49"/>
      <c r="E271" s="49" t="str">
        <f t="shared" si="5"/>
        <v/>
      </c>
    </row>
    <row r="272" spans="1:5" x14ac:dyDescent="0.2">
      <c r="A272" s="49"/>
      <c r="B272" s="47"/>
      <c r="C272" s="613"/>
      <c r="D272" s="49"/>
      <c r="E272" s="49" t="str">
        <f t="shared" si="5"/>
        <v/>
      </c>
    </row>
    <row r="273" spans="1:5" x14ac:dyDescent="0.2">
      <c r="A273" s="49"/>
      <c r="B273" s="47"/>
      <c r="C273" s="613"/>
      <c r="D273" s="49"/>
      <c r="E273" s="49" t="str">
        <f t="shared" si="5"/>
        <v/>
      </c>
    </row>
    <row r="274" spans="1:5" x14ac:dyDescent="0.2">
      <c r="A274" s="49"/>
      <c r="B274" s="47"/>
      <c r="C274" s="613"/>
      <c r="D274" s="49"/>
      <c r="E274" s="49" t="str">
        <f t="shared" si="5"/>
        <v/>
      </c>
    </row>
    <row r="275" spans="1:5" x14ac:dyDescent="0.2">
      <c r="A275" s="49"/>
      <c r="B275" s="47"/>
      <c r="C275" s="613"/>
      <c r="D275" s="49"/>
      <c r="E275" s="49" t="str">
        <f t="shared" si="5"/>
        <v/>
      </c>
    </row>
    <row r="276" spans="1:5" x14ac:dyDescent="0.2">
      <c r="A276" s="49"/>
      <c r="B276" s="47"/>
      <c r="C276" s="613"/>
      <c r="D276" s="49"/>
      <c r="E276" s="49" t="str">
        <f t="shared" si="5"/>
        <v/>
      </c>
    </row>
    <row r="277" spans="1:5" x14ac:dyDescent="0.2">
      <c r="A277" s="49"/>
      <c r="B277" s="47"/>
      <c r="C277" s="613"/>
      <c r="D277" s="49"/>
      <c r="E277" s="49" t="str">
        <f t="shared" si="5"/>
        <v/>
      </c>
    </row>
    <row r="278" spans="1:5" x14ac:dyDescent="0.2">
      <c r="A278" s="49"/>
      <c r="B278" s="47"/>
      <c r="C278" s="613"/>
      <c r="D278" s="49"/>
      <c r="E278" s="49" t="str">
        <f t="shared" si="5"/>
        <v/>
      </c>
    </row>
    <row r="279" spans="1:5" x14ac:dyDescent="0.2">
      <c r="A279" s="49"/>
      <c r="B279" s="47"/>
      <c r="C279" s="613"/>
      <c r="D279" s="49"/>
      <c r="E279" s="49" t="str">
        <f t="shared" si="5"/>
        <v/>
      </c>
    </row>
    <row r="280" spans="1:5" x14ac:dyDescent="0.2">
      <c r="A280" s="49"/>
      <c r="B280" s="47"/>
      <c r="C280" s="613"/>
      <c r="D280" s="49"/>
      <c r="E280" s="49" t="str">
        <f t="shared" si="5"/>
        <v/>
      </c>
    </row>
    <row r="281" spans="1:5" x14ac:dyDescent="0.2">
      <c r="A281" s="49"/>
      <c r="B281" s="47"/>
      <c r="C281" s="613"/>
      <c r="D281" s="49"/>
      <c r="E281" s="49" t="str">
        <f t="shared" si="5"/>
        <v/>
      </c>
    </row>
    <row r="282" spans="1:5" x14ac:dyDescent="0.2">
      <c r="A282" s="49"/>
      <c r="B282" s="47"/>
      <c r="C282" s="613"/>
      <c r="D282" s="49"/>
      <c r="E282" s="49" t="str">
        <f t="shared" si="5"/>
        <v/>
      </c>
    </row>
    <row r="283" spans="1:5" x14ac:dyDescent="0.2">
      <c r="A283" s="49"/>
      <c r="B283" s="47"/>
      <c r="C283" s="613"/>
      <c r="D283" s="49"/>
      <c r="E283" s="49" t="str">
        <f t="shared" si="5"/>
        <v/>
      </c>
    </row>
    <row r="284" spans="1:5" x14ac:dyDescent="0.2">
      <c r="A284" s="49"/>
      <c r="B284" s="47"/>
      <c r="C284" s="613"/>
      <c r="D284" s="49"/>
      <c r="E284" s="49" t="str">
        <f t="shared" si="5"/>
        <v/>
      </c>
    </row>
    <row r="285" spans="1:5" x14ac:dyDescent="0.2">
      <c r="A285" s="49"/>
      <c r="B285" s="47"/>
      <c r="C285" s="613"/>
      <c r="D285" s="49"/>
      <c r="E285" s="49" t="str">
        <f t="shared" si="5"/>
        <v/>
      </c>
    </row>
    <row r="286" spans="1:5" x14ac:dyDescent="0.2">
      <c r="A286" s="49"/>
      <c r="B286" s="47"/>
      <c r="C286" s="613"/>
      <c r="D286" s="49"/>
      <c r="E286" s="49" t="str">
        <f t="shared" si="5"/>
        <v/>
      </c>
    </row>
    <row r="287" spans="1:5" x14ac:dyDescent="0.2">
      <c r="A287" s="49"/>
      <c r="B287" s="47"/>
      <c r="C287" s="613"/>
      <c r="D287" s="49"/>
      <c r="E287" s="49" t="str">
        <f t="shared" si="5"/>
        <v/>
      </c>
    </row>
    <row r="288" spans="1:5" x14ac:dyDescent="0.2">
      <c r="A288" s="49"/>
      <c r="B288" s="47"/>
      <c r="C288" s="613"/>
      <c r="D288" s="49"/>
      <c r="E288" s="49" t="str">
        <f t="shared" si="5"/>
        <v/>
      </c>
    </row>
    <row r="289" spans="1:5" x14ac:dyDescent="0.2">
      <c r="A289" s="49"/>
      <c r="B289" s="47"/>
      <c r="C289" s="613"/>
      <c r="D289" s="49"/>
      <c r="E289" s="49" t="str">
        <f t="shared" si="5"/>
        <v/>
      </c>
    </row>
    <row r="290" spans="1:5" x14ac:dyDescent="0.2">
      <c r="A290" s="49"/>
      <c r="B290" s="47"/>
      <c r="C290" s="613"/>
      <c r="D290" s="49"/>
      <c r="E290" s="49" t="str">
        <f t="shared" si="5"/>
        <v/>
      </c>
    </row>
    <row r="291" spans="1:5" x14ac:dyDescent="0.2">
      <c r="A291" s="49"/>
      <c r="B291" s="47"/>
      <c r="C291" s="613"/>
      <c r="D291" s="49"/>
      <c r="E291" s="49" t="str">
        <f t="shared" si="5"/>
        <v/>
      </c>
    </row>
    <row r="292" spans="1:5" x14ac:dyDescent="0.2">
      <c r="A292" s="49"/>
      <c r="B292" s="47"/>
      <c r="C292" s="613"/>
      <c r="D292" s="49"/>
      <c r="E292" s="49" t="str">
        <f t="shared" si="5"/>
        <v/>
      </c>
    </row>
    <row r="293" spans="1:5" x14ac:dyDescent="0.2">
      <c r="A293" s="49"/>
      <c r="B293" s="47"/>
      <c r="C293" s="613"/>
      <c r="D293" s="49"/>
      <c r="E293" s="49" t="str">
        <f t="shared" si="5"/>
        <v/>
      </c>
    </row>
    <row r="294" spans="1:5" x14ac:dyDescent="0.2">
      <c r="A294" s="49"/>
      <c r="B294" s="47"/>
      <c r="C294" s="613"/>
      <c r="D294" s="49"/>
      <c r="E294" s="49" t="str">
        <f t="shared" si="5"/>
        <v/>
      </c>
    </row>
    <row r="295" spans="1:5" x14ac:dyDescent="0.2">
      <c r="A295" s="49"/>
      <c r="B295" s="47"/>
      <c r="C295" s="613"/>
      <c r="D295" s="49"/>
      <c r="E295" s="49" t="str">
        <f t="shared" si="5"/>
        <v/>
      </c>
    </row>
    <row r="296" spans="1:5" x14ac:dyDescent="0.2">
      <c r="A296" s="49"/>
      <c r="B296" s="47"/>
      <c r="C296" s="613"/>
      <c r="D296" s="49"/>
      <c r="E296" s="49" t="str">
        <f t="shared" si="5"/>
        <v/>
      </c>
    </row>
    <row r="297" spans="1:5" x14ac:dyDescent="0.2">
      <c r="A297" s="49"/>
      <c r="B297" s="47"/>
      <c r="C297" s="613"/>
      <c r="D297" s="49"/>
      <c r="E297" s="49" t="str">
        <f t="shared" si="5"/>
        <v/>
      </c>
    </row>
    <row r="298" spans="1:5" x14ac:dyDescent="0.2">
      <c r="A298" s="49"/>
      <c r="B298" s="47"/>
      <c r="C298" s="613"/>
      <c r="D298" s="49"/>
      <c r="E298" s="49" t="str">
        <f t="shared" si="5"/>
        <v/>
      </c>
    </row>
    <row r="299" spans="1:5" x14ac:dyDescent="0.2">
      <c r="A299" s="49"/>
      <c r="B299" s="47"/>
      <c r="C299" s="613"/>
      <c r="D299" s="49"/>
      <c r="E299" s="49" t="str">
        <f t="shared" si="5"/>
        <v/>
      </c>
    </row>
    <row r="300" spans="1:5" x14ac:dyDescent="0.2">
      <c r="A300" s="49"/>
      <c r="B300" s="47"/>
      <c r="C300" s="613"/>
      <c r="D300" s="49"/>
      <c r="E300" s="49" t="str">
        <f t="shared" si="5"/>
        <v/>
      </c>
    </row>
    <row r="301" spans="1:5" x14ac:dyDescent="0.2">
      <c r="A301" s="49"/>
      <c r="B301" s="47"/>
      <c r="C301" s="613"/>
      <c r="D301" s="49"/>
      <c r="E301" s="49" t="str">
        <f t="shared" si="5"/>
        <v/>
      </c>
    </row>
    <row r="302" spans="1:5" x14ac:dyDescent="0.2">
      <c r="A302" s="49"/>
      <c r="B302" s="47"/>
      <c r="C302" s="613"/>
      <c r="D302" s="49"/>
      <c r="E302" s="49" t="str">
        <f t="shared" si="5"/>
        <v/>
      </c>
    </row>
    <row r="303" spans="1:5" x14ac:dyDescent="0.2">
      <c r="A303" s="49"/>
      <c r="B303" s="47"/>
      <c r="C303" s="613"/>
      <c r="D303" s="49"/>
      <c r="E303" s="49" t="str">
        <f t="shared" si="5"/>
        <v/>
      </c>
    </row>
    <row r="304" spans="1:5" x14ac:dyDescent="0.2">
      <c r="A304" s="49"/>
      <c r="B304" s="47"/>
      <c r="C304" s="613"/>
      <c r="D304" s="49"/>
      <c r="E304" s="49" t="str">
        <f t="shared" si="5"/>
        <v/>
      </c>
    </row>
    <row r="305" spans="1:5" x14ac:dyDescent="0.2">
      <c r="A305" s="49"/>
      <c r="B305" s="47"/>
      <c r="C305" s="613"/>
      <c r="D305" s="49"/>
      <c r="E305" s="49" t="str">
        <f t="shared" si="5"/>
        <v/>
      </c>
    </row>
    <row r="306" spans="1:5" x14ac:dyDescent="0.2">
      <c r="A306" s="49"/>
      <c r="B306" s="47"/>
      <c r="C306" s="613"/>
      <c r="D306" s="49"/>
      <c r="E306" s="49" t="str">
        <f t="shared" si="5"/>
        <v/>
      </c>
    </row>
    <row r="307" spans="1:5" x14ac:dyDescent="0.2">
      <c r="A307" s="49"/>
      <c r="B307" s="47"/>
      <c r="C307" s="613"/>
      <c r="D307" s="49"/>
      <c r="E307" s="49" t="str">
        <f t="shared" si="5"/>
        <v/>
      </c>
    </row>
    <row r="308" spans="1:5" x14ac:dyDescent="0.2">
      <c r="A308" s="49"/>
      <c r="B308" s="47"/>
      <c r="C308" s="613"/>
      <c r="D308" s="49"/>
      <c r="E308" s="49" t="str">
        <f t="shared" si="5"/>
        <v/>
      </c>
    </row>
    <row r="309" spans="1:5" x14ac:dyDescent="0.2">
      <c r="A309" s="49"/>
      <c r="B309" s="47"/>
      <c r="C309" s="613"/>
      <c r="D309" s="49"/>
      <c r="E309" s="49" t="str">
        <f t="shared" si="5"/>
        <v/>
      </c>
    </row>
    <row r="310" spans="1:5" x14ac:dyDescent="0.2">
      <c r="A310" s="49"/>
      <c r="B310" s="47"/>
      <c r="C310" s="613"/>
      <c r="D310" s="49"/>
      <c r="E310" s="49" t="str">
        <f t="shared" si="5"/>
        <v/>
      </c>
    </row>
    <row r="311" spans="1:5" x14ac:dyDescent="0.2">
      <c r="A311" s="49"/>
      <c r="B311" s="47"/>
      <c r="C311" s="613"/>
      <c r="D311" s="49"/>
      <c r="E311" s="49" t="str">
        <f t="shared" si="5"/>
        <v/>
      </c>
    </row>
    <row r="312" spans="1:5" x14ac:dyDescent="0.2">
      <c r="A312" s="49"/>
      <c r="B312" s="47"/>
      <c r="C312" s="613"/>
      <c r="D312" s="49"/>
      <c r="E312" s="49" t="str">
        <f t="shared" si="5"/>
        <v/>
      </c>
    </row>
    <row r="313" spans="1:5" x14ac:dyDescent="0.2">
      <c r="A313" s="49"/>
      <c r="B313" s="47"/>
      <c r="C313" s="613"/>
      <c r="D313" s="49"/>
      <c r="E313" s="49" t="str">
        <f t="shared" si="5"/>
        <v/>
      </c>
    </row>
    <row r="314" spans="1:5" x14ac:dyDescent="0.2">
      <c r="A314" s="49"/>
      <c r="B314" s="47"/>
      <c r="C314" s="613"/>
      <c r="D314" s="49"/>
      <c r="E314" s="49" t="str">
        <f t="shared" si="5"/>
        <v/>
      </c>
    </row>
    <row r="315" spans="1:5" x14ac:dyDescent="0.2">
      <c r="A315" s="49"/>
      <c r="B315" s="47"/>
      <c r="C315" s="613"/>
      <c r="D315" s="49"/>
      <c r="E315" s="49" t="str">
        <f t="shared" si="5"/>
        <v/>
      </c>
    </row>
    <row r="316" spans="1:5" x14ac:dyDescent="0.2">
      <c r="A316" s="49"/>
      <c r="B316" s="47"/>
      <c r="C316" s="613"/>
      <c r="D316" s="49"/>
      <c r="E316" s="49" t="str">
        <f t="shared" si="5"/>
        <v/>
      </c>
    </row>
    <row r="317" spans="1:5" x14ac:dyDescent="0.2">
      <c r="A317" s="49"/>
      <c r="B317" s="47"/>
      <c r="C317" s="613"/>
      <c r="D317" s="49"/>
      <c r="E317" s="49" t="str">
        <f t="shared" si="5"/>
        <v/>
      </c>
    </row>
    <row r="318" spans="1:5" x14ac:dyDescent="0.2">
      <c r="A318" s="49"/>
      <c r="B318" s="47"/>
      <c r="C318" s="613"/>
      <c r="D318" s="49"/>
      <c r="E318" s="49" t="str">
        <f t="shared" si="5"/>
        <v/>
      </c>
    </row>
    <row r="319" spans="1:5" x14ac:dyDescent="0.2">
      <c r="A319" s="49"/>
      <c r="B319" s="47"/>
      <c r="C319" s="613"/>
      <c r="D319" s="49"/>
      <c r="E319" s="49" t="str">
        <f t="shared" si="5"/>
        <v/>
      </c>
    </row>
    <row r="320" spans="1:5" x14ac:dyDescent="0.2">
      <c r="A320" s="49"/>
      <c r="B320" s="47"/>
      <c r="C320" s="613"/>
      <c r="D320" s="49"/>
      <c r="E320" s="49" t="str">
        <f t="shared" si="5"/>
        <v/>
      </c>
    </row>
    <row r="321" spans="1:5" x14ac:dyDescent="0.2">
      <c r="A321" s="49"/>
      <c r="B321" s="47"/>
      <c r="C321" s="613"/>
      <c r="D321" s="49"/>
      <c r="E321" s="49" t="str">
        <f t="shared" si="5"/>
        <v/>
      </c>
    </row>
    <row r="322" spans="1:5" x14ac:dyDescent="0.2">
      <c r="A322" s="49"/>
      <c r="B322" s="47"/>
      <c r="C322" s="613"/>
      <c r="D322" s="49"/>
      <c r="E322" s="49" t="str">
        <f t="shared" si="5"/>
        <v/>
      </c>
    </row>
    <row r="323" spans="1:5" x14ac:dyDescent="0.2">
      <c r="A323" s="49"/>
      <c r="B323" s="47"/>
      <c r="C323" s="613"/>
      <c r="D323" s="49"/>
      <c r="E323" s="49" t="str">
        <f t="shared" si="5"/>
        <v/>
      </c>
    </row>
    <row r="324" spans="1:5" x14ac:dyDescent="0.2">
      <c r="A324" s="49"/>
      <c r="B324" s="47"/>
      <c r="C324" s="613"/>
      <c r="D324" s="49"/>
      <c r="E324" s="49" t="str">
        <f t="shared" si="5"/>
        <v/>
      </c>
    </row>
    <row r="325" spans="1:5" x14ac:dyDescent="0.2">
      <c r="A325" s="49"/>
      <c r="B325" s="47"/>
      <c r="C325" s="613"/>
      <c r="D325" s="49"/>
      <c r="E325" s="49" t="str">
        <f t="shared" ref="E325:E388" si="6">IFERROR(VLOOKUP(D325,T_Indices,5,FALSE),"")</f>
        <v/>
      </c>
    </row>
    <row r="326" spans="1:5" x14ac:dyDescent="0.2">
      <c r="A326" s="49"/>
      <c r="B326" s="47"/>
      <c r="C326" s="613"/>
      <c r="D326" s="49"/>
      <c r="E326" s="49" t="str">
        <f t="shared" si="6"/>
        <v/>
      </c>
    </row>
    <row r="327" spans="1:5" x14ac:dyDescent="0.2">
      <c r="A327" s="49"/>
      <c r="B327" s="47"/>
      <c r="C327" s="613"/>
      <c r="D327" s="49"/>
      <c r="E327" s="49" t="str">
        <f t="shared" si="6"/>
        <v/>
      </c>
    </row>
    <row r="328" spans="1:5" x14ac:dyDescent="0.2">
      <c r="A328" s="49"/>
      <c r="B328" s="47"/>
      <c r="C328" s="613"/>
      <c r="D328" s="49"/>
      <c r="E328" s="49" t="str">
        <f t="shared" si="6"/>
        <v/>
      </c>
    </row>
    <row r="329" spans="1:5" x14ac:dyDescent="0.2">
      <c r="A329" s="49"/>
      <c r="B329" s="47"/>
      <c r="C329" s="613"/>
      <c r="D329" s="49"/>
      <c r="E329" s="49" t="str">
        <f t="shared" si="6"/>
        <v/>
      </c>
    </row>
    <row r="330" spans="1:5" x14ac:dyDescent="0.2">
      <c r="A330" s="49"/>
      <c r="B330" s="47"/>
      <c r="C330" s="613"/>
      <c r="D330" s="49"/>
      <c r="E330" s="49" t="str">
        <f t="shared" si="6"/>
        <v/>
      </c>
    </row>
    <row r="331" spans="1:5" x14ac:dyDescent="0.2">
      <c r="A331" s="49"/>
      <c r="B331" s="47"/>
      <c r="C331" s="613"/>
      <c r="D331" s="49"/>
      <c r="E331" s="49" t="str">
        <f t="shared" si="6"/>
        <v/>
      </c>
    </row>
    <row r="332" spans="1:5" x14ac:dyDescent="0.2">
      <c r="A332" s="49"/>
      <c r="B332" s="47"/>
      <c r="C332" s="613"/>
      <c r="D332" s="49"/>
      <c r="E332" s="49" t="str">
        <f t="shared" si="6"/>
        <v/>
      </c>
    </row>
    <row r="333" spans="1:5" x14ac:dyDescent="0.2">
      <c r="A333" s="49"/>
      <c r="B333" s="47"/>
      <c r="C333" s="613"/>
      <c r="D333" s="49"/>
      <c r="E333" s="49" t="str">
        <f t="shared" si="6"/>
        <v/>
      </c>
    </row>
    <row r="334" spans="1:5" x14ac:dyDescent="0.2">
      <c r="A334" s="49"/>
      <c r="B334" s="47"/>
      <c r="C334" s="613"/>
      <c r="D334" s="49"/>
      <c r="E334" s="49" t="str">
        <f t="shared" si="6"/>
        <v/>
      </c>
    </row>
    <row r="335" spans="1:5" x14ac:dyDescent="0.2">
      <c r="A335" s="49"/>
      <c r="B335" s="47"/>
      <c r="C335" s="613"/>
      <c r="D335" s="49"/>
      <c r="E335" s="49" t="str">
        <f t="shared" si="6"/>
        <v/>
      </c>
    </row>
    <row r="336" spans="1:5" x14ac:dyDescent="0.2">
      <c r="A336" s="49"/>
      <c r="B336" s="47"/>
      <c r="C336" s="613"/>
      <c r="D336" s="49"/>
      <c r="E336" s="49" t="str">
        <f t="shared" si="6"/>
        <v/>
      </c>
    </row>
    <row r="337" spans="1:5" x14ac:dyDescent="0.2">
      <c r="A337" s="49"/>
      <c r="B337" s="47"/>
      <c r="C337" s="613"/>
      <c r="D337" s="49"/>
      <c r="E337" s="49" t="str">
        <f t="shared" si="6"/>
        <v/>
      </c>
    </row>
    <row r="338" spans="1:5" x14ac:dyDescent="0.2">
      <c r="A338" s="49"/>
      <c r="B338" s="47"/>
      <c r="C338" s="613"/>
      <c r="D338" s="49"/>
      <c r="E338" s="49" t="str">
        <f t="shared" si="6"/>
        <v/>
      </c>
    </row>
    <row r="339" spans="1:5" x14ac:dyDescent="0.2">
      <c r="A339" s="49"/>
      <c r="B339" s="47"/>
      <c r="C339" s="613"/>
      <c r="D339" s="49"/>
      <c r="E339" s="49" t="str">
        <f t="shared" si="6"/>
        <v/>
      </c>
    </row>
    <row r="340" spans="1:5" x14ac:dyDescent="0.2">
      <c r="A340" s="49"/>
      <c r="B340" s="47"/>
      <c r="C340" s="613"/>
      <c r="D340" s="49"/>
      <c r="E340" s="49" t="str">
        <f t="shared" si="6"/>
        <v/>
      </c>
    </row>
    <row r="341" spans="1:5" x14ac:dyDescent="0.2">
      <c r="A341" s="49"/>
      <c r="B341" s="47"/>
      <c r="C341" s="613"/>
      <c r="D341" s="49"/>
      <c r="E341" s="49" t="str">
        <f t="shared" si="6"/>
        <v/>
      </c>
    </row>
    <row r="342" spans="1:5" x14ac:dyDescent="0.2">
      <c r="A342" s="49"/>
      <c r="B342" s="47"/>
      <c r="C342" s="613"/>
      <c r="D342" s="49"/>
      <c r="E342" s="49" t="str">
        <f t="shared" si="6"/>
        <v/>
      </c>
    </row>
    <row r="343" spans="1:5" x14ac:dyDescent="0.2">
      <c r="A343" s="49"/>
      <c r="B343" s="47"/>
      <c r="C343" s="613"/>
      <c r="D343" s="49"/>
      <c r="E343" s="49" t="str">
        <f t="shared" si="6"/>
        <v/>
      </c>
    </row>
    <row r="344" spans="1:5" x14ac:dyDescent="0.2">
      <c r="A344" s="49"/>
      <c r="B344" s="47"/>
      <c r="C344" s="613"/>
      <c r="D344" s="49"/>
      <c r="E344" s="49" t="str">
        <f t="shared" si="6"/>
        <v/>
      </c>
    </row>
    <row r="345" spans="1:5" x14ac:dyDescent="0.2">
      <c r="A345" s="49"/>
      <c r="B345" s="47"/>
      <c r="C345" s="613"/>
      <c r="D345" s="49"/>
      <c r="E345" s="49" t="str">
        <f t="shared" si="6"/>
        <v/>
      </c>
    </row>
    <row r="346" spans="1:5" x14ac:dyDescent="0.2">
      <c r="A346" s="49"/>
      <c r="B346" s="47"/>
      <c r="C346" s="613"/>
      <c r="D346" s="49"/>
      <c r="E346" s="49" t="str">
        <f t="shared" si="6"/>
        <v/>
      </c>
    </row>
    <row r="347" spans="1:5" x14ac:dyDescent="0.2">
      <c r="A347" s="49"/>
      <c r="B347" s="47"/>
      <c r="C347" s="613"/>
      <c r="D347" s="49"/>
      <c r="E347" s="49" t="str">
        <f t="shared" si="6"/>
        <v/>
      </c>
    </row>
    <row r="348" spans="1:5" x14ac:dyDescent="0.2">
      <c r="A348" s="49"/>
      <c r="B348" s="47"/>
      <c r="C348" s="613"/>
      <c r="D348" s="49"/>
      <c r="E348" s="49" t="str">
        <f t="shared" si="6"/>
        <v/>
      </c>
    </row>
    <row r="349" spans="1:5" x14ac:dyDescent="0.2">
      <c r="A349" s="49"/>
      <c r="B349" s="47"/>
      <c r="C349" s="613"/>
      <c r="D349" s="49"/>
      <c r="E349" s="49" t="str">
        <f t="shared" si="6"/>
        <v/>
      </c>
    </row>
    <row r="350" spans="1:5" x14ac:dyDescent="0.2">
      <c r="A350" s="49"/>
      <c r="B350" s="47"/>
      <c r="C350" s="613"/>
      <c r="D350" s="49"/>
      <c r="E350" s="49" t="str">
        <f t="shared" si="6"/>
        <v/>
      </c>
    </row>
    <row r="351" spans="1:5" x14ac:dyDescent="0.2">
      <c r="A351" s="49"/>
      <c r="B351" s="47"/>
      <c r="C351" s="613"/>
      <c r="D351" s="49"/>
      <c r="E351" s="49" t="str">
        <f t="shared" si="6"/>
        <v/>
      </c>
    </row>
    <row r="352" spans="1:5" x14ac:dyDescent="0.2">
      <c r="A352" s="49"/>
      <c r="B352" s="47"/>
      <c r="C352" s="613"/>
      <c r="D352" s="49"/>
      <c r="E352" s="49" t="str">
        <f t="shared" si="6"/>
        <v/>
      </c>
    </row>
    <row r="353" spans="1:5" x14ac:dyDescent="0.2">
      <c r="A353" s="49"/>
      <c r="B353" s="47"/>
      <c r="C353" s="613"/>
      <c r="D353" s="49"/>
      <c r="E353" s="49" t="str">
        <f t="shared" si="6"/>
        <v/>
      </c>
    </row>
    <row r="354" spans="1:5" x14ac:dyDescent="0.2">
      <c r="A354" s="49"/>
      <c r="B354" s="47"/>
      <c r="C354" s="613"/>
      <c r="D354" s="49"/>
      <c r="E354" s="49" t="str">
        <f t="shared" si="6"/>
        <v/>
      </c>
    </row>
    <row r="355" spans="1:5" x14ac:dyDescent="0.2">
      <c r="A355" s="49"/>
      <c r="B355" s="47"/>
      <c r="C355" s="613"/>
      <c r="D355" s="49"/>
      <c r="E355" s="49" t="str">
        <f t="shared" si="6"/>
        <v/>
      </c>
    </row>
    <row r="356" spans="1:5" x14ac:dyDescent="0.2">
      <c r="A356" s="49"/>
      <c r="B356" s="47"/>
      <c r="C356" s="613"/>
      <c r="D356" s="49"/>
      <c r="E356" s="49" t="str">
        <f t="shared" si="6"/>
        <v/>
      </c>
    </row>
    <row r="357" spans="1:5" x14ac:dyDescent="0.2">
      <c r="A357" s="49"/>
      <c r="B357" s="47"/>
      <c r="C357" s="613"/>
      <c r="D357" s="49"/>
      <c r="E357" s="49" t="str">
        <f t="shared" si="6"/>
        <v/>
      </c>
    </row>
    <row r="358" spans="1:5" x14ac:dyDescent="0.2">
      <c r="A358" s="49"/>
      <c r="B358" s="47"/>
      <c r="C358" s="613"/>
      <c r="D358" s="49"/>
      <c r="E358" s="49" t="str">
        <f t="shared" si="6"/>
        <v/>
      </c>
    </row>
    <row r="359" spans="1:5" x14ac:dyDescent="0.2">
      <c r="A359" s="49"/>
      <c r="B359" s="47"/>
      <c r="C359" s="613"/>
      <c r="D359" s="49"/>
      <c r="E359" s="49" t="str">
        <f t="shared" si="6"/>
        <v/>
      </c>
    </row>
    <row r="360" spans="1:5" x14ac:dyDescent="0.2">
      <c r="A360" s="49"/>
      <c r="B360" s="47"/>
      <c r="C360" s="613"/>
      <c r="D360" s="49"/>
      <c r="E360" s="49" t="str">
        <f t="shared" si="6"/>
        <v/>
      </c>
    </row>
    <row r="361" spans="1:5" x14ac:dyDescent="0.2">
      <c r="A361" s="49"/>
      <c r="B361" s="47"/>
      <c r="C361" s="613"/>
      <c r="D361" s="49"/>
      <c r="E361" s="49" t="str">
        <f t="shared" si="6"/>
        <v/>
      </c>
    </row>
    <row r="362" spans="1:5" x14ac:dyDescent="0.2">
      <c r="A362" s="49"/>
      <c r="B362" s="47"/>
      <c r="C362" s="613"/>
      <c r="D362" s="49"/>
      <c r="E362" s="49" t="str">
        <f t="shared" si="6"/>
        <v/>
      </c>
    </row>
    <row r="363" spans="1:5" x14ac:dyDescent="0.2">
      <c r="A363" s="49"/>
      <c r="B363" s="47"/>
      <c r="C363" s="613"/>
      <c r="D363" s="49"/>
      <c r="E363" s="49" t="str">
        <f t="shared" si="6"/>
        <v/>
      </c>
    </row>
    <row r="364" spans="1:5" x14ac:dyDescent="0.2">
      <c r="A364" s="49"/>
      <c r="B364" s="47"/>
      <c r="C364" s="613"/>
      <c r="D364" s="49"/>
      <c r="E364" s="49" t="str">
        <f t="shared" si="6"/>
        <v/>
      </c>
    </row>
    <row r="365" spans="1:5" x14ac:dyDescent="0.2">
      <c r="A365" s="49"/>
      <c r="B365" s="47"/>
      <c r="C365" s="613"/>
      <c r="D365" s="49"/>
      <c r="E365" s="49" t="str">
        <f t="shared" si="6"/>
        <v/>
      </c>
    </row>
    <row r="366" spans="1:5" x14ac:dyDescent="0.2">
      <c r="A366" s="49"/>
      <c r="B366" s="47"/>
      <c r="C366" s="613"/>
      <c r="D366" s="49"/>
      <c r="E366" s="49" t="str">
        <f t="shared" si="6"/>
        <v/>
      </c>
    </row>
    <row r="367" spans="1:5" x14ac:dyDescent="0.2">
      <c r="A367" s="49"/>
      <c r="B367" s="47"/>
      <c r="C367" s="613"/>
      <c r="D367" s="49"/>
      <c r="E367" s="49" t="str">
        <f t="shared" si="6"/>
        <v/>
      </c>
    </row>
    <row r="368" spans="1:5" x14ac:dyDescent="0.2">
      <c r="A368" s="49"/>
      <c r="B368" s="47"/>
      <c r="C368" s="613"/>
      <c r="D368" s="49"/>
      <c r="E368" s="49" t="str">
        <f t="shared" si="6"/>
        <v/>
      </c>
    </row>
    <row r="369" spans="1:5" x14ac:dyDescent="0.2">
      <c r="A369" s="49"/>
      <c r="B369" s="47"/>
      <c r="C369" s="613"/>
      <c r="D369" s="49"/>
      <c r="E369" s="49" t="str">
        <f t="shared" si="6"/>
        <v/>
      </c>
    </row>
    <row r="370" spans="1:5" x14ac:dyDescent="0.2">
      <c r="A370" s="49"/>
      <c r="B370" s="47"/>
      <c r="C370" s="613"/>
      <c r="D370" s="49"/>
      <c r="E370" s="49" t="str">
        <f t="shared" si="6"/>
        <v/>
      </c>
    </row>
    <row r="371" spans="1:5" x14ac:dyDescent="0.2">
      <c r="A371" s="49"/>
      <c r="B371" s="47"/>
      <c r="C371" s="613"/>
      <c r="D371" s="49"/>
      <c r="E371" s="49" t="str">
        <f t="shared" si="6"/>
        <v/>
      </c>
    </row>
    <row r="372" spans="1:5" x14ac:dyDescent="0.2">
      <c r="A372" s="49"/>
      <c r="B372" s="47"/>
      <c r="C372" s="613"/>
      <c r="D372" s="49"/>
      <c r="E372" s="49" t="str">
        <f t="shared" si="6"/>
        <v/>
      </c>
    </row>
    <row r="373" spans="1:5" x14ac:dyDescent="0.2">
      <c r="A373" s="49"/>
      <c r="B373" s="47"/>
      <c r="C373" s="613"/>
      <c r="D373" s="49"/>
      <c r="E373" s="49" t="str">
        <f t="shared" si="6"/>
        <v/>
      </c>
    </row>
    <row r="374" spans="1:5" x14ac:dyDescent="0.2">
      <c r="A374" s="49"/>
      <c r="B374" s="47"/>
      <c r="C374" s="613"/>
      <c r="D374" s="49"/>
      <c r="E374" s="49" t="str">
        <f t="shared" si="6"/>
        <v/>
      </c>
    </row>
    <row r="375" spans="1:5" x14ac:dyDescent="0.2">
      <c r="A375" s="49"/>
      <c r="B375" s="47"/>
      <c r="C375" s="613"/>
      <c r="D375" s="49"/>
      <c r="E375" s="49" t="str">
        <f t="shared" si="6"/>
        <v/>
      </c>
    </row>
    <row r="376" spans="1:5" x14ac:dyDescent="0.2">
      <c r="A376" s="49"/>
      <c r="B376" s="47"/>
      <c r="C376" s="613"/>
      <c r="D376" s="49"/>
      <c r="E376" s="49" t="str">
        <f t="shared" si="6"/>
        <v/>
      </c>
    </row>
    <row r="377" spans="1:5" x14ac:dyDescent="0.2">
      <c r="A377" s="49"/>
      <c r="B377" s="47"/>
      <c r="C377" s="613"/>
      <c r="D377" s="49"/>
      <c r="E377" s="49" t="str">
        <f t="shared" si="6"/>
        <v/>
      </c>
    </row>
    <row r="378" spans="1:5" x14ac:dyDescent="0.2">
      <c r="A378" s="49"/>
      <c r="B378" s="47"/>
      <c r="C378" s="613"/>
      <c r="D378" s="49"/>
      <c r="E378" s="49" t="str">
        <f t="shared" si="6"/>
        <v/>
      </c>
    </row>
    <row r="379" spans="1:5" x14ac:dyDescent="0.2">
      <c r="A379" s="49"/>
      <c r="B379" s="47"/>
      <c r="C379" s="613"/>
      <c r="D379" s="49"/>
      <c r="E379" s="49" t="str">
        <f t="shared" si="6"/>
        <v/>
      </c>
    </row>
    <row r="380" spans="1:5" x14ac:dyDescent="0.2">
      <c r="A380" s="49"/>
      <c r="B380" s="47"/>
      <c r="C380" s="613"/>
      <c r="D380" s="49"/>
      <c r="E380" s="49" t="str">
        <f t="shared" si="6"/>
        <v/>
      </c>
    </row>
    <row r="381" spans="1:5" x14ac:dyDescent="0.2">
      <c r="A381" s="49"/>
      <c r="B381" s="47"/>
      <c r="C381" s="613"/>
      <c r="D381" s="49"/>
      <c r="E381" s="49" t="str">
        <f t="shared" si="6"/>
        <v/>
      </c>
    </row>
    <row r="382" spans="1:5" x14ac:dyDescent="0.2">
      <c r="A382" s="49"/>
      <c r="B382" s="47"/>
      <c r="C382" s="613"/>
      <c r="D382" s="49"/>
      <c r="E382" s="49" t="str">
        <f t="shared" si="6"/>
        <v/>
      </c>
    </row>
    <row r="383" spans="1:5" x14ac:dyDescent="0.2">
      <c r="A383" s="49"/>
      <c r="B383" s="47"/>
      <c r="C383" s="613"/>
      <c r="D383" s="49"/>
      <c r="E383" s="49" t="str">
        <f t="shared" si="6"/>
        <v/>
      </c>
    </row>
    <row r="384" spans="1:5" x14ac:dyDescent="0.2">
      <c r="A384" s="49"/>
      <c r="B384" s="47"/>
      <c r="C384" s="613"/>
      <c r="D384" s="49"/>
      <c r="E384" s="49" t="str">
        <f t="shared" si="6"/>
        <v/>
      </c>
    </row>
    <row r="385" spans="1:5" x14ac:dyDescent="0.2">
      <c r="A385" s="49"/>
      <c r="B385" s="47"/>
      <c r="C385" s="613"/>
      <c r="D385" s="49"/>
      <c r="E385" s="49" t="str">
        <f t="shared" si="6"/>
        <v/>
      </c>
    </row>
    <row r="386" spans="1:5" x14ac:dyDescent="0.2">
      <c r="A386" s="49"/>
      <c r="B386" s="47"/>
      <c r="C386" s="613"/>
      <c r="D386" s="49"/>
      <c r="E386" s="49" t="str">
        <f t="shared" si="6"/>
        <v/>
      </c>
    </row>
    <row r="387" spans="1:5" x14ac:dyDescent="0.2">
      <c r="A387" s="49"/>
      <c r="B387" s="47"/>
      <c r="C387" s="613"/>
      <c r="D387" s="49"/>
      <c r="E387" s="49" t="str">
        <f t="shared" si="6"/>
        <v/>
      </c>
    </row>
    <row r="388" spans="1:5" x14ac:dyDescent="0.2">
      <c r="A388" s="49"/>
      <c r="B388" s="47"/>
      <c r="C388" s="613"/>
      <c r="D388" s="49"/>
      <c r="E388" s="49" t="str">
        <f t="shared" si="6"/>
        <v/>
      </c>
    </row>
    <row r="389" spans="1:5" x14ac:dyDescent="0.2">
      <c r="A389" s="49"/>
      <c r="B389" s="47"/>
      <c r="C389" s="613"/>
      <c r="D389" s="49"/>
      <c r="E389" s="49" t="str">
        <f t="shared" ref="E389:E452" si="7">IFERROR(VLOOKUP(D389,T_Indices,5,FALSE),"")</f>
        <v/>
      </c>
    </row>
    <row r="390" spans="1:5" x14ac:dyDescent="0.2">
      <c r="A390" s="49"/>
      <c r="B390" s="47"/>
      <c r="C390" s="613"/>
      <c r="D390" s="49"/>
      <c r="E390" s="49" t="str">
        <f t="shared" si="7"/>
        <v/>
      </c>
    </row>
    <row r="391" spans="1:5" x14ac:dyDescent="0.2">
      <c r="A391" s="49"/>
      <c r="B391" s="47"/>
      <c r="C391" s="613"/>
      <c r="D391" s="49"/>
      <c r="E391" s="49" t="str">
        <f t="shared" si="7"/>
        <v/>
      </c>
    </row>
    <row r="392" spans="1:5" x14ac:dyDescent="0.2">
      <c r="A392" s="49"/>
      <c r="B392" s="47"/>
      <c r="C392" s="613"/>
      <c r="D392" s="49"/>
      <c r="E392" s="49" t="str">
        <f t="shared" si="7"/>
        <v/>
      </c>
    </row>
    <row r="393" spans="1:5" x14ac:dyDescent="0.2">
      <c r="A393" s="49"/>
      <c r="B393" s="47"/>
      <c r="C393" s="613"/>
      <c r="D393" s="49"/>
      <c r="E393" s="49" t="str">
        <f t="shared" si="7"/>
        <v/>
      </c>
    </row>
    <row r="394" spans="1:5" x14ac:dyDescent="0.2">
      <c r="A394" s="49"/>
      <c r="B394" s="47"/>
      <c r="C394" s="613"/>
      <c r="D394" s="49"/>
      <c r="E394" s="49" t="str">
        <f t="shared" si="7"/>
        <v/>
      </c>
    </row>
    <row r="395" spans="1:5" x14ac:dyDescent="0.2">
      <c r="A395" s="49"/>
      <c r="B395" s="47"/>
      <c r="C395" s="613"/>
      <c r="D395" s="49"/>
      <c r="E395" s="49" t="str">
        <f t="shared" si="7"/>
        <v/>
      </c>
    </row>
    <row r="396" spans="1:5" x14ac:dyDescent="0.2">
      <c r="A396" s="49"/>
      <c r="B396" s="47"/>
      <c r="C396" s="613"/>
      <c r="D396" s="49"/>
      <c r="E396" s="49" t="str">
        <f t="shared" si="7"/>
        <v/>
      </c>
    </row>
    <row r="397" spans="1:5" x14ac:dyDescent="0.2">
      <c r="A397" s="49"/>
      <c r="B397" s="47"/>
      <c r="C397" s="613"/>
      <c r="D397" s="49"/>
      <c r="E397" s="49" t="str">
        <f t="shared" si="7"/>
        <v/>
      </c>
    </row>
    <row r="398" spans="1:5" x14ac:dyDescent="0.2">
      <c r="A398" s="49"/>
      <c r="B398" s="47"/>
      <c r="C398" s="613"/>
      <c r="D398" s="49"/>
      <c r="E398" s="49" t="str">
        <f t="shared" si="7"/>
        <v/>
      </c>
    </row>
    <row r="399" spans="1:5" x14ac:dyDescent="0.2">
      <c r="A399" s="49"/>
      <c r="B399" s="47"/>
      <c r="C399" s="613"/>
      <c r="D399" s="49"/>
      <c r="E399" s="49" t="str">
        <f t="shared" si="7"/>
        <v/>
      </c>
    </row>
    <row r="400" spans="1:5" x14ac:dyDescent="0.2">
      <c r="A400" s="49"/>
      <c r="B400" s="47"/>
      <c r="C400" s="613"/>
      <c r="D400" s="49"/>
      <c r="E400" s="49" t="str">
        <f t="shared" si="7"/>
        <v/>
      </c>
    </row>
    <row r="401" spans="1:5" x14ac:dyDescent="0.2">
      <c r="A401" s="49"/>
      <c r="B401" s="47"/>
      <c r="C401" s="613"/>
      <c r="D401" s="49"/>
      <c r="E401" s="49" t="str">
        <f t="shared" si="7"/>
        <v/>
      </c>
    </row>
    <row r="402" spans="1:5" x14ac:dyDescent="0.2">
      <c r="A402" s="49"/>
      <c r="B402" s="47"/>
      <c r="C402" s="613"/>
      <c r="D402" s="49"/>
      <c r="E402" s="49" t="str">
        <f t="shared" si="7"/>
        <v/>
      </c>
    </row>
    <row r="403" spans="1:5" x14ac:dyDescent="0.2">
      <c r="A403" s="49"/>
      <c r="B403" s="47"/>
      <c r="C403" s="613"/>
      <c r="D403" s="49"/>
      <c r="E403" s="49" t="str">
        <f t="shared" si="7"/>
        <v/>
      </c>
    </row>
    <row r="404" spans="1:5" x14ac:dyDescent="0.2">
      <c r="A404" s="49"/>
      <c r="B404" s="47"/>
      <c r="C404" s="613"/>
      <c r="D404" s="49"/>
      <c r="E404" s="49" t="str">
        <f t="shared" si="7"/>
        <v/>
      </c>
    </row>
    <row r="405" spans="1:5" x14ac:dyDescent="0.2">
      <c r="A405" s="49"/>
      <c r="B405" s="47"/>
      <c r="C405" s="613"/>
      <c r="D405" s="49"/>
      <c r="E405" s="49" t="str">
        <f t="shared" si="7"/>
        <v/>
      </c>
    </row>
    <row r="406" spans="1:5" x14ac:dyDescent="0.2">
      <c r="A406" s="49"/>
      <c r="B406" s="47"/>
      <c r="C406" s="613"/>
      <c r="D406" s="49"/>
      <c r="E406" s="49" t="str">
        <f t="shared" si="7"/>
        <v/>
      </c>
    </row>
    <row r="407" spans="1:5" x14ac:dyDescent="0.2">
      <c r="A407" s="49"/>
      <c r="B407" s="47"/>
      <c r="C407" s="613"/>
      <c r="D407" s="49"/>
      <c r="E407" s="49" t="str">
        <f t="shared" si="7"/>
        <v/>
      </c>
    </row>
    <row r="408" spans="1:5" x14ac:dyDescent="0.2">
      <c r="A408" s="49"/>
      <c r="B408" s="47"/>
      <c r="C408" s="613"/>
      <c r="D408" s="49"/>
      <c r="E408" s="49" t="str">
        <f t="shared" si="7"/>
        <v/>
      </c>
    </row>
    <row r="409" spans="1:5" x14ac:dyDescent="0.2">
      <c r="A409" s="49"/>
      <c r="B409" s="47"/>
      <c r="C409" s="613"/>
      <c r="D409" s="49"/>
      <c r="E409" s="49" t="str">
        <f t="shared" si="7"/>
        <v/>
      </c>
    </row>
    <row r="410" spans="1:5" x14ac:dyDescent="0.2">
      <c r="A410" s="49"/>
      <c r="B410" s="47"/>
      <c r="C410" s="613"/>
      <c r="D410" s="49"/>
      <c r="E410" s="49" t="str">
        <f t="shared" si="7"/>
        <v/>
      </c>
    </row>
    <row r="411" spans="1:5" x14ac:dyDescent="0.2">
      <c r="A411" s="49"/>
      <c r="B411" s="47"/>
      <c r="C411" s="613"/>
      <c r="D411" s="49"/>
      <c r="E411" s="49" t="str">
        <f t="shared" si="7"/>
        <v/>
      </c>
    </row>
    <row r="412" spans="1:5" x14ac:dyDescent="0.2">
      <c r="A412" s="49"/>
      <c r="B412" s="47"/>
      <c r="C412" s="613"/>
      <c r="D412" s="49"/>
      <c r="E412" s="49" t="str">
        <f t="shared" si="7"/>
        <v/>
      </c>
    </row>
    <row r="413" spans="1:5" x14ac:dyDescent="0.2">
      <c r="A413" s="49"/>
      <c r="B413" s="47"/>
      <c r="C413" s="613"/>
      <c r="D413" s="49"/>
      <c r="E413" s="49" t="str">
        <f t="shared" si="7"/>
        <v/>
      </c>
    </row>
    <row r="414" spans="1:5" x14ac:dyDescent="0.2">
      <c r="A414" s="49"/>
      <c r="B414" s="47"/>
      <c r="C414" s="613"/>
      <c r="D414" s="49"/>
      <c r="E414" s="49" t="str">
        <f t="shared" si="7"/>
        <v/>
      </c>
    </row>
    <row r="415" spans="1:5" x14ac:dyDescent="0.2">
      <c r="A415" s="49"/>
      <c r="B415" s="47"/>
      <c r="C415" s="613"/>
      <c r="D415" s="49"/>
      <c r="E415" s="49" t="str">
        <f t="shared" si="7"/>
        <v/>
      </c>
    </row>
    <row r="416" spans="1:5" x14ac:dyDescent="0.2">
      <c r="A416" s="49"/>
      <c r="B416" s="47"/>
      <c r="C416" s="613"/>
      <c r="D416" s="49"/>
      <c r="E416" s="49" t="str">
        <f t="shared" si="7"/>
        <v/>
      </c>
    </row>
    <row r="417" spans="1:5" x14ac:dyDescent="0.2">
      <c r="A417" s="49"/>
      <c r="B417" s="47"/>
      <c r="C417" s="613"/>
      <c r="D417" s="49"/>
      <c r="E417" s="49" t="str">
        <f t="shared" si="7"/>
        <v/>
      </c>
    </row>
    <row r="418" spans="1:5" x14ac:dyDescent="0.2">
      <c r="A418" s="49"/>
      <c r="B418" s="47"/>
      <c r="C418" s="613"/>
      <c r="D418" s="49"/>
      <c r="E418" s="49" t="str">
        <f t="shared" si="7"/>
        <v/>
      </c>
    </row>
    <row r="419" spans="1:5" x14ac:dyDescent="0.2">
      <c r="A419" s="49"/>
      <c r="B419" s="47"/>
      <c r="C419" s="613"/>
      <c r="D419" s="49"/>
      <c r="E419" s="49" t="str">
        <f t="shared" si="7"/>
        <v/>
      </c>
    </row>
    <row r="420" spans="1:5" x14ac:dyDescent="0.2">
      <c r="A420" s="49"/>
      <c r="B420" s="47"/>
      <c r="C420" s="613"/>
      <c r="D420" s="49"/>
      <c r="E420" s="49" t="str">
        <f t="shared" si="7"/>
        <v/>
      </c>
    </row>
    <row r="421" spans="1:5" x14ac:dyDescent="0.2">
      <c r="A421" s="49"/>
      <c r="B421" s="47"/>
      <c r="C421" s="613"/>
      <c r="D421" s="49"/>
      <c r="E421" s="49" t="str">
        <f t="shared" si="7"/>
        <v/>
      </c>
    </row>
    <row r="422" spans="1:5" x14ac:dyDescent="0.2">
      <c r="A422" s="49"/>
      <c r="B422" s="47"/>
      <c r="C422" s="613"/>
      <c r="D422" s="49"/>
      <c r="E422" s="49" t="str">
        <f t="shared" si="7"/>
        <v/>
      </c>
    </row>
    <row r="423" spans="1:5" x14ac:dyDescent="0.2">
      <c r="A423" s="49"/>
      <c r="B423" s="47"/>
      <c r="C423" s="613"/>
      <c r="D423" s="49"/>
      <c r="E423" s="49" t="str">
        <f t="shared" si="7"/>
        <v/>
      </c>
    </row>
    <row r="424" spans="1:5" x14ac:dyDescent="0.2">
      <c r="A424" s="49"/>
      <c r="B424" s="47"/>
      <c r="C424" s="613"/>
      <c r="D424" s="49"/>
      <c r="E424" s="49" t="str">
        <f t="shared" si="7"/>
        <v/>
      </c>
    </row>
    <row r="425" spans="1:5" x14ac:dyDescent="0.2">
      <c r="A425" s="49"/>
      <c r="B425" s="47"/>
      <c r="C425" s="613"/>
      <c r="D425" s="49"/>
      <c r="E425" s="49" t="str">
        <f t="shared" si="7"/>
        <v/>
      </c>
    </row>
    <row r="426" spans="1:5" x14ac:dyDescent="0.2">
      <c r="A426" s="49"/>
      <c r="B426" s="47"/>
      <c r="C426" s="613"/>
      <c r="D426" s="49"/>
      <c r="E426" s="49" t="str">
        <f t="shared" si="7"/>
        <v/>
      </c>
    </row>
    <row r="427" spans="1:5" x14ac:dyDescent="0.2">
      <c r="A427" s="49"/>
      <c r="B427" s="47"/>
      <c r="C427" s="613"/>
      <c r="D427" s="49"/>
      <c r="E427" s="49" t="str">
        <f t="shared" si="7"/>
        <v/>
      </c>
    </row>
    <row r="428" spans="1:5" x14ac:dyDescent="0.2">
      <c r="A428" s="49"/>
      <c r="B428" s="47"/>
      <c r="C428" s="613"/>
      <c r="D428" s="49"/>
      <c r="E428" s="49" t="str">
        <f t="shared" si="7"/>
        <v/>
      </c>
    </row>
    <row r="429" spans="1:5" x14ac:dyDescent="0.2">
      <c r="A429" s="49"/>
      <c r="B429" s="47"/>
      <c r="C429" s="613"/>
      <c r="D429" s="49"/>
      <c r="E429" s="49" t="str">
        <f t="shared" si="7"/>
        <v/>
      </c>
    </row>
    <row r="430" spans="1:5" x14ac:dyDescent="0.2">
      <c r="A430" s="49"/>
      <c r="B430" s="47"/>
      <c r="C430" s="613"/>
      <c r="D430" s="49"/>
      <c r="E430" s="49" t="str">
        <f t="shared" si="7"/>
        <v/>
      </c>
    </row>
    <row r="431" spans="1:5" x14ac:dyDescent="0.2">
      <c r="A431" s="49"/>
      <c r="B431" s="47"/>
      <c r="C431" s="613"/>
      <c r="D431" s="49"/>
      <c r="E431" s="49" t="str">
        <f t="shared" si="7"/>
        <v/>
      </c>
    </row>
    <row r="432" spans="1:5" x14ac:dyDescent="0.2">
      <c r="A432" s="49"/>
      <c r="B432" s="47"/>
      <c r="C432" s="613"/>
      <c r="D432" s="49"/>
      <c r="E432" s="49" t="str">
        <f t="shared" si="7"/>
        <v/>
      </c>
    </row>
    <row r="433" spans="1:5" x14ac:dyDescent="0.2">
      <c r="A433" s="49"/>
      <c r="B433" s="47"/>
      <c r="C433" s="613"/>
      <c r="D433" s="49"/>
      <c r="E433" s="49" t="str">
        <f t="shared" si="7"/>
        <v/>
      </c>
    </row>
    <row r="434" spans="1:5" x14ac:dyDescent="0.2">
      <c r="A434" s="49"/>
      <c r="B434" s="47"/>
      <c r="C434" s="613"/>
      <c r="D434" s="49"/>
      <c r="E434" s="49" t="str">
        <f t="shared" si="7"/>
        <v/>
      </c>
    </row>
    <row r="435" spans="1:5" x14ac:dyDescent="0.2">
      <c r="A435" s="49"/>
      <c r="B435" s="47"/>
      <c r="C435" s="613"/>
      <c r="D435" s="49"/>
      <c r="E435" s="49" t="str">
        <f t="shared" si="7"/>
        <v/>
      </c>
    </row>
    <row r="436" spans="1:5" x14ac:dyDescent="0.2">
      <c r="A436" s="49"/>
      <c r="B436" s="47"/>
      <c r="C436" s="613"/>
      <c r="D436" s="49"/>
      <c r="E436" s="49" t="str">
        <f t="shared" si="7"/>
        <v/>
      </c>
    </row>
    <row r="437" spans="1:5" x14ac:dyDescent="0.2">
      <c r="A437" s="49"/>
      <c r="B437" s="47"/>
      <c r="C437" s="613"/>
      <c r="D437" s="49"/>
      <c r="E437" s="49" t="str">
        <f t="shared" si="7"/>
        <v/>
      </c>
    </row>
    <row r="438" spans="1:5" x14ac:dyDescent="0.2">
      <c r="A438" s="49"/>
      <c r="B438" s="47"/>
      <c r="C438" s="613"/>
      <c r="D438" s="49"/>
      <c r="E438" s="49" t="str">
        <f t="shared" si="7"/>
        <v/>
      </c>
    </row>
    <row r="439" spans="1:5" x14ac:dyDescent="0.2">
      <c r="A439" s="49"/>
      <c r="B439" s="47"/>
      <c r="C439" s="613"/>
      <c r="D439" s="49"/>
      <c r="E439" s="49" t="str">
        <f t="shared" si="7"/>
        <v/>
      </c>
    </row>
    <row r="440" spans="1:5" x14ac:dyDescent="0.2">
      <c r="A440" s="49"/>
      <c r="B440" s="47"/>
      <c r="C440" s="613"/>
      <c r="D440" s="49"/>
      <c r="E440" s="49" t="str">
        <f t="shared" si="7"/>
        <v/>
      </c>
    </row>
    <row r="441" spans="1:5" x14ac:dyDescent="0.2">
      <c r="A441" s="49"/>
      <c r="B441" s="47"/>
      <c r="C441" s="613"/>
      <c r="D441" s="49"/>
      <c r="E441" s="49" t="str">
        <f t="shared" si="7"/>
        <v/>
      </c>
    </row>
    <row r="442" spans="1:5" x14ac:dyDescent="0.2">
      <c r="A442" s="49"/>
      <c r="B442" s="47"/>
      <c r="C442" s="613"/>
      <c r="D442" s="49"/>
      <c r="E442" s="49" t="str">
        <f t="shared" si="7"/>
        <v/>
      </c>
    </row>
    <row r="443" spans="1:5" x14ac:dyDescent="0.2">
      <c r="A443" s="49"/>
      <c r="B443" s="47"/>
      <c r="C443" s="613"/>
      <c r="D443" s="49"/>
      <c r="E443" s="49" t="str">
        <f t="shared" si="7"/>
        <v/>
      </c>
    </row>
    <row r="444" spans="1:5" x14ac:dyDescent="0.2">
      <c r="A444" s="49"/>
      <c r="B444" s="47"/>
      <c r="C444" s="613"/>
      <c r="D444" s="49"/>
      <c r="E444" s="49" t="str">
        <f t="shared" si="7"/>
        <v/>
      </c>
    </row>
    <row r="445" spans="1:5" x14ac:dyDescent="0.2">
      <c r="A445" s="49"/>
      <c r="B445" s="47"/>
      <c r="C445" s="613"/>
      <c r="D445" s="49"/>
      <c r="E445" s="49" t="str">
        <f t="shared" si="7"/>
        <v/>
      </c>
    </row>
    <row r="446" spans="1:5" x14ac:dyDescent="0.2">
      <c r="A446" s="49"/>
      <c r="B446" s="47"/>
      <c r="C446" s="613"/>
      <c r="D446" s="49"/>
      <c r="E446" s="49" t="str">
        <f t="shared" si="7"/>
        <v/>
      </c>
    </row>
    <row r="447" spans="1:5" x14ac:dyDescent="0.2">
      <c r="A447" s="49"/>
      <c r="B447" s="47"/>
      <c r="C447" s="613"/>
      <c r="D447" s="49"/>
      <c r="E447" s="49" t="str">
        <f t="shared" si="7"/>
        <v/>
      </c>
    </row>
    <row r="448" spans="1:5" x14ac:dyDescent="0.2">
      <c r="A448" s="49"/>
      <c r="B448" s="47"/>
      <c r="C448" s="613"/>
      <c r="D448" s="49"/>
      <c r="E448" s="49" t="str">
        <f t="shared" si="7"/>
        <v/>
      </c>
    </row>
    <row r="449" spans="1:5" x14ac:dyDescent="0.2">
      <c r="A449" s="49"/>
      <c r="B449" s="47"/>
      <c r="C449" s="613"/>
      <c r="D449" s="49"/>
      <c r="E449" s="49" t="str">
        <f t="shared" si="7"/>
        <v/>
      </c>
    </row>
    <row r="450" spans="1:5" x14ac:dyDescent="0.2">
      <c r="A450" s="49"/>
      <c r="B450" s="47"/>
      <c r="C450" s="613"/>
      <c r="D450" s="49"/>
      <c r="E450" s="49" t="str">
        <f t="shared" si="7"/>
        <v/>
      </c>
    </row>
    <row r="451" spans="1:5" x14ac:dyDescent="0.2">
      <c r="A451" s="49"/>
      <c r="B451" s="47"/>
      <c r="C451" s="613"/>
      <c r="D451" s="49"/>
      <c r="E451" s="49" t="str">
        <f t="shared" si="7"/>
        <v/>
      </c>
    </row>
    <row r="452" spans="1:5" x14ac:dyDescent="0.2">
      <c r="A452" s="49"/>
      <c r="B452" s="47"/>
      <c r="C452" s="613"/>
      <c r="D452" s="49"/>
      <c r="E452" s="49" t="str">
        <f t="shared" si="7"/>
        <v/>
      </c>
    </row>
    <row r="453" spans="1:5" x14ac:dyDescent="0.2">
      <c r="A453" s="49"/>
      <c r="B453" s="47"/>
      <c r="C453" s="613"/>
      <c r="D453" s="49"/>
      <c r="E453" s="49" t="str">
        <f t="shared" ref="E453:E516" si="8">IFERROR(VLOOKUP(D453,T_Indices,5,FALSE),"")</f>
        <v/>
      </c>
    </row>
    <row r="454" spans="1:5" x14ac:dyDescent="0.2">
      <c r="A454" s="49"/>
      <c r="B454" s="47"/>
      <c r="C454" s="613"/>
      <c r="D454" s="49"/>
      <c r="E454" s="49" t="str">
        <f t="shared" si="8"/>
        <v/>
      </c>
    </row>
    <row r="455" spans="1:5" x14ac:dyDescent="0.2">
      <c r="A455" s="49"/>
      <c r="B455" s="47"/>
      <c r="C455" s="613"/>
      <c r="D455" s="49"/>
      <c r="E455" s="49" t="str">
        <f t="shared" si="8"/>
        <v/>
      </c>
    </row>
    <row r="456" spans="1:5" x14ac:dyDescent="0.2">
      <c r="A456" s="49"/>
      <c r="B456" s="47"/>
      <c r="C456" s="613"/>
      <c r="D456" s="49"/>
      <c r="E456" s="49" t="str">
        <f t="shared" si="8"/>
        <v/>
      </c>
    </row>
    <row r="457" spans="1:5" x14ac:dyDescent="0.2">
      <c r="A457" s="49"/>
      <c r="B457" s="47"/>
      <c r="C457" s="613"/>
      <c r="D457" s="49"/>
      <c r="E457" s="49" t="str">
        <f t="shared" si="8"/>
        <v/>
      </c>
    </row>
    <row r="458" spans="1:5" x14ac:dyDescent="0.2">
      <c r="A458" s="49"/>
      <c r="B458" s="47"/>
      <c r="C458" s="613"/>
      <c r="D458" s="49"/>
      <c r="E458" s="49" t="str">
        <f t="shared" si="8"/>
        <v/>
      </c>
    </row>
    <row r="459" spans="1:5" x14ac:dyDescent="0.2">
      <c r="A459" s="49"/>
      <c r="B459" s="47"/>
      <c r="C459" s="613"/>
      <c r="D459" s="49"/>
      <c r="E459" s="49" t="str">
        <f t="shared" si="8"/>
        <v/>
      </c>
    </row>
    <row r="460" spans="1:5" x14ac:dyDescent="0.2">
      <c r="A460" s="49"/>
      <c r="B460" s="47"/>
      <c r="C460" s="613"/>
      <c r="D460" s="49"/>
      <c r="E460" s="49" t="str">
        <f t="shared" si="8"/>
        <v/>
      </c>
    </row>
    <row r="461" spans="1:5" x14ac:dyDescent="0.2">
      <c r="A461" s="49"/>
      <c r="B461" s="47"/>
      <c r="C461" s="613"/>
      <c r="D461" s="49"/>
      <c r="E461" s="49" t="str">
        <f t="shared" si="8"/>
        <v/>
      </c>
    </row>
    <row r="462" spans="1:5" x14ac:dyDescent="0.2">
      <c r="A462" s="49"/>
      <c r="B462" s="47"/>
      <c r="C462" s="613"/>
      <c r="D462" s="49"/>
      <c r="E462" s="49" t="str">
        <f t="shared" si="8"/>
        <v/>
      </c>
    </row>
    <row r="463" spans="1:5" x14ac:dyDescent="0.2">
      <c r="A463" s="49"/>
      <c r="B463" s="47"/>
      <c r="C463" s="613"/>
      <c r="D463" s="49"/>
      <c r="E463" s="49" t="str">
        <f t="shared" si="8"/>
        <v/>
      </c>
    </row>
    <row r="464" spans="1:5" x14ac:dyDescent="0.2">
      <c r="A464" s="49"/>
      <c r="B464" s="47"/>
      <c r="C464" s="613"/>
      <c r="D464" s="49"/>
      <c r="E464" s="49" t="str">
        <f t="shared" si="8"/>
        <v/>
      </c>
    </row>
    <row r="465" spans="1:5" x14ac:dyDescent="0.2">
      <c r="A465" s="49"/>
      <c r="B465" s="47"/>
      <c r="C465" s="613"/>
      <c r="D465" s="49"/>
      <c r="E465" s="49" t="str">
        <f t="shared" si="8"/>
        <v/>
      </c>
    </row>
    <row r="466" spans="1:5" x14ac:dyDescent="0.2">
      <c r="A466" s="49"/>
      <c r="B466" s="47"/>
      <c r="C466" s="613"/>
      <c r="D466" s="49"/>
      <c r="E466" s="49" t="str">
        <f t="shared" si="8"/>
        <v/>
      </c>
    </row>
    <row r="467" spans="1:5" x14ac:dyDescent="0.2">
      <c r="A467" s="49"/>
      <c r="B467" s="47"/>
      <c r="C467" s="613"/>
      <c r="D467" s="49"/>
      <c r="E467" s="49" t="str">
        <f t="shared" si="8"/>
        <v/>
      </c>
    </row>
    <row r="468" spans="1:5" x14ac:dyDescent="0.2">
      <c r="A468" s="49"/>
      <c r="B468" s="47"/>
      <c r="C468" s="613"/>
      <c r="D468" s="49"/>
      <c r="E468" s="49" t="str">
        <f t="shared" si="8"/>
        <v/>
      </c>
    </row>
    <row r="469" spans="1:5" x14ac:dyDescent="0.2">
      <c r="A469" s="49"/>
      <c r="B469" s="47"/>
      <c r="C469" s="613"/>
      <c r="D469" s="49"/>
      <c r="E469" s="49" t="str">
        <f t="shared" si="8"/>
        <v/>
      </c>
    </row>
    <row r="470" spans="1:5" x14ac:dyDescent="0.2">
      <c r="A470" s="49"/>
      <c r="B470" s="47"/>
      <c r="C470" s="613"/>
      <c r="D470" s="49"/>
      <c r="E470" s="49" t="str">
        <f t="shared" si="8"/>
        <v/>
      </c>
    </row>
    <row r="471" spans="1:5" x14ac:dyDescent="0.2">
      <c r="A471" s="49"/>
      <c r="B471" s="47"/>
      <c r="C471" s="613"/>
      <c r="D471" s="49"/>
      <c r="E471" s="49" t="str">
        <f t="shared" si="8"/>
        <v/>
      </c>
    </row>
    <row r="472" spans="1:5" x14ac:dyDescent="0.2">
      <c r="A472" s="49"/>
      <c r="B472" s="47"/>
      <c r="C472" s="613"/>
      <c r="D472" s="49"/>
      <c r="E472" s="49" t="str">
        <f t="shared" si="8"/>
        <v/>
      </c>
    </row>
    <row r="473" spans="1:5" x14ac:dyDescent="0.2">
      <c r="A473" s="49"/>
      <c r="B473" s="47"/>
      <c r="C473" s="613"/>
      <c r="D473" s="49"/>
      <c r="E473" s="49" t="str">
        <f t="shared" si="8"/>
        <v/>
      </c>
    </row>
    <row r="474" spans="1:5" x14ac:dyDescent="0.2">
      <c r="A474" s="49"/>
      <c r="B474" s="47"/>
      <c r="C474" s="613"/>
      <c r="D474" s="49"/>
      <c r="E474" s="49" t="str">
        <f t="shared" si="8"/>
        <v/>
      </c>
    </row>
    <row r="475" spans="1:5" x14ac:dyDescent="0.2">
      <c r="A475" s="49"/>
      <c r="B475" s="47"/>
      <c r="C475" s="613"/>
      <c r="D475" s="49"/>
      <c r="E475" s="49" t="str">
        <f t="shared" si="8"/>
        <v/>
      </c>
    </row>
    <row r="476" spans="1:5" x14ac:dyDescent="0.2">
      <c r="A476" s="49"/>
      <c r="B476" s="47"/>
      <c r="C476" s="613"/>
      <c r="D476" s="49"/>
      <c r="E476" s="49" t="str">
        <f t="shared" si="8"/>
        <v/>
      </c>
    </row>
    <row r="477" spans="1:5" x14ac:dyDescent="0.2">
      <c r="A477" s="49"/>
      <c r="B477" s="47"/>
      <c r="C477" s="613"/>
      <c r="D477" s="49"/>
      <c r="E477" s="49" t="str">
        <f t="shared" si="8"/>
        <v/>
      </c>
    </row>
    <row r="478" spans="1:5" x14ac:dyDescent="0.2">
      <c r="A478" s="49"/>
      <c r="B478" s="47"/>
      <c r="C478" s="613"/>
      <c r="D478" s="49"/>
      <c r="E478" s="49" t="str">
        <f t="shared" si="8"/>
        <v/>
      </c>
    </row>
    <row r="479" spans="1:5" x14ac:dyDescent="0.2">
      <c r="A479" s="49"/>
      <c r="B479" s="47"/>
      <c r="C479" s="613"/>
      <c r="D479" s="49"/>
      <c r="E479" s="49" t="str">
        <f t="shared" si="8"/>
        <v/>
      </c>
    </row>
    <row r="480" spans="1:5" x14ac:dyDescent="0.2">
      <c r="A480" s="49"/>
      <c r="B480" s="47"/>
      <c r="C480" s="613"/>
      <c r="D480" s="49"/>
      <c r="E480" s="49" t="str">
        <f t="shared" si="8"/>
        <v/>
      </c>
    </row>
    <row r="481" spans="1:5" x14ac:dyDescent="0.2">
      <c r="A481" s="49"/>
      <c r="B481" s="47"/>
      <c r="C481" s="613"/>
      <c r="D481" s="49"/>
      <c r="E481" s="49" t="str">
        <f t="shared" si="8"/>
        <v/>
      </c>
    </row>
    <row r="482" spans="1:5" x14ac:dyDescent="0.2">
      <c r="A482" s="49"/>
      <c r="B482" s="47"/>
      <c r="C482" s="613"/>
      <c r="D482" s="49"/>
      <c r="E482" s="49" t="str">
        <f t="shared" si="8"/>
        <v/>
      </c>
    </row>
    <row r="483" spans="1:5" x14ac:dyDescent="0.2">
      <c r="A483" s="49"/>
      <c r="B483" s="47"/>
      <c r="C483" s="613"/>
      <c r="D483" s="49"/>
      <c r="E483" s="49" t="str">
        <f t="shared" si="8"/>
        <v/>
      </c>
    </row>
    <row r="484" spans="1:5" x14ac:dyDescent="0.2">
      <c r="A484" s="49"/>
      <c r="B484" s="47"/>
      <c r="C484" s="613"/>
      <c r="D484" s="49"/>
      <c r="E484" s="49" t="str">
        <f t="shared" si="8"/>
        <v/>
      </c>
    </row>
    <row r="485" spans="1:5" x14ac:dyDescent="0.2">
      <c r="A485" s="49"/>
      <c r="B485" s="47"/>
      <c r="C485" s="613"/>
      <c r="D485" s="49"/>
      <c r="E485" s="49" t="str">
        <f t="shared" si="8"/>
        <v/>
      </c>
    </row>
    <row r="486" spans="1:5" x14ac:dyDescent="0.2">
      <c r="A486" s="49"/>
      <c r="B486" s="47"/>
      <c r="C486" s="613"/>
      <c r="D486" s="49"/>
      <c r="E486" s="49" t="str">
        <f t="shared" si="8"/>
        <v/>
      </c>
    </row>
    <row r="487" spans="1:5" x14ac:dyDescent="0.2">
      <c r="A487" s="49"/>
      <c r="B487" s="47"/>
      <c r="C487" s="613"/>
      <c r="D487" s="49"/>
      <c r="E487" s="49" t="str">
        <f t="shared" si="8"/>
        <v/>
      </c>
    </row>
    <row r="488" spans="1:5" x14ac:dyDescent="0.2">
      <c r="A488" s="49"/>
      <c r="B488" s="47"/>
      <c r="C488" s="613"/>
      <c r="D488" s="49"/>
      <c r="E488" s="49" t="str">
        <f t="shared" si="8"/>
        <v/>
      </c>
    </row>
    <row r="489" spans="1:5" x14ac:dyDescent="0.2">
      <c r="A489" s="49"/>
      <c r="B489" s="47"/>
      <c r="C489" s="613"/>
      <c r="D489" s="49"/>
      <c r="E489" s="49" t="str">
        <f t="shared" si="8"/>
        <v/>
      </c>
    </row>
    <row r="490" spans="1:5" x14ac:dyDescent="0.2">
      <c r="A490" s="49"/>
      <c r="B490" s="47"/>
      <c r="C490" s="613"/>
      <c r="D490" s="49"/>
      <c r="E490" s="49" t="str">
        <f t="shared" si="8"/>
        <v/>
      </c>
    </row>
    <row r="491" spans="1:5" x14ac:dyDescent="0.2">
      <c r="A491" s="49"/>
      <c r="B491" s="47"/>
      <c r="C491" s="613"/>
      <c r="D491" s="49"/>
      <c r="E491" s="49" t="str">
        <f t="shared" si="8"/>
        <v/>
      </c>
    </row>
    <row r="492" spans="1:5" x14ac:dyDescent="0.2">
      <c r="A492" s="49"/>
      <c r="B492" s="47"/>
      <c r="C492" s="613"/>
      <c r="D492" s="49"/>
      <c r="E492" s="49" t="str">
        <f t="shared" si="8"/>
        <v/>
      </c>
    </row>
    <row r="493" spans="1:5" x14ac:dyDescent="0.2">
      <c r="A493" s="49"/>
      <c r="B493" s="47"/>
      <c r="C493" s="613"/>
      <c r="D493" s="49"/>
      <c r="E493" s="49" t="str">
        <f t="shared" si="8"/>
        <v/>
      </c>
    </row>
    <row r="494" spans="1:5" x14ac:dyDescent="0.2">
      <c r="A494" s="49"/>
      <c r="B494" s="47"/>
      <c r="C494" s="613"/>
      <c r="D494" s="49"/>
      <c r="E494" s="49" t="str">
        <f t="shared" si="8"/>
        <v/>
      </c>
    </row>
    <row r="495" spans="1:5" x14ac:dyDescent="0.2">
      <c r="A495" s="49"/>
      <c r="B495" s="47"/>
      <c r="C495" s="613"/>
      <c r="D495" s="49"/>
      <c r="E495" s="49" t="str">
        <f t="shared" si="8"/>
        <v/>
      </c>
    </row>
    <row r="496" spans="1:5" x14ac:dyDescent="0.2">
      <c r="A496" s="49"/>
      <c r="B496" s="47"/>
      <c r="C496" s="613"/>
      <c r="D496" s="49"/>
      <c r="E496" s="49" t="str">
        <f t="shared" si="8"/>
        <v/>
      </c>
    </row>
    <row r="497" spans="1:5" x14ac:dyDescent="0.2">
      <c r="A497" s="49"/>
      <c r="B497" s="47"/>
      <c r="C497" s="613"/>
      <c r="D497" s="49"/>
      <c r="E497" s="49" t="str">
        <f t="shared" si="8"/>
        <v/>
      </c>
    </row>
    <row r="498" spans="1:5" x14ac:dyDescent="0.2">
      <c r="A498" s="49"/>
      <c r="B498" s="47"/>
      <c r="C498" s="613"/>
      <c r="D498" s="49"/>
      <c r="E498" s="49" t="str">
        <f t="shared" si="8"/>
        <v/>
      </c>
    </row>
    <row r="499" spans="1:5" x14ac:dyDescent="0.2">
      <c r="A499" s="49"/>
      <c r="B499" s="47"/>
      <c r="C499" s="613"/>
      <c r="D499" s="49"/>
      <c r="E499" s="49" t="str">
        <f t="shared" si="8"/>
        <v/>
      </c>
    </row>
    <row r="500" spans="1:5" x14ac:dyDescent="0.2">
      <c r="A500" s="49"/>
      <c r="B500" s="47"/>
      <c r="C500" s="613"/>
      <c r="D500" s="49"/>
      <c r="E500" s="49" t="str">
        <f t="shared" si="8"/>
        <v/>
      </c>
    </row>
    <row r="501" spans="1:5" x14ac:dyDescent="0.2">
      <c r="A501" s="49"/>
      <c r="B501" s="47"/>
      <c r="C501" s="613"/>
      <c r="D501" s="49"/>
      <c r="E501" s="49" t="str">
        <f t="shared" si="8"/>
        <v/>
      </c>
    </row>
    <row r="502" spans="1:5" x14ac:dyDescent="0.2">
      <c r="A502" s="49"/>
      <c r="B502" s="47"/>
      <c r="C502" s="613"/>
      <c r="D502" s="49"/>
      <c r="E502" s="49" t="str">
        <f t="shared" si="8"/>
        <v/>
      </c>
    </row>
    <row r="503" spans="1:5" x14ac:dyDescent="0.2">
      <c r="A503" s="49"/>
      <c r="B503" s="47"/>
      <c r="C503" s="613"/>
      <c r="D503" s="49"/>
      <c r="E503" s="49" t="str">
        <f t="shared" si="8"/>
        <v/>
      </c>
    </row>
    <row r="504" spans="1:5" x14ac:dyDescent="0.2">
      <c r="A504" s="49"/>
      <c r="B504" s="47"/>
      <c r="C504" s="613"/>
      <c r="D504" s="49"/>
      <c r="E504" s="49" t="str">
        <f t="shared" si="8"/>
        <v/>
      </c>
    </row>
    <row r="505" spans="1:5" x14ac:dyDescent="0.2">
      <c r="A505" s="49"/>
      <c r="B505" s="47"/>
      <c r="C505" s="613"/>
      <c r="D505" s="49"/>
      <c r="E505" s="49" t="str">
        <f t="shared" si="8"/>
        <v/>
      </c>
    </row>
    <row r="506" spans="1:5" x14ac:dyDescent="0.2">
      <c r="A506" s="49"/>
      <c r="B506" s="47"/>
      <c r="C506" s="613"/>
      <c r="D506" s="49"/>
      <c r="E506" s="49" t="str">
        <f t="shared" si="8"/>
        <v/>
      </c>
    </row>
    <row r="507" spans="1:5" x14ac:dyDescent="0.2">
      <c r="A507" s="49"/>
      <c r="B507" s="47"/>
      <c r="C507" s="613"/>
      <c r="D507" s="49"/>
      <c r="E507" s="49" t="str">
        <f t="shared" si="8"/>
        <v/>
      </c>
    </row>
    <row r="508" spans="1:5" x14ac:dyDescent="0.2">
      <c r="A508" s="49"/>
      <c r="B508" s="47"/>
      <c r="C508" s="613"/>
      <c r="D508" s="49"/>
      <c r="E508" s="49" t="str">
        <f t="shared" si="8"/>
        <v/>
      </c>
    </row>
    <row r="509" spans="1:5" x14ac:dyDescent="0.2">
      <c r="A509" s="49"/>
      <c r="B509" s="47"/>
      <c r="C509" s="613"/>
      <c r="D509" s="49"/>
      <c r="E509" s="49" t="str">
        <f t="shared" si="8"/>
        <v/>
      </c>
    </row>
    <row r="510" spans="1:5" x14ac:dyDescent="0.2">
      <c r="A510" s="49"/>
      <c r="B510" s="47"/>
      <c r="C510" s="613"/>
      <c r="D510" s="49"/>
      <c r="E510" s="49" t="str">
        <f t="shared" si="8"/>
        <v/>
      </c>
    </row>
    <row r="511" spans="1:5" x14ac:dyDescent="0.2">
      <c r="A511" s="49"/>
      <c r="B511" s="47"/>
      <c r="C511" s="613"/>
      <c r="D511" s="49"/>
      <c r="E511" s="49" t="str">
        <f t="shared" si="8"/>
        <v/>
      </c>
    </row>
    <row r="512" spans="1:5" x14ac:dyDescent="0.2">
      <c r="A512" s="49"/>
      <c r="B512" s="47"/>
      <c r="C512" s="613"/>
      <c r="D512" s="49"/>
      <c r="E512" s="49" t="str">
        <f t="shared" si="8"/>
        <v/>
      </c>
    </row>
    <row r="513" spans="1:5" x14ac:dyDescent="0.2">
      <c r="A513" s="49"/>
      <c r="B513" s="47"/>
      <c r="C513" s="613"/>
      <c r="D513" s="49"/>
      <c r="E513" s="49" t="str">
        <f t="shared" si="8"/>
        <v/>
      </c>
    </row>
    <row r="514" spans="1:5" x14ac:dyDescent="0.2">
      <c r="A514" s="49"/>
      <c r="B514" s="47"/>
      <c r="C514" s="613"/>
      <c r="D514" s="49"/>
      <c r="E514" s="49" t="str">
        <f t="shared" si="8"/>
        <v/>
      </c>
    </row>
    <row r="515" spans="1:5" x14ac:dyDescent="0.2">
      <c r="A515" s="49"/>
      <c r="B515" s="47"/>
      <c r="C515" s="613"/>
      <c r="D515" s="49"/>
      <c r="E515" s="49" t="str">
        <f t="shared" si="8"/>
        <v/>
      </c>
    </row>
    <row r="516" spans="1:5" x14ac:dyDescent="0.2">
      <c r="A516" s="49"/>
      <c r="B516" s="47"/>
      <c r="C516" s="613"/>
      <c r="D516" s="49"/>
      <c r="E516" s="49" t="str">
        <f t="shared" si="8"/>
        <v/>
      </c>
    </row>
    <row r="517" spans="1:5" x14ac:dyDescent="0.2">
      <c r="A517" s="49"/>
      <c r="B517" s="47"/>
      <c r="C517" s="613"/>
      <c r="D517" s="49"/>
      <c r="E517" s="49" t="str">
        <f t="shared" ref="E517:E545" si="9">IFERROR(VLOOKUP(D517,T_Indices,5,FALSE),"")</f>
        <v/>
      </c>
    </row>
    <row r="518" spans="1:5" x14ac:dyDescent="0.2">
      <c r="A518" s="49"/>
      <c r="B518" s="47"/>
      <c r="C518" s="613"/>
      <c r="D518" s="49"/>
      <c r="E518" s="49" t="str">
        <f t="shared" si="9"/>
        <v/>
      </c>
    </row>
    <row r="519" spans="1:5" x14ac:dyDescent="0.2">
      <c r="A519" s="49"/>
      <c r="B519" s="47"/>
      <c r="C519" s="613"/>
      <c r="D519" s="49"/>
      <c r="E519" s="49" t="str">
        <f t="shared" si="9"/>
        <v/>
      </c>
    </row>
    <row r="520" spans="1:5" x14ac:dyDescent="0.2">
      <c r="A520" s="49"/>
      <c r="B520" s="47"/>
      <c r="C520" s="613"/>
      <c r="D520" s="49"/>
      <c r="E520" s="49" t="str">
        <f t="shared" si="9"/>
        <v/>
      </c>
    </row>
    <row r="521" spans="1:5" x14ac:dyDescent="0.2">
      <c r="A521" s="49"/>
      <c r="B521" s="47"/>
      <c r="C521" s="613"/>
      <c r="D521" s="49"/>
      <c r="E521" s="49" t="str">
        <f t="shared" si="9"/>
        <v/>
      </c>
    </row>
    <row r="522" spans="1:5" x14ac:dyDescent="0.2">
      <c r="A522" s="49"/>
      <c r="B522" s="47"/>
      <c r="C522" s="613"/>
      <c r="D522" s="49"/>
      <c r="E522" s="49" t="str">
        <f t="shared" si="9"/>
        <v/>
      </c>
    </row>
    <row r="523" spans="1:5" x14ac:dyDescent="0.2">
      <c r="A523" s="49"/>
      <c r="B523" s="47"/>
      <c r="C523" s="613"/>
      <c r="D523" s="49"/>
      <c r="E523" s="49" t="str">
        <f t="shared" si="9"/>
        <v/>
      </c>
    </row>
    <row r="524" spans="1:5" x14ac:dyDescent="0.2">
      <c r="A524" s="49"/>
      <c r="B524" s="47"/>
      <c r="C524" s="613"/>
      <c r="D524" s="49"/>
      <c r="E524" s="49" t="str">
        <f t="shared" si="9"/>
        <v/>
      </c>
    </row>
    <row r="525" spans="1:5" x14ac:dyDescent="0.2">
      <c r="A525" s="49"/>
      <c r="B525" s="47"/>
      <c r="C525" s="613"/>
      <c r="D525" s="49"/>
      <c r="E525" s="49" t="str">
        <f t="shared" si="9"/>
        <v/>
      </c>
    </row>
    <row r="526" spans="1:5" x14ac:dyDescent="0.2">
      <c r="A526" s="49"/>
      <c r="B526" s="47"/>
      <c r="C526" s="613"/>
      <c r="D526" s="49"/>
      <c r="E526" s="49" t="str">
        <f t="shared" si="9"/>
        <v/>
      </c>
    </row>
    <row r="527" spans="1:5" x14ac:dyDescent="0.2">
      <c r="A527" s="49"/>
      <c r="B527" s="47"/>
      <c r="C527" s="613"/>
      <c r="D527" s="49"/>
      <c r="E527" s="49" t="str">
        <f t="shared" si="9"/>
        <v/>
      </c>
    </row>
    <row r="528" spans="1:5" x14ac:dyDescent="0.2">
      <c r="A528" s="49"/>
      <c r="B528" s="47"/>
      <c r="C528" s="613"/>
      <c r="D528" s="49"/>
      <c r="E528" s="49" t="str">
        <f t="shared" si="9"/>
        <v/>
      </c>
    </row>
    <row r="529" spans="1:5" x14ac:dyDescent="0.2">
      <c r="A529" s="49"/>
      <c r="B529" s="47"/>
      <c r="C529" s="613"/>
      <c r="D529" s="49"/>
      <c r="E529" s="49" t="str">
        <f t="shared" si="9"/>
        <v/>
      </c>
    </row>
    <row r="530" spans="1:5" x14ac:dyDescent="0.2">
      <c r="A530" s="49"/>
      <c r="B530" s="47"/>
      <c r="C530" s="613"/>
      <c r="D530" s="49"/>
      <c r="E530" s="49" t="str">
        <f t="shared" si="9"/>
        <v/>
      </c>
    </row>
    <row r="531" spans="1:5" x14ac:dyDescent="0.2">
      <c r="A531" s="49"/>
      <c r="B531" s="47"/>
      <c r="C531" s="613"/>
      <c r="D531" s="49"/>
      <c r="E531" s="49" t="str">
        <f t="shared" si="9"/>
        <v/>
      </c>
    </row>
    <row r="532" spans="1:5" x14ac:dyDescent="0.2">
      <c r="A532" s="49"/>
      <c r="B532" s="47"/>
      <c r="C532" s="613"/>
      <c r="D532" s="49"/>
      <c r="E532" s="49" t="str">
        <f t="shared" si="9"/>
        <v/>
      </c>
    </row>
    <row r="533" spans="1:5" x14ac:dyDescent="0.2">
      <c r="A533" s="49"/>
      <c r="B533" s="47"/>
      <c r="C533" s="613"/>
      <c r="D533" s="49"/>
      <c r="E533" s="49" t="str">
        <f t="shared" si="9"/>
        <v/>
      </c>
    </row>
    <row r="534" spans="1:5" x14ac:dyDescent="0.2">
      <c r="A534" s="49"/>
      <c r="B534" s="47"/>
      <c r="C534" s="613"/>
      <c r="D534" s="49"/>
      <c r="E534" s="49" t="str">
        <f t="shared" si="9"/>
        <v/>
      </c>
    </row>
    <row r="535" spans="1:5" x14ac:dyDescent="0.2">
      <c r="A535" s="49"/>
      <c r="B535" s="47"/>
      <c r="C535" s="613"/>
      <c r="D535" s="49"/>
      <c r="E535" s="49" t="str">
        <f t="shared" si="9"/>
        <v/>
      </c>
    </row>
    <row r="536" spans="1:5" x14ac:dyDescent="0.2">
      <c r="A536" s="49"/>
      <c r="B536" s="47"/>
      <c r="C536" s="613"/>
      <c r="D536" s="49"/>
      <c r="E536" s="49" t="str">
        <f t="shared" si="9"/>
        <v/>
      </c>
    </row>
    <row r="537" spans="1:5" x14ac:dyDescent="0.2">
      <c r="A537" s="49"/>
      <c r="B537" s="47"/>
      <c r="C537" s="613"/>
      <c r="D537" s="49"/>
      <c r="E537" s="49" t="str">
        <f t="shared" si="9"/>
        <v/>
      </c>
    </row>
    <row r="538" spans="1:5" x14ac:dyDescent="0.2">
      <c r="A538" s="49"/>
      <c r="B538" s="47"/>
      <c r="C538" s="613"/>
      <c r="D538" s="49"/>
      <c r="E538" s="49" t="str">
        <f t="shared" si="9"/>
        <v/>
      </c>
    </row>
    <row r="539" spans="1:5" x14ac:dyDescent="0.2">
      <c r="A539" s="49"/>
      <c r="B539" s="47"/>
      <c r="C539" s="613"/>
      <c r="D539" s="49"/>
      <c r="E539" s="49" t="str">
        <f t="shared" si="9"/>
        <v/>
      </c>
    </row>
    <row r="540" spans="1:5" x14ac:dyDescent="0.2">
      <c r="A540" s="49"/>
      <c r="B540" s="47"/>
      <c r="C540" s="613"/>
      <c r="D540" s="49"/>
      <c r="E540" s="49" t="str">
        <f t="shared" si="9"/>
        <v/>
      </c>
    </row>
    <row r="541" spans="1:5" x14ac:dyDescent="0.2">
      <c r="A541" s="49"/>
      <c r="B541" s="47"/>
      <c r="C541" s="613"/>
      <c r="D541" s="49"/>
      <c r="E541" s="49" t="str">
        <f t="shared" si="9"/>
        <v/>
      </c>
    </row>
    <row r="542" spans="1:5" x14ac:dyDescent="0.2">
      <c r="A542" s="49"/>
      <c r="B542" s="47"/>
      <c r="C542" s="613"/>
      <c r="D542" s="49"/>
      <c r="E542" s="49" t="str">
        <f t="shared" si="9"/>
        <v/>
      </c>
    </row>
    <row r="543" spans="1:5" x14ac:dyDescent="0.2">
      <c r="A543" s="49"/>
      <c r="B543" s="47"/>
      <c r="C543" s="613"/>
      <c r="D543" s="49"/>
      <c r="E543" s="49" t="str">
        <f t="shared" si="9"/>
        <v/>
      </c>
    </row>
    <row r="544" spans="1:5" x14ac:dyDescent="0.2">
      <c r="A544" s="49"/>
      <c r="B544" s="47"/>
      <c r="C544" s="613"/>
      <c r="D544" s="49"/>
      <c r="E544" s="49" t="str">
        <f t="shared" si="9"/>
        <v/>
      </c>
    </row>
    <row r="545" spans="1:5" x14ac:dyDescent="0.2">
      <c r="A545" s="49"/>
      <c r="B545" s="47"/>
      <c r="C545" s="613"/>
      <c r="D545" s="49"/>
      <c r="E545" s="49" t="str">
        <f t="shared" si="9"/>
        <v/>
      </c>
    </row>
  </sheetData>
  <sortState xmlns:xlrd2="http://schemas.microsoft.com/office/spreadsheetml/2017/richdata2" ref="A33:G320">
    <sortCondition ref="A33:A320"/>
  </sortState>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dimension ref="A1:Q1411"/>
  <sheetViews>
    <sheetView workbookViewId="0">
      <selection activeCell="O33" sqref="O33"/>
    </sheetView>
  </sheetViews>
  <sheetFormatPr baseColWidth="10" defaultRowHeight="12.75" x14ac:dyDescent="0.2"/>
  <cols>
    <col min="1" max="1" width="33.7109375" style="560" customWidth="1"/>
    <col min="2" max="2" width="15.85546875" style="560" customWidth="1"/>
    <col min="3" max="4" width="13.85546875" style="560" customWidth="1"/>
    <col min="5" max="5" width="15.140625" style="560" customWidth="1"/>
    <col min="6" max="9" width="13.85546875" style="560" customWidth="1"/>
    <col min="10" max="10" width="16.7109375" style="560" customWidth="1"/>
    <col min="11" max="11" width="13.85546875" style="560" customWidth="1"/>
    <col min="12" max="14" width="11.42578125" style="560"/>
    <col min="15" max="15" width="49.85546875" style="560" bestFit="1" customWidth="1"/>
    <col min="16" max="16384" width="11.42578125" style="560"/>
  </cols>
  <sheetData>
    <row r="1" spans="1:17" x14ac:dyDescent="0.2">
      <c r="A1" s="560" t="s">
        <v>1931</v>
      </c>
    </row>
    <row r="2" spans="1:17" x14ac:dyDescent="0.2">
      <c r="A2" s="560" t="s">
        <v>1930</v>
      </c>
    </row>
    <row r="3" spans="1:17" x14ac:dyDescent="0.2">
      <c r="A3" s="560" t="s">
        <v>1928</v>
      </c>
    </row>
    <row r="4" spans="1:17" x14ac:dyDescent="0.2">
      <c r="A4" s="560" t="s">
        <v>1929</v>
      </c>
    </row>
    <row r="6" spans="1:17" ht="15.75" x14ac:dyDescent="0.25">
      <c r="A6" s="747" t="s">
        <v>1691</v>
      </c>
      <c r="B6" s="747"/>
      <c r="C6" s="747"/>
      <c r="D6" s="747"/>
      <c r="E6" s="747"/>
      <c r="F6" s="747"/>
      <c r="G6" s="747"/>
      <c r="H6" s="747"/>
      <c r="I6" s="747"/>
      <c r="J6" s="747"/>
      <c r="K6" s="747"/>
      <c r="P6" s="560">
        <v>140</v>
      </c>
      <c r="Q6" s="560">
        <v>900000</v>
      </c>
    </row>
    <row r="7" spans="1:17" x14ac:dyDescent="0.2">
      <c r="P7" s="560">
        <v>140</v>
      </c>
      <c r="Q7" s="560">
        <v>1260000</v>
      </c>
    </row>
    <row r="8" spans="1:17" s="543" customFormat="1" ht="38.25" x14ac:dyDescent="0.2">
      <c r="A8" s="555" t="s">
        <v>1692</v>
      </c>
      <c r="B8" s="555" t="s">
        <v>1693</v>
      </c>
      <c r="C8" s="555" t="s">
        <v>1694</v>
      </c>
      <c r="D8" s="555" t="s">
        <v>1695</v>
      </c>
      <c r="E8" s="555" t="s">
        <v>1702</v>
      </c>
      <c r="F8" s="555" t="s">
        <v>1696</v>
      </c>
      <c r="G8" s="555" t="s">
        <v>1697</v>
      </c>
      <c r="H8" s="555" t="s">
        <v>1698</v>
      </c>
      <c r="I8" s="555" t="s">
        <v>1699</v>
      </c>
      <c r="J8" s="555" t="s">
        <v>1700</v>
      </c>
      <c r="K8" s="555" t="s">
        <v>1701</v>
      </c>
      <c r="O8" s="560"/>
      <c r="P8" s="560">
        <v>140</v>
      </c>
      <c r="Q8" s="560">
        <v>1080000</v>
      </c>
    </row>
    <row r="9" spans="1:17" s="543" customFormat="1" x14ac:dyDescent="0.2">
      <c r="A9" s="556" t="s">
        <v>1713</v>
      </c>
      <c r="B9" s="555"/>
      <c r="C9" s="555"/>
      <c r="D9" s="555"/>
      <c r="E9" s="555"/>
      <c r="F9" s="555"/>
      <c r="G9" s="555"/>
      <c r="H9" s="555"/>
      <c r="I9" s="555"/>
      <c r="J9" s="555"/>
      <c r="K9" s="555"/>
      <c r="O9" s="560"/>
      <c r="P9" s="560"/>
      <c r="Q9" s="560"/>
    </row>
    <row r="10" spans="1:17" x14ac:dyDescent="0.2">
      <c r="A10" s="557"/>
      <c r="B10" s="557"/>
      <c r="C10" s="557"/>
      <c r="D10" s="558"/>
      <c r="E10" s="559"/>
      <c r="F10" s="557"/>
      <c r="G10" s="557"/>
      <c r="H10" s="557"/>
      <c r="I10" s="557"/>
      <c r="J10" s="557"/>
      <c r="K10" s="557"/>
      <c r="P10" s="560">
        <v>110</v>
      </c>
      <c r="Q10" s="560">
        <v>630000</v>
      </c>
    </row>
    <row r="11" spans="1:17" x14ac:dyDescent="0.2">
      <c r="A11" s="557"/>
      <c r="B11" s="557"/>
      <c r="C11" s="557"/>
      <c r="D11" s="558"/>
      <c r="E11" s="559"/>
      <c r="F11" s="557"/>
      <c r="G11" s="557"/>
      <c r="H11" s="557"/>
      <c r="I11" s="557"/>
      <c r="J11" s="557"/>
      <c r="K11" s="557"/>
      <c r="P11" s="560">
        <v>160</v>
      </c>
      <c r="Q11" s="560">
        <v>1260000</v>
      </c>
    </row>
    <row r="12" spans="1:17" x14ac:dyDescent="0.2">
      <c r="A12" s="557"/>
      <c r="B12" s="557"/>
      <c r="C12" s="557"/>
      <c r="D12" s="558"/>
      <c r="E12" s="559"/>
      <c r="F12" s="557"/>
      <c r="G12" s="557"/>
      <c r="H12" s="557"/>
      <c r="I12" s="557"/>
      <c r="J12" s="557"/>
      <c r="K12" s="557"/>
      <c r="P12" s="560">
        <v>360</v>
      </c>
      <c r="Q12" s="560">
        <v>1800000</v>
      </c>
    </row>
    <row r="13" spans="1:17" x14ac:dyDescent="0.2">
      <c r="A13" s="557"/>
      <c r="B13" s="557"/>
      <c r="C13" s="557"/>
      <c r="D13" s="558"/>
      <c r="E13" s="559"/>
      <c r="F13" s="557"/>
      <c r="G13" s="557"/>
      <c r="H13" s="557"/>
      <c r="I13" s="557"/>
      <c r="J13" s="557"/>
      <c r="K13" s="557"/>
      <c r="P13" s="560">
        <v>120</v>
      </c>
      <c r="Q13" s="560">
        <v>270000</v>
      </c>
    </row>
    <row r="14" spans="1:17" x14ac:dyDescent="0.2">
      <c r="A14" s="557"/>
      <c r="B14" s="557"/>
      <c r="C14" s="557"/>
      <c r="D14" s="558"/>
      <c r="E14" s="559"/>
      <c r="F14" s="557"/>
      <c r="G14" s="557"/>
      <c r="H14" s="557"/>
      <c r="I14" s="557"/>
      <c r="J14" s="557"/>
      <c r="K14" s="557"/>
      <c r="P14" s="560">
        <v>140</v>
      </c>
      <c r="Q14" s="560">
        <v>900000</v>
      </c>
    </row>
    <row r="15" spans="1:17" x14ac:dyDescent="0.2">
      <c r="A15" s="557"/>
      <c r="B15" s="557"/>
      <c r="C15" s="557"/>
      <c r="D15" s="558"/>
      <c r="E15" s="559"/>
      <c r="F15" s="557"/>
      <c r="G15" s="557"/>
      <c r="H15" s="557"/>
      <c r="I15" s="557"/>
      <c r="J15" s="557"/>
      <c r="K15" s="557"/>
      <c r="P15" s="560">
        <v>200</v>
      </c>
      <c r="Q15" s="560">
        <v>3240000</v>
      </c>
    </row>
    <row r="16" spans="1:17" x14ac:dyDescent="0.2">
      <c r="A16" s="557"/>
      <c r="B16" s="557"/>
      <c r="C16" s="557"/>
      <c r="D16" s="558"/>
      <c r="E16" s="559"/>
      <c r="F16" s="557"/>
      <c r="G16" s="557"/>
      <c r="H16" s="557"/>
      <c r="I16" s="557"/>
      <c r="J16" s="557"/>
      <c r="K16" s="557"/>
      <c r="P16" s="560">
        <v>90</v>
      </c>
      <c r="Q16" s="560">
        <v>1170000</v>
      </c>
    </row>
    <row r="17" spans="1:17" x14ac:dyDescent="0.2">
      <c r="A17" s="557"/>
      <c r="D17" s="558"/>
      <c r="E17" s="559"/>
      <c r="F17" s="557"/>
      <c r="G17" s="557"/>
      <c r="H17" s="557"/>
      <c r="I17" s="557"/>
      <c r="J17" s="557"/>
      <c r="K17" s="557"/>
      <c r="P17" s="560">
        <v>260</v>
      </c>
      <c r="Q17" s="560">
        <v>3960000</v>
      </c>
    </row>
    <row r="18" spans="1:17" x14ac:dyDescent="0.2">
      <c r="A18" s="557"/>
      <c r="B18" s="557"/>
      <c r="C18" s="557"/>
      <c r="D18" s="558"/>
      <c r="E18" s="559"/>
      <c r="F18" s="557"/>
      <c r="G18" s="557"/>
      <c r="H18" s="557"/>
      <c r="I18" s="557"/>
      <c r="J18" s="557"/>
      <c r="K18" s="557"/>
      <c r="P18" s="560">
        <v>75</v>
      </c>
      <c r="Q18" s="560">
        <v>1170000</v>
      </c>
    </row>
    <row r="19" spans="1:17" x14ac:dyDescent="0.2">
      <c r="A19" s="557"/>
      <c r="B19" s="557"/>
      <c r="C19" s="557"/>
      <c r="D19" s="558"/>
      <c r="E19" s="559"/>
      <c r="F19" s="557"/>
      <c r="G19" s="557"/>
      <c r="H19" s="557"/>
      <c r="I19" s="557"/>
      <c r="J19" s="557"/>
      <c r="K19" s="557"/>
      <c r="P19" s="560">
        <v>90</v>
      </c>
      <c r="Q19" s="560">
        <v>2700000</v>
      </c>
    </row>
    <row r="20" spans="1:17" x14ac:dyDescent="0.2">
      <c r="A20" s="557"/>
      <c r="B20" s="557"/>
      <c r="C20" s="557"/>
      <c r="D20" s="558"/>
      <c r="E20" s="559"/>
      <c r="F20" s="557"/>
      <c r="G20" s="557"/>
      <c r="H20" s="557"/>
      <c r="I20" s="557"/>
      <c r="J20" s="557"/>
      <c r="K20" s="557"/>
      <c r="P20" s="560">
        <v>110</v>
      </c>
      <c r="Q20" s="560">
        <v>1260000</v>
      </c>
    </row>
    <row r="21" spans="1:17" x14ac:dyDescent="0.2">
      <c r="A21" s="557"/>
      <c r="B21" s="557"/>
      <c r="C21" s="557"/>
      <c r="D21" s="558"/>
      <c r="E21" s="559"/>
      <c r="F21" s="557"/>
      <c r="G21" s="557"/>
      <c r="H21" s="557"/>
      <c r="I21" s="557"/>
      <c r="J21" s="557"/>
      <c r="K21" s="557"/>
      <c r="P21" s="560">
        <v>140</v>
      </c>
      <c r="Q21" s="560">
        <v>1080000</v>
      </c>
    </row>
    <row r="22" spans="1:17" x14ac:dyDescent="0.2">
      <c r="A22" s="557"/>
      <c r="B22" s="557"/>
      <c r="C22" s="557"/>
      <c r="D22" s="558"/>
      <c r="E22" s="559"/>
      <c r="F22" s="557"/>
      <c r="G22" s="557"/>
      <c r="H22" s="557"/>
      <c r="I22" s="557"/>
      <c r="J22" s="557"/>
      <c r="K22" s="557"/>
      <c r="P22" s="560">
        <v>110</v>
      </c>
      <c r="Q22" s="560">
        <v>1260000</v>
      </c>
    </row>
    <row r="23" spans="1:17" x14ac:dyDescent="0.2">
      <c r="A23" s="557"/>
      <c r="B23" s="557"/>
      <c r="C23" s="557"/>
      <c r="D23" s="558"/>
      <c r="E23" s="559"/>
      <c r="F23" s="557"/>
      <c r="G23" s="557"/>
      <c r="H23" s="557"/>
      <c r="I23" s="557"/>
      <c r="J23" s="557"/>
      <c r="K23" s="557"/>
    </row>
    <row r="24" spans="1:17" x14ac:dyDescent="0.2">
      <c r="A24" s="557"/>
      <c r="B24" s="557"/>
      <c r="C24" s="557"/>
      <c r="D24" s="558"/>
      <c r="E24" s="559"/>
      <c r="F24" s="557"/>
      <c r="G24" s="557"/>
      <c r="H24" s="557"/>
      <c r="I24" s="557"/>
      <c r="J24" s="557"/>
      <c r="K24" s="557"/>
    </row>
    <row r="25" spans="1:17" x14ac:dyDescent="0.2">
      <c r="A25" s="557"/>
      <c r="B25" s="557"/>
      <c r="C25" s="557"/>
      <c r="D25" s="558"/>
      <c r="E25" s="559"/>
      <c r="F25" s="557"/>
      <c r="G25" s="557"/>
      <c r="H25" s="557"/>
      <c r="I25" s="557"/>
      <c r="J25" s="557"/>
      <c r="K25" s="557"/>
    </row>
    <row r="26" spans="1:17" x14ac:dyDescent="0.2">
      <c r="A26" s="557"/>
      <c r="B26" s="557"/>
      <c r="C26" s="557"/>
      <c r="D26" s="558"/>
      <c r="E26" s="561"/>
      <c r="F26" s="557"/>
      <c r="G26" s="557"/>
      <c r="H26" s="557"/>
      <c r="I26" s="557"/>
      <c r="J26" s="557"/>
      <c r="K26" s="557"/>
    </row>
    <row r="27" spans="1:17" x14ac:dyDescent="0.2">
      <c r="A27" s="557"/>
      <c r="B27" s="557"/>
      <c r="C27" s="562"/>
      <c r="D27" s="563"/>
      <c r="E27" s="564"/>
      <c r="F27" s="557"/>
      <c r="G27" s="557"/>
      <c r="H27" s="557"/>
      <c r="I27" s="557"/>
      <c r="J27" s="557"/>
      <c r="K27" s="557"/>
    </row>
    <row r="28" spans="1:17" x14ac:dyDescent="0.2">
      <c r="A28" s="557"/>
      <c r="B28" s="557"/>
      <c r="C28" s="562"/>
      <c r="D28" s="563"/>
      <c r="E28" s="564"/>
      <c r="F28" s="557"/>
      <c r="G28" s="557"/>
      <c r="H28" s="557"/>
      <c r="I28" s="557"/>
      <c r="J28" s="557"/>
      <c r="K28" s="557"/>
    </row>
    <row r="29" spans="1:17" x14ac:dyDescent="0.2">
      <c r="A29" s="557"/>
      <c r="B29" s="557"/>
      <c r="C29" s="562"/>
      <c r="D29" s="563"/>
      <c r="E29" s="564"/>
      <c r="F29" s="557"/>
      <c r="G29" s="557"/>
      <c r="H29" s="557"/>
      <c r="I29" s="557"/>
      <c r="J29" s="557"/>
      <c r="K29" s="557"/>
    </row>
    <row r="30" spans="1:17" x14ac:dyDescent="0.2">
      <c r="A30" s="557"/>
      <c r="B30" s="557"/>
      <c r="C30" s="562"/>
      <c r="D30" s="563"/>
      <c r="E30" s="564"/>
      <c r="F30" s="557"/>
      <c r="G30" s="557"/>
      <c r="H30" s="557"/>
      <c r="I30" s="557"/>
      <c r="J30" s="557"/>
      <c r="K30" s="557"/>
    </row>
    <row r="31" spans="1:17" x14ac:dyDescent="0.2">
      <c r="A31" s="557"/>
      <c r="B31" s="557"/>
      <c r="C31" s="562"/>
      <c r="D31" s="563"/>
      <c r="E31" s="564"/>
      <c r="F31" s="557"/>
      <c r="G31" s="557"/>
      <c r="H31" s="557"/>
      <c r="I31" s="557"/>
      <c r="J31" s="557"/>
      <c r="K31" s="557"/>
    </row>
    <row r="32" spans="1:17" x14ac:dyDescent="0.2">
      <c r="A32" s="557"/>
      <c r="B32" s="557"/>
      <c r="C32" s="562"/>
      <c r="D32" s="563"/>
      <c r="E32" s="564"/>
      <c r="F32" s="557"/>
      <c r="G32" s="557"/>
      <c r="H32" s="557"/>
      <c r="I32" s="557"/>
      <c r="J32" s="557"/>
      <c r="K32" s="557"/>
    </row>
    <row r="33" spans="1:11" x14ac:dyDescent="0.2">
      <c r="A33" s="557"/>
      <c r="B33" s="557"/>
      <c r="C33" s="562"/>
      <c r="D33" s="563"/>
      <c r="E33" s="564"/>
      <c r="F33" s="557"/>
      <c r="G33" s="557"/>
      <c r="H33" s="557"/>
      <c r="I33" s="557"/>
      <c r="J33" s="557"/>
      <c r="K33" s="557"/>
    </row>
    <row r="34" spans="1:11" x14ac:dyDescent="0.2">
      <c r="A34" s="557"/>
      <c r="B34" s="557"/>
      <c r="C34" s="562"/>
      <c r="D34" s="563"/>
      <c r="E34" s="564"/>
      <c r="F34" s="557"/>
      <c r="G34" s="557"/>
      <c r="H34" s="557"/>
      <c r="I34" s="557"/>
      <c r="J34" s="557"/>
      <c r="K34" s="557"/>
    </row>
    <row r="35" spans="1:11" x14ac:dyDescent="0.2">
      <c r="A35" s="557"/>
      <c r="B35" s="557"/>
      <c r="C35" s="562"/>
      <c r="D35" s="563"/>
      <c r="E35" s="564"/>
      <c r="F35" s="557"/>
      <c r="G35" s="557"/>
      <c r="H35" s="557"/>
      <c r="I35" s="557"/>
      <c r="J35" s="557"/>
      <c r="K35" s="557"/>
    </row>
    <row r="36" spans="1:11" x14ac:dyDescent="0.2">
      <c r="A36" s="557"/>
      <c r="B36" s="557"/>
      <c r="C36" s="562"/>
      <c r="D36" s="563"/>
      <c r="E36" s="564"/>
      <c r="F36" s="557"/>
      <c r="G36" s="557"/>
      <c r="H36" s="557"/>
      <c r="I36" s="557"/>
      <c r="J36" s="557"/>
      <c r="K36" s="557"/>
    </row>
    <row r="37" spans="1:11" x14ac:dyDescent="0.2">
      <c r="A37" s="557"/>
      <c r="B37" s="557"/>
      <c r="C37" s="562"/>
      <c r="D37" s="563"/>
      <c r="E37" s="564"/>
      <c r="F37" s="557"/>
      <c r="G37" s="557"/>
      <c r="H37" s="557"/>
      <c r="I37" s="557"/>
      <c r="J37" s="557"/>
      <c r="K37" s="557"/>
    </row>
    <row r="38" spans="1:11" x14ac:dyDescent="0.2">
      <c r="A38" s="557"/>
      <c r="B38" s="557"/>
      <c r="C38" s="562"/>
      <c r="D38" s="563"/>
      <c r="E38" s="564"/>
      <c r="F38" s="557"/>
      <c r="G38" s="557"/>
      <c r="H38" s="557"/>
      <c r="I38" s="557"/>
      <c r="J38" s="557"/>
      <c r="K38" s="557"/>
    </row>
    <row r="39" spans="1:11" x14ac:dyDescent="0.2">
      <c r="A39" s="557"/>
      <c r="B39" s="557"/>
      <c r="C39" s="562"/>
      <c r="D39" s="563"/>
      <c r="E39" s="564"/>
      <c r="F39" s="557"/>
      <c r="G39" s="557"/>
      <c r="H39" s="557"/>
      <c r="I39" s="557"/>
      <c r="J39" s="557"/>
      <c r="K39" s="557"/>
    </row>
    <row r="40" spans="1:11" x14ac:dyDescent="0.2">
      <c r="A40" s="557"/>
      <c r="B40" s="557"/>
      <c r="C40" s="562"/>
      <c r="D40" s="563"/>
      <c r="E40" s="564"/>
      <c r="F40" s="557"/>
      <c r="G40" s="557"/>
      <c r="H40" s="557"/>
      <c r="I40" s="557"/>
      <c r="J40" s="557"/>
      <c r="K40" s="557"/>
    </row>
    <row r="41" spans="1:11" x14ac:dyDescent="0.2">
      <c r="A41" s="557"/>
      <c r="B41" s="557"/>
      <c r="C41" s="562"/>
      <c r="D41" s="563"/>
      <c r="E41" s="564"/>
      <c r="F41" s="557"/>
      <c r="G41" s="557"/>
      <c r="H41" s="557"/>
      <c r="I41" s="557"/>
      <c r="J41" s="557"/>
      <c r="K41" s="557"/>
    </row>
    <row r="42" spans="1:11" x14ac:dyDescent="0.2">
      <c r="A42" s="557"/>
      <c r="B42" s="557"/>
      <c r="C42" s="562"/>
      <c r="D42" s="563"/>
      <c r="E42" s="564"/>
      <c r="F42" s="557"/>
      <c r="G42" s="557"/>
      <c r="H42" s="557"/>
      <c r="I42" s="557"/>
      <c r="J42" s="557"/>
      <c r="K42" s="557"/>
    </row>
    <row r="43" spans="1:11" x14ac:dyDescent="0.2">
      <c r="A43" s="557"/>
      <c r="B43" s="557"/>
      <c r="C43" s="562"/>
      <c r="D43" s="563"/>
      <c r="E43" s="564"/>
      <c r="F43" s="557"/>
      <c r="G43" s="557"/>
      <c r="H43" s="557"/>
      <c r="I43" s="557"/>
      <c r="J43" s="557"/>
      <c r="K43" s="557"/>
    </row>
    <row r="44" spans="1:11" x14ac:dyDescent="0.2">
      <c r="A44" s="557"/>
      <c r="B44" s="557"/>
      <c r="C44" s="562"/>
      <c r="D44" s="563"/>
      <c r="E44" s="564"/>
      <c r="F44" s="557"/>
      <c r="G44" s="557"/>
      <c r="H44" s="557"/>
      <c r="I44" s="557"/>
      <c r="J44" s="557"/>
      <c r="K44" s="557"/>
    </row>
    <row r="45" spans="1:11" x14ac:dyDescent="0.2">
      <c r="A45" s="557"/>
      <c r="B45" s="557"/>
      <c r="C45" s="562"/>
      <c r="D45" s="563"/>
      <c r="E45" s="564"/>
      <c r="F45" s="557"/>
      <c r="G45" s="557"/>
      <c r="H45" s="557"/>
      <c r="I45" s="557"/>
      <c r="J45" s="557"/>
      <c r="K45" s="557"/>
    </row>
    <row r="46" spans="1:11" x14ac:dyDescent="0.2">
      <c r="A46" s="557"/>
      <c r="B46" s="557"/>
      <c r="C46" s="562"/>
      <c r="D46" s="563"/>
      <c r="E46" s="564"/>
      <c r="F46" s="557"/>
      <c r="G46" s="557"/>
      <c r="H46" s="557"/>
      <c r="I46" s="557"/>
      <c r="J46" s="557"/>
      <c r="K46" s="557"/>
    </row>
    <row r="47" spans="1:11" x14ac:dyDescent="0.2">
      <c r="A47" s="557"/>
      <c r="B47" s="557"/>
      <c r="C47" s="562"/>
      <c r="D47" s="563"/>
      <c r="E47" s="564"/>
      <c r="F47" s="557"/>
      <c r="G47" s="557"/>
      <c r="H47" s="557"/>
      <c r="I47" s="557"/>
      <c r="J47" s="557"/>
      <c r="K47" s="557"/>
    </row>
    <row r="48" spans="1:11" x14ac:dyDescent="0.2">
      <c r="A48" s="557"/>
      <c r="B48" s="557"/>
      <c r="C48" s="562"/>
      <c r="D48" s="563"/>
      <c r="E48" s="564"/>
      <c r="F48" s="557"/>
      <c r="G48" s="557"/>
      <c r="H48" s="557"/>
      <c r="I48" s="557"/>
      <c r="J48" s="557"/>
      <c r="K48" s="557"/>
    </row>
    <row r="49" spans="1:11" x14ac:dyDescent="0.2">
      <c r="A49" s="557"/>
      <c r="B49" s="557"/>
      <c r="C49" s="562"/>
      <c r="D49" s="563"/>
      <c r="E49" s="564"/>
      <c r="F49" s="557"/>
      <c r="G49" s="557"/>
      <c r="H49" s="557"/>
      <c r="I49" s="557"/>
      <c r="J49" s="557"/>
      <c r="K49" s="557"/>
    </row>
    <row r="50" spans="1:11" x14ac:dyDescent="0.2">
      <c r="A50" s="557"/>
      <c r="B50" s="557"/>
      <c r="C50" s="562"/>
      <c r="D50" s="563"/>
      <c r="E50" s="564"/>
      <c r="F50" s="557"/>
      <c r="G50" s="557"/>
      <c r="H50" s="557"/>
      <c r="I50" s="557"/>
      <c r="J50" s="557"/>
      <c r="K50" s="557"/>
    </row>
    <row r="527" spans="15:17" x14ac:dyDescent="0.2">
      <c r="O527" s="543"/>
      <c r="P527" s="543"/>
      <c r="Q527" s="543"/>
    </row>
    <row r="528" spans="15:17" x14ac:dyDescent="0.2">
      <c r="Q528" s="560" t="s">
        <v>32</v>
      </c>
    </row>
    <row r="541" spans="17:17" x14ac:dyDescent="0.2">
      <c r="Q541" s="560">
        <v>0</v>
      </c>
    </row>
    <row r="542" spans="17:17" x14ac:dyDescent="0.2">
      <c r="Q542" s="560">
        <v>0</v>
      </c>
    </row>
    <row r="543" spans="17:17" x14ac:dyDescent="0.2">
      <c r="Q543" s="560">
        <v>0</v>
      </c>
    </row>
    <row r="544" spans="17:17" x14ac:dyDescent="0.2">
      <c r="Q544" s="560">
        <v>0</v>
      </c>
    </row>
    <row r="545" spans="17:17" x14ac:dyDescent="0.2">
      <c r="Q545" s="560">
        <v>0</v>
      </c>
    </row>
    <row r="546" spans="17:17" x14ac:dyDescent="0.2">
      <c r="Q546" s="560" t="s">
        <v>27</v>
      </c>
    </row>
    <row r="549" spans="17:17" x14ac:dyDescent="0.2">
      <c r="Q549" s="560">
        <v>27</v>
      </c>
    </row>
    <row r="550" spans="17:17" x14ac:dyDescent="0.2">
      <c r="Q550" s="560" t="s">
        <v>28</v>
      </c>
    </row>
    <row r="558" spans="17:17" x14ac:dyDescent="0.2">
      <c r="Q558" s="560" t="s">
        <v>29</v>
      </c>
    </row>
    <row r="561" spans="17:17" x14ac:dyDescent="0.2">
      <c r="Q561" s="560" t="s">
        <v>984</v>
      </c>
    </row>
    <row r="563" spans="17:17" x14ac:dyDescent="0.2">
      <c r="Q563" s="560" t="s">
        <v>1711</v>
      </c>
    </row>
    <row r="568" spans="17:17" x14ac:dyDescent="0.2">
      <c r="Q568" s="560" t="s">
        <v>32</v>
      </c>
    </row>
    <row r="584" spans="17:17" x14ac:dyDescent="0.2">
      <c r="Q584" s="560">
        <v>0</v>
      </c>
    </row>
    <row r="585" spans="17:17" x14ac:dyDescent="0.2">
      <c r="Q585" s="560">
        <v>0</v>
      </c>
    </row>
    <row r="586" spans="17:17" x14ac:dyDescent="0.2">
      <c r="Q586" s="560">
        <v>0</v>
      </c>
    </row>
    <row r="587" spans="17:17" x14ac:dyDescent="0.2">
      <c r="Q587" s="560">
        <v>0</v>
      </c>
    </row>
    <row r="588" spans="17:17" x14ac:dyDescent="0.2">
      <c r="Q588" s="560">
        <v>0</v>
      </c>
    </row>
    <row r="589" spans="17:17" x14ac:dyDescent="0.2">
      <c r="Q589" s="560" t="s">
        <v>27</v>
      </c>
    </row>
    <row r="592" spans="17:17" x14ac:dyDescent="0.2">
      <c r="Q592" s="560">
        <v>320</v>
      </c>
    </row>
    <row r="593" spans="17:17" x14ac:dyDescent="0.2">
      <c r="Q593" s="560" t="s">
        <v>28</v>
      </c>
    </row>
    <row r="606" spans="17:17" x14ac:dyDescent="0.2">
      <c r="Q606" s="560" t="s">
        <v>29</v>
      </c>
    </row>
    <row r="609" spans="17:17" x14ac:dyDescent="0.2">
      <c r="Q609" s="560" t="s">
        <v>984</v>
      </c>
    </row>
    <row r="611" spans="17:17" x14ac:dyDescent="0.2">
      <c r="Q611" s="560" t="s">
        <v>1711</v>
      </c>
    </row>
    <row r="616" spans="17:17" x14ac:dyDescent="0.2">
      <c r="Q616" s="560" t="s">
        <v>32</v>
      </c>
    </row>
    <row r="631" spans="17:17" x14ac:dyDescent="0.2">
      <c r="Q631" s="560">
        <v>0</v>
      </c>
    </row>
    <row r="632" spans="17:17" x14ac:dyDescent="0.2">
      <c r="Q632" s="560">
        <v>0</v>
      </c>
    </row>
    <row r="633" spans="17:17" x14ac:dyDescent="0.2">
      <c r="Q633" s="560">
        <v>0</v>
      </c>
    </row>
    <row r="634" spans="17:17" x14ac:dyDescent="0.2">
      <c r="Q634" s="560">
        <v>0</v>
      </c>
    </row>
    <row r="635" spans="17:17" x14ac:dyDescent="0.2">
      <c r="Q635" s="560">
        <v>0</v>
      </c>
    </row>
    <row r="636" spans="17:17" x14ac:dyDescent="0.2">
      <c r="Q636" s="560" t="s">
        <v>27</v>
      </c>
    </row>
    <row r="639" spans="17:17" x14ac:dyDescent="0.2">
      <c r="Q639" s="560">
        <v>380</v>
      </c>
    </row>
    <row r="640" spans="17:17" x14ac:dyDescent="0.2">
      <c r="Q640" s="560" t="s">
        <v>28</v>
      </c>
    </row>
    <row r="652" spans="17:17" x14ac:dyDescent="0.2">
      <c r="Q652" s="560" t="s">
        <v>29</v>
      </c>
    </row>
    <row r="655" spans="17:17" x14ac:dyDescent="0.2">
      <c r="Q655" s="560" t="s">
        <v>984</v>
      </c>
    </row>
    <row r="657" spans="17:17" x14ac:dyDescent="0.2">
      <c r="Q657" s="560" t="s">
        <v>1711</v>
      </c>
    </row>
    <row r="662" spans="17:17" x14ac:dyDescent="0.2">
      <c r="Q662" s="560" t="s">
        <v>32</v>
      </c>
    </row>
    <row r="677" spans="17:17" x14ac:dyDescent="0.2">
      <c r="Q677" s="560">
        <v>0</v>
      </c>
    </row>
    <row r="678" spans="17:17" x14ac:dyDescent="0.2">
      <c r="Q678" s="560">
        <v>0</v>
      </c>
    </row>
    <row r="679" spans="17:17" x14ac:dyDescent="0.2">
      <c r="Q679" s="560">
        <v>0</v>
      </c>
    </row>
    <row r="680" spans="17:17" x14ac:dyDescent="0.2">
      <c r="Q680" s="560">
        <v>0</v>
      </c>
    </row>
    <row r="681" spans="17:17" x14ac:dyDescent="0.2">
      <c r="Q681" s="560">
        <v>0</v>
      </c>
    </row>
    <row r="682" spans="17:17" x14ac:dyDescent="0.2">
      <c r="Q682" s="560" t="s">
        <v>27</v>
      </c>
    </row>
    <row r="685" spans="17:17" x14ac:dyDescent="0.2">
      <c r="Q685" s="560">
        <v>275</v>
      </c>
    </row>
    <row r="686" spans="17:17" x14ac:dyDescent="0.2">
      <c r="Q686" s="560" t="s">
        <v>28</v>
      </c>
    </row>
    <row r="698" spans="17:17" x14ac:dyDescent="0.2">
      <c r="Q698" s="560" t="s">
        <v>29</v>
      </c>
    </row>
    <row r="701" spans="17:17" x14ac:dyDescent="0.2">
      <c r="Q701" s="560" t="s">
        <v>984</v>
      </c>
    </row>
    <row r="703" spans="17:17" x14ac:dyDescent="0.2">
      <c r="Q703" s="560" t="s">
        <v>1712</v>
      </c>
    </row>
    <row r="708" spans="17:17" x14ac:dyDescent="0.2">
      <c r="Q708" s="560" t="s">
        <v>32</v>
      </c>
    </row>
    <row r="723" spans="17:17" x14ac:dyDescent="0.2">
      <c r="Q723" s="560">
        <v>0</v>
      </c>
    </row>
    <row r="724" spans="17:17" x14ac:dyDescent="0.2">
      <c r="Q724" s="560">
        <v>0</v>
      </c>
    </row>
    <row r="725" spans="17:17" x14ac:dyDescent="0.2">
      <c r="Q725" s="560">
        <v>0</v>
      </c>
    </row>
    <row r="726" spans="17:17" x14ac:dyDescent="0.2">
      <c r="Q726" s="560">
        <v>0</v>
      </c>
    </row>
    <row r="727" spans="17:17" x14ac:dyDescent="0.2">
      <c r="Q727" s="560">
        <v>0</v>
      </c>
    </row>
    <row r="728" spans="17:17" x14ac:dyDescent="0.2">
      <c r="Q728" s="560" t="s">
        <v>27</v>
      </c>
    </row>
    <row r="731" spans="17:17" x14ac:dyDescent="0.2">
      <c r="Q731" s="560">
        <v>260</v>
      </c>
    </row>
    <row r="732" spans="17:17" x14ac:dyDescent="0.2">
      <c r="Q732" s="560" t="s">
        <v>28</v>
      </c>
    </row>
    <row r="744" spans="17:17" x14ac:dyDescent="0.2">
      <c r="Q744" s="560" t="s">
        <v>29</v>
      </c>
    </row>
    <row r="747" spans="17:17" x14ac:dyDescent="0.2">
      <c r="Q747" s="560" t="s">
        <v>984</v>
      </c>
    </row>
    <row r="749" spans="17:17" x14ac:dyDescent="0.2">
      <c r="Q749" s="560" t="e">
        <v>#N/A</v>
      </c>
    </row>
    <row r="754" spans="17:17" x14ac:dyDescent="0.2">
      <c r="Q754" s="560" t="s">
        <v>32</v>
      </c>
    </row>
    <row r="771" spans="17:17" x14ac:dyDescent="0.2">
      <c r="Q771" s="560">
        <v>0</v>
      </c>
    </row>
    <row r="772" spans="17:17" x14ac:dyDescent="0.2">
      <c r="Q772" s="560">
        <v>0</v>
      </c>
    </row>
    <row r="773" spans="17:17" x14ac:dyDescent="0.2">
      <c r="Q773" s="560">
        <v>0</v>
      </c>
    </row>
    <row r="774" spans="17:17" x14ac:dyDescent="0.2">
      <c r="Q774" s="560">
        <v>0</v>
      </c>
    </row>
    <row r="775" spans="17:17" x14ac:dyDescent="0.2">
      <c r="Q775" s="560">
        <v>0</v>
      </c>
    </row>
    <row r="776" spans="17:17" x14ac:dyDescent="0.2">
      <c r="Q776" s="560" t="s">
        <v>27</v>
      </c>
    </row>
    <row r="779" spans="17:17" x14ac:dyDescent="0.2">
      <c r="Q779" s="560">
        <v>4800</v>
      </c>
    </row>
    <row r="780" spans="17:17" x14ac:dyDescent="0.2">
      <c r="Q780" s="560" t="s">
        <v>28</v>
      </c>
    </row>
    <row r="792" spans="17:17" x14ac:dyDescent="0.2">
      <c r="Q792" s="560" t="s">
        <v>29</v>
      </c>
    </row>
    <row r="796" spans="17:17" x14ac:dyDescent="0.2">
      <c r="Q796" s="560" t="s">
        <v>984</v>
      </c>
    </row>
    <row r="798" spans="17:17" x14ac:dyDescent="0.2">
      <c r="Q798" s="560" t="e">
        <v>#N/A</v>
      </c>
    </row>
    <row r="803" spans="17:17" x14ac:dyDescent="0.2">
      <c r="Q803" s="560" t="s">
        <v>32</v>
      </c>
    </row>
    <row r="820" spans="17:17" x14ac:dyDescent="0.2">
      <c r="Q820" s="560">
        <v>0</v>
      </c>
    </row>
    <row r="821" spans="17:17" x14ac:dyDescent="0.2">
      <c r="Q821" s="560">
        <v>0</v>
      </c>
    </row>
    <row r="822" spans="17:17" x14ac:dyDescent="0.2">
      <c r="Q822" s="560">
        <v>0</v>
      </c>
    </row>
    <row r="823" spans="17:17" x14ac:dyDescent="0.2">
      <c r="Q823" s="560">
        <v>0</v>
      </c>
    </row>
    <row r="824" spans="17:17" x14ac:dyDescent="0.2">
      <c r="Q824" s="560">
        <v>0</v>
      </c>
    </row>
    <row r="825" spans="17:17" x14ac:dyDescent="0.2">
      <c r="Q825" s="560" t="s">
        <v>27</v>
      </c>
    </row>
    <row r="828" spans="17:17" x14ac:dyDescent="0.2">
      <c r="Q828" s="560">
        <v>5500</v>
      </c>
    </row>
    <row r="829" spans="17:17" x14ac:dyDescent="0.2">
      <c r="Q829" s="560" t="s">
        <v>28</v>
      </c>
    </row>
    <row r="841" spans="17:17" x14ac:dyDescent="0.2">
      <c r="Q841" s="560" t="s">
        <v>29</v>
      </c>
    </row>
    <row r="845" spans="17:17" x14ac:dyDescent="0.2">
      <c r="Q845" s="560" t="s">
        <v>984</v>
      </c>
    </row>
    <row r="847" spans="17:17" x14ac:dyDescent="0.2">
      <c r="Q847" s="560" t="e">
        <v>#N/A</v>
      </c>
    </row>
    <row r="852" spans="17:17" x14ac:dyDescent="0.2">
      <c r="Q852" s="560" t="s">
        <v>32</v>
      </c>
    </row>
    <row r="867" spans="17:17" x14ac:dyDescent="0.2">
      <c r="Q867" s="560">
        <v>0</v>
      </c>
    </row>
    <row r="868" spans="17:17" x14ac:dyDescent="0.2">
      <c r="Q868" s="560">
        <v>0</v>
      </c>
    </row>
    <row r="869" spans="17:17" x14ac:dyDescent="0.2">
      <c r="Q869" s="560">
        <v>0</v>
      </c>
    </row>
    <row r="870" spans="17:17" x14ac:dyDescent="0.2">
      <c r="Q870" s="560">
        <v>0</v>
      </c>
    </row>
    <row r="871" spans="17:17" x14ac:dyDescent="0.2">
      <c r="Q871" s="560">
        <v>0</v>
      </c>
    </row>
    <row r="872" spans="17:17" x14ac:dyDescent="0.2">
      <c r="Q872" s="560" t="s">
        <v>27</v>
      </c>
    </row>
    <row r="875" spans="17:17" x14ac:dyDescent="0.2">
      <c r="Q875" s="560">
        <v>2333.3333333333335</v>
      </c>
    </row>
    <row r="876" spans="17:17" x14ac:dyDescent="0.2">
      <c r="Q876" s="560" t="s">
        <v>28</v>
      </c>
    </row>
    <row r="888" spans="17:17" x14ac:dyDescent="0.2">
      <c r="Q888" s="560" t="s">
        <v>29</v>
      </c>
    </row>
    <row r="891" spans="17:17" x14ac:dyDescent="0.2">
      <c r="Q891" s="560" t="s">
        <v>984</v>
      </c>
    </row>
    <row r="893" spans="17:17" x14ac:dyDescent="0.2">
      <c r="Q893" s="560" t="e">
        <v>#N/A</v>
      </c>
    </row>
    <row r="898" spans="17:17" x14ac:dyDescent="0.2">
      <c r="Q898" s="560" t="s">
        <v>32</v>
      </c>
    </row>
    <row r="913" spans="17:17" x14ac:dyDescent="0.2">
      <c r="Q913" s="560">
        <v>0</v>
      </c>
    </row>
    <row r="914" spans="17:17" x14ac:dyDescent="0.2">
      <c r="Q914" s="560">
        <v>0</v>
      </c>
    </row>
    <row r="915" spans="17:17" x14ac:dyDescent="0.2">
      <c r="Q915" s="560">
        <v>0</v>
      </c>
    </row>
    <row r="916" spans="17:17" x14ac:dyDescent="0.2">
      <c r="Q916" s="560">
        <v>0</v>
      </c>
    </row>
    <row r="917" spans="17:17" x14ac:dyDescent="0.2">
      <c r="Q917" s="560">
        <v>0</v>
      </c>
    </row>
    <row r="918" spans="17:17" x14ac:dyDescent="0.2">
      <c r="Q918" s="560" t="s">
        <v>27</v>
      </c>
    </row>
    <row r="921" spans="17:17" x14ac:dyDescent="0.2">
      <c r="Q921" s="560">
        <v>290</v>
      </c>
    </row>
    <row r="922" spans="17:17" x14ac:dyDescent="0.2">
      <c r="Q922" s="560" t="s">
        <v>28</v>
      </c>
    </row>
    <row r="934" spans="17:17" x14ac:dyDescent="0.2">
      <c r="Q934" s="560" t="s">
        <v>29</v>
      </c>
    </row>
    <row r="937" spans="17:17" x14ac:dyDescent="0.2">
      <c r="Q937" s="560" t="s">
        <v>984</v>
      </c>
    </row>
    <row r="939" spans="17:17" x14ac:dyDescent="0.2">
      <c r="Q939" s="560" t="e">
        <v>#N/A</v>
      </c>
    </row>
    <row r="944" spans="17:17" x14ac:dyDescent="0.2">
      <c r="Q944" s="560" t="s">
        <v>32</v>
      </c>
    </row>
    <row r="958" spans="17:17" x14ac:dyDescent="0.2">
      <c r="Q958" s="560">
        <v>0</v>
      </c>
    </row>
    <row r="959" spans="17:17" x14ac:dyDescent="0.2">
      <c r="Q959" s="560">
        <v>0</v>
      </c>
    </row>
    <row r="960" spans="17:17" x14ac:dyDescent="0.2">
      <c r="Q960" s="560">
        <v>0</v>
      </c>
    </row>
    <row r="961" spans="17:17" x14ac:dyDescent="0.2">
      <c r="Q961" s="560">
        <v>0</v>
      </c>
    </row>
    <row r="962" spans="17:17" x14ac:dyDescent="0.2">
      <c r="Q962" s="560">
        <v>0</v>
      </c>
    </row>
    <row r="963" spans="17:17" x14ac:dyDescent="0.2">
      <c r="Q963" s="560" t="s">
        <v>27</v>
      </c>
    </row>
    <row r="966" spans="17:17" x14ac:dyDescent="0.2">
      <c r="Q966" s="560">
        <v>3</v>
      </c>
    </row>
    <row r="967" spans="17:17" x14ac:dyDescent="0.2">
      <c r="Q967" s="560" t="s">
        <v>28</v>
      </c>
    </row>
    <row r="980" spans="17:17" x14ac:dyDescent="0.2">
      <c r="Q980" s="560" t="s">
        <v>29</v>
      </c>
    </row>
    <row r="983" spans="17:17" x14ac:dyDescent="0.2">
      <c r="Q983" s="560" t="s">
        <v>984</v>
      </c>
    </row>
    <row r="985" spans="17:17" x14ac:dyDescent="0.2">
      <c r="Q985" s="560" t="e">
        <v>#N/A</v>
      </c>
    </row>
    <row r="990" spans="17:17" x14ac:dyDescent="0.2">
      <c r="Q990" s="560" t="s">
        <v>32</v>
      </c>
    </row>
    <row r="1004" spans="17:17" x14ac:dyDescent="0.2">
      <c r="Q1004" s="560">
        <v>0</v>
      </c>
    </row>
    <row r="1005" spans="17:17" x14ac:dyDescent="0.2">
      <c r="Q1005" s="560">
        <v>0</v>
      </c>
    </row>
    <row r="1006" spans="17:17" x14ac:dyDescent="0.2">
      <c r="Q1006" s="560">
        <v>0</v>
      </c>
    </row>
    <row r="1007" spans="17:17" x14ac:dyDescent="0.2">
      <c r="Q1007" s="560">
        <v>0</v>
      </c>
    </row>
    <row r="1008" spans="17:17" x14ac:dyDescent="0.2">
      <c r="Q1008" s="560">
        <v>0</v>
      </c>
    </row>
    <row r="1009" spans="17:17" x14ac:dyDescent="0.2">
      <c r="Q1009" s="560" t="s">
        <v>27</v>
      </c>
    </row>
    <row r="1012" spans="17:17" x14ac:dyDescent="0.2">
      <c r="Q1012" s="560">
        <v>3</v>
      </c>
    </row>
    <row r="1013" spans="17:17" x14ac:dyDescent="0.2">
      <c r="Q1013" s="560" t="s">
        <v>28</v>
      </c>
    </row>
    <row r="1026" spans="17:17" x14ac:dyDescent="0.2">
      <c r="Q1026" s="560" t="s">
        <v>29</v>
      </c>
    </row>
    <row r="1030" spans="17:17" x14ac:dyDescent="0.2">
      <c r="Q1030" s="560" t="s">
        <v>984</v>
      </c>
    </row>
    <row r="1032" spans="17:17" x14ac:dyDescent="0.2">
      <c r="Q1032" s="560" t="e">
        <v>#N/A</v>
      </c>
    </row>
    <row r="1037" spans="17:17" x14ac:dyDescent="0.2">
      <c r="Q1037" s="560" t="s">
        <v>32</v>
      </c>
    </row>
    <row r="1052" spans="17:17" x14ac:dyDescent="0.2">
      <c r="Q1052" s="560">
        <v>0</v>
      </c>
    </row>
    <row r="1053" spans="17:17" x14ac:dyDescent="0.2">
      <c r="Q1053" s="560">
        <v>0</v>
      </c>
    </row>
    <row r="1054" spans="17:17" x14ac:dyDescent="0.2">
      <c r="Q1054" s="560">
        <v>0</v>
      </c>
    </row>
    <row r="1055" spans="17:17" x14ac:dyDescent="0.2">
      <c r="Q1055" s="560">
        <v>0</v>
      </c>
    </row>
    <row r="1056" spans="17:17" x14ac:dyDescent="0.2">
      <c r="Q1056" s="560">
        <v>0</v>
      </c>
    </row>
    <row r="1057" spans="17:17" x14ac:dyDescent="0.2">
      <c r="Q1057" s="560" t="s">
        <v>27</v>
      </c>
    </row>
    <row r="1060" spans="17:17" x14ac:dyDescent="0.2">
      <c r="Q1060" s="560">
        <v>7</v>
      </c>
    </row>
    <row r="1061" spans="17:17" x14ac:dyDescent="0.2">
      <c r="Q1061" s="560" t="s">
        <v>28</v>
      </c>
    </row>
    <row r="1069" spans="17:17" x14ac:dyDescent="0.2">
      <c r="Q1069" s="560" t="s">
        <v>29</v>
      </c>
    </row>
    <row r="1073" spans="17:17" x14ac:dyDescent="0.2">
      <c r="Q1073" s="560" t="s">
        <v>984</v>
      </c>
    </row>
    <row r="1075" spans="17:17" x14ac:dyDescent="0.2">
      <c r="Q1075" s="560" t="e">
        <v>#N/A</v>
      </c>
    </row>
    <row r="1080" spans="17:17" x14ac:dyDescent="0.2">
      <c r="Q1080" s="560" t="s">
        <v>32</v>
      </c>
    </row>
    <row r="1095" spans="17:17" x14ac:dyDescent="0.2">
      <c r="Q1095" s="560">
        <v>0</v>
      </c>
    </row>
    <row r="1096" spans="17:17" x14ac:dyDescent="0.2">
      <c r="Q1096" s="560">
        <v>0</v>
      </c>
    </row>
    <row r="1097" spans="17:17" x14ac:dyDescent="0.2">
      <c r="Q1097" s="560">
        <v>0</v>
      </c>
    </row>
    <row r="1098" spans="17:17" x14ac:dyDescent="0.2">
      <c r="Q1098" s="560">
        <v>0</v>
      </c>
    </row>
    <row r="1099" spans="17:17" x14ac:dyDescent="0.2">
      <c r="Q1099" s="560">
        <v>0</v>
      </c>
    </row>
    <row r="1100" spans="17:17" x14ac:dyDescent="0.2">
      <c r="Q1100" s="560" t="s">
        <v>27</v>
      </c>
    </row>
    <row r="1103" spans="17:17" x14ac:dyDescent="0.2">
      <c r="Q1103" s="560">
        <v>5</v>
      </c>
    </row>
    <row r="1104" spans="17:17" x14ac:dyDescent="0.2">
      <c r="Q1104" s="560" t="s">
        <v>28</v>
      </c>
    </row>
    <row r="1115" spans="17:17" x14ac:dyDescent="0.2">
      <c r="Q1115" s="560" t="s">
        <v>29</v>
      </c>
    </row>
    <row r="1119" spans="17:17" x14ac:dyDescent="0.2">
      <c r="Q1119" s="560" t="s">
        <v>984</v>
      </c>
    </row>
    <row r="1121" spans="17:17" x14ac:dyDescent="0.2">
      <c r="Q1121" s="560" t="e">
        <v>#N/A</v>
      </c>
    </row>
    <row r="1126" spans="17:17" x14ac:dyDescent="0.2">
      <c r="Q1126" s="560" t="s">
        <v>32</v>
      </c>
    </row>
    <row r="1141" spans="17:17" x14ac:dyDescent="0.2">
      <c r="Q1141" s="560">
        <v>0</v>
      </c>
    </row>
    <row r="1142" spans="17:17" x14ac:dyDescent="0.2">
      <c r="Q1142" s="560">
        <v>0</v>
      </c>
    </row>
    <row r="1143" spans="17:17" x14ac:dyDescent="0.2">
      <c r="Q1143" s="560">
        <v>0</v>
      </c>
    </row>
    <row r="1144" spans="17:17" x14ac:dyDescent="0.2">
      <c r="Q1144" s="560">
        <v>0</v>
      </c>
    </row>
    <row r="1145" spans="17:17" x14ac:dyDescent="0.2">
      <c r="Q1145" s="560">
        <v>0</v>
      </c>
    </row>
    <row r="1146" spans="17:17" x14ac:dyDescent="0.2">
      <c r="Q1146" s="560" t="s">
        <v>27</v>
      </c>
    </row>
    <row r="1149" spans="17:17" x14ac:dyDescent="0.2">
      <c r="Q1149" s="560">
        <v>3</v>
      </c>
    </row>
    <row r="1150" spans="17:17" x14ac:dyDescent="0.2">
      <c r="Q1150" s="560" t="s">
        <v>28</v>
      </c>
    </row>
    <row r="1159" spans="17:17" x14ac:dyDescent="0.2">
      <c r="Q1159" s="560" t="s">
        <v>29</v>
      </c>
    </row>
    <row r="1163" spans="17:17" x14ac:dyDescent="0.2">
      <c r="Q1163" s="560" t="s">
        <v>984</v>
      </c>
    </row>
    <row r="1165" spans="17:17" x14ac:dyDescent="0.2">
      <c r="Q1165" s="560" t="e">
        <v>#N/A</v>
      </c>
    </row>
    <row r="1170" spans="17:17" x14ac:dyDescent="0.2">
      <c r="Q1170" s="560" t="s">
        <v>32</v>
      </c>
    </row>
    <row r="1187" spans="17:17" x14ac:dyDescent="0.2">
      <c r="Q1187" s="560">
        <v>0</v>
      </c>
    </row>
    <row r="1188" spans="17:17" x14ac:dyDescent="0.2">
      <c r="Q1188" s="560">
        <v>0</v>
      </c>
    </row>
    <row r="1189" spans="17:17" x14ac:dyDescent="0.2">
      <c r="Q1189" s="560">
        <v>0</v>
      </c>
    </row>
    <row r="1190" spans="17:17" x14ac:dyDescent="0.2">
      <c r="Q1190" s="560">
        <v>0</v>
      </c>
    </row>
    <row r="1191" spans="17:17" x14ac:dyDescent="0.2">
      <c r="Q1191" s="560">
        <v>0</v>
      </c>
    </row>
    <row r="1192" spans="17:17" x14ac:dyDescent="0.2">
      <c r="Q1192" s="560" t="s">
        <v>27</v>
      </c>
    </row>
    <row r="1195" spans="17:17" x14ac:dyDescent="0.2">
      <c r="Q1195" s="560">
        <v>0.2</v>
      </c>
    </row>
    <row r="1196" spans="17:17" x14ac:dyDescent="0.2">
      <c r="Q1196" s="560" t="s">
        <v>28</v>
      </c>
    </row>
    <row r="1209" spans="17:17" x14ac:dyDescent="0.2">
      <c r="Q1209" s="560" t="s">
        <v>29</v>
      </c>
    </row>
    <row r="1213" spans="17:17" x14ac:dyDescent="0.2">
      <c r="Q1213" s="560" t="s">
        <v>984</v>
      </c>
    </row>
    <row r="1215" spans="17:17" x14ac:dyDescent="0.2">
      <c r="Q1215" s="560" t="e">
        <v>#N/A</v>
      </c>
    </row>
    <row r="1220" spans="17:17" x14ac:dyDescent="0.2">
      <c r="Q1220" s="560" t="s">
        <v>32</v>
      </c>
    </row>
    <row r="1238" spans="17:17" x14ac:dyDescent="0.2">
      <c r="Q1238" s="560">
        <v>0</v>
      </c>
    </row>
    <row r="1239" spans="17:17" x14ac:dyDescent="0.2">
      <c r="Q1239" s="560">
        <v>0</v>
      </c>
    </row>
    <row r="1240" spans="17:17" x14ac:dyDescent="0.2">
      <c r="Q1240" s="560">
        <v>0</v>
      </c>
    </row>
    <row r="1241" spans="17:17" x14ac:dyDescent="0.2">
      <c r="Q1241" s="560">
        <v>0</v>
      </c>
    </row>
    <row r="1242" spans="17:17" x14ac:dyDescent="0.2">
      <c r="Q1242" s="560">
        <v>0</v>
      </c>
    </row>
    <row r="1243" spans="17:17" x14ac:dyDescent="0.2">
      <c r="Q1243" s="560" t="s">
        <v>27</v>
      </c>
    </row>
    <row r="1246" spans="17:17" x14ac:dyDescent="0.2">
      <c r="Q1246" s="560">
        <v>0.2</v>
      </c>
    </row>
    <row r="1247" spans="17:17" x14ac:dyDescent="0.2">
      <c r="Q1247" s="560" t="s">
        <v>28</v>
      </c>
    </row>
    <row r="1259" spans="17:17" x14ac:dyDescent="0.2">
      <c r="Q1259" s="560" t="s">
        <v>29</v>
      </c>
    </row>
    <row r="1263" spans="17:17" x14ac:dyDescent="0.2">
      <c r="Q1263" s="560" t="s">
        <v>984</v>
      </c>
    </row>
    <row r="1265" spans="17:17" x14ac:dyDescent="0.2">
      <c r="Q1265" s="560" t="e">
        <v>#N/A</v>
      </c>
    </row>
    <row r="1269" spans="17:17" x14ac:dyDescent="0.2">
      <c r="Q1269" s="560" t="s">
        <v>32</v>
      </c>
    </row>
    <row r="1286" spans="17:17" x14ac:dyDescent="0.2">
      <c r="Q1286" s="560">
        <v>0</v>
      </c>
    </row>
    <row r="1287" spans="17:17" x14ac:dyDescent="0.2">
      <c r="Q1287" s="560">
        <v>0</v>
      </c>
    </row>
    <row r="1288" spans="17:17" x14ac:dyDescent="0.2">
      <c r="Q1288" s="560">
        <v>0</v>
      </c>
    </row>
    <row r="1289" spans="17:17" x14ac:dyDescent="0.2">
      <c r="Q1289" s="560">
        <v>0</v>
      </c>
    </row>
    <row r="1290" spans="17:17" x14ac:dyDescent="0.2">
      <c r="Q1290" s="560">
        <v>0</v>
      </c>
    </row>
    <row r="1291" spans="17:17" x14ac:dyDescent="0.2">
      <c r="Q1291" s="560" t="s">
        <v>27</v>
      </c>
    </row>
    <row r="1294" spans="17:17" x14ac:dyDescent="0.2">
      <c r="Q1294" s="560">
        <v>0.2</v>
      </c>
    </row>
    <row r="1295" spans="17:17" x14ac:dyDescent="0.2">
      <c r="Q1295" s="560" t="s">
        <v>28</v>
      </c>
    </row>
    <row r="1308" spans="17:17" x14ac:dyDescent="0.2">
      <c r="Q1308" s="560" t="s">
        <v>29</v>
      </c>
    </row>
    <row r="1312" spans="17:17" x14ac:dyDescent="0.2">
      <c r="Q1312" s="560" t="s">
        <v>984</v>
      </c>
    </row>
    <row r="1314" spans="17:17" x14ac:dyDescent="0.2">
      <c r="Q1314" s="560" t="e">
        <v>#N/A</v>
      </c>
    </row>
    <row r="1318" spans="17:17" x14ac:dyDescent="0.2">
      <c r="Q1318" s="560" t="s">
        <v>32</v>
      </c>
    </row>
    <row r="1335" spans="17:17" x14ac:dyDescent="0.2">
      <c r="Q1335" s="560">
        <v>0</v>
      </c>
    </row>
    <row r="1336" spans="17:17" x14ac:dyDescent="0.2">
      <c r="Q1336" s="560">
        <v>0</v>
      </c>
    </row>
    <row r="1337" spans="17:17" x14ac:dyDescent="0.2">
      <c r="Q1337" s="560">
        <v>0</v>
      </c>
    </row>
    <row r="1338" spans="17:17" x14ac:dyDescent="0.2">
      <c r="Q1338" s="560">
        <v>0</v>
      </c>
    </row>
    <row r="1339" spans="17:17" x14ac:dyDescent="0.2">
      <c r="Q1339" s="560">
        <v>0</v>
      </c>
    </row>
    <row r="1340" spans="17:17" x14ac:dyDescent="0.2">
      <c r="Q1340" s="560" t="s">
        <v>27</v>
      </c>
    </row>
    <row r="1343" spans="17:17" x14ac:dyDescent="0.2">
      <c r="Q1343" s="560">
        <v>600</v>
      </c>
    </row>
    <row r="1344" spans="17:17" x14ac:dyDescent="0.2">
      <c r="Q1344" s="560" t="s">
        <v>28</v>
      </c>
    </row>
    <row r="1357" spans="17:17" x14ac:dyDescent="0.2">
      <c r="Q1357" s="560" t="s">
        <v>29</v>
      </c>
    </row>
    <row r="1361" spans="17:17" x14ac:dyDescent="0.2">
      <c r="Q1361" s="560" t="s">
        <v>984</v>
      </c>
    </row>
    <row r="1363" spans="17:17" x14ac:dyDescent="0.2">
      <c r="Q1363" s="560" t="e">
        <v>#N/A</v>
      </c>
    </row>
    <row r="1367" spans="17:17" x14ac:dyDescent="0.2">
      <c r="Q1367" s="560" t="s">
        <v>32</v>
      </c>
    </row>
    <row r="1384" spans="17:17" x14ac:dyDescent="0.2">
      <c r="Q1384" s="560">
        <v>0</v>
      </c>
    </row>
    <row r="1385" spans="17:17" x14ac:dyDescent="0.2">
      <c r="Q1385" s="560">
        <v>0</v>
      </c>
    </row>
    <row r="1386" spans="17:17" x14ac:dyDescent="0.2">
      <c r="Q1386" s="560">
        <v>0</v>
      </c>
    </row>
    <row r="1387" spans="17:17" x14ac:dyDescent="0.2">
      <c r="Q1387" s="560">
        <v>0</v>
      </c>
    </row>
    <row r="1388" spans="17:17" x14ac:dyDescent="0.2">
      <c r="Q1388" s="560">
        <v>0</v>
      </c>
    </row>
    <row r="1389" spans="17:17" x14ac:dyDescent="0.2">
      <c r="Q1389" s="560" t="s">
        <v>27</v>
      </c>
    </row>
    <row r="1392" spans="17:17" x14ac:dyDescent="0.2">
      <c r="Q1392" s="560">
        <v>8.5000000000000006E-3</v>
      </c>
    </row>
    <row r="1393" spans="17:17" x14ac:dyDescent="0.2">
      <c r="Q1393" s="560" t="s">
        <v>28</v>
      </c>
    </row>
    <row r="1405" spans="17:17" x14ac:dyDescent="0.2">
      <c r="Q1405" s="560" t="s">
        <v>29</v>
      </c>
    </row>
    <row r="1409" spans="17:17" x14ac:dyDescent="0.2">
      <c r="Q1409" s="560" t="s">
        <v>984</v>
      </c>
    </row>
    <row r="1411" spans="17:17" x14ac:dyDescent="0.2">
      <c r="Q1411" s="560" t="e">
        <v>#N/A</v>
      </c>
    </row>
  </sheetData>
  <sortState xmlns:xlrd2="http://schemas.microsoft.com/office/spreadsheetml/2017/richdata2" ref="O1:Q1411">
    <sortCondition ref="O1:O1411"/>
  </sortState>
  <mergeCells count="1">
    <mergeCell ref="A6:K6"/>
  </mergeCell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BZ217"/>
  <sheetViews>
    <sheetView view="pageBreakPreview" topLeftCell="A7" zoomScaleNormal="100" zoomScaleSheetLayoutView="100" workbookViewId="0">
      <selection activeCell="C24" sqref="C24"/>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594" customWidth="1"/>
    <col min="7" max="7" width="12.140625" style="594" customWidth="1"/>
    <col min="8" max="8" width="13.140625" style="594" customWidth="1"/>
    <col min="9" max="9" width="10.7109375" style="8" customWidth="1"/>
    <col min="10" max="29" width="10.7109375" style="60" customWidth="1"/>
    <col min="30" max="78" width="11.42578125" style="60"/>
    <col min="79" max="16384" width="11.42578125" style="8"/>
  </cols>
  <sheetData>
    <row r="1" spans="1:78" s="2" customFormat="1" ht="20.100000000000001" customHeight="1" x14ac:dyDescent="0.2">
      <c r="A1" s="3" t="s">
        <v>8</v>
      </c>
      <c r="B1" s="3"/>
      <c r="C1" s="3" t="str">
        <f>Comitente</f>
        <v>DEPARTAMENTO DE HIDRAULICA</v>
      </c>
      <c r="D1" s="4"/>
      <c r="F1" s="140"/>
      <c r="G1" s="140"/>
      <c r="H1" s="140"/>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row>
    <row r="2" spans="1:78" s="5" customFormat="1" ht="20.100000000000001" customHeight="1" x14ac:dyDescent="0.2">
      <c r="A2" s="10" t="s">
        <v>9</v>
      </c>
      <c r="B2" s="10"/>
      <c r="C2" s="10" t="str">
        <f>Obra</f>
        <v>Encamisado Parcial del Canal de Calle América</v>
      </c>
      <c r="F2" s="26"/>
      <c r="G2" s="26"/>
      <c r="H2" s="26"/>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78" s="5" customFormat="1" ht="20.100000000000001" customHeight="1" x14ac:dyDescent="0.2">
      <c r="A3" s="10" t="s">
        <v>13</v>
      </c>
      <c r="B3" s="10"/>
      <c r="C3" s="10" t="str">
        <f>Ubicación</f>
        <v>Departamento Rawson</v>
      </c>
      <c r="F3" s="26"/>
      <c r="G3" s="26"/>
      <c r="H3" s="26"/>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row>
    <row r="4" spans="1:78" s="5" customFormat="1" ht="20.100000000000001" customHeight="1" x14ac:dyDescent="0.2">
      <c r="A4" s="10" t="s">
        <v>12</v>
      </c>
      <c r="B4" s="11"/>
      <c r="C4" s="43" t="str">
        <f>Licitación_N°</f>
        <v>___/2023</v>
      </c>
      <c r="F4" s="26"/>
      <c r="G4" s="26"/>
      <c r="H4" s="26"/>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5" customFormat="1" ht="20.100000000000001" customHeight="1" thickBot="1" x14ac:dyDescent="0.25">
      <c r="A5" s="10" t="s">
        <v>14</v>
      </c>
      <c r="B5" s="11"/>
      <c r="C5" s="44">
        <f>Plazo_Obra</f>
        <v>150</v>
      </c>
      <c r="F5" s="26"/>
      <c r="G5" s="26"/>
      <c r="H5" s="26"/>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5" customFormat="1" ht="20.100000000000001" customHeight="1" thickBot="1" x14ac:dyDescent="0.25">
      <c r="A6" s="10" t="s">
        <v>10</v>
      </c>
      <c r="B6" s="10"/>
      <c r="C6" s="10">
        <f>Contratista</f>
        <v>0</v>
      </c>
      <c r="F6" s="581" t="s">
        <v>1938</v>
      </c>
      <c r="G6" s="582">
        <v>42948</v>
      </c>
      <c r="H6" s="583">
        <f ca="1">+'MED PROYECTO'!K6</f>
        <v>0</v>
      </c>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s="2" customFormat="1" ht="20.100000000000001" customHeight="1" x14ac:dyDescent="0.2">
      <c r="A7" s="641" t="s">
        <v>1946</v>
      </c>
      <c r="C7" s="641">
        <v>419</v>
      </c>
      <c r="F7" s="140"/>
      <c r="G7" s="140"/>
      <c r="H7" s="140"/>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row>
    <row r="8" spans="1:78" s="2" customFormat="1" ht="20.100000000000001" customHeight="1" x14ac:dyDescent="0.2">
      <c r="A8" s="736" t="s">
        <v>1939</v>
      </c>
      <c r="B8" s="737"/>
      <c r="C8" s="737"/>
      <c r="D8" s="738"/>
      <c r="E8" s="7"/>
      <c r="F8" s="584"/>
      <c r="G8" s="584"/>
      <c r="H8" s="584"/>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row>
    <row r="10" spans="1:78" ht="12.75" x14ac:dyDescent="0.2">
      <c r="A10" s="710" t="s">
        <v>892</v>
      </c>
      <c r="B10" s="753" t="s">
        <v>0</v>
      </c>
      <c r="C10" s="753"/>
      <c r="D10" s="754" t="s">
        <v>11</v>
      </c>
      <c r="E10" s="29"/>
      <c r="F10" s="750">
        <f>+'MED PROYECTO'!I10</f>
        <v>1</v>
      </c>
      <c r="G10" s="751"/>
      <c r="H10" s="752"/>
      <c r="I10" s="19"/>
    </row>
    <row r="11" spans="1:78" ht="25.5" x14ac:dyDescent="0.2">
      <c r="A11" s="710"/>
      <c r="B11" s="753"/>
      <c r="C11" s="753"/>
      <c r="D11" s="754"/>
      <c r="E11" s="29"/>
      <c r="F11" s="570" t="s">
        <v>1940</v>
      </c>
      <c r="G11" s="570" t="s">
        <v>1941</v>
      </c>
      <c r="H11" s="570" t="s">
        <v>1942</v>
      </c>
      <c r="I11" s="19"/>
    </row>
    <row r="12" spans="1:78" ht="20.100000000000001" customHeight="1" x14ac:dyDescent="0.2">
      <c r="A12" s="23"/>
      <c r="B12" s="30"/>
      <c r="C12" s="30"/>
      <c r="D12" s="31"/>
      <c r="E12" s="29"/>
      <c r="F12" s="585"/>
      <c r="G12" s="585"/>
      <c r="H12" s="585"/>
      <c r="I12" s="586"/>
    </row>
    <row r="13" spans="1:78" ht="20.100000000000001" customHeight="1" x14ac:dyDescent="0.2">
      <c r="A13" s="587" t="str">
        <f ca="1">+'MED PROYECTO'!A13</f>
        <v>1.1</v>
      </c>
      <c r="B13" s="748" t="str">
        <f ca="1">+'MED PROYECTO'!B13:C13</f>
        <v>Elaboración Proyecto Ejecutivo</v>
      </c>
      <c r="C13" s="749"/>
      <c r="D13" s="588">
        <f ca="1">+'MED PROYECTO'!D13</f>
        <v>0</v>
      </c>
      <c r="E13" s="25"/>
      <c r="F13" s="589">
        <f>+'MED PROYECTO'!I13</f>
        <v>0</v>
      </c>
      <c r="G13" s="589">
        <f>+'MED PROYECTO'!J13</f>
        <v>0</v>
      </c>
      <c r="H13" s="589">
        <f>+'MED PROYECTO'!K13</f>
        <v>0</v>
      </c>
      <c r="I13" s="20"/>
    </row>
    <row r="14" spans="1:78" ht="20.100000000000001" customHeight="1" x14ac:dyDescent="0.2">
      <c r="A14" s="587">
        <f ca="1">+'MED PROYECTO'!A14</f>
        <v>2</v>
      </c>
      <c r="B14" s="748" t="str">
        <f ca="1">+'MED PROYECTO'!B14:C14</f>
        <v>CANAL AMÉRICA</v>
      </c>
      <c r="C14" s="749"/>
      <c r="D14" s="588">
        <f ca="1">+'MED PROYECTO'!D14</f>
        <v>0</v>
      </c>
      <c r="E14" s="25"/>
      <c r="F14" s="589">
        <f>+'MED PROYECTO'!I14</f>
        <v>0</v>
      </c>
      <c r="G14" s="589">
        <f>+'MED PROYECTO'!J14</f>
        <v>0</v>
      </c>
      <c r="H14" s="589">
        <f>+'MED PROYECTO'!K14</f>
        <v>0</v>
      </c>
      <c r="I14" s="20"/>
    </row>
    <row r="15" spans="1:78" ht="20.100000000000001" customHeight="1" x14ac:dyDescent="0.2">
      <c r="A15" s="587" t="str">
        <f ca="1">+'MED PROYECTO'!A15</f>
        <v>2.1</v>
      </c>
      <c r="B15" s="748" t="str">
        <f ca="1">+'MED PROYECTO'!B15:C15</f>
        <v>Preparación y Limpieza del Terreno</v>
      </c>
      <c r="C15" s="749"/>
      <c r="D15" s="588">
        <f ca="1">+'MED PROYECTO'!D15</f>
        <v>0</v>
      </c>
      <c r="E15" s="25"/>
      <c r="F15" s="589">
        <f>+'MED PROYECTO'!I15</f>
        <v>0</v>
      </c>
      <c r="G15" s="589">
        <f>+'MED PROYECTO'!J15</f>
        <v>0</v>
      </c>
      <c r="H15" s="589">
        <f>+'MED PROYECTO'!K15</f>
        <v>0</v>
      </c>
      <c r="I15" s="20"/>
    </row>
    <row r="16" spans="1:78" ht="20.100000000000001" customHeight="1" x14ac:dyDescent="0.2">
      <c r="A16" s="587" t="str">
        <f ca="1">+'MED PROYECTO'!A16</f>
        <v>2.2</v>
      </c>
      <c r="B16" s="748" t="str">
        <f ca="1">+'MED PROYECTO'!B16:C16</f>
        <v>Nivelación y Replanteo</v>
      </c>
      <c r="C16" s="749"/>
      <c r="D16" s="588">
        <f ca="1">+'MED PROYECTO'!D16</f>
        <v>0</v>
      </c>
      <c r="E16" s="25"/>
      <c r="F16" s="589">
        <f>+'MED PROYECTO'!I16</f>
        <v>0</v>
      </c>
      <c r="G16" s="589">
        <f>+'MED PROYECTO'!J16</f>
        <v>0</v>
      </c>
      <c r="H16" s="589">
        <f>+'MED PROYECTO'!K16</f>
        <v>0</v>
      </c>
      <c r="I16" s="20"/>
    </row>
    <row r="17" spans="1:9" ht="20.100000000000001" customHeight="1" x14ac:dyDescent="0.2">
      <c r="A17" s="587" t="str">
        <f ca="1">+'MED PROYECTO'!A17</f>
        <v>2.3</v>
      </c>
      <c r="B17" s="748" t="str">
        <f ca="1">+'MED PROYECTO'!B17:C17</f>
        <v>Demolición de las Bocas del Sifón</v>
      </c>
      <c r="C17" s="749"/>
      <c r="D17" s="588">
        <f ca="1">+'MED PROYECTO'!D17</f>
        <v>0</v>
      </c>
      <c r="E17" s="25"/>
      <c r="F17" s="589">
        <f>+'MED PROYECTO'!I17</f>
        <v>0</v>
      </c>
      <c r="G17" s="589">
        <f>+'MED PROYECTO'!J17</f>
        <v>0</v>
      </c>
      <c r="H17" s="589">
        <f>+'MED PROYECTO'!K17</f>
        <v>0</v>
      </c>
      <c r="I17" s="20"/>
    </row>
    <row r="18" spans="1:9" ht="20.100000000000001" customHeight="1" x14ac:dyDescent="0.2">
      <c r="A18" s="587" t="str">
        <f ca="1">+'MED PROYECTO'!A18</f>
        <v>2.5</v>
      </c>
      <c r="B18" s="748" t="str">
        <f ca="1">+'MED PROYECTO'!B18:C18</f>
        <v>Relleno y Compactación con Cama de Asiento</v>
      </c>
      <c r="C18" s="749"/>
      <c r="D18" s="588">
        <f ca="1">+'MED PROYECTO'!D18</f>
        <v>0</v>
      </c>
      <c r="E18" s="25"/>
      <c r="F18" s="589">
        <f>+'MED PROYECTO'!I18</f>
        <v>0</v>
      </c>
      <c r="G18" s="589">
        <f>+'MED PROYECTO'!J18</f>
        <v>0</v>
      </c>
      <c r="H18" s="589">
        <f>+'MED PROYECTO'!K18</f>
        <v>0</v>
      </c>
      <c r="I18" s="20"/>
    </row>
    <row r="19" spans="1:9" ht="20.100000000000001" customHeight="1" x14ac:dyDescent="0.2">
      <c r="A19" s="587" t="str">
        <f ca="1">+'MED PROYECTO'!A19</f>
        <v>2.6</v>
      </c>
      <c r="B19" s="748" t="str">
        <f ca="1">+'MED PROYECTO'!B19:C19</f>
        <v>Excavación Caja del Canal</v>
      </c>
      <c r="C19" s="749"/>
      <c r="D19" s="588">
        <f ca="1">+'MED PROYECTO'!D19</f>
        <v>0</v>
      </c>
      <c r="E19" s="25"/>
      <c r="F19" s="589">
        <f>+'MED PROYECTO'!I19</f>
        <v>0</v>
      </c>
      <c r="G19" s="589">
        <f>+'MED PROYECTO'!J19</f>
        <v>1</v>
      </c>
      <c r="H19" s="589">
        <f>+'MED PROYECTO'!K19</f>
        <v>1</v>
      </c>
      <c r="I19" s="20"/>
    </row>
    <row r="20" spans="1:9" ht="20.100000000000001" customHeight="1" x14ac:dyDescent="0.2">
      <c r="A20" s="587" t="str">
        <f ca="1">+'MED PROYECTO'!A20</f>
        <v>2.8</v>
      </c>
      <c r="B20" s="748" t="str">
        <f ca="1">+'MED PROYECTO'!B20:C20</f>
        <v>Hormigón H21</v>
      </c>
      <c r="C20" s="749"/>
      <c r="D20" s="588">
        <f ca="1">+'MED PROYECTO'!D20</f>
        <v>0</v>
      </c>
      <c r="E20" s="25"/>
      <c r="F20" s="589">
        <f>+'MED PROYECTO'!I20</f>
        <v>0</v>
      </c>
      <c r="G20" s="589">
        <f>+'MED PROYECTO'!J20</f>
        <v>0</v>
      </c>
      <c r="H20" s="589">
        <f>+'MED PROYECTO'!K20</f>
        <v>0</v>
      </c>
      <c r="I20" s="20"/>
    </row>
    <row r="21" spans="1:9" ht="20.100000000000001" customHeight="1" x14ac:dyDescent="0.2">
      <c r="A21" s="32" t="s">
        <v>3</v>
      </c>
      <c r="B21" s="24" t="s">
        <v>3</v>
      </c>
      <c r="C21" s="24"/>
      <c r="D21" s="33" t="s">
        <v>4</v>
      </c>
      <c r="E21" s="25"/>
      <c r="F21" s="590"/>
      <c r="G21" s="590"/>
      <c r="H21" s="590"/>
    </row>
    <row r="22" spans="1:9" ht="20.100000000000001" customHeight="1" x14ac:dyDescent="0.2">
      <c r="A22" s="32" t="s">
        <v>3</v>
      </c>
      <c r="B22" s="30" t="s">
        <v>7</v>
      </c>
      <c r="C22" s="34"/>
      <c r="D22" s="591">
        <f ca="1">SUM(D13:D21)</f>
        <v>0</v>
      </c>
      <c r="E22" s="592"/>
      <c r="F22" s="593">
        <f ca="1">+SUMPRODUCT(F13:F20,$D$13:$D$20)</f>
        <v>0</v>
      </c>
      <c r="G22" s="593">
        <f ca="1">+SUMPRODUCT(G13:G20,$D$13:$D$20)</f>
        <v>0</v>
      </c>
      <c r="H22" s="593">
        <f ca="1">+SUMPRODUCT(H13:H20,$D$13:$D$20)</f>
        <v>0</v>
      </c>
    </row>
    <row r="23" spans="1:9" ht="20.100000000000001" customHeight="1" x14ac:dyDescent="0.2">
      <c r="A23" s="5" t="s">
        <v>915</v>
      </c>
      <c r="B23" s="5"/>
      <c r="C23" s="5"/>
      <c r="D23" s="5"/>
      <c r="E23" s="5"/>
      <c r="F23" s="26"/>
      <c r="G23" s="26"/>
      <c r="H23" s="26"/>
    </row>
    <row r="24" spans="1:9" ht="20.100000000000001" customHeight="1" x14ac:dyDescent="0.2">
      <c r="E24" s="21"/>
    </row>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sheetData>
  <mergeCells count="13">
    <mergeCell ref="F10:H10"/>
    <mergeCell ref="B13:C13"/>
    <mergeCell ref="A8:D8"/>
    <mergeCell ref="A10:A11"/>
    <mergeCell ref="B10:C11"/>
    <mergeCell ref="D10:D11"/>
    <mergeCell ref="B19:C19"/>
    <mergeCell ref="B20:C20"/>
    <mergeCell ref="B18:C18"/>
    <mergeCell ref="B14:C14"/>
    <mergeCell ref="B15:C15"/>
    <mergeCell ref="B16:C16"/>
    <mergeCell ref="B17:C17"/>
  </mergeCells>
  <conditionalFormatting sqref="A21:A22 A13:B20">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21:C2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0866141732283472" right="0.70866141732283472" top="0.74803149606299213" bottom="0.74803149606299213" header="0.31496062992125984" footer="0.31496062992125984"/>
  <pageSetup scale="70" orientation="portrait" r:id="rId1"/>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CC217"/>
  <sheetViews>
    <sheetView view="pageBreakPreview" zoomScaleNormal="100" zoomScaleSheetLayoutView="100" workbookViewId="0">
      <selection activeCell="H40" sqref="H40"/>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1.28515625" style="640" bestFit="1" customWidth="1"/>
    <col min="9" max="9" width="14" style="8" customWidth="1"/>
    <col min="10" max="10" width="12.42578125" style="8" customWidth="1"/>
    <col min="11" max="11" width="13.28515625" style="8" customWidth="1"/>
    <col min="12" max="12" width="10.7109375" style="8" customWidth="1"/>
    <col min="13" max="32" width="10.7109375" style="60" customWidth="1"/>
    <col min="33" max="81" width="11.42578125" style="60"/>
    <col min="82" max="16384" width="11.42578125" style="8"/>
  </cols>
  <sheetData>
    <row r="1" spans="1:81" s="2" customFormat="1" ht="20.100000000000001" customHeight="1" x14ac:dyDescent="0.2">
      <c r="A1" s="3" t="s">
        <v>8</v>
      </c>
      <c r="B1" s="3"/>
      <c r="C1" s="3" t="str">
        <f>Comitente</f>
        <v>DEPARTAMENTO DE HIDRAULICA</v>
      </c>
      <c r="D1" s="4"/>
      <c r="H1" s="632"/>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row>
    <row r="2" spans="1:81" s="5" customFormat="1" ht="20.100000000000001" customHeight="1" x14ac:dyDescent="0.2">
      <c r="A2" s="10" t="s">
        <v>9</v>
      </c>
      <c r="B2" s="10"/>
      <c r="C2" s="10" t="str">
        <f>Obra</f>
        <v>Encamisado Parcial del Canal de Calle América</v>
      </c>
      <c r="H2" s="633"/>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row>
    <row r="3" spans="1:81" s="5" customFormat="1" ht="20.100000000000001" customHeight="1" x14ac:dyDescent="0.2">
      <c r="A3" s="10" t="s">
        <v>13</v>
      </c>
      <c r="B3" s="10"/>
      <c r="C3" s="10" t="str">
        <f>Ubicación</f>
        <v>Departamento Rawson</v>
      </c>
      <c r="H3" s="633"/>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row>
    <row r="4" spans="1:81" s="5" customFormat="1" ht="20.100000000000001" customHeight="1" x14ac:dyDescent="0.2">
      <c r="A4" s="10" t="s">
        <v>12</v>
      </c>
      <c r="B4" s="11"/>
      <c r="C4" s="43" t="str">
        <f>Licitación_N°</f>
        <v>___/2023</v>
      </c>
      <c r="H4" s="633"/>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row>
    <row r="5" spans="1:81" s="5" customFormat="1" ht="20.100000000000001" customHeight="1" thickBot="1" x14ac:dyDescent="0.25">
      <c r="A5" s="10" t="s">
        <v>14</v>
      </c>
      <c r="B5" s="11"/>
      <c r="C5" s="44">
        <f>Plazo_Obra</f>
        <v>150</v>
      </c>
      <c r="H5" s="633"/>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row>
    <row r="6" spans="1:81" s="5" customFormat="1" ht="20.100000000000001" customHeight="1" thickBot="1" x14ac:dyDescent="0.25">
      <c r="A6" s="10" t="s">
        <v>10</v>
      </c>
      <c r="B6" s="10"/>
      <c r="C6" s="10">
        <f>+Contratista</f>
        <v>0</v>
      </c>
      <c r="H6" s="633"/>
      <c r="I6" s="595" t="s">
        <v>1938</v>
      </c>
      <c r="J6" s="596">
        <v>43831</v>
      </c>
      <c r="K6" s="597">
        <f ca="1">+J22</f>
        <v>0</v>
      </c>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row>
    <row r="7" spans="1:81" s="2" customFormat="1" ht="20.100000000000001" customHeight="1" x14ac:dyDescent="0.2">
      <c r="C7" s="2">
        <v>419</v>
      </c>
      <c r="H7" s="634"/>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row>
    <row r="8" spans="1:81" s="2" customFormat="1" ht="20.100000000000001" customHeight="1" x14ac:dyDescent="0.2">
      <c r="A8" s="736" t="s">
        <v>1939</v>
      </c>
      <c r="B8" s="737"/>
      <c r="C8" s="737"/>
      <c r="D8" s="738"/>
      <c r="E8" s="7"/>
      <c r="F8" s="7"/>
      <c r="G8" s="7"/>
      <c r="H8" s="635"/>
      <c r="I8" s="7"/>
      <c r="J8" s="7"/>
      <c r="K8" s="7"/>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row>
    <row r="10" spans="1:81" ht="12.75" x14ac:dyDescent="0.2">
      <c r="A10" s="710" t="s">
        <v>892</v>
      </c>
      <c r="B10" s="753" t="s">
        <v>0</v>
      </c>
      <c r="C10" s="753"/>
      <c r="D10" s="754" t="s">
        <v>11</v>
      </c>
      <c r="E10" s="29"/>
      <c r="F10" s="754" t="s">
        <v>1943</v>
      </c>
      <c r="G10" s="754" t="s">
        <v>1944</v>
      </c>
      <c r="H10" s="757" t="s">
        <v>1945</v>
      </c>
      <c r="I10" s="758">
        <v>1</v>
      </c>
      <c r="J10" s="759"/>
      <c r="K10" s="760"/>
      <c r="L10" s="18"/>
    </row>
    <row r="11" spans="1:81" ht="25.5" x14ac:dyDescent="0.2">
      <c r="A11" s="710"/>
      <c r="B11" s="753"/>
      <c r="C11" s="753"/>
      <c r="D11" s="754"/>
      <c r="E11" s="29"/>
      <c r="F11" s="754"/>
      <c r="G11" s="754"/>
      <c r="H11" s="757"/>
      <c r="I11" s="570" t="s">
        <v>1940</v>
      </c>
      <c r="J11" s="570" t="s">
        <v>1941</v>
      </c>
      <c r="K11" s="570" t="s">
        <v>1942</v>
      </c>
      <c r="L11" s="19"/>
    </row>
    <row r="12" spans="1:81" ht="20.100000000000001" customHeight="1" thickBot="1" x14ac:dyDescent="0.25">
      <c r="A12" s="598"/>
      <c r="B12" s="599"/>
      <c r="C12" s="599"/>
      <c r="D12" s="600"/>
      <c r="E12" s="29"/>
      <c r="F12" s="29"/>
      <c r="G12" s="29"/>
      <c r="H12" s="636"/>
      <c r="I12" s="585"/>
      <c r="J12" s="585"/>
      <c r="K12" s="585"/>
      <c r="L12" s="586"/>
    </row>
    <row r="13" spans="1:81" ht="28.5" customHeight="1" thickBot="1" x14ac:dyDescent="0.25">
      <c r="A13" s="601" t="str">
        <f ca="1">+CyP!A18</f>
        <v>1.1</v>
      </c>
      <c r="B13" s="755" t="str">
        <f ca="1">+CyP!B18</f>
        <v>Elaboración Proyecto Ejecutivo</v>
      </c>
      <c r="C13" s="756"/>
      <c r="D13" s="602">
        <f ca="1">+CyP!I18</f>
        <v>0</v>
      </c>
      <c r="E13" s="25"/>
      <c r="F13" s="603" t="str">
        <f t="shared" ref="F13:F20" ca="1" si="0">+B13</f>
        <v>Elaboración Proyecto Ejecutivo</v>
      </c>
      <c r="G13" s="604">
        <v>1</v>
      </c>
      <c r="H13" s="637"/>
      <c r="I13" s="631"/>
      <c r="J13" s="605">
        <f t="shared" ref="J13:J20" si="1">+K13-I13</f>
        <v>0</v>
      </c>
      <c r="K13" s="630">
        <f t="shared" ref="K13:K18" si="2">+H13*G13</f>
        <v>0</v>
      </c>
    </row>
    <row r="14" spans="1:81" ht="28.5" customHeight="1" thickBot="1" x14ac:dyDescent="0.25">
      <c r="A14" s="601">
        <f ca="1">+CyP!A19</f>
        <v>2</v>
      </c>
      <c r="B14" s="755" t="str">
        <f ca="1">+CyP!B19</f>
        <v>CANAL AMÉRICA</v>
      </c>
      <c r="C14" s="756"/>
      <c r="D14" s="602">
        <f ca="1">+CyP!I19</f>
        <v>0</v>
      </c>
      <c r="E14" s="25"/>
      <c r="F14" s="603" t="str">
        <f t="shared" ca="1" si="0"/>
        <v>CANAL AMÉRICA</v>
      </c>
      <c r="G14" s="604">
        <v>1</v>
      </c>
      <c r="H14" s="637"/>
      <c r="I14" s="631"/>
      <c r="J14" s="605">
        <f t="shared" si="1"/>
        <v>0</v>
      </c>
      <c r="K14" s="630">
        <f t="shared" si="2"/>
        <v>0</v>
      </c>
    </row>
    <row r="15" spans="1:81" ht="28.5" customHeight="1" thickBot="1" x14ac:dyDescent="0.25">
      <c r="A15" s="601" t="str">
        <f ca="1">+CyP!A20</f>
        <v>2.1</v>
      </c>
      <c r="B15" s="755" t="str">
        <f ca="1">+CyP!B20</f>
        <v>Preparación y Limpieza del Terreno</v>
      </c>
      <c r="C15" s="756"/>
      <c r="D15" s="602">
        <f ca="1">+CyP!I20</f>
        <v>0</v>
      </c>
      <c r="E15" s="25"/>
      <c r="F15" s="603" t="str">
        <f t="shared" ca="1" si="0"/>
        <v>Preparación y Limpieza del Terreno</v>
      </c>
      <c r="G15" s="604">
        <v>1</v>
      </c>
      <c r="H15" s="637"/>
      <c r="I15" s="631"/>
      <c r="J15" s="605">
        <f t="shared" si="1"/>
        <v>0</v>
      </c>
      <c r="K15" s="630">
        <f t="shared" si="2"/>
        <v>0</v>
      </c>
    </row>
    <row r="16" spans="1:81" ht="28.5" customHeight="1" thickBot="1" x14ac:dyDescent="0.25">
      <c r="A16" s="601" t="str">
        <f ca="1">+CyP!A21</f>
        <v>2.2</v>
      </c>
      <c r="B16" s="755" t="str">
        <f ca="1">+CyP!B21</f>
        <v>Nivelación y Replanteo</v>
      </c>
      <c r="C16" s="756"/>
      <c r="D16" s="602">
        <f ca="1">+CyP!I21</f>
        <v>0</v>
      </c>
      <c r="E16" s="25"/>
      <c r="F16" s="603" t="str">
        <f t="shared" ca="1" si="0"/>
        <v>Nivelación y Replanteo</v>
      </c>
      <c r="G16" s="604">
        <v>1</v>
      </c>
      <c r="H16" s="637"/>
      <c r="I16" s="631"/>
      <c r="J16" s="605">
        <f t="shared" si="1"/>
        <v>0</v>
      </c>
      <c r="K16" s="630">
        <f t="shared" si="2"/>
        <v>0</v>
      </c>
    </row>
    <row r="17" spans="1:11" ht="28.5" customHeight="1" thickBot="1" x14ac:dyDescent="0.25">
      <c r="A17" s="601" t="str">
        <f ca="1">+CyP!A22</f>
        <v>2.3</v>
      </c>
      <c r="B17" s="755" t="str">
        <f ca="1">+CyP!B22</f>
        <v>Demolición de las Bocas del Sifón</v>
      </c>
      <c r="C17" s="756"/>
      <c r="D17" s="602">
        <f ca="1">+CyP!I22</f>
        <v>0</v>
      </c>
      <c r="E17" s="25"/>
      <c r="F17" s="603" t="str">
        <f t="shared" ca="1" si="0"/>
        <v>Demolición de las Bocas del Sifón</v>
      </c>
      <c r="G17" s="604">
        <v>1</v>
      </c>
      <c r="H17" s="637"/>
      <c r="I17" s="631"/>
      <c r="J17" s="605">
        <f t="shared" si="1"/>
        <v>0</v>
      </c>
      <c r="K17" s="630">
        <f t="shared" si="2"/>
        <v>0</v>
      </c>
    </row>
    <row r="18" spans="1:11" ht="28.5" customHeight="1" thickBot="1" x14ac:dyDescent="0.25">
      <c r="A18" s="601" t="str">
        <f ca="1">+CyP!A24</f>
        <v>2.5</v>
      </c>
      <c r="B18" s="755" t="str">
        <f ca="1">+CyP!B24</f>
        <v>Relleno y Compactación con Cama de Asiento</v>
      </c>
      <c r="C18" s="756"/>
      <c r="D18" s="602">
        <f ca="1">+CyP!I24</f>
        <v>0</v>
      </c>
      <c r="E18" s="25"/>
      <c r="F18" s="603" t="str">
        <f t="shared" ca="1" si="0"/>
        <v>Relleno y Compactación con Cama de Asiento</v>
      </c>
      <c r="G18" s="604">
        <v>1</v>
      </c>
      <c r="H18" s="637"/>
      <c r="I18" s="631"/>
      <c r="J18" s="605">
        <f t="shared" si="1"/>
        <v>0</v>
      </c>
      <c r="K18" s="630">
        <f t="shared" si="2"/>
        <v>0</v>
      </c>
    </row>
    <row r="19" spans="1:11" ht="28.5" customHeight="1" thickBot="1" x14ac:dyDescent="0.25">
      <c r="A19" s="601" t="str">
        <f ca="1">+CyP!A25</f>
        <v>2.6</v>
      </c>
      <c r="B19" s="755" t="str">
        <f ca="1">+CyP!B25</f>
        <v>Excavación Caja del Canal</v>
      </c>
      <c r="C19" s="756"/>
      <c r="D19" s="602">
        <f ca="1">+CyP!I25</f>
        <v>0</v>
      </c>
      <c r="E19" s="25"/>
      <c r="F19" s="603" t="str">
        <f t="shared" ca="1" si="0"/>
        <v>Excavación Caja del Canal</v>
      </c>
      <c r="G19" s="604">
        <v>1</v>
      </c>
      <c r="H19" s="637">
        <v>1</v>
      </c>
      <c r="I19" s="631"/>
      <c r="J19" s="605">
        <f t="shared" si="1"/>
        <v>1</v>
      </c>
      <c r="K19" s="630">
        <f>+H19*G19</f>
        <v>1</v>
      </c>
    </row>
    <row r="20" spans="1:11" ht="28.5" customHeight="1" thickBot="1" x14ac:dyDescent="0.25">
      <c r="A20" s="601" t="str">
        <f ca="1">+CyP!A27</f>
        <v>2.8</v>
      </c>
      <c r="B20" s="755" t="str">
        <f ca="1">+CyP!B27</f>
        <v>Hormigón H21</v>
      </c>
      <c r="C20" s="756"/>
      <c r="D20" s="602">
        <f ca="1">+CyP!I27</f>
        <v>0</v>
      </c>
      <c r="E20" s="25"/>
      <c r="F20" s="603" t="str">
        <f t="shared" ca="1" si="0"/>
        <v>Hormigón H21</v>
      </c>
      <c r="G20" s="604">
        <v>1</v>
      </c>
      <c r="H20" s="637"/>
      <c r="I20" s="631"/>
      <c r="J20" s="605">
        <f t="shared" si="1"/>
        <v>0</v>
      </c>
      <c r="K20" s="630">
        <f t="shared" ref="K20" si="3">+H20*G20</f>
        <v>0</v>
      </c>
    </row>
    <row r="21" spans="1:11" ht="20.100000000000001" customHeight="1" x14ac:dyDescent="0.2">
      <c r="A21" s="606" t="s">
        <v>3</v>
      </c>
      <c r="B21" s="607" t="s">
        <v>3</v>
      </c>
      <c r="C21" s="607"/>
      <c r="D21" s="608" t="s">
        <v>4</v>
      </c>
      <c r="E21" s="25"/>
      <c r="F21" s="25"/>
      <c r="G21" s="25"/>
      <c r="H21" s="633"/>
      <c r="I21" s="590"/>
      <c r="J21" s="590"/>
      <c r="K21" s="590"/>
    </row>
    <row r="22" spans="1:11" ht="20.100000000000001" customHeight="1" x14ac:dyDescent="0.2">
      <c r="A22" s="32" t="s">
        <v>3</v>
      </c>
      <c r="B22" s="30" t="s">
        <v>7</v>
      </c>
      <c r="C22" s="34"/>
      <c r="D22" s="609">
        <f ca="1">SUM(D13:D21)</f>
        <v>0</v>
      </c>
      <c r="E22" s="592"/>
      <c r="F22" s="592"/>
      <c r="G22" s="592"/>
      <c r="H22" s="638"/>
      <c r="I22" s="610">
        <f ca="1">+SUMPRODUCT(I13:I20,$D$13:$D$20)</f>
        <v>0</v>
      </c>
      <c r="J22" s="610">
        <f ca="1">+SUMPRODUCT(J13:J20,$D$13:$D$20)</f>
        <v>0</v>
      </c>
      <c r="K22" s="610">
        <f ca="1">+SUMPRODUCT(K13:K20,$D$13:$D$20)</f>
        <v>0</v>
      </c>
    </row>
    <row r="23" spans="1:11" ht="20.100000000000001" customHeight="1" x14ac:dyDescent="0.2">
      <c r="A23" s="5"/>
      <c r="B23" s="5"/>
      <c r="C23" s="5"/>
      <c r="D23" s="5"/>
      <c r="E23" s="5"/>
      <c r="F23" s="5"/>
      <c r="G23" s="5"/>
      <c r="H23" s="633"/>
      <c r="I23" s="5"/>
      <c r="J23" s="5"/>
      <c r="K23" s="5"/>
    </row>
    <row r="24" spans="1:11" ht="20.100000000000001" customHeight="1" x14ac:dyDescent="0.2">
      <c r="E24" s="21"/>
      <c r="F24" s="21"/>
      <c r="G24" s="21"/>
      <c r="H24" s="639"/>
      <c r="I24" s="21"/>
    </row>
    <row r="25" spans="1:11" ht="20.100000000000001" customHeight="1" x14ac:dyDescent="0.2"/>
    <row r="26" spans="1:11" ht="20.100000000000001" customHeight="1" x14ac:dyDescent="0.2"/>
    <row r="27" spans="1:11" ht="20.100000000000001" customHeight="1" x14ac:dyDescent="0.2"/>
    <row r="28" spans="1:11" ht="20.100000000000001" customHeight="1" x14ac:dyDescent="0.2"/>
    <row r="29" spans="1:11" ht="20.100000000000001" customHeight="1" x14ac:dyDescent="0.2"/>
    <row r="30" spans="1:11" ht="20.100000000000001" customHeight="1" x14ac:dyDescent="0.2"/>
    <row r="31" spans="1:11" ht="20.100000000000001" customHeight="1" x14ac:dyDescent="0.2"/>
    <row r="32" spans="1:11"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sheetData>
  <mergeCells count="16">
    <mergeCell ref="F10:F11"/>
    <mergeCell ref="H10:H11"/>
    <mergeCell ref="I10:K10"/>
    <mergeCell ref="G10:G11"/>
    <mergeCell ref="B18:C18"/>
    <mergeCell ref="B13:C13"/>
    <mergeCell ref="B14:C14"/>
    <mergeCell ref="B15:C15"/>
    <mergeCell ref="B16:C16"/>
    <mergeCell ref="B17:C17"/>
    <mergeCell ref="B20:C20"/>
    <mergeCell ref="A8:D8"/>
    <mergeCell ref="A10:A11"/>
    <mergeCell ref="B10:C11"/>
    <mergeCell ref="D10:D11"/>
    <mergeCell ref="B19:C19"/>
  </mergeCells>
  <conditionalFormatting sqref="A21:A22 A13:B20">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21:C2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0866141732283472" right="0.70866141732283472" top="0.74803149606299213" bottom="0.74803149606299213" header="0.31496062992125984" footer="0.31496062992125984"/>
  <pageSetup scale="53" orientation="portrait" r:id="rId1"/>
  <colBreaks count="1" manualBreakCount="1">
    <brk id="11" max="3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4"/>
  <sheetViews>
    <sheetView workbookViewId="0">
      <selection activeCell="P30" sqref="P30"/>
    </sheetView>
  </sheetViews>
  <sheetFormatPr baseColWidth="10" defaultRowHeight="12.75" x14ac:dyDescent="0.2"/>
  <cols>
    <col min="1" max="1" width="8.42578125" style="550" customWidth="1"/>
    <col min="2" max="2" width="12.42578125" style="53" customWidth="1"/>
    <col min="3" max="3" width="48.5703125" style="53" customWidth="1"/>
    <col min="4" max="4" width="9" style="53" customWidth="1"/>
    <col min="5" max="5" width="13.5703125" style="53" bestFit="1" customWidth="1"/>
    <col min="6" max="16384" width="11.42578125" style="53"/>
  </cols>
  <sheetData>
    <row r="1" spans="1:6" s="560" customFormat="1" x14ac:dyDescent="0.2">
      <c r="A1" s="560" t="s">
        <v>1932</v>
      </c>
    </row>
    <row r="2" spans="1:6" s="560" customFormat="1" x14ac:dyDescent="0.2">
      <c r="A2" s="560" t="s">
        <v>1933</v>
      </c>
    </row>
    <row r="3" spans="1:6" s="560" customFormat="1" x14ac:dyDescent="0.2">
      <c r="A3" s="560" t="s">
        <v>1934</v>
      </c>
    </row>
    <row r="4" spans="1:6" s="560" customFormat="1" x14ac:dyDescent="0.2"/>
    <row r="5" spans="1:6" s="560" customFormat="1" x14ac:dyDescent="0.2"/>
    <row r="6" spans="1:6" ht="15.75" x14ac:dyDescent="0.2">
      <c r="B6" s="762" t="s">
        <v>1715</v>
      </c>
      <c r="C6" s="762"/>
      <c r="D6" s="762"/>
      <c r="E6" s="762"/>
      <c r="F6" s="762"/>
    </row>
    <row r="8" spans="1:6" s="54" customFormat="1" x14ac:dyDescent="0.2">
      <c r="A8" s="553"/>
      <c r="B8" s="83" t="s">
        <v>1714</v>
      </c>
      <c r="C8" s="83" t="s">
        <v>1692</v>
      </c>
      <c r="D8" s="83" t="s">
        <v>1</v>
      </c>
      <c r="E8" s="761" t="s">
        <v>1716</v>
      </c>
      <c r="F8" s="761"/>
    </row>
    <row r="9" spans="1:6" x14ac:dyDescent="0.2">
      <c r="B9" s="566"/>
      <c r="C9" s="566"/>
      <c r="D9" s="566"/>
      <c r="E9" s="567"/>
      <c r="F9" s="568"/>
    </row>
    <row r="10" spans="1:6" x14ac:dyDescent="0.2">
      <c r="A10" s="553">
        <v>1</v>
      </c>
      <c r="B10" s="83" t="str">
        <f t="shared" ref="B10:B26" si="0">IFERROR(VLOOKUP(A10,T_NumeroItem,2,FALSE),"")</f>
        <v>1.1</v>
      </c>
      <c r="C10" s="455" t="str">
        <f t="shared" ref="C10:C18" si="1">IFERROR(VLOOKUP(B10,T_Datos,2,FALSE),"")</f>
        <v>Elaboración Proyecto Ejecutivo</v>
      </c>
      <c r="D10" s="83" t="str">
        <f t="shared" ref="D10:D18" si="2">IFERROR(VLOOKUP(B10,T_Datos,3,FALSE),"")</f>
        <v>Gl</v>
      </c>
      <c r="E10" s="567"/>
      <c r="F10" s="569" t="str">
        <f>D10&amp;"/dia"</f>
        <v>Gl/dia</v>
      </c>
    </row>
    <row r="11" spans="1:6" x14ac:dyDescent="0.2">
      <c r="A11" s="553">
        <v>2</v>
      </c>
      <c r="B11" s="83" t="str">
        <f t="shared" si="0"/>
        <v>2.1</v>
      </c>
      <c r="C11" s="455" t="str">
        <f t="shared" si="1"/>
        <v>Preparación y Limpieza del Terreno</v>
      </c>
      <c r="D11" s="83" t="str">
        <f t="shared" si="2"/>
        <v>Gl</v>
      </c>
      <c r="E11" s="567"/>
      <c r="F11" s="569" t="str">
        <f t="shared" ref="F11:F18" si="3">D11&amp;"/dia"</f>
        <v>Gl/dia</v>
      </c>
    </row>
    <row r="12" spans="1:6" x14ac:dyDescent="0.2">
      <c r="A12" s="553">
        <v>3</v>
      </c>
      <c r="B12" s="83" t="str">
        <f t="shared" si="0"/>
        <v>2.2</v>
      </c>
      <c r="C12" s="455" t="str">
        <f t="shared" si="1"/>
        <v>Nivelación y Replanteo</v>
      </c>
      <c r="D12" s="83" t="str">
        <f t="shared" si="2"/>
        <v>Gl</v>
      </c>
      <c r="E12" s="567"/>
      <c r="F12" s="569" t="str">
        <f t="shared" si="3"/>
        <v>Gl/dia</v>
      </c>
    </row>
    <row r="13" spans="1:6" x14ac:dyDescent="0.2">
      <c r="A13" s="553">
        <v>4</v>
      </c>
      <c r="B13" s="83" t="str">
        <f t="shared" si="0"/>
        <v>2.3</v>
      </c>
      <c r="C13" s="455" t="str">
        <f t="shared" si="1"/>
        <v>Demolición de las Bocas del Sifón</v>
      </c>
      <c r="D13" s="83" t="str">
        <f t="shared" si="2"/>
        <v>Gl</v>
      </c>
      <c r="E13" s="567"/>
      <c r="F13" s="569" t="str">
        <f t="shared" si="3"/>
        <v>Gl/dia</v>
      </c>
    </row>
    <row r="14" spans="1:6" x14ac:dyDescent="0.2">
      <c r="A14" s="553">
        <v>5</v>
      </c>
      <c r="B14" s="83" t="str">
        <f t="shared" si="0"/>
        <v>2.4</v>
      </c>
      <c r="C14" s="455" t="str">
        <f t="shared" si="1"/>
        <v>Extracción de Membrana</v>
      </c>
      <c r="D14" s="83" t="str">
        <f t="shared" si="2"/>
        <v>ML</v>
      </c>
      <c r="E14" s="567"/>
      <c r="F14" s="569" t="str">
        <f t="shared" si="3"/>
        <v>ML/dia</v>
      </c>
    </row>
    <row r="15" spans="1:6" x14ac:dyDescent="0.2">
      <c r="A15" s="553">
        <v>6</v>
      </c>
      <c r="B15" s="83" t="str">
        <f t="shared" si="0"/>
        <v>2.5</v>
      </c>
      <c r="C15" s="455" t="str">
        <f t="shared" si="1"/>
        <v>Relleno y Compactación con Cama de Asiento</v>
      </c>
      <c r="D15" s="83" t="str">
        <f t="shared" si="2"/>
        <v>M3</v>
      </c>
      <c r="E15" s="567"/>
      <c r="F15" s="569" t="str">
        <f t="shared" si="3"/>
        <v>M3/dia</v>
      </c>
    </row>
    <row r="16" spans="1:6" x14ac:dyDescent="0.2">
      <c r="A16" s="553">
        <v>7</v>
      </c>
      <c r="B16" s="83" t="str">
        <f t="shared" si="0"/>
        <v>2.6</v>
      </c>
      <c r="C16" s="455" t="str">
        <f t="shared" si="1"/>
        <v>Excavación Caja del Canal</v>
      </c>
      <c r="D16" s="83" t="str">
        <f t="shared" si="2"/>
        <v>M3</v>
      </c>
      <c r="E16" s="567"/>
      <c r="F16" s="569" t="str">
        <f t="shared" si="3"/>
        <v>M3/dia</v>
      </c>
    </row>
    <row r="17" spans="1:6" x14ac:dyDescent="0.2">
      <c r="A17" s="553">
        <v>8</v>
      </c>
      <c r="B17" s="83" t="str">
        <f t="shared" si="0"/>
        <v>2.7</v>
      </c>
      <c r="C17" s="455" t="str">
        <f t="shared" si="1"/>
        <v>Hormigón de Limpieza</v>
      </c>
      <c r="D17" s="83" t="str">
        <f t="shared" si="2"/>
        <v>M3</v>
      </c>
      <c r="E17" s="567"/>
      <c r="F17" s="569" t="str">
        <f t="shared" si="3"/>
        <v>M3/dia</v>
      </c>
    </row>
    <row r="18" spans="1:6" x14ac:dyDescent="0.2">
      <c r="A18" s="553">
        <v>9</v>
      </c>
      <c r="B18" s="83" t="str">
        <f t="shared" si="0"/>
        <v>2.8</v>
      </c>
      <c r="C18" s="455" t="str">
        <f t="shared" si="1"/>
        <v>Hormigón H21</v>
      </c>
      <c r="D18" s="83" t="str">
        <f t="shared" si="2"/>
        <v>M3</v>
      </c>
      <c r="E18" s="567"/>
      <c r="F18" s="569" t="str">
        <f t="shared" si="3"/>
        <v>M3/dia</v>
      </c>
    </row>
    <row r="19" spans="1:6" x14ac:dyDescent="0.2">
      <c r="A19" s="553">
        <v>10</v>
      </c>
      <c r="B19" s="83" t="str">
        <f t="shared" si="0"/>
        <v>2.9</v>
      </c>
      <c r="C19" s="455" t="str">
        <f t="shared" ref="C19:C22" si="4">IFERROR(VLOOKUP(B19,T_Datos,2,FALSE),"")</f>
        <v>Armadura Colocada en Obra</v>
      </c>
      <c r="D19" s="83" t="str">
        <f t="shared" ref="D19:D22" si="5">IFERROR(VLOOKUP(B19,T_Datos,3,FALSE),"")</f>
        <v>KG</v>
      </c>
      <c r="E19" s="567"/>
      <c r="F19" s="569" t="str">
        <f t="shared" ref="F19:F22" si="6">D19&amp;"/dia"</f>
        <v>KG/dia</v>
      </c>
    </row>
    <row r="20" spans="1:6" x14ac:dyDescent="0.2">
      <c r="A20" s="553">
        <v>11</v>
      </c>
      <c r="B20" s="83" t="str">
        <f t="shared" si="0"/>
        <v>2.10</v>
      </c>
      <c r="C20" s="455" t="str">
        <f t="shared" si="4"/>
        <v>Juntas de Contracción y Dilatación</v>
      </c>
      <c r="D20" s="83" t="str">
        <f t="shared" si="5"/>
        <v>ML</v>
      </c>
      <c r="E20" s="567"/>
      <c r="F20" s="569" t="str">
        <f t="shared" si="6"/>
        <v>ML/dia</v>
      </c>
    </row>
    <row r="21" spans="1:6" x14ac:dyDescent="0.2">
      <c r="A21" s="553">
        <v>12</v>
      </c>
      <c r="B21" s="83" t="str">
        <f t="shared" si="0"/>
        <v>2.11</v>
      </c>
      <c r="C21" s="455" t="str">
        <f t="shared" si="4"/>
        <v>Colocación de Membrana de 400 micrones</v>
      </c>
      <c r="D21" s="83" t="str">
        <f t="shared" si="5"/>
        <v>M2</v>
      </c>
      <c r="E21" s="567"/>
      <c r="F21" s="569" t="str">
        <f t="shared" si="6"/>
        <v>M2/dia</v>
      </c>
    </row>
    <row r="22" spans="1:6" x14ac:dyDescent="0.2">
      <c r="A22" s="553">
        <v>13</v>
      </c>
      <c r="B22" s="83" t="str">
        <f t="shared" si="0"/>
        <v>3.1</v>
      </c>
      <c r="C22" s="455" t="str">
        <f t="shared" si="4"/>
        <v>Preparación y Limpieza del Terreno</v>
      </c>
      <c r="D22" s="83" t="str">
        <f t="shared" si="5"/>
        <v>Gl</v>
      </c>
      <c r="E22" s="567"/>
      <c r="F22" s="569" t="str">
        <f t="shared" si="6"/>
        <v>Gl/dia</v>
      </c>
    </row>
    <row r="23" spans="1:6" x14ac:dyDescent="0.2">
      <c r="A23" s="553">
        <v>14</v>
      </c>
      <c r="B23" s="83" t="str">
        <f t="shared" si="0"/>
        <v>3.2</v>
      </c>
      <c r="C23" s="455" t="str">
        <f t="shared" ref="C23:C26" si="7">IFERROR(VLOOKUP(B23,T_Datos,2,FALSE),"")</f>
        <v>Nivelación y Replanteo</v>
      </c>
      <c r="D23" s="83" t="str">
        <f t="shared" ref="D23:D26" si="8">IFERROR(VLOOKUP(B23,T_Datos,3,FALSE),"")</f>
        <v>Gl</v>
      </c>
      <c r="E23" s="567"/>
      <c r="F23" s="569" t="str">
        <f t="shared" ref="F23:F26" si="9">D23&amp;"/dia"</f>
        <v>Gl/dia</v>
      </c>
    </row>
    <row r="24" spans="1:6" x14ac:dyDescent="0.2">
      <c r="A24" s="553">
        <v>15</v>
      </c>
      <c r="B24" s="83" t="str">
        <f t="shared" si="0"/>
        <v>3.3</v>
      </c>
      <c r="C24" s="455" t="str">
        <f t="shared" si="7"/>
        <v>Demolición de Puentes</v>
      </c>
      <c r="D24" s="83" t="str">
        <f t="shared" si="8"/>
        <v>Gl</v>
      </c>
      <c r="E24" s="567"/>
      <c r="F24" s="569" t="str">
        <f t="shared" si="9"/>
        <v>Gl/dia</v>
      </c>
    </row>
    <row r="25" spans="1:6" x14ac:dyDescent="0.2">
      <c r="A25" s="553">
        <v>16</v>
      </c>
      <c r="B25" s="83" t="str">
        <f t="shared" si="0"/>
        <v>3.4</v>
      </c>
      <c r="C25" s="455" t="str">
        <f t="shared" si="7"/>
        <v>Relleno y Compactación con Cama de Asiento</v>
      </c>
      <c r="D25" s="83" t="str">
        <f t="shared" si="8"/>
        <v>M3</v>
      </c>
      <c r="E25" s="567"/>
      <c r="F25" s="569" t="str">
        <f t="shared" si="9"/>
        <v>M3/dia</v>
      </c>
    </row>
    <row r="26" spans="1:6" x14ac:dyDescent="0.2">
      <c r="A26" s="553">
        <v>17</v>
      </c>
      <c r="B26" s="83" t="str">
        <f t="shared" si="0"/>
        <v>3.5</v>
      </c>
      <c r="C26" s="455" t="str">
        <f t="shared" si="7"/>
        <v>Excavación Cimiento</v>
      </c>
      <c r="D26" s="83" t="str">
        <f t="shared" si="8"/>
        <v>M3</v>
      </c>
      <c r="E26" s="567"/>
      <c r="F26" s="569" t="str">
        <f t="shared" si="9"/>
        <v>M3/dia</v>
      </c>
    </row>
    <row r="27" spans="1:6" x14ac:dyDescent="0.2">
      <c r="A27" s="553">
        <v>18</v>
      </c>
      <c r="B27" s="83" t="str">
        <f t="shared" ref="B27:B47" si="10">IFERROR(VLOOKUP(A27,T_NumeroItem,2,FALSE),"")</f>
        <v>3.6</v>
      </c>
      <c r="C27" s="455" t="str">
        <f t="shared" ref="C27:C47" si="11">IFERROR(VLOOKUP(B27,T_Datos,2,FALSE),"")</f>
        <v>Hormigón de Limpieza</v>
      </c>
      <c r="D27" s="83" t="str">
        <f t="shared" ref="D27:D47" si="12">IFERROR(VLOOKUP(B27,T_Datos,3,FALSE),"")</f>
        <v>M3</v>
      </c>
      <c r="E27" s="567"/>
      <c r="F27" s="569" t="str">
        <f t="shared" ref="F27:F47" si="13">D27&amp;"/dia"</f>
        <v>M3/dia</v>
      </c>
    </row>
    <row r="28" spans="1:6" x14ac:dyDescent="0.2">
      <c r="A28" s="553">
        <v>19</v>
      </c>
      <c r="B28" s="83" t="str">
        <f t="shared" si="10"/>
        <v>3.7</v>
      </c>
      <c r="C28" s="455" t="str">
        <f t="shared" si="11"/>
        <v>Hormigón H21</v>
      </c>
      <c r="D28" s="83" t="str">
        <f t="shared" si="12"/>
        <v>M3</v>
      </c>
      <c r="E28" s="567"/>
      <c r="F28" s="569" t="str">
        <f t="shared" si="13"/>
        <v>M3/dia</v>
      </c>
    </row>
    <row r="29" spans="1:6" x14ac:dyDescent="0.2">
      <c r="A29" s="553">
        <v>20</v>
      </c>
      <c r="B29" s="83" t="str">
        <f t="shared" si="10"/>
        <v>3.8</v>
      </c>
      <c r="C29" s="455" t="str">
        <f t="shared" si="11"/>
        <v>Armadura Colocada en Obra</v>
      </c>
      <c r="D29" s="83" t="str">
        <f t="shared" si="12"/>
        <v>KG</v>
      </c>
      <c r="E29" s="567"/>
      <c r="F29" s="569" t="str">
        <f t="shared" si="13"/>
        <v>KG/dia</v>
      </c>
    </row>
    <row r="30" spans="1:6" x14ac:dyDescent="0.2">
      <c r="A30" s="553">
        <v>21</v>
      </c>
      <c r="B30" s="83" t="str">
        <f t="shared" si="10"/>
        <v>4.1</v>
      </c>
      <c r="C30" s="455" t="str">
        <f t="shared" si="11"/>
        <v>Camioneta 0 km.</v>
      </c>
      <c r="D30" s="83" t="str">
        <f t="shared" si="12"/>
        <v>UN.</v>
      </c>
      <c r="E30" s="567"/>
      <c r="F30" s="569" t="str">
        <f t="shared" si="13"/>
        <v>UN./dia</v>
      </c>
    </row>
    <row r="31" spans="1:6" x14ac:dyDescent="0.2">
      <c r="A31" s="553">
        <v>22</v>
      </c>
      <c r="B31" s="83" t="str">
        <f t="shared" si="10"/>
        <v>4.2</v>
      </c>
      <c r="C31" s="455" t="str">
        <f t="shared" si="11"/>
        <v xml:space="preserve">Equipo de computación PC Core I7 10400 16gb RAM 240 Ssd + 2TR HD, con Monitor 24 W10 LISTA PARA USAR CON ANTIVIRUS con teclado y mouse inalámbrico. </v>
      </c>
      <c r="D31" s="83" t="str">
        <f t="shared" si="12"/>
        <v>UN.</v>
      </c>
      <c r="E31" s="567"/>
      <c r="F31" s="569" t="str">
        <f t="shared" si="13"/>
        <v>UN./dia</v>
      </c>
    </row>
    <row r="32" spans="1:6" x14ac:dyDescent="0.2">
      <c r="A32" s="553">
        <v>23</v>
      </c>
      <c r="B32" s="83" t="str">
        <f t="shared" si="10"/>
        <v>4.3</v>
      </c>
      <c r="C32" s="455" t="str">
        <f t="shared" si="11"/>
        <v>Dron</v>
      </c>
      <c r="D32" s="83" t="str">
        <f t="shared" si="12"/>
        <v>UN.</v>
      </c>
      <c r="E32" s="567"/>
      <c r="F32" s="569" t="str">
        <f t="shared" si="13"/>
        <v>UN./dia</v>
      </c>
    </row>
    <row r="33" spans="1:6" x14ac:dyDescent="0.2">
      <c r="A33" s="553">
        <v>24</v>
      </c>
      <c r="B33" s="83" t="str">
        <f t="shared" si="10"/>
        <v>4.4</v>
      </c>
      <c r="C33" s="455" t="str">
        <f t="shared" si="11"/>
        <v>GPS diferencial</v>
      </c>
      <c r="D33" s="83" t="str">
        <f t="shared" si="12"/>
        <v>UN.</v>
      </c>
      <c r="E33" s="567"/>
      <c r="F33" s="569" t="str">
        <f t="shared" si="13"/>
        <v>UN./dia</v>
      </c>
    </row>
    <row r="34" spans="1:6" x14ac:dyDescent="0.2">
      <c r="A34" s="553">
        <v>25</v>
      </c>
      <c r="B34" s="83" t="str">
        <f t="shared" si="10"/>
        <v/>
      </c>
      <c r="C34" s="455" t="str">
        <f t="shared" si="11"/>
        <v/>
      </c>
      <c r="D34" s="83" t="str">
        <f t="shared" si="12"/>
        <v/>
      </c>
      <c r="E34" s="567"/>
      <c r="F34" s="569" t="str">
        <f t="shared" si="13"/>
        <v>/dia</v>
      </c>
    </row>
    <row r="35" spans="1:6" x14ac:dyDescent="0.2">
      <c r="A35" s="553">
        <v>26</v>
      </c>
      <c r="B35" s="83" t="str">
        <f t="shared" si="10"/>
        <v/>
      </c>
      <c r="C35" s="455" t="str">
        <f t="shared" si="11"/>
        <v/>
      </c>
      <c r="D35" s="83" t="str">
        <f t="shared" si="12"/>
        <v/>
      </c>
      <c r="E35" s="567"/>
      <c r="F35" s="569" t="str">
        <f t="shared" si="13"/>
        <v>/dia</v>
      </c>
    </row>
    <row r="36" spans="1:6" x14ac:dyDescent="0.2">
      <c r="A36" s="553">
        <v>27</v>
      </c>
      <c r="B36" s="83" t="str">
        <f t="shared" si="10"/>
        <v/>
      </c>
      <c r="C36" s="455" t="str">
        <f t="shared" si="11"/>
        <v/>
      </c>
      <c r="D36" s="83" t="str">
        <f t="shared" si="12"/>
        <v/>
      </c>
      <c r="E36" s="567"/>
      <c r="F36" s="569" t="str">
        <f t="shared" si="13"/>
        <v>/dia</v>
      </c>
    </row>
    <row r="37" spans="1:6" x14ac:dyDescent="0.2">
      <c r="A37" s="553">
        <v>28</v>
      </c>
      <c r="B37" s="83" t="str">
        <f t="shared" si="10"/>
        <v/>
      </c>
      <c r="C37" s="455" t="str">
        <f t="shared" si="11"/>
        <v/>
      </c>
      <c r="D37" s="83" t="str">
        <f t="shared" si="12"/>
        <v/>
      </c>
      <c r="E37" s="567"/>
      <c r="F37" s="569" t="str">
        <f t="shared" si="13"/>
        <v>/dia</v>
      </c>
    </row>
    <row r="38" spans="1:6" x14ac:dyDescent="0.2">
      <c r="A38" s="553">
        <v>29</v>
      </c>
      <c r="B38" s="83" t="str">
        <f t="shared" si="10"/>
        <v/>
      </c>
      <c r="C38" s="455" t="str">
        <f t="shared" si="11"/>
        <v/>
      </c>
      <c r="D38" s="83" t="str">
        <f t="shared" si="12"/>
        <v/>
      </c>
      <c r="E38" s="567"/>
      <c r="F38" s="569" t="str">
        <f t="shared" si="13"/>
        <v>/dia</v>
      </c>
    </row>
    <row r="39" spans="1:6" x14ac:dyDescent="0.2">
      <c r="A39" s="553">
        <v>30</v>
      </c>
      <c r="B39" s="83" t="str">
        <f t="shared" si="10"/>
        <v/>
      </c>
      <c r="C39" s="455" t="str">
        <f t="shared" si="11"/>
        <v/>
      </c>
      <c r="D39" s="83" t="str">
        <f t="shared" si="12"/>
        <v/>
      </c>
      <c r="E39" s="567"/>
      <c r="F39" s="569" t="str">
        <f t="shared" si="13"/>
        <v>/dia</v>
      </c>
    </row>
    <row r="40" spans="1:6" x14ac:dyDescent="0.2">
      <c r="A40" s="553">
        <v>31</v>
      </c>
      <c r="B40" s="83" t="str">
        <f t="shared" si="10"/>
        <v/>
      </c>
      <c r="C40" s="455" t="str">
        <f t="shared" si="11"/>
        <v/>
      </c>
      <c r="D40" s="83" t="str">
        <f t="shared" si="12"/>
        <v/>
      </c>
      <c r="E40" s="567"/>
      <c r="F40" s="569" t="str">
        <f t="shared" si="13"/>
        <v>/dia</v>
      </c>
    </row>
    <row r="41" spans="1:6" x14ac:dyDescent="0.2">
      <c r="A41" s="553">
        <v>32</v>
      </c>
      <c r="B41" s="83" t="str">
        <f t="shared" si="10"/>
        <v/>
      </c>
      <c r="C41" s="455" t="str">
        <f t="shared" si="11"/>
        <v/>
      </c>
      <c r="D41" s="83" t="str">
        <f t="shared" si="12"/>
        <v/>
      </c>
      <c r="E41" s="567"/>
      <c r="F41" s="569" t="str">
        <f t="shared" si="13"/>
        <v>/dia</v>
      </c>
    </row>
    <row r="42" spans="1:6" x14ac:dyDescent="0.2">
      <c r="A42" s="553">
        <v>33</v>
      </c>
      <c r="B42" s="83" t="str">
        <f t="shared" si="10"/>
        <v/>
      </c>
      <c r="C42" s="455" t="str">
        <f t="shared" si="11"/>
        <v/>
      </c>
      <c r="D42" s="83" t="str">
        <f t="shared" si="12"/>
        <v/>
      </c>
      <c r="E42" s="567"/>
      <c r="F42" s="569" t="str">
        <f t="shared" si="13"/>
        <v>/dia</v>
      </c>
    </row>
    <row r="43" spans="1:6" x14ac:dyDescent="0.2">
      <c r="A43" s="553">
        <v>34</v>
      </c>
      <c r="B43" s="83" t="str">
        <f t="shared" si="10"/>
        <v/>
      </c>
      <c r="C43" s="455" t="str">
        <f t="shared" si="11"/>
        <v/>
      </c>
      <c r="D43" s="83" t="str">
        <f t="shared" si="12"/>
        <v/>
      </c>
      <c r="E43" s="567"/>
      <c r="F43" s="569" t="str">
        <f t="shared" si="13"/>
        <v>/dia</v>
      </c>
    </row>
    <row r="44" spans="1:6" x14ac:dyDescent="0.2">
      <c r="A44" s="553">
        <v>35</v>
      </c>
      <c r="B44" s="83" t="str">
        <f t="shared" si="10"/>
        <v/>
      </c>
      <c r="C44" s="455" t="str">
        <f t="shared" si="11"/>
        <v/>
      </c>
      <c r="D44" s="83" t="str">
        <f t="shared" si="12"/>
        <v/>
      </c>
      <c r="E44" s="567"/>
      <c r="F44" s="569" t="str">
        <f t="shared" si="13"/>
        <v>/dia</v>
      </c>
    </row>
    <row r="45" spans="1:6" x14ac:dyDescent="0.2">
      <c r="A45" s="553">
        <v>36</v>
      </c>
      <c r="B45" s="83" t="str">
        <f t="shared" si="10"/>
        <v/>
      </c>
      <c r="C45" s="455" t="str">
        <f t="shared" si="11"/>
        <v/>
      </c>
      <c r="D45" s="83" t="str">
        <f t="shared" si="12"/>
        <v/>
      </c>
      <c r="E45" s="567"/>
      <c r="F45" s="569" t="str">
        <f t="shared" si="13"/>
        <v>/dia</v>
      </c>
    </row>
    <row r="46" spans="1:6" x14ac:dyDescent="0.2">
      <c r="A46" s="553">
        <v>37</v>
      </c>
      <c r="B46" s="83" t="str">
        <f t="shared" si="10"/>
        <v/>
      </c>
      <c r="C46" s="455" t="str">
        <f t="shared" si="11"/>
        <v/>
      </c>
      <c r="D46" s="83" t="str">
        <f t="shared" si="12"/>
        <v/>
      </c>
      <c r="E46" s="567"/>
      <c r="F46" s="569" t="str">
        <f t="shared" si="13"/>
        <v>/dia</v>
      </c>
    </row>
    <row r="47" spans="1:6" x14ac:dyDescent="0.2">
      <c r="A47" s="553">
        <v>38</v>
      </c>
      <c r="B47" s="83" t="str">
        <f t="shared" si="10"/>
        <v/>
      </c>
      <c r="C47" s="455" t="str">
        <f t="shared" si="11"/>
        <v/>
      </c>
      <c r="D47" s="83" t="str">
        <f t="shared" si="12"/>
        <v/>
      </c>
      <c r="E47" s="567"/>
      <c r="F47" s="569" t="str">
        <f t="shared" si="13"/>
        <v>/dia</v>
      </c>
    </row>
    <row r="48" spans="1:6" x14ac:dyDescent="0.2">
      <c r="A48" s="553">
        <v>39</v>
      </c>
      <c r="B48" s="83" t="str">
        <f t="shared" ref="B48:B54" si="14">IFERROR(VLOOKUP(A48,T_NumeroItem,2,FALSE),"")</f>
        <v/>
      </c>
      <c r="C48" s="455" t="str">
        <f t="shared" ref="C48:C54" si="15">IFERROR(VLOOKUP(B48,T_Datos,2,FALSE),"")</f>
        <v/>
      </c>
      <c r="D48" s="83" t="str">
        <f t="shared" ref="D48:D54" si="16">IFERROR(VLOOKUP(B48,T_Datos,3,FALSE),"")</f>
        <v/>
      </c>
      <c r="E48" s="567"/>
      <c r="F48" s="569" t="str">
        <f t="shared" ref="F48:F54" si="17">D48&amp;"/dia"</f>
        <v>/dia</v>
      </c>
    </row>
    <row r="49" spans="1:6" x14ac:dyDescent="0.2">
      <c r="A49" s="553">
        <v>40</v>
      </c>
      <c r="B49" s="83" t="str">
        <f t="shared" si="14"/>
        <v/>
      </c>
      <c r="C49" s="455" t="str">
        <f t="shared" si="15"/>
        <v/>
      </c>
      <c r="D49" s="83" t="str">
        <f t="shared" si="16"/>
        <v/>
      </c>
      <c r="E49" s="567"/>
      <c r="F49" s="569" t="str">
        <f t="shared" si="17"/>
        <v>/dia</v>
      </c>
    </row>
    <row r="50" spans="1:6" x14ac:dyDescent="0.2">
      <c r="A50" s="553">
        <v>41</v>
      </c>
      <c r="B50" s="83" t="str">
        <f t="shared" si="14"/>
        <v/>
      </c>
      <c r="C50" s="455" t="str">
        <f t="shared" si="15"/>
        <v/>
      </c>
      <c r="D50" s="83" t="str">
        <f t="shared" si="16"/>
        <v/>
      </c>
      <c r="E50" s="567"/>
      <c r="F50" s="569" t="str">
        <f t="shared" si="17"/>
        <v>/dia</v>
      </c>
    </row>
    <row r="51" spans="1:6" x14ac:dyDescent="0.2">
      <c r="A51" s="553">
        <v>42</v>
      </c>
      <c r="B51" s="83" t="str">
        <f t="shared" si="14"/>
        <v/>
      </c>
      <c r="C51" s="455" t="str">
        <f t="shared" si="15"/>
        <v/>
      </c>
      <c r="D51" s="83" t="str">
        <f t="shared" si="16"/>
        <v/>
      </c>
      <c r="E51" s="567"/>
      <c r="F51" s="569" t="str">
        <f t="shared" si="17"/>
        <v>/dia</v>
      </c>
    </row>
    <row r="52" spans="1:6" x14ac:dyDescent="0.2">
      <c r="A52" s="553">
        <v>43</v>
      </c>
      <c r="B52" s="83" t="str">
        <f t="shared" si="14"/>
        <v/>
      </c>
      <c r="C52" s="455" t="str">
        <f t="shared" si="15"/>
        <v/>
      </c>
      <c r="D52" s="83" t="str">
        <f t="shared" si="16"/>
        <v/>
      </c>
      <c r="E52" s="567"/>
      <c r="F52" s="569" t="str">
        <f t="shared" si="17"/>
        <v>/dia</v>
      </c>
    </row>
    <row r="53" spans="1:6" x14ac:dyDescent="0.2">
      <c r="A53" s="553">
        <v>44</v>
      </c>
      <c r="B53" s="83" t="str">
        <f t="shared" si="14"/>
        <v/>
      </c>
      <c r="C53" s="455" t="str">
        <f t="shared" si="15"/>
        <v/>
      </c>
      <c r="D53" s="83" t="str">
        <f t="shared" si="16"/>
        <v/>
      </c>
      <c r="E53" s="567"/>
      <c r="F53" s="569" t="str">
        <f t="shared" si="17"/>
        <v>/dia</v>
      </c>
    </row>
    <row r="54" spans="1:6" x14ac:dyDescent="0.2">
      <c r="A54" s="553">
        <v>45</v>
      </c>
      <c r="B54" s="83" t="str">
        <f t="shared" si="14"/>
        <v/>
      </c>
      <c r="C54" s="455" t="str">
        <f t="shared" si="15"/>
        <v/>
      </c>
      <c r="D54" s="83" t="str">
        <f t="shared" si="16"/>
        <v/>
      </c>
      <c r="E54" s="567"/>
      <c r="F54" s="569" t="str">
        <f t="shared" si="17"/>
        <v>/dia</v>
      </c>
    </row>
  </sheetData>
  <mergeCells count="2">
    <mergeCell ref="E8:F8"/>
    <mergeCell ref="B6:F6"/>
  </mergeCells>
  <conditionalFormatting sqref="C10:C54">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DEPARTAMENTO DE HIDRAULICA</v>
      </c>
      <c r="E1" s="4"/>
    </row>
    <row r="2" spans="1:6" s="5" customFormat="1" ht="20.100000000000001" customHeight="1" x14ac:dyDescent="0.2">
      <c r="A2" s="10" t="s">
        <v>9</v>
      </c>
      <c r="B2" s="10" t="str">
        <f>Obra</f>
        <v>Encamisado Parcial del Canal de Calle América</v>
      </c>
    </row>
    <row r="3" spans="1:6" s="5" customFormat="1" ht="20.100000000000001" customHeight="1" x14ac:dyDescent="0.2">
      <c r="A3" s="10" t="s">
        <v>13</v>
      </c>
      <c r="B3" s="10" t="str">
        <f>Ubicación</f>
        <v>Departamento Rawson</v>
      </c>
    </row>
    <row r="4" spans="1:6" s="5" customFormat="1" ht="20.100000000000001" customHeight="1" x14ac:dyDescent="0.2">
      <c r="A4" s="10" t="s">
        <v>12</v>
      </c>
      <c r="B4" s="11" t="str">
        <f>Licitación_N°</f>
        <v>___/2023</v>
      </c>
    </row>
    <row r="5" spans="1:6" s="5" customFormat="1" ht="20.100000000000001" customHeight="1" x14ac:dyDescent="0.2">
      <c r="A5" s="10" t="s">
        <v>10</v>
      </c>
      <c r="B5" s="10">
        <f>Contratista</f>
        <v>0</v>
      </c>
    </row>
    <row r="6" spans="1:6" ht="20.100000000000001" customHeight="1" x14ac:dyDescent="0.2">
      <c r="A6" s="3"/>
      <c r="B6" s="3"/>
      <c r="C6" s="3"/>
      <c r="D6" s="3"/>
      <c r="E6" s="3"/>
      <c r="F6" s="3"/>
    </row>
    <row r="7" spans="1:6" ht="20.100000000000001" customHeight="1" x14ac:dyDescent="0.2">
      <c r="A7" s="767" t="s">
        <v>34</v>
      </c>
      <c r="B7" s="768"/>
      <c r="C7" s="768"/>
      <c r="D7" s="768"/>
      <c r="E7" s="769"/>
    </row>
    <row r="8" spans="1:6" ht="20.100000000000001" customHeight="1" x14ac:dyDescent="0.2">
      <c r="A8" s="770" t="s">
        <v>708</v>
      </c>
      <c r="B8" s="771"/>
      <c r="C8" s="772"/>
      <c r="D8" s="772"/>
      <c r="E8" s="773"/>
    </row>
    <row r="10" spans="1:6" ht="20.100000000000001" customHeight="1" x14ac:dyDescent="0.2">
      <c r="A10" s="765"/>
      <c r="B10" s="766"/>
      <c r="C10" s="37" t="s">
        <v>38</v>
      </c>
      <c r="D10" s="38" t="s">
        <v>35</v>
      </c>
      <c r="E10" s="38" t="s">
        <v>36</v>
      </c>
    </row>
    <row r="11" spans="1:6" ht="20.100000000000001" customHeight="1" x14ac:dyDescent="0.2">
      <c r="A11" s="763" t="s">
        <v>920</v>
      </c>
      <c r="B11" s="764"/>
      <c r="C11" s="55">
        <f>ROUND(SUBTOTAL(9,C12:C34),2)</f>
        <v>0</v>
      </c>
      <c r="D11" s="13">
        <f>SUBTOTAL(9,D12:D34)</f>
        <v>0</v>
      </c>
      <c r="E11" s="9"/>
    </row>
    <row r="12" spans="1:6" ht="20.100000000000001" customHeight="1" x14ac:dyDescent="0.2">
      <c r="A12" s="73"/>
      <c r="B12" s="74"/>
      <c r="C12" s="75"/>
      <c r="D12" s="12">
        <f t="shared" ref="D12:D34" si="0">IFERROR(C12/GG_Obra,0)</f>
        <v>0</v>
      </c>
      <c r="E12" s="12">
        <f t="shared" ref="E12:E34" si="1">IFERROR(C12/GG_Pesos,0)</f>
        <v>0</v>
      </c>
    </row>
    <row r="13" spans="1:6" ht="20.100000000000001" customHeight="1" x14ac:dyDescent="0.2">
      <c r="A13" s="73"/>
      <c r="B13" s="74"/>
      <c r="C13" s="75"/>
      <c r="D13" s="12">
        <f t="shared" si="0"/>
        <v>0</v>
      </c>
      <c r="E13" s="12">
        <f t="shared" si="1"/>
        <v>0</v>
      </c>
    </row>
    <row r="14" spans="1:6" ht="20.100000000000001" customHeight="1" x14ac:dyDescent="0.2">
      <c r="A14" s="73"/>
      <c r="B14" s="74"/>
      <c r="C14" s="75"/>
      <c r="D14" s="12">
        <f t="shared" si="0"/>
        <v>0</v>
      </c>
      <c r="E14" s="12">
        <f t="shared" si="1"/>
        <v>0</v>
      </c>
    </row>
    <row r="15" spans="1:6" ht="20.100000000000001" customHeight="1" x14ac:dyDescent="0.2">
      <c r="A15" s="73"/>
      <c r="B15" s="74"/>
      <c r="C15" s="75"/>
      <c r="D15" s="12">
        <f t="shared" si="0"/>
        <v>0</v>
      </c>
      <c r="E15" s="12">
        <f t="shared" si="1"/>
        <v>0</v>
      </c>
    </row>
    <row r="16" spans="1:6" ht="20.100000000000001" customHeight="1" x14ac:dyDescent="0.2">
      <c r="A16" s="73"/>
      <c r="B16" s="74"/>
      <c r="C16" s="75"/>
      <c r="D16" s="12">
        <f t="shared" si="0"/>
        <v>0</v>
      </c>
      <c r="E16" s="12">
        <f t="shared" si="1"/>
        <v>0</v>
      </c>
    </row>
    <row r="17" spans="1:5" ht="20.100000000000001" customHeight="1" x14ac:dyDescent="0.2">
      <c r="A17" s="765"/>
      <c r="B17" s="766"/>
      <c r="C17" s="56"/>
      <c r="D17" s="12">
        <f t="shared" si="0"/>
        <v>0</v>
      </c>
      <c r="E17" s="12">
        <f t="shared" si="1"/>
        <v>0</v>
      </c>
    </row>
    <row r="18" spans="1:5" ht="20.100000000000001" customHeight="1" x14ac:dyDescent="0.2">
      <c r="A18" s="765"/>
      <c r="B18" s="766"/>
      <c r="C18" s="56"/>
      <c r="D18" s="12">
        <f t="shared" si="0"/>
        <v>0</v>
      </c>
      <c r="E18" s="12">
        <f t="shared" si="1"/>
        <v>0</v>
      </c>
    </row>
    <row r="19" spans="1:5" ht="20.100000000000001" customHeight="1" x14ac:dyDescent="0.2">
      <c r="A19" s="765"/>
      <c r="B19" s="766"/>
      <c r="C19" s="56"/>
      <c r="D19" s="12">
        <f t="shared" si="0"/>
        <v>0</v>
      </c>
      <c r="E19" s="12">
        <f t="shared" si="1"/>
        <v>0</v>
      </c>
    </row>
    <row r="20" spans="1:5" ht="20.100000000000001" customHeight="1" x14ac:dyDescent="0.2">
      <c r="A20" s="765"/>
      <c r="B20" s="766"/>
      <c r="C20" s="56"/>
      <c r="D20" s="12">
        <f t="shared" si="0"/>
        <v>0</v>
      </c>
      <c r="E20" s="12">
        <f t="shared" si="1"/>
        <v>0</v>
      </c>
    </row>
    <row r="21" spans="1:5" ht="20.100000000000001" customHeight="1" x14ac:dyDescent="0.2">
      <c r="A21" s="765"/>
      <c r="B21" s="766"/>
      <c r="C21" s="56"/>
      <c r="D21" s="12">
        <f t="shared" si="0"/>
        <v>0</v>
      </c>
      <c r="E21" s="12">
        <f t="shared" si="1"/>
        <v>0</v>
      </c>
    </row>
    <row r="22" spans="1:5" ht="20.100000000000001" customHeight="1" x14ac:dyDescent="0.2">
      <c r="A22" s="765"/>
      <c r="B22" s="766"/>
      <c r="C22" s="56"/>
      <c r="D22" s="12">
        <f t="shared" si="0"/>
        <v>0</v>
      </c>
      <c r="E22" s="12">
        <f t="shared" si="1"/>
        <v>0</v>
      </c>
    </row>
    <row r="23" spans="1:5" ht="20.100000000000001" customHeight="1" x14ac:dyDescent="0.2">
      <c r="A23" s="765"/>
      <c r="B23" s="766"/>
      <c r="C23" s="56"/>
      <c r="D23" s="12">
        <f t="shared" si="0"/>
        <v>0</v>
      </c>
      <c r="E23" s="12">
        <f t="shared" si="1"/>
        <v>0</v>
      </c>
    </row>
    <row r="24" spans="1:5" ht="20.100000000000001" customHeight="1" x14ac:dyDescent="0.2">
      <c r="A24" s="765"/>
      <c r="B24" s="766"/>
      <c r="C24" s="56"/>
      <c r="D24" s="12">
        <f t="shared" si="0"/>
        <v>0</v>
      </c>
      <c r="E24" s="12">
        <f t="shared" si="1"/>
        <v>0</v>
      </c>
    </row>
    <row r="25" spans="1:5" ht="20.100000000000001" customHeight="1" x14ac:dyDescent="0.2">
      <c r="A25" s="765"/>
      <c r="B25" s="766"/>
      <c r="C25" s="56"/>
      <c r="D25" s="12">
        <f t="shared" ref="D25:D28" si="2">IFERROR(C25/GG_Obra,0)</f>
        <v>0</v>
      </c>
      <c r="E25" s="12">
        <f t="shared" ref="E25:E28" si="3">IFERROR(C25/GG_Pesos,0)</f>
        <v>0</v>
      </c>
    </row>
    <row r="26" spans="1:5" ht="20.100000000000001" customHeight="1" x14ac:dyDescent="0.2">
      <c r="A26" s="765"/>
      <c r="B26" s="766"/>
      <c r="C26" s="56"/>
      <c r="D26" s="12">
        <f t="shared" si="2"/>
        <v>0</v>
      </c>
      <c r="E26" s="12">
        <f t="shared" si="3"/>
        <v>0</v>
      </c>
    </row>
    <row r="27" spans="1:5" ht="20.100000000000001" customHeight="1" x14ac:dyDescent="0.2">
      <c r="A27" s="765"/>
      <c r="B27" s="766"/>
      <c r="C27" s="56"/>
      <c r="D27" s="12">
        <f t="shared" si="2"/>
        <v>0</v>
      </c>
      <c r="E27" s="12">
        <f t="shared" si="3"/>
        <v>0</v>
      </c>
    </row>
    <row r="28" spans="1:5" ht="20.100000000000001" customHeight="1" x14ac:dyDescent="0.2">
      <c r="A28" s="765"/>
      <c r="B28" s="766"/>
      <c r="C28" s="56"/>
      <c r="D28" s="12">
        <f t="shared" si="2"/>
        <v>0</v>
      </c>
      <c r="E28" s="12">
        <f t="shared" si="3"/>
        <v>0</v>
      </c>
    </row>
    <row r="29" spans="1:5" ht="20.100000000000001" customHeight="1" x14ac:dyDescent="0.2">
      <c r="A29" s="765"/>
      <c r="B29" s="766"/>
      <c r="C29" s="56"/>
      <c r="D29" s="12">
        <f t="shared" si="0"/>
        <v>0</v>
      </c>
      <c r="E29" s="12">
        <f t="shared" si="1"/>
        <v>0</v>
      </c>
    </row>
    <row r="30" spans="1:5" ht="20.100000000000001" customHeight="1" x14ac:dyDescent="0.2">
      <c r="A30" s="765"/>
      <c r="B30" s="766"/>
      <c r="C30" s="56"/>
      <c r="D30" s="12">
        <f t="shared" si="0"/>
        <v>0</v>
      </c>
      <c r="E30" s="12">
        <f t="shared" si="1"/>
        <v>0</v>
      </c>
    </row>
    <row r="31" spans="1:5" ht="20.100000000000001" customHeight="1" x14ac:dyDescent="0.2">
      <c r="A31" s="765"/>
      <c r="B31" s="766"/>
      <c r="C31" s="56"/>
      <c r="D31" s="12">
        <f t="shared" si="0"/>
        <v>0</v>
      </c>
      <c r="E31" s="12">
        <f t="shared" si="1"/>
        <v>0</v>
      </c>
    </row>
    <row r="32" spans="1:5" ht="20.100000000000001" customHeight="1" x14ac:dyDescent="0.2">
      <c r="A32" s="765"/>
      <c r="B32" s="766"/>
      <c r="C32" s="56"/>
      <c r="D32" s="12">
        <f t="shared" si="0"/>
        <v>0</v>
      </c>
      <c r="E32" s="12">
        <f t="shared" si="1"/>
        <v>0</v>
      </c>
    </row>
    <row r="33" spans="1:5" ht="20.100000000000001" customHeight="1" x14ac:dyDescent="0.2">
      <c r="A33" s="765"/>
      <c r="B33" s="766"/>
      <c r="C33" s="56"/>
      <c r="D33" s="12">
        <f t="shared" si="0"/>
        <v>0</v>
      </c>
      <c r="E33" s="12">
        <f t="shared" si="1"/>
        <v>0</v>
      </c>
    </row>
    <row r="34" spans="1:5" ht="20.100000000000001" customHeight="1" x14ac:dyDescent="0.2">
      <c r="A34" s="765"/>
      <c r="B34" s="766"/>
      <c r="C34" s="56"/>
      <c r="D34" s="12">
        <f t="shared" si="0"/>
        <v>0</v>
      </c>
      <c r="E34" s="12">
        <f t="shared" si="1"/>
        <v>0</v>
      </c>
    </row>
    <row r="35" spans="1:5" ht="20.100000000000001" customHeight="1" x14ac:dyDescent="0.2">
      <c r="A35" s="39"/>
      <c r="E35" s="40"/>
    </row>
    <row r="36" spans="1:5" ht="20.100000000000001" customHeight="1" x14ac:dyDescent="0.2">
      <c r="A36" s="763" t="s">
        <v>37</v>
      </c>
      <c r="B36" s="764"/>
      <c r="C36" s="55">
        <f>ROUND(SUBTOTAL(9,C37:C73),2)</f>
        <v>0</v>
      </c>
      <c r="D36" s="35">
        <f>SUBTOTAL(9,D37:D80)</f>
        <v>0</v>
      </c>
      <c r="E36" s="40"/>
    </row>
    <row r="37" spans="1:5" ht="20.100000000000001" customHeight="1" x14ac:dyDescent="0.2">
      <c r="A37" s="69"/>
      <c r="B37" s="70"/>
      <c r="C37" s="71"/>
      <c r="D37" s="12">
        <f t="shared" ref="D37:D73" si="4">IFERROR(C37/GG_Empresa,0)</f>
        <v>0</v>
      </c>
      <c r="E37" s="12">
        <f t="shared" ref="E37:E73" si="5">IFERROR(C37/GG_Pesos,0)</f>
        <v>0</v>
      </c>
    </row>
    <row r="38" spans="1:5" ht="20.100000000000001" customHeight="1" x14ac:dyDescent="0.2">
      <c r="A38" s="69"/>
      <c r="B38" s="70"/>
      <c r="C38" s="71"/>
      <c r="D38" s="12">
        <f t="shared" si="4"/>
        <v>0</v>
      </c>
      <c r="E38" s="12">
        <f t="shared" si="5"/>
        <v>0</v>
      </c>
    </row>
    <row r="39" spans="1:5" ht="20.100000000000001" customHeight="1" x14ac:dyDescent="0.2">
      <c r="A39" s="69"/>
      <c r="B39" s="70"/>
      <c r="C39" s="71"/>
      <c r="D39" s="12">
        <f t="shared" si="4"/>
        <v>0</v>
      </c>
      <c r="E39" s="12">
        <f t="shared" si="5"/>
        <v>0</v>
      </c>
    </row>
    <row r="40" spans="1:5" ht="20.100000000000001" customHeight="1" x14ac:dyDescent="0.2">
      <c r="A40" s="69"/>
      <c r="B40" s="70"/>
      <c r="C40" s="71"/>
      <c r="D40" s="12">
        <f t="shared" si="4"/>
        <v>0</v>
      </c>
      <c r="E40" s="12">
        <f t="shared" si="5"/>
        <v>0</v>
      </c>
    </row>
    <row r="41" spans="1:5" ht="20.100000000000001" customHeight="1" x14ac:dyDescent="0.2">
      <c r="A41" s="69"/>
      <c r="B41" s="70"/>
      <c r="C41" s="71"/>
      <c r="D41" s="12">
        <f t="shared" ref="D41:D60" si="6">IFERROR(C41/GG_Empresa,0)</f>
        <v>0</v>
      </c>
      <c r="E41" s="12">
        <f t="shared" ref="E41:E60" si="7">IFERROR(C41/GG_Pesos,0)</f>
        <v>0</v>
      </c>
    </row>
    <row r="42" spans="1:5" ht="20.100000000000001" customHeight="1" x14ac:dyDescent="0.2">
      <c r="A42" s="69"/>
      <c r="B42" s="70"/>
      <c r="C42" s="71"/>
      <c r="D42" s="12">
        <f t="shared" si="6"/>
        <v>0</v>
      </c>
      <c r="E42" s="12">
        <f t="shared" si="7"/>
        <v>0</v>
      </c>
    </row>
    <row r="43" spans="1:5" ht="20.100000000000001" customHeight="1" x14ac:dyDescent="0.2">
      <c r="A43" s="69"/>
      <c r="B43" s="70"/>
      <c r="C43" s="71"/>
      <c r="D43" s="12">
        <f t="shared" si="6"/>
        <v>0</v>
      </c>
      <c r="E43" s="12">
        <f t="shared" si="7"/>
        <v>0</v>
      </c>
    </row>
    <row r="44" spans="1:5" ht="20.100000000000001" customHeight="1" x14ac:dyDescent="0.2">
      <c r="A44" s="69"/>
      <c r="B44" s="70"/>
      <c r="C44" s="71"/>
      <c r="D44" s="12">
        <f t="shared" si="6"/>
        <v>0</v>
      </c>
      <c r="E44" s="12">
        <f t="shared" si="7"/>
        <v>0</v>
      </c>
    </row>
    <row r="45" spans="1:5" ht="20.100000000000001" customHeight="1" x14ac:dyDescent="0.2">
      <c r="A45" s="69"/>
      <c r="B45" s="70"/>
      <c r="C45" s="71"/>
      <c r="D45" s="12">
        <f t="shared" si="6"/>
        <v>0</v>
      </c>
      <c r="E45" s="12">
        <f t="shared" si="7"/>
        <v>0</v>
      </c>
    </row>
    <row r="46" spans="1:5" ht="20.100000000000001" customHeight="1" x14ac:dyDescent="0.2">
      <c r="A46" s="69"/>
      <c r="B46" s="70"/>
      <c r="C46" s="71"/>
      <c r="D46" s="12">
        <f t="shared" si="6"/>
        <v>0</v>
      </c>
      <c r="E46" s="12">
        <f t="shared" si="7"/>
        <v>0</v>
      </c>
    </row>
    <row r="47" spans="1:5" ht="20.100000000000001" customHeight="1" x14ac:dyDescent="0.2">
      <c r="A47" s="69"/>
      <c r="B47" s="70"/>
      <c r="C47" s="71"/>
      <c r="D47" s="12">
        <f t="shared" si="6"/>
        <v>0</v>
      </c>
      <c r="E47" s="12">
        <f t="shared" si="7"/>
        <v>0</v>
      </c>
    </row>
    <row r="48" spans="1:5" ht="20.100000000000001" customHeight="1" x14ac:dyDescent="0.2">
      <c r="A48" s="69"/>
      <c r="B48" s="70"/>
      <c r="C48" s="71"/>
      <c r="D48" s="12">
        <f t="shared" si="6"/>
        <v>0</v>
      </c>
      <c r="E48" s="12">
        <f t="shared" si="7"/>
        <v>0</v>
      </c>
    </row>
    <row r="49" spans="1:5" ht="20.100000000000001" customHeight="1" x14ac:dyDescent="0.2">
      <c r="A49" s="69"/>
      <c r="B49" s="70"/>
      <c r="C49" s="71"/>
      <c r="D49" s="12">
        <f t="shared" si="6"/>
        <v>0</v>
      </c>
      <c r="E49" s="12">
        <f t="shared" si="7"/>
        <v>0</v>
      </c>
    </row>
    <row r="50" spans="1:5" ht="20.100000000000001" customHeight="1" x14ac:dyDescent="0.2">
      <c r="A50" s="69"/>
      <c r="B50" s="70"/>
      <c r="C50" s="71"/>
      <c r="D50" s="12">
        <f t="shared" si="6"/>
        <v>0</v>
      </c>
      <c r="E50" s="12">
        <f t="shared" si="7"/>
        <v>0</v>
      </c>
    </row>
    <row r="51" spans="1:5" ht="20.100000000000001" customHeight="1" x14ac:dyDescent="0.2">
      <c r="A51" s="69"/>
      <c r="B51" s="70"/>
      <c r="C51" s="71"/>
      <c r="D51" s="12">
        <f t="shared" si="6"/>
        <v>0</v>
      </c>
      <c r="E51" s="12">
        <f t="shared" si="7"/>
        <v>0</v>
      </c>
    </row>
    <row r="52" spans="1:5" ht="20.100000000000001" customHeight="1" x14ac:dyDescent="0.2">
      <c r="A52" s="69"/>
      <c r="B52" s="70"/>
      <c r="C52" s="71"/>
      <c r="D52" s="12">
        <f t="shared" si="6"/>
        <v>0</v>
      </c>
      <c r="E52" s="12">
        <f t="shared" si="7"/>
        <v>0</v>
      </c>
    </row>
    <row r="53" spans="1:5" ht="20.100000000000001" customHeight="1" x14ac:dyDescent="0.2">
      <c r="A53" s="69"/>
      <c r="B53" s="70"/>
      <c r="C53" s="71"/>
      <c r="D53" s="12">
        <f t="shared" si="6"/>
        <v>0</v>
      </c>
      <c r="E53" s="12">
        <f t="shared" si="7"/>
        <v>0</v>
      </c>
    </row>
    <row r="54" spans="1:5" ht="20.100000000000001" customHeight="1" x14ac:dyDescent="0.2">
      <c r="A54" s="69"/>
      <c r="B54" s="70"/>
      <c r="C54" s="71"/>
      <c r="D54" s="12">
        <f t="shared" si="6"/>
        <v>0</v>
      </c>
      <c r="E54" s="12">
        <f t="shared" si="7"/>
        <v>0</v>
      </c>
    </row>
    <row r="55" spans="1:5" ht="20.100000000000001" customHeight="1" x14ac:dyDescent="0.2">
      <c r="A55" s="69"/>
      <c r="B55" s="70"/>
      <c r="C55" s="71"/>
      <c r="D55" s="12">
        <f t="shared" si="6"/>
        <v>0</v>
      </c>
      <c r="E55" s="12">
        <f t="shared" si="7"/>
        <v>0</v>
      </c>
    </row>
    <row r="56" spans="1:5" ht="20.100000000000001" customHeight="1" x14ac:dyDescent="0.2">
      <c r="A56" s="69"/>
      <c r="B56" s="70"/>
      <c r="C56" s="71"/>
      <c r="D56" s="12">
        <f t="shared" si="6"/>
        <v>0</v>
      </c>
      <c r="E56" s="12">
        <f t="shared" si="7"/>
        <v>0</v>
      </c>
    </row>
    <row r="57" spans="1:5" ht="20.100000000000001" customHeight="1" x14ac:dyDescent="0.2">
      <c r="A57" s="69"/>
      <c r="B57" s="70"/>
      <c r="C57" s="71"/>
      <c r="D57" s="12">
        <f t="shared" si="6"/>
        <v>0</v>
      </c>
      <c r="E57" s="12">
        <f t="shared" si="7"/>
        <v>0</v>
      </c>
    </row>
    <row r="58" spans="1:5" ht="20.100000000000001" customHeight="1" x14ac:dyDescent="0.2">
      <c r="A58" s="69"/>
      <c r="B58" s="72"/>
      <c r="C58" s="71"/>
      <c r="D58" s="12">
        <f t="shared" si="6"/>
        <v>0</v>
      </c>
      <c r="E58" s="12">
        <f t="shared" si="7"/>
        <v>0</v>
      </c>
    </row>
    <row r="59" spans="1:5" ht="20.100000000000001" customHeight="1" x14ac:dyDescent="0.2">
      <c r="A59" s="69"/>
      <c r="B59" s="72"/>
      <c r="C59" s="71"/>
      <c r="D59" s="12">
        <f t="shared" si="6"/>
        <v>0</v>
      </c>
      <c r="E59" s="12">
        <f t="shared" si="7"/>
        <v>0</v>
      </c>
    </row>
    <row r="60" spans="1:5" ht="20.100000000000001" customHeight="1" x14ac:dyDescent="0.2">
      <c r="A60" s="69"/>
      <c r="B60" s="72"/>
      <c r="C60" s="71"/>
      <c r="D60" s="12">
        <f t="shared" si="6"/>
        <v>0</v>
      </c>
      <c r="E60" s="12">
        <f t="shared" si="7"/>
        <v>0</v>
      </c>
    </row>
    <row r="61" spans="1:5" ht="20.100000000000001" customHeight="1" x14ac:dyDescent="0.2">
      <c r="A61" s="69"/>
      <c r="B61" s="72"/>
      <c r="C61" s="71"/>
      <c r="D61" s="12">
        <f t="shared" si="4"/>
        <v>0</v>
      </c>
      <c r="E61" s="12">
        <f t="shared" si="5"/>
        <v>0</v>
      </c>
    </row>
    <row r="62" spans="1:5" ht="20.100000000000001" customHeight="1" x14ac:dyDescent="0.2">
      <c r="A62" s="69"/>
      <c r="B62" s="72"/>
      <c r="C62" s="71"/>
      <c r="D62" s="12">
        <f t="shared" si="4"/>
        <v>0</v>
      </c>
      <c r="E62" s="12">
        <f t="shared" si="5"/>
        <v>0</v>
      </c>
    </row>
    <row r="63" spans="1:5" ht="20.100000000000001" customHeight="1" x14ac:dyDescent="0.2">
      <c r="A63" s="69"/>
      <c r="B63" s="72"/>
      <c r="C63" s="71"/>
      <c r="D63" s="12">
        <f t="shared" si="4"/>
        <v>0</v>
      </c>
      <c r="E63" s="12">
        <f t="shared" si="5"/>
        <v>0</v>
      </c>
    </row>
    <row r="64" spans="1:5" ht="20.100000000000001" customHeight="1" x14ac:dyDescent="0.2">
      <c r="A64" s="69"/>
      <c r="B64" s="72"/>
      <c r="C64" s="71"/>
      <c r="D64" s="12">
        <f t="shared" si="4"/>
        <v>0</v>
      </c>
      <c r="E64" s="12">
        <f t="shared" si="5"/>
        <v>0</v>
      </c>
    </row>
    <row r="65" spans="1:5" ht="20.100000000000001" customHeight="1" x14ac:dyDescent="0.2">
      <c r="A65" s="69"/>
      <c r="B65" s="72"/>
      <c r="C65" s="71"/>
      <c r="D65" s="12">
        <f t="shared" si="4"/>
        <v>0</v>
      </c>
      <c r="E65" s="12">
        <f t="shared" si="5"/>
        <v>0</v>
      </c>
    </row>
    <row r="66" spans="1:5" ht="20.100000000000001" customHeight="1" x14ac:dyDescent="0.2">
      <c r="A66" s="69"/>
      <c r="B66" s="72"/>
      <c r="C66" s="71"/>
      <c r="D66" s="12">
        <f t="shared" si="4"/>
        <v>0</v>
      </c>
      <c r="E66" s="12">
        <f t="shared" si="5"/>
        <v>0</v>
      </c>
    </row>
    <row r="67" spans="1:5" ht="20.100000000000001" customHeight="1" x14ac:dyDescent="0.2">
      <c r="A67" s="69"/>
      <c r="B67" s="72"/>
      <c r="C67" s="71"/>
      <c r="D67" s="12">
        <f t="shared" si="4"/>
        <v>0</v>
      </c>
      <c r="E67" s="12">
        <f t="shared" si="5"/>
        <v>0</v>
      </c>
    </row>
    <row r="68" spans="1:5" ht="20.100000000000001" customHeight="1" x14ac:dyDescent="0.2">
      <c r="A68" s="69"/>
      <c r="B68" s="72"/>
      <c r="C68" s="71"/>
      <c r="D68" s="12">
        <f t="shared" si="4"/>
        <v>0</v>
      </c>
      <c r="E68" s="12">
        <f t="shared" si="5"/>
        <v>0</v>
      </c>
    </row>
    <row r="69" spans="1:5" ht="20.100000000000001" customHeight="1" x14ac:dyDescent="0.2">
      <c r="A69" s="69"/>
      <c r="B69" s="72"/>
      <c r="C69" s="71"/>
      <c r="D69" s="12">
        <f t="shared" si="4"/>
        <v>0</v>
      </c>
      <c r="E69" s="12">
        <f t="shared" si="5"/>
        <v>0</v>
      </c>
    </row>
    <row r="70" spans="1:5" ht="20.100000000000001" customHeight="1" x14ac:dyDescent="0.2">
      <c r="A70" s="69"/>
      <c r="B70" s="72"/>
      <c r="C70" s="71"/>
      <c r="D70" s="12">
        <f t="shared" ref="D70:D72" si="8">IFERROR(C70/GG_Empresa,0)</f>
        <v>0</v>
      </c>
      <c r="E70" s="12">
        <f t="shared" ref="E70:E72" si="9">IFERROR(C70/GG_Pesos,0)</f>
        <v>0</v>
      </c>
    </row>
    <row r="71" spans="1:5" ht="20.100000000000001" customHeight="1" x14ac:dyDescent="0.2">
      <c r="A71" s="69"/>
      <c r="B71" s="72"/>
      <c r="C71" s="71"/>
      <c r="D71" s="12">
        <f t="shared" si="8"/>
        <v>0</v>
      </c>
      <c r="E71" s="12">
        <f t="shared" si="9"/>
        <v>0</v>
      </c>
    </row>
    <row r="72" spans="1:5" ht="20.100000000000001" customHeight="1" x14ac:dyDescent="0.2">
      <c r="A72" s="69"/>
      <c r="B72" s="72"/>
      <c r="C72" s="71"/>
      <c r="D72" s="12">
        <f t="shared" si="8"/>
        <v>0</v>
      </c>
      <c r="E72" s="12">
        <f t="shared" si="9"/>
        <v>0</v>
      </c>
    </row>
    <row r="73" spans="1:5" ht="20.100000000000001" customHeight="1" x14ac:dyDescent="0.2">
      <c r="A73" s="69"/>
      <c r="B73" s="72"/>
      <c r="C73" s="71"/>
      <c r="D73" s="12">
        <f t="shared" si="4"/>
        <v>0</v>
      </c>
      <c r="E73" s="12">
        <f t="shared" si="5"/>
        <v>0</v>
      </c>
    </row>
    <row r="74" spans="1:5" ht="20.100000000000001" customHeight="1" x14ac:dyDescent="0.2">
      <c r="A74" s="39"/>
      <c r="E74" s="40"/>
    </row>
    <row r="75" spans="1:5" ht="20.100000000000001" customHeight="1" x14ac:dyDescent="0.2">
      <c r="A75" s="763" t="s">
        <v>709</v>
      </c>
      <c r="B75" s="764"/>
      <c r="C75" s="55">
        <f>ROUND(SUBTOTAL(9,C11:C73),2)</f>
        <v>0</v>
      </c>
      <c r="D75" s="41"/>
      <c r="E75" s="42">
        <f>SUBTOTAL(9,E11:E73)</f>
        <v>0</v>
      </c>
    </row>
    <row r="76" spans="1:5" ht="20.100000000000001" customHeight="1" x14ac:dyDescent="0.2">
      <c r="E76" s="36"/>
    </row>
    <row r="77" spans="1:5" ht="20.100000000000001" customHeight="1" x14ac:dyDescent="0.2">
      <c r="D77" s="36"/>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zoomScale="120" zoomScaleNormal="120" workbookViewId="0">
      <selection activeCell="D25" sqref="D25"/>
    </sheetView>
  </sheetViews>
  <sheetFormatPr baseColWidth="10" defaultRowHeight="11.25" x14ac:dyDescent="0.2"/>
  <cols>
    <col min="1" max="1" width="19.28515625" style="285" customWidth="1"/>
    <col min="2" max="2" width="19.140625" style="285" customWidth="1"/>
    <col min="3" max="3" width="37.7109375" style="285" customWidth="1"/>
    <col min="4" max="4" width="12.42578125" style="285" customWidth="1"/>
    <col min="5" max="5" width="11.42578125" style="285"/>
    <col min="6" max="6" width="12" style="285" bestFit="1" customWidth="1"/>
    <col min="7" max="7" width="12.7109375" style="285" customWidth="1"/>
    <col min="8" max="8" width="11.42578125" style="285"/>
    <col min="9" max="9" width="12.85546875" style="285" bestFit="1" customWidth="1"/>
    <col min="10" max="10" width="13.28515625" style="285" bestFit="1" customWidth="1"/>
    <col min="11" max="16384" width="11.42578125" style="285"/>
  </cols>
  <sheetData>
    <row r="1" spans="1:7" x14ac:dyDescent="0.2">
      <c r="A1" s="774" t="s">
        <v>1588</v>
      </c>
      <c r="B1" s="774"/>
      <c r="C1" s="774"/>
      <c r="D1" s="774"/>
      <c r="E1" s="774"/>
      <c r="F1" s="774"/>
      <c r="G1" s="774"/>
    </row>
    <row r="2" spans="1:7" x14ac:dyDescent="0.2">
      <c r="A2" s="286" t="s">
        <v>711</v>
      </c>
      <c r="B2" s="286" t="str">
        <f>Comitente</f>
        <v>DEPARTAMENTO DE HIDRAULICA</v>
      </c>
      <c r="C2" s="287"/>
      <c r="D2" s="288"/>
      <c r="E2" s="288"/>
      <c r="F2" s="289"/>
      <c r="G2" s="289"/>
    </row>
    <row r="3" spans="1:7" x14ac:dyDescent="0.2">
      <c r="A3" s="286" t="s">
        <v>712</v>
      </c>
      <c r="B3" s="286">
        <f>Contratista</f>
        <v>0</v>
      </c>
      <c r="C3" s="290"/>
      <c r="D3" s="290"/>
      <c r="E3" s="290"/>
      <c r="F3" s="286"/>
      <c r="G3" s="286"/>
    </row>
    <row r="4" spans="1:7" x14ac:dyDescent="0.2">
      <c r="A4" s="286" t="s">
        <v>21</v>
      </c>
      <c r="B4" s="286" t="str">
        <f>Obra</f>
        <v>Encamisado Parcial del Canal de Calle América</v>
      </c>
      <c r="C4" s="290"/>
      <c r="D4" s="286" t="s">
        <v>32</v>
      </c>
      <c r="E4" s="286" t="str">
        <f>Fecha_Base</f>
        <v>X/X/2023</v>
      </c>
    </row>
    <row r="5" spans="1:7" x14ac:dyDescent="0.2">
      <c r="A5" s="291" t="s">
        <v>710</v>
      </c>
      <c r="B5" s="291" t="str">
        <f>Ubicación</f>
        <v>Departamento Rawson</v>
      </c>
      <c r="C5" s="291"/>
      <c r="D5" s="292"/>
      <c r="E5" s="293"/>
      <c r="F5" s="294"/>
      <c r="G5" s="295"/>
    </row>
    <row r="6" spans="1:7" x14ac:dyDescent="0.2">
      <c r="A6" s="291"/>
      <c r="B6" s="291"/>
      <c r="C6" s="291"/>
      <c r="D6" s="292"/>
      <c r="E6" s="293"/>
      <c r="F6" s="294"/>
      <c r="G6" s="295"/>
    </row>
    <row r="7" spans="1:7" x14ac:dyDescent="0.2">
      <c r="A7" s="291"/>
      <c r="B7" s="296"/>
      <c r="C7" s="297" t="s">
        <v>1589</v>
      </c>
      <c r="D7" s="292"/>
      <c r="E7" s="293"/>
      <c r="F7" s="291"/>
      <c r="G7" s="298"/>
    </row>
    <row r="8" spans="1:7" x14ac:dyDescent="0.2">
      <c r="A8" s="291"/>
      <c r="B8" s="296"/>
      <c r="C8" s="299"/>
      <c r="D8" s="300" t="s">
        <v>1590</v>
      </c>
      <c r="F8" s="291"/>
      <c r="G8" s="298"/>
    </row>
    <row r="9" spans="1:7" x14ac:dyDescent="0.2">
      <c r="A9" s="291"/>
      <c r="B9" s="296"/>
      <c r="C9" s="299"/>
      <c r="D9" s="293"/>
      <c r="F9" s="291"/>
      <c r="G9" s="298"/>
    </row>
    <row r="10" spans="1:7" x14ac:dyDescent="0.2">
      <c r="A10" s="301" t="s">
        <v>1591</v>
      </c>
      <c r="C10" s="285" t="s">
        <v>977</v>
      </c>
      <c r="D10" s="324">
        <f>IF(V_U_Equipo+8*Interés_Anual/(2*2000)=0,0,8*Porcentaje_amortizaciónl_Equipo/V_U_Equipo)</f>
        <v>8.0000000000000004E-4</v>
      </c>
      <c r="F10" s="302"/>
      <c r="G10" s="298"/>
    </row>
    <row r="11" spans="1:7" x14ac:dyDescent="0.2">
      <c r="A11" s="303"/>
      <c r="C11" s="296"/>
      <c r="D11" s="325"/>
      <c r="F11" s="305"/>
      <c r="G11" s="298"/>
    </row>
    <row r="12" spans="1:7" x14ac:dyDescent="0.2">
      <c r="A12" s="291"/>
      <c r="D12" s="326"/>
      <c r="F12" s="291"/>
      <c r="G12" s="298"/>
    </row>
    <row r="13" spans="1:7" x14ac:dyDescent="0.2">
      <c r="A13" s="301" t="s">
        <v>978</v>
      </c>
      <c r="C13" s="285" t="s">
        <v>978</v>
      </c>
      <c r="D13" s="324">
        <f>IF(V_U_Equipo+8*Interés_Anual/(2*2000)=0,0,8*Interés_Anual/(2*2000))</f>
        <v>2.8000000000000003E-4</v>
      </c>
      <c r="F13" s="302"/>
      <c r="G13" s="298"/>
    </row>
    <row r="14" spans="1:7" x14ac:dyDescent="0.2">
      <c r="A14" s="303"/>
      <c r="C14" s="296"/>
      <c r="D14" s="325"/>
      <c r="F14" s="305"/>
      <c r="G14" s="298"/>
    </row>
    <row r="15" spans="1:7" x14ac:dyDescent="0.2">
      <c r="A15" s="303"/>
      <c r="C15" s="296"/>
      <c r="D15" s="325"/>
      <c r="F15" s="305"/>
      <c r="G15" s="298"/>
    </row>
    <row r="16" spans="1:7" x14ac:dyDescent="0.2">
      <c r="A16" s="301" t="s">
        <v>979</v>
      </c>
      <c r="C16" s="285" t="s">
        <v>979</v>
      </c>
      <c r="D16" s="324">
        <f>IF(V_U_Equipo*Porc_repuestos_reparaciones_de_amortización=0,0,8*Porcentaje_amortizaciónl_Equipo/V_U_Equipo*Porc_repuestos_reparaciones_de_amortización)</f>
        <v>5.5999999999999995E-4</v>
      </c>
      <c r="F16" s="305"/>
      <c r="G16" s="298"/>
    </row>
    <row r="17" spans="1:7" x14ac:dyDescent="0.2">
      <c r="A17" s="301"/>
      <c r="C17" s="296"/>
      <c r="D17" s="304"/>
      <c r="F17" s="291"/>
      <c r="G17" s="292"/>
    </row>
    <row r="18" spans="1:7" x14ac:dyDescent="0.2">
      <c r="A18" s="301"/>
      <c r="C18" s="296"/>
      <c r="F18" s="291"/>
      <c r="G18" s="292"/>
    </row>
    <row r="19" spans="1:7" x14ac:dyDescent="0.2">
      <c r="A19" s="301" t="s">
        <v>1584</v>
      </c>
      <c r="C19" s="285" t="s">
        <v>870</v>
      </c>
      <c r="D19" s="323">
        <f>Consumo_gasoil_Equipo_porHP*8*Precio_gasoil</f>
        <v>0</v>
      </c>
      <c r="F19" s="291"/>
      <c r="G19" s="292"/>
    </row>
    <row r="20" spans="1:7" x14ac:dyDescent="0.2">
      <c r="A20" s="291"/>
      <c r="C20" s="296"/>
      <c r="F20" s="291"/>
      <c r="G20" s="292"/>
    </row>
    <row r="21" spans="1:7" x14ac:dyDescent="0.2">
      <c r="A21" s="291"/>
      <c r="C21" s="296"/>
      <c r="F21" s="291"/>
      <c r="G21" s="292"/>
    </row>
    <row r="22" spans="1:7" x14ac:dyDescent="0.2">
      <c r="A22" s="291"/>
      <c r="C22" s="285" t="s">
        <v>980</v>
      </c>
      <c r="D22" s="323">
        <f>Consumo_gasoil_Equipo_porHP*8*Precio_gasoil*Porcentaje_lubricantes_respecto_al_combustible</f>
        <v>0</v>
      </c>
      <c r="F22" s="291"/>
      <c r="G22" s="306"/>
    </row>
    <row r="23" spans="1:7" x14ac:dyDescent="0.2">
      <c r="A23" s="291"/>
      <c r="B23" s="296"/>
      <c r="C23" s="296"/>
      <c r="E23" s="306"/>
      <c r="F23" s="291"/>
      <c r="G23" s="292"/>
    </row>
    <row r="24" spans="1:7" x14ac:dyDescent="0.2">
      <c r="A24" s="291"/>
      <c r="B24" s="296" t="s">
        <v>1592</v>
      </c>
      <c r="E24" s="304"/>
      <c r="F24" s="291"/>
      <c r="G24" s="307"/>
    </row>
    <row r="25" spans="1:7" x14ac:dyDescent="0.2">
      <c r="A25" s="291"/>
      <c r="B25" s="308" t="s">
        <v>1593</v>
      </c>
      <c r="C25" s="309"/>
      <c r="D25" s="310">
        <v>10000</v>
      </c>
      <c r="E25" s="293"/>
      <c r="F25" s="291"/>
      <c r="G25" s="307"/>
    </row>
    <row r="26" spans="1:7" x14ac:dyDescent="0.2">
      <c r="A26" s="291"/>
      <c r="B26" s="308" t="s">
        <v>1594</v>
      </c>
      <c r="C26" s="309"/>
      <c r="D26" s="311">
        <v>1</v>
      </c>
      <c r="E26" s="293"/>
      <c r="F26" s="291"/>
      <c r="G26" s="307"/>
    </row>
    <row r="27" spans="1:7" x14ac:dyDescent="0.2">
      <c r="A27" s="291"/>
      <c r="B27" s="312" t="s">
        <v>1595</v>
      </c>
      <c r="C27" s="309"/>
      <c r="D27" s="311">
        <v>0.14000000000000001</v>
      </c>
      <c r="E27" s="293"/>
      <c r="F27" s="291"/>
      <c r="G27" s="307"/>
    </row>
    <row r="28" spans="1:7" x14ac:dyDescent="0.2">
      <c r="A28" s="291"/>
      <c r="B28" s="312" t="s">
        <v>1596</v>
      </c>
      <c r="C28" s="309"/>
      <c r="D28" s="311">
        <v>0.7</v>
      </c>
      <c r="E28" s="293"/>
      <c r="F28" s="291"/>
      <c r="G28" s="307"/>
    </row>
    <row r="29" spans="1:7" x14ac:dyDescent="0.2">
      <c r="A29" s="291"/>
      <c r="B29" s="312" t="s">
        <v>1597</v>
      </c>
      <c r="C29" s="309"/>
      <c r="D29" s="313">
        <v>0.12</v>
      </c>
      <c r="E29" s="293"/>
      <c r="F29" s="291"/>
      <c r="G29" s="307"/>
    </row>
    <row r="30" spans="1:7" x14ac:dyDescent="0.2">
      <c r="A30" s="291"/>
      <c r="B30" s="312" t="s">
        <v>1598</v>
      </c>
      <c r="C30" s="309"/>
      <c r="D30" s="314">
        <f>+Insumos!C78</f>
        <v>0</v>
      </c>
      <c r="E30" s="293"/>
      <c r="F30" s="291"/>
      <c r="G30" s="292"/>
    </row>
    <row r="31" spans="1:7" x14ac:dyDescent="0.2">
      <c r="A31" s="291"/>
      <c r="B31" s="312" t="s">
        <v>1599</v>
      </c>
      <c r="C31" s="309"/>
      <c r="D31" s="311">
        <v>0.3</v>
      </c>
      <c r="E31" s="293"/>
      <c r="F31" s="291"/>
      <c r="G31" s="292"/>
    </row>
    <row r="33" spans="1:7" x14ac:dyDescent="0.2">
      <c r="C33" s="297" t="s">
        <v>1600</v>
      </c>
    </row>
    <row r="34" spans="1:7" x14ac:dyDescent="0.2">
      <c r="C34" s="297"/>
      <c r="E34" s="285" t="s">
        <v>1590</v>
      </c>
    </row>
    <row r="35" spans="1:7" x14ac:dyDescent="0.2">
      <c r="A35" s="291"/>
      <c r="B35" s="296"/>
      <c r="C35" s="299"/>
      <c r="D35" s="292"/>
      <c r="E35" s="293"/>
      <c r="F35" s="291"/>
      <c r="G35" s="292"/>
    </row>
    <row r="36" spans="1:7" x14ac:dyDescent="0.2">
      <c r="A36" s="291"/>
      <c r="B36" s="296"/>
      <c r="C36" s="285" t="s">
        <v>977</v>
      </c>
      <c r="D36" s="302"/>
      <c r="E36" s="315">
        <f>IF(V_U_Camioneta_meses=0,0,P_Camioneta_Amortizar/V_U_Camioneta_meses)</f>
        <v>0</v>
      </c>
      <c r="F36" s="302"/>
      <c r="G36" s="297"/>
    </row>
    <row r="37" spans="1:7" x14ac:dyDescent="0.2">
      <c r="A37" s="291"/>
      <c r="B37" s="296"/>
      <c r="C37" s="296"/>
      <c r="D37" s="302"/>
      <c r="E37" s="306"/>
      <c r="F37" s="302"/>
      <c r="G37" s="297"/>
    </row>
    <row r="38" spans="1:7" x14ac:dyDescent="0.2">
      <c r="A38" s="291"/>
      <c r="B38" s="296"/>
      <c r="D38" s="293"/>
      <c r="E38" s="304"/>
      <c r="F38" s="305"/>
      <c r="G38" s="298"/>
    </row>
    <row r="39" spans="1:7" x14ac:dyDescent="0.2">
      <c r="A39" s="291"/>
      <c r="B39" s="296"/>
      <c r="C39" s="285" t="s">
        <v>978</v>
      </c>
      <c r="D39" s="293"/>
      <c r="E39" s="315">
        <f>Interés_Anual/(2*12)</f>
        <v>5.8333333333333336E-3</v>
      </c>
      <c r="F39" s="305"/>
      <c r="G39" s="298"/>
    </row>
    <row r="40" spans="1:7" x14ac:dyDescent="0.2">
      <c r="A40" s="291"/>
      <c r="B40" s="296"/>
      <c r="C40" s="296"/>
      <c r="D40" s="293"/>
      <c r="E40" s="304"/>
      <c r="F40" s="305"/>
      <c r="G40" s="298"/>
    </row>
    <row r="41" spans="1:7" x14ac:dyDescent="0.2">
      <c r="A41" s="291"/>
      <c r="B41" s="296"/>
      <c r="C41" s="296"/>
      <c r="D41" s="293"/>
      <c r="E41" s="304"/>
      <c r="F41" s="305"/>
      <c r="G41" s="298"/>
    </row>
    <row r="42" spans="1:7" x14ac:dyDescent="0.2">
      <c r="A42" s="291"/>
      <c r="B42" s="296"/>
      <c r="C42" s="285" t="s">
        <v>1614</v>
      </c>
      <c r="D42" s="293"/>
      <c r="E42" s="315">
        <f>D59/12</f>
        <v>0</v>
      </c>
      <c r="F42" s="305"/>
      <c r="G42" s="298"/>
    </row>
    <row r="43" spans="1:7" x14ac:dyDescent="0.2">
      <c r="A43" s="291"/>
      <c r="B43" s="296"/>
      <c r="C43" s="296"/>
      <c r="E43" s="304"/>
      <c r="F43" s="291"/>
      <c r="G43" s="292"/>
    </row>
    <row r="44" spans="1:7" x14ac:dyDescent="0.2">
      <c r="A44" s="291"/>
      <c r="B44" s="296"/>
      <c r="C44" s="296"/>
      <c r="E44" s="304"/>
      <c r="F44" s="291"/>
      <c r="G44" s="292"/>
    </row>
    <row r="45" spans="1:7" x14ac:dyDescent="0.2">
      <c r="A45" s="291"/>
      <c r="B45" s="296"/>
      <c r="C45" s="285" t="s">
        <v>1601</v>
      </c>
      <c r="E45" s="315">
        <f>D60/12</f>
        <v>0</v>
      </c>
      <c r="F45" s="291"/>
      <c r="G45" s="292"/>
    </row>
    <row r="46" spans="1:7" x14ac:dyDescent="0.2">
      <c r="A46" s="291"/>
      <c r="B46" s="296"/>
      <c r="C46" s="296"/>
      <c r="E46" s="304"/>
      <c r="F46" s="291"/>
      <c r="G46" s="292"/>
    </row>
    <row r="47" spans="1:7" x14ac:dyDescent="0.2">
      <c r="A47" s="291"/>
      <c r="B47" s="296"/>
      <c r="C47" s="296"/>
      <c r="E47" s="304"/>
      <c r="F47" s="291"/>
      <c r="G47" s="292"/>
    </row>
    <row r="48" spans="1:7" x14ac:dyDescent="0.2">
      <c r="A48" s="291"/>
      <c r="B48" s="296"/>
      <c r="C48" s="285" t="s">
        <v>1584</v>
      </c>
      <c r="E48" s="316">
        <f>Consumo_gasoil_Camioneta_porkm*Precio_gasoil*(1+Porcentaje_Lubricantes_Camionetas)</f>
        <v>0</v>
      </c>
      <c r="F48" s="291"/>
      <c r="G48" s="292"/>
    </row>
    <row r="49" spans="1:7" x14ac:dyDescent="0.2">
      <c r="A49" s="291"/>
      <c r="B49" s="296"/>
      <c r="C49" s="296"/>
      <c r="E49" s="304"/>
      <c r="F49" s="291"/>
      <c r="G49" s="292"/>
    </row>
    <row r="50" spans="1:7" x14ac:dyDescent="0.2">
      <c r="A50" s="291"/>
      <c r="B50" s="296"/>
      <c r="C50" s="296"/>
      <c r="E50" s="304"/>
      <c r="F50" s="291"/>
      <c r="G50" s="292"/>
    </row>
    <row r="51" spans="1:7" x14ac:dyDescent="0.2">
      <c r="A51" s="291"/>
      <c r="B51" s="296"/>
      <c r="C51" s="296" t="s">
        <v>1602</v>
      </c>
      <c r="E51" s="316">
        <f>IF(V_U_cámara_cubiertas_Camionetas=0,0,Cant_Cubiertas_Camioneta*Costo_de_cámaras_y_cubiertas_Camionetas/V_U_cámara_cubiertas_Camionetas)</f>
        <v>0</v>
      </c>
      <c r="F51" s="291"/>
      <c r="G51" s="292"/>
    </row>
    <row r="52" spans="1:7" x14ac:dyDescent="0.2">
      <c r="A52" s="291"/>
      <c r="B52" s="296"/>
      <c r="C52" s="296"/>
      <c r="E52" s="304"/>
      <c r="F52" s="291"/>
      <c r="G52" s="292"/>
    </row>
    <row r="53" spans="1:7" x14ac:dyDescent="0.2">
      <c r="A53" s="291"/>
      <c r="B53" s="296"/>
      <c r="C53" s="296"/>
      <c r="E53" s="304"/>
      <c r="F53" s="291"/>
      <c r="G53" s="292"/>
    </row>
    <row r="54" spans="1:7" x14ac:dyDescent="0.2">
      <c r="A54" s="291"/>
      <c r="B54" s="296"/>
      <c r="C54" s="296"/>
      <c r="E54" s="306"/>
      <c r="F54" s="291"/>
      <c r="G54" s="292"/>
    </row>
    <row r="55" spans="1:7" x14ac:dyDescent="0.2">
      <c r="B55" s="308" t="s">
        <v>1603</v>
      </c>
      <c r="C55" s="309"/>
      <c r="D55" s="311"/>
    </row>
    <row r="56" spans="1:7" x14ac:dyDescent="0.2">
      <c r="B56" s="317" t="s">
        <v>1604</v>
      </c>
      <c r="C56" s="309"/>
      <c r="D56" s="318"/>
    </row>
    <row r="57" spans="1:7" x14ac:dyDescent="0.2">
      <c r="B57" s="317" t="s">
        <v>1605</v>
      </c>
      <c r="C57" s="309"/>
      <c r="D57" s="319"/>
    </row>
    <row r="58" spans="1:7" x14ac:dyDescent="0.2">
      <c r="B58" s="317" t="s">
        <v>1606</v>
      </c>
      <c r="C58" s="309"/>
      <c r="D58" s="327"/>
    </row>
    <row r="59" spans="1:7" x14ac:dyDescent="0.2">
      <c r="B59" s="317" t="s">
        <v>1607</v>
      </c>
      <c r="C59" s="309"/>
      <c r="D59" s="311"/>
    </row>
    <row r="60" spans="1:7" x14ac:dyDescent="0.2">
      <c r="B60" s="317" t="s">
        <v>1608</v>
      </c>
      <c r="C60" s="309"/>
      <c r="D60" s="311"/>
    </row>
    <row r="61" spans="1:7" x14ac:dyDescent="0.2">
      <c r="B61" s="317" t="s">
        <v>1609</v>
      </c>
      <c r="C61" s="309"/>
      <c r="D61" s="320"/>
    </row>
    <row r="62" spans="1:7" x14ac:dyDescent="0.2">
      <c r="B62" s="317" t="s">
        <v>1610</v>
      </c>
      <c r="C62" s="309"/>
      <c r="D62" s="311"/>
    </row>
    <row r="63" spans="1:7" x14ac:dyDescent="0.2">
      <c r="B63" s="317" t="s">
        <v>1611</v>
      </c>
      <c r="C63" s="309"/>
      <c r="D63" s="321"/>
    </row>
    <row r="64" spans="1:7" x14ac:dyDescent="0.2">
      <c r="B64" s="317" t="s">
        <v>1612</v>
      </c>
      <c r="C64" s="309"/>
      <c r="D64" s="328"/>
    </row>
    <row r="65" spans="2:4" x14ac:dyDescent="0.2">
      <c r="B65" s="317" t="s">
        <v>1613</v>
      </c>
      <c r="C65" s="309"/>
      <c r="D65" s="322"/>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&amp;C&amp;G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30" customWidth="1"/>
    <col min="15" max="15" width="23.7109375" style="330" customWidth="1"/>
    <col min="16" max="16" width="10.28515625" style="330" customWidth="1"/>
    <col min="17" max="256" width="11.42578125" style="330"/>
    <col min="257" max="257" width="7" style="330" customWidth="1"/>
    <col min="258" max="258" width="10.7109375" style="330" customWidth="1"/>
    <col min="259" max="259" width="10.5703125" style="330" customWidth="1"/>
    <col min="260" max="260" width="10.7109375" style="330" customWidth="1"/>
    <col min="261" max="261" width="10.28515625" style="330" customWidth="1"/>
    <col min="262" max="262" width="10.7109375" style="330" customWidth="1"/>
    <col min="263" max="263" width="9.42578125" style="330" customWidth="1"/>
    <col min="264" max="264" width="10.5703125" style="330" customWidth="1"/>
    <col min="265" max="265" width="13.7109375" style="330" customWidth="1"/>
    <col min="266" max="267" width="10.42578125" style="330" customWidth="1"/>
    <col min="268" max="268" width="10.28515625" style="330" customWidth="1"/>
    <col min="269" max="269" width="9.42578125" style="330" customWidth="1"/>
    <col min="270" max="270" width="8.7109375" style="330" customWidth="1"/>
    <col min="271" max="271" width="10.42578125" style="330" customWidth="1"/>
    <col min="272" max="272" width="10.28515625" style="330" customWidth="1"/>
    <col min="273" max="512" width="11.42578125" style="330"/>
    <col min="513" max="513" width="7" style="330" customWidth="1"/>
    <col min="514" max="514" width="10.7109375" style="330" customWidth="1"/>
    <col min="515" max="515" width="10.5703125" style="330" customWidth="1"/>
    <col min="516" max="516" width="10.7109375" style="330" customWidth="1"/>
    <col min="517" max="517" width="10.28515625" style="330" customWidth="1"/>
    <col min="518" max="518" width="10.7109375" style="330" customWidth="1"/>
    <col min="519" max="519" width="9.42578125" style="330" customWidth="1"/>
    <col min="520" max="520" width="10.5703125" style="330" customWidth="1"/>
    <col min="521" max="521" width="13.7109375" style="330" customWidth="1"/>
    <col min="522" max="523" width="10.42578125" style="330" customWidth="1"/>
    <col min="524" max="524" width="10.28515625" style="330" customWidth="1"/>
    <col min="525" max="525" width="9.42578125" style="330" customWidth="1"/>
    <col min="526" max="526" width="8.7109375" style="330" customWidth="1"/>
    <col min="527" max="527" width="10.42578125" style="330" customWidth="1"/>
    <col min="528" max="528" width="10.28515625" style="330" customWidth="1"/>
    <col min="529" max="768" width="11.42578125" style="330"/>
    <col min="769" max="769" width="7" style="330" customWidth="1"/>
    <col min="770" max="770" width="10.7109375" style="330" customWidth="1"/>
    <col min="771" max="771" width="10.5703125" style="330" customWidth="1"/>
    <col min="772" max="772" width="10.7109375" style="330" customWidth="1"/>
    <col min="773" max="773" width="10.28515625" style="330" customWidth="1"/>
    <col min="774" max="774" width="10.7109375" style="330" customWidth="1"/>
    <col min="775" max="775" width="9.42578125" style="330" customWidth="1"/>
    <col min="776" max="776" width="10.5703125" style="330" customWidth="1"/>
    <col min="777" max="777" width="13.7109375" style="330" customWidth="1"/>
    <col min="778" max="779" width="10.42578125" style="330" customWidth="1"/>
    <col min="780" max="780" width="10.28515625" style="330" customWidth="1"/>
    <col min="781" max="781" width="9.42578125" style="330" customWidth="1"/>
    <col min="782" max="782" width="8.7109375" style="330" customWidth="1"/>
    <col min="783" max="783" width="10.42578125" style="330" customWidth="1"/>
    <col min="784" max="784" width="10.28515625" style="330" customWidth="1"/>
    <col min="785" max="1024" width="11.42578125" style="330"/>
    <col min="1025" max="1025" width="7" style="330" customWidth="1"/>
    <col min="1026" max="1026" width="10.7109375" style="330" customWidth="1"/>
    <col min="1027" max="1027" width="10.5703125" style="330" customWidth="1"/>
    <col min="1028" max="1028" width="10.7109375" style="330" customWidth="1"/>
    <col min="1029" max="1029" width="10.28515625" style="330" customWidth="1"/>
    <col min="1030" max="1030" width="10.7109375" style="330" customWidth="1"/>
    <col min="1031" max="1031" width="9.42578125" style="330" customWidth="1"/>
    <col min="1032" max="1032" width="10.5703125" style="330" customWidth="1"/>
    <col min="1033" max="1033" width="13.7109375" style="330" customWidth="1"/>
    <col min="1034" max="1035" width="10.42578125" style="330" customWidth="1"/>
    <col min="1036" max="1036" width="10.28515625" style="330" customWidth="1"/>
    <col min="1037" max="1037" width="9.42578125" style="330" customWidth="1"/>
    <col min="1038" max="1038" width="8.7109375" style="330" customWidth="1"/>
    <col min="1039" max="1039" width="10.42578125" style="330" customWidth="1"/>
    <col min="1040" max="1040" width="10.28515625" style="330" customWidth="1"/>
    <col min="1041" max="1280" width="11.42578125" style="330"/>
    <col min="1281" max="1281" width="7" style="330" customWidth="1"/>
    <col min="1282" max="1282" width="10.7109375" style="330" customWidth="1"/>
    <col min="1283" max="1283" width="10.5703125" style="330" customWidth="1"/>
    <col min="1284" max="1284" width="10.7109375" style="330" customWidth="1"/>
    <col min="1285" max="1285" width="10.28515625" style="330" customWidth="1"/>
    <col min="1286" max="1286" width="10.7109375" style="330" customWidth="1"/>
    <col min="1287" max="1287" width="9.42578125" style="330" customWidth="1"/>
    <col min="1288" max="1288" width="10.5703125" style="330" customWidth="1"/>
    <col min="1289" max="1289" width="13.7109375" style="330" customWidth="1"/>
    <col min="1290" max="1291" width="10.42578125" style="330" customWidth="1"/>
    <col min="1292" max="1292" width="10.28515625" style="330" customWidth="1"/>
    <col min="1293" max="1293" width="9.42578125" style="330" customWidth="1"/>
    <col min="1294" max="1294" width="8.7109375" style="330" customWidth="1"/>
    <col min="1295" max="1295" width="10.42578125" style="330" customWidth="1"/>
    <col min="1296" max="1296" width="10.28515625" style="330" customWidth="1"/>
    <col min="1297" max="1536" width="11.42578125" style="330"/>
    <col min="1537" max="1537" width="7" style="330" customWidth="1"/>
    <col min="1538" max="1538" width="10.7109375" style="330" customWidth="1"/>
    <col min="1539" max="1539" width="10.5703125" style="330" customWidth="1"/>
    <col min="1540" max="1540" width="10.7109375" style="330" customWidth="1"/>
    <col min="1541" max="1541" width="10.28515625" style="330" customWidth="1"/>
    <col min="1542" max="1542" width="10.7109375" style="330" customWidth="1"/>
    <col min="1543" max="1543" width="9.42578125" style="330" customWidth="1"/>
    <col min="1544" max="1544" width="10.5703125" style="330" customWidth="1"/>
    <col min="1545" max="1545" width="13.7109375" style="330" customWidth="1"/>
    <col min="1546" max="1547" width="10.42578125" style="330" customWidth="1"/>
    <col min="1548" max="1548" width="10.28515625" style="330" customWidth="1"/>
    <col min="1549" max="1549" width="9.42578125" style="330" customWidth="1"/>
    <col min="1550" max="1550" width="8.7109375" style="330" customWidth="1"/>
    <col min="1551" max="1551" width="10.42578125" style="330" customWidth="1"/>
    <col min="1552" max="1552" width="10.28515625" style="330" customWidth="1"/>
    <col min="1553" max="1792" width="11.42578125" style="330"/>
    <col min="1793" max="1793" width="7" style="330" customWidth="1"/>
    <col min="1794" max="1794" width="10.7109375" style="330" customWidth="1"/>
    <col min="1795" max="1795" width="10.5703125" style="330" customWidth="1"/>
    <col min="1796" max="1796" width="10.7109375" style="330" customWidth="1"/>
    <col min="1797" max="1797" width="10.28515625" style="330" customWidth="1"/>
    <col min="1798" max="1798" width="10.7109375" style="330" customWidth="1"/>
    <col min="1799" max="1799" width="9.42578125" style="330" customWidth="1"/>
    <col min="1800" max="1800" width="10.5703125" style="330" customWidth="1"/>
    <col min="1801" max="1801" width="13.7109375" style="330" customWidth="1"/>
    <col min="1802" max="1803" width="10.42578125" style="330" customWidth="1"/>
    <col min="1804" max="1804" width="10.28515625" style="330" customWidth="1"/>
    <col min="1805" max="1805" width="9.42578125" style="330" customWidth="1"/>
    <col min="1806" max="1806" width="8.7109375" style="330" customWidth="1"/>
    <col min="1807" max="1807" width="10.42578125" style="330" customWidth="1"/>
    <col min="1808" max="1808" width="10.28515625" style="330" customWidth="1"/>
    <col min="1809" max="2048" width="11.42578125" style="330"/>
    <col min="2049" max="2049" width="7" style="330" customWidth="1"/>
    <col min="2050" max="2050" width="10.7109375" style="330" customWidth="1"/>
    <col min="2051" max="2051" width="10.5703125" style="330" customWidth="1"/>
    <col min="2052" max="2052" width="10.7109375" style="330" customWidth="1"/>
    <col min="2053" max="2053" width="10.28515625" style="330" customWidth="1"/>
    <col min="2054" max="2054" width="10.7109375" style="330" customWidth="1"/>
    <col min="2055" max="2055" width="9.42578125" style="330" customWidth="1"/>
    <col min="2056" max="2056" width="10.5703125" style="330" customWidth="1"/>
    <col min="2057" max="2057" width="13.7109375" style="330" customWidth="1"/>
    <col min="2058" max="2059" width="10.42578125" style="330" customWidth="1"/>
    <col min="2060" max="2060" width="10.28515625" style="330" customWidth="1"/>
    <col min="2061" max="2061" width="9.42578125" style="330" customWidth="1"/>
    <col min="2062" max="2062" width="8.7109375" style="330" customWidth="1"/>
    <col min="2063" max="2063" width="10.42578125" style="330" customWidth="1"/>
    <col min="2064" max="2064" width="10.28515625" style="330" customWidth="1"/>
    <col min="2065" max="2304" width="11.42578125" style="330"/>
    <col min="2305" max="2305" width="7" style="330" customWidth="1"/>
    <col min="2306" max="2306" width="10.7109375" style="330" customWidth="1"/>
    <col min="2307" max="2307" width="10.5703125" style="330" customWidth="1"/>
    <col min="2308" max="2308" width="10.7109375" style="330" customWidth="1"/>
    <col min="2309" max="2309" width="10.28515625" style="330" customWidth="1"/>
    <col min="2310" max="2310" width="10.7109375" style="330" customWidth="1"/>
    <col min="2311" max="2311" width="9.42578125" style="330" customWidth="1"/>
    <col min="2312" max="2312" width="10.5703125" style="330" customWidth="1"/>
    <col min="2313" max="2313" width="13.7109375" style="330" customWidth="1"/>
    <col min="2314" max="2315" width="10.42578125" style="330" customWidth="1"/>
    <col min="2316" max="2316" width="10.28515625" style="330" customWidth="1"/>
    <col min="2317" max="2317" width="9.42578125" style="330" customWidth="1"/>
    <col min="2318" max="2318" width="8.7109375" style="330" customWidth="1"/>
    <col min="2319" max="2319" width="10.42578125" style="330" customWidth="1"/>
    <col min="2320" max="2320" width="10.28515625" style="330" customWidth="1"/>
    <col min="2321" max="2560" width="11.42578125" style="330"/>
    <col min="2561" max="2561" width="7" style="330" customWidth="1"/>
    <col min="2562" max="2562" width="10.7109375" style="330" customWidth="1"/>
    <col min="2563" max="2563" width="10.5703125" style="330" customWidth="1"/>
    <col min="2564" max="2564" width="10.7109375" style="330" customWidth="1"/>
    <col min="2565" max="2565" width="10.28515625" style="330" customWidth="1"/>
    <col min="2566" max="2566" width="10.7109375" style="330" customWidth="1"/>
    <col min="2567" max="2567" width="9.42578125" style="330" customWidth="1"/>
    <col min="2568" max="2568" width="10.5703125" style="330" customWidth="1"/>
    <col min="2569" max="2569" width="13.7109375" style="330" customWidth="1"/>
    <col min="2570" max="2571" width="10.42578125" style="330" customWidth="1"/>
    <col min="2572" max="2572" width="10.28515625" style="330" customWidth="1"/>
    <col min="2573" max="2573" width="9.42578125" style="330" customWidth="1"/>
    <col min="2574" max="2574" width="8.7109375" style="330" customWidth="1"/>
    <col min="2575" max="2575" width="10.42578125" style="330" customWidth="1"/>
    <col min="2576" max="2576" width="10.28515625" style="330" customWidth="1"/>
    <col min="2577" max="2816" width="11.42578125" style="330"/>
    <col min="2817" max="2817" width="7" style="330" customWidth="1"/>
    <col min="2818" max="2818" width="10.7109375" style="330" customWidth="1"/>
    <col min="2819" max="2819" width="10.5703125" style="330" customWidth="1"/>
    <col min="2820" max="2820" width="10.7109375" style="330" customWidth="1"/>
    <col min="2821" max="2821" width="10.28515625" style="330" customWidth="1"/>
    <col min="2822" max="2822" width="10.7109375" style="330" customWidth="1"/>
    <col min="2823" max="2823" width="9.42578125" style="330" customWidth="1"/>
    <col min="2824" max="2824" width="10.5703125" style="330" customWidth="1"/>
    <col min="2825" max="2825" width="13.7109375" style="330" customWidth="1"/>
    <col min="2826" max="2827" width="10.42578125" style="330" customWidth="1"/>
    <col min="2828" max="2828" width="10.28515625" style="330" customWidth="1"/>
    <col min="2829" max="2829" width="9.42578125" style="330" customWidth="1"/>
    <col min="2830" max="2830" width="8.7109375" style="330" customWidth="1"/>
    <col min="2831" max="2831" width="10.42578125" style="330" customWidth="1"/>
    <col min="2832" max="2832" width="10.28515625" style="330" customWidth="1"/>
    <col min="2833" max="3072" width="11.42578125" style="330"/>
    <col min="3073" max="3073" width="7" style="330" customWidth="1"/>
    <col min="3074" max="3074" width="10.7109375" style="330" customWidth="1"/>
    <col min="3075" max="3075" width="10.5703125" style="330" customWidth="1"/>
    <col min="3076" max="3076" width="10.7109375" style="330" customWidth="1"/>
    <col min="3077" max="3077" width="10.28515625" style="330" customWidth="1"/>
    <col min="3078" max="3078" width="10.7109375" style="330" customWidth="1"/>
    <col min="3079" max="3079" width="9.42578125" style="330" customWidth="1"/>
    <col min="3080" max="3080" width="10.5703125" style="330" customWidth="1"/>
    <col min="3081" max="3081" width="13.7109375" style="330" customWidth="1"/>
    <col min="3082" max="3083" width="10.42578125" style="330" customWidth="1"/>
    <col min="3084" max="3084" width="10.28515625" style="330" customWidth="1"/>
    <col min="3085" max="3085" width="9.42578125" style="330" customWidth="1"/>
    <col min="3086" max="3086" width="8.7109375" style="330" customWidth="1"/>
    <col min="3087" max="3087" width="10.42578125" style="330" customWidth="1"/>
    <col min="3088" max="3088" width="10.28515625" style="330" customWidth="1"/>
    <col min="3089" max="3328" width="11.42578125" style="330"/>
    <col min="3329" max="3329" width="7" style="330" customWidth="1"/>
    <col min="3330" max="3330" width="10.7109375" style="330" customWidth="1"/>
    <col min="3331" max="3331" width="10.5703125" style="330" customWidth="1"/>
    <col min="3332" max="3332" width="10.7109375" style="330" customWidth="1"/>
    <col min="3333" max="3333" width="10.28515625" style="330" customWidth="1"/>
    <col min="3334" max="3334" width="10.7109375" style="330" customWidth="1"/>
    <col min="3335" max="3335" width="9.42578125" style="330" customWidth="1"/>
    <col min="3336" max="3336" width="10.5703125" style="330" customWidth="1"/>
    <col min="3337" max="3337" width="13.7109375" style="330" customWidth="1"/>
    <col min="3338" max="3339" width="10.42578125" style="330" customWidth="1"/>
    <col min="3340" max="3340" width="10.28515625" style="330" customWidth="1"/>
    <col min="3341" max="3341" width="9.42578125" style="330" customWidth="1"/>
    <col min="3342" max="3342" width="8.7109375" style="330" customWidth="1"/>
    <col min="3343" max="3343" width="10.42578125" style="330" customWidth="1"/>
    <col min="3344" max="3344" width="10.28515625" style="330" customWidth="1"/>
    <col min="3345" max="3584" width="11.42578125" style="330"/>
    <col min="3585" max="3585" width="7" style="330" customWidth="1"/>
    <col min="3586" max="3586" width="10.7109375" style="330" customWidth="1"/>
    <col min="3587" max="3587" width="10.5703125" style="330" customWidth="1"/>
    <col min="3588" max="3588" width="10.7109375" style="330" customWidth="1"/>
    <col min="3589" max="3589" width="10.28515625" style="330" customWidth="1"/>
    <col min="3590" max="3590" width="10.7109375" style="330" customWidth="1"/>
    <col min="3591" max="3591" width="9.42578125" style="330" customWidth="1"/>
    <col min="3592" max="3592" width="10.5703125" style="330" customWidth="1"/>
    <col min="3593" max="3593" width="13.7109375" style="330" customWidth="1"/>
    <col min="3594" max="3595" width="10.42578125" style="330" customWidth="1"/>
    <col min="3596" max="3596" width="10.28515625" style="330" customWidth="1"/>
    <col min="3597" max="3597" width="9.42578125" style="330" customWidth="1"/>
    <col min="3598" max="3598" width="8.7109375" style="330" customWidth="1"/>
    <col min="3599" max="3599" width="10.42578125" style="330" customWidth="1"/>
    <col min="3600" max="3600" width="10.28515625" style="330" customWidth="1"/>
    <col min="3601" max="3840" width="11.42578125" style="330"/>
    <col min="3841" max="3841" width="7" style="330" customWidth="1"/>
    <col min="3842" max="3842" width="10.7109375" style="330" customWidth="1"/>
    <col min="3843" max="3843" width="10.5703125" style="330" customWidth="1"/>
    <col min="3844" max="3844" width="10.7109375" style="330" customWidth="1"/>
    <col min="3845" max="3845" width="10.28515625" style="330" customWidth="1"/>
    <col min="3846" max="3846" width="10.7109375" style="330" customWidth="1"/>
    <col min="3847" max="3847" width="9.42578125" style="330" customWidth="1"/>
    <col min="3848" max="3848" width="10.5703125" style="330" customWidth="1"/>
    <col min="3849" max="3849" width="13.7109375" style="330" customWidth="1"/>
    <col min="3850" max="3851" width="10.42578125" style="330" customWidth="1"/>
    <col min="3852" max="3852" width="10.28515625" style="330" customWidth="1"/>
    <col min="3853" max="3853" width="9.42578125" style="330" customWidth="1"/>
    <col min="3854" max="3854" width="8.7109375" style="330" customWidth="1"/>
    <col min="3855" max="3855" width="10.42578125" style="330" customWidth="1"/>
    <col min="3856" max="3856" width="10.28515625" style="330" customWidth="1"/>
    <col min="3857" max="4096" width="11.42578125" style="330"/>
    <col min="4097" max="4097" width="7" style="330" customWidth="1"/>
    <col min="4098" max="4098" width="10.7109375" style="330" customWidth="1"/>
    <col min="4099" max="4099" width="10.5703125" style="330" customWidth="1"/>
    <col min="4100" max="4100" width="10.7109375" style="330" customWidth="1"/>
    <col min="4101" max="4101" width="10.28515625" style="330" customWidth="1"/>
    <col min="4102" max="4102" width="10.7109375" style="330" customWidth="1"/>
    <col min="4103" max="4103" width="9.42578125" style="330" customWidth="1"/>
    <col min="4104" max="4104" width="10.5703125" style="330" customWidth="1"/>
    <col min="4105" max="4105" width="13.7109375" style="330" customWidth="1"/>
    <col min="4106" max="4107" width="10.42578125" style="330" customWidth="1"/>
    <col min="4108" max="4108" width="10.28515625" style="330" customWidth="1"/>
    <col min="4109" max="4109" width="9.42578125" style="330" customWidth="1"/>
    <col min="4110" max="4110" width="8.7109375" style="330" customWidth="1"/>
    <col min="4111" max="4111" width="10.42578125" style="330" customWidth="1"/>
    <col min="4112" max="4112" width="10.28515625" style="330" customWidth="1"/>
    <col min="4113" max="4352" width="11.42578125" style="330"/>
    <col min="4353" max="4353" width="7" style="330" customWidth="1"/>
    <col min="4354" max="4354" width="10.7109375" style="330" customWidth="1"/>
    <col min="4355" max="4355" width="10.5703125" style="330" customWidth="1"/>
    <col min="4356" max="4356" width="10.7109375" style="330" customWidth="1"/>
    <col min="4357" max="4357" width="10.28515625" style="330" customWidth="1"/>
    <col min="4358" max="4358" width="10.7109375" style="330" customWidth="1"/>
    <col min="4359" max="4359" width="9.42578125" style="330" customWidth="1"/>
    <col min="4360" max="4360" width="10.5703125" style="330" customWidth="1"/>
    <col min="4361" max="4361" width="13.7109375" style="330" customWidth="1"/>
    <col min="4362" max="4363" width="10.42578125" style="330" customWidth="1"/>
    <col min="4364" max="4364" width="10.28515625" style="330" customWidth="1"/>
    <col min="4365" max="4365" width="9.42578125" style="330" customWidth="1"/>
    <col min="4366" max="4366" width="8.7109375" style="330" customWidth="1"/>
    <col min="4367" max="4367" width="10.42578125" style="330" customWidth="1"/>
    <col min="4368" max="4368" width="10.28515625" style="330" customWidth="1"/>
    <col min="4369" max="4608" width="11.42578125" style="330"/>
    <col min="4609" max="4609" width="7" style="330" customWidth="1"/>
    <col min="4610" max="4610" width="10.7109375" style="330" customWidth="1"/>
    <col min="4611" max="4611" width="10.5703125" style="330" customWidth="1"/>
    <col min="4612" max="4612" width="10.7109375" style="330" customWidth="1"/>
    <col min="4613" max="4613" width="10.28515625" style="330" customWidth="1"/>
    <col min="4614" max="4614" width="10.7109375" style="330" customWidth="1"/>
    <col min="4615" max="4615" width="9.42578125" style="330" customWidth="1"/>
    <col min="4616" max="4616" width="10.5703125" style="330" customWidth="1"/>
    <col min="4617" max="4617" width="13.7109375" style="330" customWidth="1"/>
    <col min="4618" max="4619" width="10.42578125" style="330" customWidth="1"/>
    <col min="4620" max="4620" width="10.28515625" style="330" customWidth="1"/>
    <col min="4621" max="4621" width="9.42578125" style="330" customWidth="1"/>
    <col min="4622" max="4622" width="8.7109375" style="330" customWidth="1"/>
    <col min="4623" max="4623" width="10.42578125" style="330" customWidth="1"/>
    <col min="4624" max="4624" width="10.28515625" style="330" customWidth="1"/>
    <col min="4625" max="4864" width="11.42578125" style="330"/>
    <col min="4865" max="4865" width="7" style="330" customWidth="1"/>
    <col min="4866" max="4866" width="10.7109375" style="330" customWidth="1"/>
    <col min="4867" max="4867" width="10.5703125" style="330" customWidth="1"/>
    <col min="4868" max="4868" width="10.7109375" style="330" customWidth="1"/>
    <col min="4869" max="4869" width="10.28515625" style="330" customWidth="1"/>
    <col min="4870" max="4870" width="10.7109375" style="330" customWidth="1"/>
    <col min="4871" max="4871" width="9.42578125" style="330" customWidth="1"/>
    <col min="4872" max="4872" width="10.5703125" style="330" customWidth="1"/>
    <col min="4873" max="4873" width="13.7109375" style="330" customWidth="1"/>
    <col min="4874" max="4875" width="10.42578125" style="330" customWidth="1"/>
    <col min="4876" max="4876" width="10.28515625" style="330" customWidth="1"/>
    <col min="4877" max="4877" width="9.42578125" style="330" customWidth="1"/>
    <col min="4878" max="4878" width="8.7109375" style="330" customWidth="1"/>
    <col min="4879" max="4879" width="10.42578125" style="330" customWidth="1"/>
    <col min="4880" max="4880" width="10.28515625" style="330" customWidth="1"/>
    <col min="4881" max="5120" width="11.42578125" style="330"/>
    <col min="5121" max="5121" width="7" style="330" customWidth="1"/>
    <col min="5122" max="5122" width="10.7109375" style="330" customWidth="1"/>
    <col min="5123" max="5123" width="10.5703125" style="330" customWidth="1"/>
    <col min="5124" max="5124" width="10.7109375" style="330" customWidth="1"/>
    <col min="5125" max="5125" width="10.28515625" style="330" customWidth="1"/>
    <col min="5126" max="5126" width="10.7109375" style="330" customWidth="1"/>
    <col min="5127" max="5127" width="9.42578125" style="330" customWidth="1"/>
    <col min="5128" max="5128" width="10.5703125" style="330" customWidth="1"/>
    <col min="5129" max="5129" width="13.7109375" style="330" customWidth="1"/>
    <col min="5130" max="5131" width="10.42578125" style="330" customWidth="1"/>
    <col min="5132" max="5132" width="10.28515625" style="330" customWidth="1"/>
    <col min="5133" max="5133" width="9.42578125" style="330" customWidth="1"/>
    <col min="5134" max="5134" width="8.7109375" style="330" customWidth="1"/>
    <col min="5135" max="5135" width="10.42578125" style="330" customWidth="1"/>
    <col min="5136" max="5136" width="10.28515625" style="330" customWidth="1"/>
    <col min="5137" max="5376" width="11.42578125" style="330"/>
    <col min="5377" max="5377" width="7" style="330" customWidth="1"/>
    <col min="5378" max="5378" width="10.7109375" style="330" customWidth="1"/>
    <col min="5379" max="5379" width="10.5703125" style="330" customWidth="1"/>
    <col min="5380" max="5380" width="10.7109375" style="330" customWidth="1"/>
    <col min="5381" max="5381" width="10.28515625" style="330" customWidth="1"/>
    <col min="5382" max="5382" width="10.7109375" style="330" customWidth="1"/>
    <col min="5383" max="5383" width="9.42578125" style="330" customWidth="1"/>
    <col min="5384" max="5384" width="10.5703125" style="330" customWidth="1"/>
    <col min="5385" max="5385" width="13.7109375" style="330" customWidth="1"/>
    <col min="5386" max="5387" width="10.42578125" style="330" customWidth="1"/>
    <col min="5388" max="5388" width="10.28515625" style="330" customWidth="1"/>
    <col min="5389" max="5389" width="9.42578125" style="330" customWidth="1"/>
    <col min="5390" max="5390" width="8.7109375" style="330" customWidth="1"/>
    <col min="5391" max="5391" width="10.42578125" style="330" customWidth="1"/>
    <col min="5392" max="5392" width="10.28515625" style="330" customWidth="1"/>
    <col min="5393" max="5632" width="11.42578125" style="330"/>
    <col min="5633" max="5633" width="7" style="330" customWidth="1"/>
    <col min="5634" max="5634" width="10.7109375" style="330" customWidth="1"/>
    <col min="5635" max="5635" width="10.5703125" style="330" customWidth="1"/>
    <col min="5636" max="5636" width="10.7109375" style="330" customWidth="1"/>
    <col min="5637" max="5637" width="10.28515625" style="330" customWidth="1"/>
    <col min="5638" max="5638" width="10.7109375" style="330" customWidth="1"/>
    <col min="5639" max="5639" width="9.42578125" style="330" customWidth="1"/>
    <col min="5640" max="5640" width="10.5703125" style="330" customWidth="1"/>
    <col min="5641" max="5641" width="13.7109375" style="330" customWidth="1"/>
    <col min="5642" max="5643" width="10.42578125" style="330" customWidth="1"/>
    <col min="5644" max="5644" width="10.28515625" style="330" customWidth="1"/>
    <col min="5645" max="5645" width="9.42578125" style="330" customWidth="1"/>
    <col min="5646" max="5646" width="8.7109375" style="330" customWidth="1"/>
    <col min="5647" max="5647" width="10.42578125" style="330" customWidth="1"/>
    <col min="5648" max="5648" width="10.28515625" style="330" customWidth="1"/>
    <col min="5649" max="5888" width="11.42578125" style="330"/>
    <col min="5889" max="5889" width="7" style="330" customWidth="1"/>
    <col min="5890" max="5890" width="10.7109375" style="330" customWidth="1"/>
    <col min="5891" max="5891" width="10.5703125" style="330" customWidth="1"/>
    <col min="5892" max="5892" width="10.7109375" style="330" customWidth="1"/>
    <col min="5893" max="5893" width="10.28515625" style="330" customWidth="1"/>
    <col min="5894" max="5894" width="10.7109375" style="330" customWidth="1"/>
    <col min="5895" max="5895" width="9.42578125" style="330" customWidth="1"/>
    <col min="5896" max="5896" width="10.5703125" style="330" customWidth="1"/>
    <col min="5897" max="5897" width="13.7109375" style="330" customWidth="1"/>
    <col min="5898" max="5899" width="10.42578125" style="330" customWidth="1"/>
    <col min="5900" max="5900" width="10.28515625" style="330" customWidth="1"/>
    <col min="5901" max="5901" width="9.42578125" style="330" customWidth="1"/>
    <col min="5902" max="5902" width="8.7109375" style="330" customWidth="1"/>
    <col min="5903" max="5903" width="10.42578125" style="330" customWidth="1"/>
    <col min="5904" max="5904" width="10.28515625" style="330" customWidth="1"/>
    <col min="5905" max="6144" width="11.42578125" style="330"/>
    <col min="6145" max="6145" width="7" style="330" customWidth="1"/>
    <col min="6146" max="6146" width="10.7109375" style="330" customWidth="1"/>
    <col min="6147" max="6147" width="10.5703125" style="330" customWidth="1"/>
    <col min="6148" max="6148" width="10.7109375" style="330" customWidth="1"/>
    <col min="6149" max="6149" width="10.28515625" style="330" customWidth="1"/>
    <col min="6150" max="6150" width="10.7109375" style="330" customWidth="1"/>
    <col min="6151" max="6151" width="9.42578125" style="330" customWidth="1"/>
    <col min="6152" max="6152" width="10.5703125" style="330" customWidth="1"/>
    <col min="6153" max="6153" width="13.7109375" style="330" customWidth="1"/>
    <col min="6154" max="6155" width="10.42578125" style="330" customWidth="1"/>
    <col min="6156" max="6156" width="10.28515625" style="330" customWidth="1"/>
    <col min="6157" max="6157" width="9.42578125" style="330" customWidth="1"/>
    <col min="6158" max="6158" width="8.7109375" style="330" customWidth="1"/>
    <col min="6159" max="6159" width="10.42578125" style="330" customWidth="1"/>
    <col min="6160" max="6160" width="10.28515625" style="330" customWidth="1"/>
    <col min="6161" max="6400" width="11.42578125" style="330"/>
    <col min="6401" max="6401" width="7" style="330" customWidth="1"/>
    <col min="6402" max="6402" width="10.7109375" style="330" customWidth="1"/>
    <col min="6403" max="6403" width="10.5703125" style="330" customWidth="1"/>
    <col min="6404" max="6404" width="10.7109375" style="330" customWidth="1"/>
    <col min="6405" max="6405" width="10.28515625" style="330" customWidth="1"/>
    <col min="6406" max="6406" width="10.7109375" style="330" customWidth="1"/>
    <col min="6407" max="6407" width="9.42578125" style="330" customWidth="1"/>
    <col min="6408" max="6408" width="10.5703125" style="330" customWidth="1"/>
    <col min="6409" max="6409" width="13.7109375" style="330" customWidth="1"/>
    <col min="6410" max="6411" width="10.42578125" style="330" customWidth="1"/>
    <col min="6412" max="6412" width="10.28515625" style="330" customWidth="1"/>
    <col min="6413" max="6413" width="9.42578125" style="330" customWidth="1"/>
    <col min="6414" max="6414" width="8.7109375" style="330" customWidth="1"/>
    <col min="6415" max="6415" width="10.42578125" style="330" customWidth="1"/>
    <col min="6416" max="6416" width="10.28515625" style="330" customWidth="1"/>
    <col min="6417" max="6656" width="11.42578125" style="330"/>
    <col min="6657" max="6657" width="7" style="330" customWidth="1"/>
    <col min="6658" max="6658" width="10.7109375" style="330" customWidth="1"/>
    <col min="6659" max="6659" width="10.5703125" style="330" customWidth="1"/>
    <col min="6660" max="6660" width="10.7109375" style="330" customWidth="1"/>
    <col min="6661" max="6661" width="10.28515625" style="330" customWidth="1"/>
    <col min="6662" max="6662" width="10.7109375" style="330" customWidth="1"/>
    <col min="6663" max="6663" width="9.42578125" style="330" customWidth="1"/>
    <col min="6664" max="6664" width="10.5703125" style="330" customWidth="1"/>
    <col min="6665" max="6665" width="13.7109375" style="330" customWidth="1"/>
    <col min="6666" max="6667" width="10.42578125" style="330" customWidth="1"/>
    <col min="6668" max="6668" width="10.28515625" style="330" customWidth="1"/>
    <col min="6669" max="6669" width="9.42578125" style="330" customWidth="1"/>
    <col min="6670" max="6670" width="8.7109375" style="330" customWidth="1"/>
    <col min="6671" max="6671" width="10.42578125" style="330" customWidth="1"/>
    <col min="6672" max="6672" width="10.28515625" style="330" customWidth="1"/>
    <col min="6673" max="6912" width="11.42578125" style="330"/>
    <col min="6913" max="6913" width="7" style="330" customWidth="1"/>
    <col min="6914" max="6914" width="10.7109375" style="330" customWidth="1"/>
    <col min="6915" max="6915" width="10.5703125" style="330" customWidth="1"/>
    <col min="6916" max="6916" width="10.7109375" style="330" customWidth="1"/>
    <col min="6917" max="6917" width="10.28515625" style="330" customWidth="1"/>
    <col min="6918" max="6918" width="10.7109375" style="330" customWidth="1"/>
    <col min="6919" max="6919" width="9.42578125" style="330" customWidth="1"/>
    <col min="6920" max="6920" width="10.5703125" style="330" customWidth="1"/>
    <col min="6921" max="6921" width="13.7109375" style="330" customWidth="1"/>
    <col min="6922" max="6923" width="10.42578125" style="330" customWidth="1"/>
    <col min="6924" max="6924" width="10.28515625" style="330" customWidth="1"/>
    <col min="6925" max="6925" width="9.42578125" style="330" customWidth="1"/>
    <col min="6926" max="6926" width="8.7109375" style="330" customWidth="1"/>
    <col min="6927" max="6927" width="10.42578125" style="330" customWidth="1"/>
    <col min="6928" max="6928" width="10.28515625" style="330" customWidth="1"/>
    <col min="6929" max="7168" width="11.42578125" style="330"/>
    <col min="7169" max="7169" width="7" style="330" customWidth="1"/>
    <col min="7170" max="7170" width="10.7109375" style="330" customWidth="1"/>
    <col min="7171" max="7171" width="10.5703125" style="330" customWidth="1"/>
    <col min="7172" max="7172" width="10.7109375" style="330" customWidth="1"/>
    <col min="7173" max="7173" width="10.28515625" style="330" customWidth="1"/>
    <col min="7174" max="7174" width="10.7109375" style="330" customWidth="1"/>
    <col min="7175" max="7175" width="9.42578125" style="330" customWidth="1"/>
    <col min="7176" max="7176" width="10.5703125" style="330" customWidth="1"/>
    <col min="7177" max="7177" width="13.7109375" style="330" customWidth="1"/>
    <col min="7178" max="7179" width="10.42578125" style="330" customWidth="1"/>
    <col min="7180" max="7180" width="10.28515625" style="330" customWidth="1"/>
    <col min="7181" max="7181" width="9.42578125" style="330" customWidth="1"/>
    <col min="7182" max="7182" width="8.7109375" style="330" customWidth="1"/>
    <col min="7183" max="7183" width="10.42578125" style="330" customWidth="1"/>
    <col min="7184" max="7184" width="10.28515625" style="330" customWidth="1"/>
    <col min="7185" max="7424" width="11.42578125" style="330"/>
    <col min="7425" max="7425" width="7" style="330" customWidth="1"/>
    <col min="7426" max="7426" width="10.7109375" style="330" customWidth="1"/>
    <col min="7427" max="7427" width="10.5703125" style="330" customWidth="1"/>
    <col min="7428" max="7428" width="10.7109375" style="330" customWidth="1"/>
    <col min="7429" max="7429" width="10.28515625" style="330" customWidth="1"/>
    <col min="7430" max="7430" width="10.7109375" style="330" customWidth="1"/>
    <col min="7431" max="7431" width="9.42578125" style="330" customWidth="1"/>
    <col min="7432" max="7432" width="10.5703125" style="330" customWidth="1"/>
    <col min="7433" max="7433" width="13.7109375" style="330" customWidth="1"/>
    <col min="7434" max="7435" width="10.42578125" style="330" customWidth="1"/>
    <col min="7436" max="7436" width="10.28515625" style="330" customWidth="1"/>
    <col min="7437" max="7437" width="9.42578125" style="330" customWidth="1"/>
    <col min="7438" max="7438" width="8.7109375" style="330" customWidth="1"/>
    <col min="7439" max="7439" width="10.42578125" style="330" customWidth="1"/>
    <col min="7440" max="7440" width="10.28515625" style="330" customWidth="1"/>
    <col min="7441" max="7680" width="11.42578125" style="330"/>
    <col min="7681" max="7681" width="7" style="330" customWidth="1"/>
    <col min="7682" max="7682" width="10.7109375" style="330" customWidth="1"/>
    <col min="7683" max="7683" width="10.5703125" style="330" customWidth="1"/>
    <col min="7684" max="7684" width="10.7109375" style="330" customWidth="1"/>
    <col min="7685" max="7685" width="10.28515625" style="330" customWidth="1"/>
    <col min="7686" max="7686" width="10.7109375" style="330" customWidth="1"/>
    <col min="7687" max="7687" width="9.42578125" style="330" customWidth="1"/>
    <col min="7688" max="7688" width="10.5703125" style="330" customWidth="1"/>
    <col min="7689" max="7689" width="13.7109375" style="330" customWidth="1"/>
    <col min="7690" max="7691" width="10.42578125" style="330" customWidth="1"/>
    <col min="7692" max="7692" width="10.28515625" style="330" customWidth="1"/>
    <col min="7693" max="7693" width="9.42578125" style="330" customWidth="1"/>
    <col min="7694" max="7694" width="8.7109375" style="330" customWidth="1"/>
    <col min="7695" max="7695" width="10.42578125" style="330" customWidth="1"/>
    <col min="7696" max="7696" width="10.28515625" style="330" customWidth="1"/>
    <col min="7697" max="7936" width="11.42578125" style="330"/>
    <col min="7937" max="7937" width="7" style="330" customWidth="1"/>
    <col min="7938" max="7938" width="10.7109375" style="330" customWidth="1"/>
    <col min="7939" max="7939" width="10.5703125" style="330" customWidth="1"/>
    <col min="7940" max="7940" width="10.7109375" style="330" customWidth="1"/>
    <col min="7941" max="7941" width="10.28515625" style="330" customWidth="1"/>
    <col min="7942" max="7942" width="10.7109375" style="330" customWidth="1"/>
    <col min="7943" max="7943" width="9.42578125" style="330" customWidth="1"/>
    <col min="7944" max="7944" width="10.5703125" style="330" customWidth="1"/>
    <col min="7945" max="7945" width="13.7109375" style="330" customWidth="1"/>
    <col min="7946" max="7947" width="10.42578125" style="330" customWidth="1"/>
    <col min="7948" max="7948" width="10.28515625" style="330" customWidth="1"/>
    <col min="7949" max="7949" width="9.42578125" style="330" customWidth="1"/>
    <col min="7950" max="7950" width="8.7109375" style="330" customWidth="1"/>
    <col min="7951" max="7951" width="10.42578125" style="330" customWidth="1"/>
    <col min="7952" max="7952" width="10.28515625" style="330" customWidth="1"/>
    <col min="7953" max="8192" width="11.42578125" style="330"/>
    <col min="8193" max="8193" width="7" style="330" customWidth="1"/>
    <col min="8194" max="8194" width="10.7109375" style="330" customWidth="1"/>
    <col min="8195" max="8195" width="10.5703125" style="330" customWidth="1"/>
    <col min="8196" max="8196" width="10.7109375" style="330" customWidth="1"/>
    <col min="8197" max="8197" width="10.28515625" style="330" customWidth="1"/>
    <col min="8198" max="8198" width="10.7109375" style="330" customWidth="1"/>
    <col min="8199" max="8199" width="9.42578125" style="330" customWidth="1"/>
    <col min="8200" max="8200" width="10.5703125" style="330" customWidth="1"/>
    <col min="8201" max="8201" width="13.7109375" style="330" customWidth="1"/>
    <col min="8202" max="8203" width="10.42578125" style="330" customWidth="1"/>
    <col min="8204" max="8204" width="10.28515625" style="330" customWidth="1"/>
    <col min="8205" max="8205" width="9.42578125" style="330" customWidth="1"/>
    <col min="8206" max="8206" width="8.7109375" style="330" customWidth="1"/>
    <col min="8207" max="8207" width="10.42578125" style="330" customWidth="1"/>
    <col min="8208" max="8208" width="10.28515625" style="330" customWidth="1"/>
    <col min="8209" max="8448" width="11.42578125" style="330"/>
    <col min="8449" max="8449" width="7" style="330" customWidth="1"/>
    <col min="8450" max="8450" width="10.7109375" style="330" customWidth="1"/>
    <col min="8451" max="8451" width="10.5703125" style="330" customWidth="1"/>
    <col min="8452" max="8452" width="10.7109375" style="330" customWidth="1"/>
    <col min="8453" max="8453" width="10.28515625" style="330" customWidth="1"/>
    <col min="8454" max="8454" width="10.7109375" style="330" customWidth="1"/>
    <col min="8455" max="8455" width="9.42578125" style="330" customWidth="1"/>
    <col min="8456" max="8456" width="10.5703125" style="330" customWidth="1"/>
    <col min="8457" max="8457" width="13.7109375" style="330" customWidth="1"/>
    <col min="8458" max="8459" width="10.42578125" style="330" customWidth="1"/>
    <col min="8460" max="8460" width="10.28515625" style="330" customWidth="1"/>
    <col min="8461" max="8461" width="9.42578125" style="330" customWidth="1"/>
    <col min="8462" max="8462" width="8.7109375" style="330" customWidth="1"/>
    <col min="8463" max="8463" width="10.42578125" style="330" customWidth="1"/>
    <col min="8464" max="8464" width="10.28515625" style="330" customWidth="1"/>
    <col min="8465" max="8704" width="11.42578125" style="330"/>
    <col min="8705" max="8705" width="7" style="330" customWidth="1"/>
    <col min="8706" max="8706" width="10.7109375" style="330" customWidth="1"/>
    <col min="8707" max="8707" width="10.5703125" style="330" customWidth="1"/>
    <col min="8708" max="8708" width="10.7109375" style="330" customWidth="1"/>
    <col min="8709" max="8709" width="10.28515625" style="330" customWidth="1"/>
    <col min="8710" max="8710" width="10.7109375" style="330" customWidth="1"/>
    <col min="8711" max="8711" width="9.42578125" style="330" customWidth="1"/>
    <col min="8712" max="8712" width="10.5703125" style="330" customWidth="1"/>
    <col min="8713" max="8713" width="13.7109375" style="330" customWidth="1"/>
    <col min="8714" max="8715" width="10.42578125" style="330" customWidth="1"/>
    <col min="8716" max="8716" width="10.28515625" style="330" customWidth="1"/>
    <col min="8717" max="8717" width="9.42578125" style="330" customWidth="1"/>
    <col min="8718" max="8718" width="8.7109375" style="330" customWidth="1"/>
    <col min="8719" max="8719" width="10.42578125" style="330" customWidth="1"/>
    <col min="8720" max="8720" width="10.28515625" style="330" customWidth="1"/>
    <col min="8721" max="8960" width="11.42578125" style="330"/>
    <col min="8961" max="8961" width="7" style="330" customWidth="1"/>
    <col min="8962" max="8962" width="10.7109375" style="330" customWidth="1"/>
    <col min="8963" max="8963" width="10.5703125" style="330" customWidth="1"/>
    <col min="8964" max="8964" width="10.7109375" style="330" customWidth="1"/>
    <col min="8965" max="8965" width="10.28515625" style="330" customWidth="1"/>
    <col min="8966" max="8966" width="10.7109375" style="330" customWidth="1"/>
    <col min="8967" max="8967" width="9.42578125" style="330" customWidth="1"/>
    <col min="8968" max="8968" width="10.5703125" style="330" customWidth="1"/>
    <col min="8969" max="8969" width="13.7109375" style="330" customWidth="1"/>
    <col min="8970" max="8971" width="10.42578125" style="330" customWidth="1"/>
    <col min="8972" max="8972" width="10.28515625" style="330" customWidth="1"/>
    <col min="8973" max="8973" width="9.42578125" style="330" customWidth="1"/>
    <col min="8974" max="8974" width="8.7109375" style="330" customWidth="1"/>
    <col min="8975" max="8975" width="10.42578125" style="330" customWidth="1"/>
    <col min="8976" max="8976" width="10.28515625" style="330" customWidth="1"/>
    <col min="8977" max="9216" width="11.42578125" style="330"/>
    <col min="9217" max="9217" width="7" style="330" customWidth="1"/>
    <col min="9218" max="9218" width="10.7109375" style="330" customWidth="1"/>
    <col min="9219" max="9219" width="10.5703125" style="330" customWidth="1"/>
    <col min="9220" max="9220" width="10.7109375" style="330" customWidth="1"/>
    <col min="9221" max="9221" width="10.28515625" style="330" customWidth="1"/>
    <col min="9222" max="9222" width="10.7109375" style="330" customWidth="1"/>
    <col min="9223" max="9223" width="9.42578125" style="330" customWidth="1"/>
    <col min="9224" max="9224" width="10.5703125" style="330" customWidth="1"/>
    <col min="9225" max="9225" width="13.7109375" style="330" customWidth="1"/>
    <col min="9226" max="9227" width="10.42578125" style="330" customWidth="1"/>
    <col min="9228" max="9228" width="10.28515625" style="330" customWidth="1"/>
    <col min="9229" max="9229" width="9.42578125" style="330" customWidth="1"/>
    <col min="9230" max="9230" width="8.7109375" style="330" customWidth="1"/>
    <col min="9231" max="9231" width="10.42578125" style="330" customWidth="1"/>
    <col min="9232" max="9232" width="10.28515625" style="330" customWidth="1"/>
    <col min="9233" max="9472" width="11.42578125" style="330"/>
    <col min="9473" max="9473" width="7" style="330" customWidth="1"/>
    <col min="9474" max="9474" width="10.7109375" style="330" customWidth="1"/>
    <col min="9475" max="9475" width="10.5703125" style="330" customWidth="1"/>
    <col min="9476" max="9476" width="10.7109375" style="330" customWidth="1"/>
    <col min="9477" max="9477" width="10.28515625" style="330" customWidth="1"/>
    <col min="9478" max="9478" width="10.7109375" style="330" customWidth="1"/>
    <col min="9479" max="9479" width="9.42578125" style="330" customWidth="1"/>
    <col min="9480" max="9480" width="10.5703125" style="330" customWidth="1"/>
    <col min="9481" max="9481" width="13.7109375" style="330" customWidth="1"/>
    <col min="9482" max="9483" width="10.42578125" style="330" customWidth="1"/>
    <col min="9484" max="9484" width="10.28515625" style="330" customWidth="1"/>
    <col min="9485" max="9485" width="9.42578125" style="330" customWidth="1"/>
    <col min="9486" max="9486" width="8.7109375" style="330" customWidth="1"/>
    <col min="9487" max="9487" width="10.42578125" style="330" customWidth="1"/>
    <col min="9488" max="9488" width="10.28515625" style="330" customWidth="1"/>
    <col min="9489" max="9728" width="11.42578125" style="330"/>
    <col min="9729" max="9729" width="7" style="330" customWidth="1"/>
    <col min="9730" max="9730" width="10.7109375" style="330" customWidth="1"/>
    <col min="9731" max="9731" width="10.5703125" style="330" customWidth="1"/>
    <col min="9732" max="9732" width="10.7109375" style="330" customWidth="1"/>
    <col min="9733" max="9733" width="10.28515625" style="330" customWidth="1"/>
    <col min="9734" max="9734" width="10.7109375" style="330" customWidth="1"/>
    <col min="9735" max="9735" width="9.42578125" style="330" customWidth="1"/>
    <col min="9736" max="9736" width="10.5703125" style="330" customWidth="1"/>
    <col min="9737" max="9737" width="13.7109375" style="330" customWidth="1"/>
    <col min="9738" max="9739" width="10.42578125" style="330" customWidth="1"/>
    <col min="9740" max="9740" width="10.28515625" style="330" customWidth="1"/>
    <col min="9741" max="9741" width="9.42578125" style="330" customWidth="1"/>
    <col min="9742" max="9742" width="8.7109375" style="330" customWidth="1"/>
    <col min="9743" max="9743" width="10.42578125" style="330" customWidth="1"/>
    <col min="9744" max="9744" width="10.28515625" style="330" customWidth="1"/>
    <col min="9745" max="9984" width="11.42578125" style="330"/>
    <col min="9985" max="9985" width="7" style="330" customWidth="1"/>
    <col min="9986" max="9986" width="10.7109375" style="330" customWidth="1"/>
    <col min="9987" max="9987" width="10.5703125" style="330" customWidth="1"/>
    <col min="9988" max="9988" width="10.7109375" style="330" customWidth="1"/>
    <col min="9989" max="9989" width="10.28515625" style="330" customWidth="1"/>
    <col min="9990" max="9990" width="10.7109375" style="330" customWidth="1"/>
    <col min="9991" max="9991" width="9.42578125" style="330" customWidth="1"/>
    <col min="9992" max="9992" width="10.5703125" style="330" customWidth="1"/>
    <col min="9993" max="9993" width="13.7109375" style="330" customWidth="1"/>
    <col min="9994" max="9995" width="10.42578125" style="330" customWidth="1"/>
    <col min="9996" max="9996" width="10.28515625" style="330" customWidth="1"/>
    <col min="9997" max="9997" width="9.42578125" style="330" customWidth="1"/>
    <col min="9998" max="9998" width="8.7109375" style="330" customWidth="1"/>
    <col min="9999" max="9999" width="10.42578125" style="330" customWidth="1"/>
    <col min="10000" max="10000" width="10.28515625" style="330" customWidth="1"/>
    <col min="10001" max="10240" width="11.42578125" style="330"/>
    <col min="10241" max="10241" width="7" style="330" customWidth="1"/>
    <col min="10242" max="10242" width="10.7109375" style="330" customWidth="1"/>
    <col min="10243" max="10243" width="10.5703125" style="330" customWidth="1"/>
    <col min="10244" max="10244" width="10.7109375" style="330" customWidth="1"/>
    <col min="10245" max="10245" width="10.28515625" style="330" customWidth="1"/>
    <col min="10246" max="10246" width="10.7109375" style="330" customWidth="1"/>
    <col min="10247" max="10247" width="9.42578125" style="330" customWidth="1"/>
    <col min="10248" max="10248" width="10.5703125" style="330" customWidth="1"/>
    <col min="10249" max="10249" width="13.7109375" style="330" customWidth="1"/>
    <col min="10250" max="10251" width="10.42578125" style="330" customWidth="1"/>
    <col min="10252" max="10252" width="10.28515625" style="330" customWidth="1"/>
    <col min="10253" max="10253" width="9.42578125" style="330" customWidth="1"/>
    <col min="10254" max="10254" width="8.7109375" style="330" customWidth="1"/>
    <col min="10255" max="10255" width="10.42578125" style="330" customWidth="1"/>
    <col min="10256" max="10256" width="10.28515625" style="330" customWidth="1"/>
    <col min="10257" max="10496" width="11.42578125" style="330"/>
    <col min="10497" max="10497" width="7" style="330" customWidth="1"/>
    <col min="10498" max="10498" width="10.7109375" style="330" customWidth="1"/>
    <col min="10499" max="10499" width="10.5703125" style="330" customWidth="1"/>
    <col min="10500" max="10500" width="10.7109375" style="330" customWidth="1"/>
    <col min="10501" max="10501" width="10.28515625" style="330" customWidth="1"/>
    <col min="10502" max="10502" width="10.7109375" style="330" customWidth="1"/>
    <col min="10503" max="10503" width="9.42578125" style="330" customWidth="1"/>
    <col min="10504" max="10504" width="10.5703125" style="330" customWidth="1"/>
    <col min="10505" max="10505" width="13.7109375" style="330" customWidth="1"/>
    <col min="10506" max="10507" width="10.42578125" style="330" customWidth="1"/>
    <col min="10508" max="10508" width="10.28515625" style="330" customWidth="1"/>
    <col min="10509" max="10509" width="9.42578125" style="330" customWidth="1"/>
    <col min="10510" max="10510" width="8.7109375" style="330" customWidth="1"/>
    <col min="10511" max="10511" width="10.42578125" style="330" customWidth="1"/>
    <col min="10512" max="10512" width="10.28515625" style="330" customWidth="1"/>
    <col min="10513" max="10752" width="11.42578125" style="330"/>
    <col min="10753" max="10753" width="7" style="330" customWidth="1"/>
    <col min="10754" max="10754" width="10.7109375" style="330" customWidth="1"/>
    <col min="10755" max="10755" width="10.5703125" style="330" customWidth="1"/>
    <col min="10756" max="10756" width="10.7109375" style="330" customWidth="1"/>
    <col min="10757" max="10757" width="10.28515625" style="330" customWidth="1"/>
    <col min="10758" max="10758" width="10.7109375" style="330" customWidth="1"/>
    <col min="10759" max="10759" width="9.42578125" style="330" customWidth="1"/>
    <col min="10760" max="10760" width="10.5703125" style="330" customWidth="1"/>
    <col min="10761" max="10761" width="13.7109375" style="330" customWidth="1"/>
    <col min="10762" max="10763" width="10.42578125" style="330" customWidth="1"/>
    <col min="10764" max="10764" width="10.28515625" style="330" customWidth="1"/>
    <col min="10765" max="10765" width="9.42578125" style="330" customWidth="1"/>
    <col min="10766" max="10766" width="8.7109375" style="330" customWidth="1"/>
    <col min="10767" max="10767" width="10.42578125" style="330" customWidth="1"/>
    <col min="10768" max="10768" width="10.28515625" style="330" customWidth="1"/>
    <col min="10769" max="11008" width="11.42578125" style="330"/>
    <col min="11009" max="11009" width="7" style="330" customWidth="1"/>
    <col min="11010" max="11010" width="10.7109375" style="330" customWidth="1"/>
    <col min="11011" max="11011" width="10.5703125" style="330" customWidth="1"/>
    <col min="11012" max="11012" width="10.7109375" style="330" customWidth="1"/>
    <col min="11013" max="11013" width="10.28515625" style="330" customWidth="1"/>
    <col min="11014" max="11014" width="10.7109375" style="330" customWidth="1"/>
    <col min="11015" max="11015" width="9.42578125" style="330" customWidth="1"/>
    <col min="11016" max="11016" width="10.5703125" style="330" customWidth="1"/>
    <col min="11017" max="11017" width="13.7109375" style="330" customWidth="1"/>
    <col min="11018" max="11019" width="10.42578125" style="330" customWidth="1"/>
    <col min="11020" max="11020" width="10.28515625" style="330" customWidth="1"/>
    <col min="11021" max="11021" width="9.42578125" style="330" customWidth="1"/>
    <col min="11022" max="11022" width="8.7109375" style="330" customWidth="1"/>
    <col min="11023" max="11023" width="10.42578125" style="330" customWidth="1"/>
    <col min="11024" max="11024" width="10.28515625" style="330" customWidth="1"/>
    <col min="11025" max="11264" width="11.42578125" style="330"/>
    <col min="11265" max="11265" width="7" style="330" customWidth="1"/>
    <col min="11266" max="11266" width="10.7109375" style="330" customWidth="1"/>
    <col min="11267" max="11267" width="10.5703125" style="330" customWidth="1"/>
    <col min="11268" max="11268" width="10.7109375" style="330" customWidth="1"/>
    <col min="11269" max="11269" width="10.28515625" style="330" customWidth="1"/>
    <col min="11270" max="11270" width="10.7109375" style="330" customWidth="1"/>
    <col min="11271" max="11271" width="9.42578125" style="330" customWidth="1"/>
    <col min="11272" max="11272" width="10.5703125" style="330" customWidth="1"/>
    <col min="11273" max="11273" width="13.7109375" style="330" customWidth="1"/>
    <col min="11274" max="11275" width="10.42578125" style="330" customWidth="1"/>
    <col min="11276" max="11276" width="10.28515625" style="330" customWidth="1"/>
    <col min="11277" max="11277" width="9.42578125" style="330" customWidth="1"/>
    <col min="11278" max="11278" width="8.7109375" style="330" customWidth="1"/>
    <col min="11279" max="11279" width="10.42578125" style="330" customWidth="1"/>
    <col min="11280" max="11280" width="10.28515625" style="330" customWidth="1"/>
    <col min="11281" max="11520" width="11.42578125" style="330"/>
    <col min="11521" max="11521" width="7" style="330" customWidth="1"/>
    <col min="11522" max="11522" width="10.7109375" style="330" customWidth="1"/>
    <col min="11523" max="11523" width="10.5703125" style="330" customWidth="1"/>
    <col min="11524" max="11524" width="10.7109375" style="330" customWidth="1"/>
    <col min="11525" max="11525" width="10.28515625" style="330" customWidth="1"/>
    <col min="11526" max="11526" width="10.7109375" style="330" customWidth="1"/>
    <col min="11527" max="11527" width="9.42578125" style="330" customWidth="1"/>
    <col min="11528" max="11528" width="10.5703125" style="330" customWidth="1"/>
    <col min="11529" max="11529" width="13.7109375" style="330" customWidth="1"/>
    <col min="11530" max="11531" width="10.42578125" style="330" customWidth="1"/>
    <col min="11532" max="11532" width="10.28515625" style="330" customWidth="1"/>
    <col min="11533" max="11533" width="9.42578125" style="330" customWidth="1"/>
    <col min="11534" max="11534" width="8.7109375" style="330" customWidth="1"/>
    <col min="11535" max="11535" width="10.42578125" style="330" customWidth="1"/>
    <col min="11536" max="11536" width="10.28515625" style="330" customWidth="1"/>
    <col min="11537" max="11776" width="11.42578125" style="330"/>
    <col min="11777" max="11777" width="7" style="330" customWidth="1"/>
    <col min="11778" max="11778" width="10.7109375" style="330" customWidth="1"/>
    <col min="11779" max="11779" width="10.5703125" style="330" customWidth="1"/>
    <col min="11780" max="11780" width="10.7109375" style="330" customWidth="1"/>
    <col min="11781" max="11781" width="10.28515625" style="330" customWidth="1"/>
    <col min="11782" max="11782" width="10.7109375" style="330" customWidth="1"/>
    <col min="11783" max="11783" width="9.42578125" style="330" customWidth="1"/>
    <col min="11784" max="11784" width="10.5703125" style="330" customWidth="1"/>
    <col min="11785" max="11785" width="13.7109375" style="330" customWidth="1"/>
    <col min="11786" max="11787" width="10.42578125" style="330" customWidth="1"/>
    <col min="11788" max="11788" width="10.28515625" style="330" customWidth="1"/>
    <col min="11789" max="11789" width="9.42578125" style="330" customWidth="1"/>
    <col min="11790" max="11790" width="8.7109375" style="330" customWidth="1"/>
    <col min="11791" max="11791" width="10.42578125" style="330" customWidth="1"/>
    <col min="11792" max="11792" width="10.28515625" style="330" customWidth="1"/>
    <col min="11793" max="12032" width="11.42578125" style="330"/>
    <col min="12033" max="12033" width="7" style="330" customWidth="1"/>
    <col min="12034" max="12034" width="10.7109375" style="330" customWidth="1"/>
    <col min="12035" max="12035" width="10.5703125" style="330" customWidth="1"/>
    <col min="12036" max="12036" width="10.7109375" style="330" customWidth="1"/>
    <col min="12037" max="12037" width="10.28515625" style="330" customWidth="1"/>
    <col min="12038" max="12038" width="10.7109375" style="330" customWidth="1"/>
    <col min="12039" max="12039" width="9.42578125" style="330" customWidth="1"/>
    <col min="12040" max="12040" width="10.5703125" style="330" customWidth="1"/>
    <col min="12041" max="12041" width="13.7109375" style="330" customWidth="1"/>
    <col min="12042" max="12043" width="10.42578125" style="330" customWidth="1"/>
    <col min="12044" max="12044" width="10.28515625" style="330" customWidth="1"/>
    <col min="12045" max="12045" width="9.42578125" style="330" customWidth="1"/>
    <col min="12046" max="12046" width="8.7109375" style="330" customWidth="1"/>
    <col min="12047" max="12047" width="10.42578125" style="330" customWidth="1"/>
    <col min="12048" max="12048" width="10.28515625" style="330" customWidth="1"/>
    <col min="12049" max="12288" width="11.42578125" style="330"/>
    <col min="12289" max="12289" width="7" style="330" customWidth="1"/>
    <col min="12290" max="12290" width="10.7109375" style="330" customWidth="1"/>
    <col min="12291" max="12291" width="10.5703125" style="330" customWidth="1"/>
    <col min="12292" max="12292" width="10.7109375" style="330" customWidth="1"/>
    <col min="12293" max="12293" width="10.28515625" style="330" customWidth="1"/>
    <col min="12294" max="12294" width="10.7109375" style="330" customWidth="1"/>
    <col min="12295" max="12295" width="9.42578125" style="330" customWidth="1"/>
    <col min="12296" max="12296" width="10.5703125" style="330" customWidth="1"/>
    <col min="12297" max="12297" width="13.7109375" style="330" customWidth="1"/>
    <col min="12298" max="12299" width="10.42578125" style="330" customWidth="1"/>
    <col min="12300" max="12300" width="10.28515625" style="330" customWidth="1"/>
    <col min="12301" max="12301" width="9.42578125" style="330" customWidth="1"/>
    <col min="12302" max="12302" width="8.7109375" style="330" customWidth="1"/>
    <col min="12303" max="12303" width="10.42578125" style="330" customWidth="1"/>
    <col min="12304" max="12304" width="10.28515625" style="330" customWidth="1"/>
    <col min="12305" max="12544" width="11.42578125" style="330"/>
    <col min="12545" max="12545" width="7" style="330" customWidth="1"/>
    <col min="12546" max="12546" width="10.7109375" style="330" customWidth="1"/>
    <col min="12547" max="12547" width="10.5703125" style="330" customWidth="1"/>
    <col min="12548" max="12548" width="10.7109375" style="330" customWidth="1"/>
    <col min="12549" max="12549" width="10.28515625" style="330" customWidth="1"/>
    <col min="12550" max="12550" width="10.7109375" style="330" customWidth="1"/>
    <col min="12551" max="12551" width="9.42578125" style="330" customWidth="1"/>
    <col min="12552" max="12552" width="10.5703125" style="330" customWidth="1"/>
    <col min="12553" max="12553" width="13.7109375" style="330" customWidth="1"/>
    <col min="12554" max="12555" width="10.42578125" style="330" customWidth="1"/>
    <col min="12556" max="12556" width="10.28515625" style="330" customWidth="1"/>
    <col min="12557" max="12557" width="9.42578125" style="330" customWidth="1"/>
    <col min="12558" max="12558" width="8.7109375" style="330" customWidth="1"/>
    <col min="12559" max="12559" width="10.42578125" style="330" customWidth="1"/>
    <col min="12560" max="12560" width="10.28515625" style="330" customWidth="1"/>
    <col min="12561" max="12800" width="11.42578125" style="330"/>
    <col min="12801" max="12801" width="7" style="330" customWidth="1"/>
    <col min="12802" max="12802" width="10.7109375" style="330" customWidth="1"/>
    <col min="12803" max="12803" width="10.5703125" style="330" customWidth="1"/>
    <col min="12804" max="12804" width="10.7109375" style="330" customWidth="1"/>
    <col min="12805" max="12805" width="10.28515625" style="330" customWidth="1"/>
    <col min="12806" max="12806" width="10.7109375" style="330" customWidth="1"/>
    <col min="12807" max="12807" width="9.42578125" style="330" customWidth="1"/>
    <col min="12808" max="12808" width="10.5703125" style="330" customWidth="1"/>
    <col min="12809" max="12809" width="13.7109375" style="330" customWidth="1"/>
    <col min="12810" max="12811" width="10.42578125" style="330" customWidth="1"/>
    <col min="12812" max="12812" width="10.28515625" style="330" customWidth="1"/>
    <col min="12813" max="12813" width="9.42578125" style="330" customWidth="1"/>
    <col min="12814" max="12814" width="8.7109375" style="330" customWidth="1"/>
    <col min="12815" max="12815" width="10.42578125" style="330" customWidth="1"/>
    <col min="12816" max="12816" width="10.28515625" style="330" customWidth="1"/>
    <col min="12817" max="13056" width="11.42578125" style="330"/>
    <col min="13057" max="13057" width="7" style="330" customWidth="1"/>
    <col min="13058" max="13058" width="10.7109375" style="330" customWidth="1"/>
    <col min="13059" max="13059" width="10.5703125" style="330" customWidth="1"/>
    <col min="13060" max="13060" width="10.7109375" style="330" customWidth="1"/>
    <col min="13061" max="13061" width="10.28515625" style="330" customWidth="1"/>
    <col min="13062" max="13062" width="10.7109375" style="330" customWidth="1"/>
    <col min="13063" max="13063" width="9.42578125" style="330" customWidth="1"/>
    <col min="13064" max="13064" width="10.5703125" style="330" customWidth="1"/>
    <col min="13065" max="13065" width="13.7109375" style="330" customWidth="1"/>
    <col min="13066" max="13067" width="10.42578125" style="330" customWidth="1"/>
    <col min="13068" max="13068" width="10.28515625" style="330" customWidth="1"/>
    <col min="13069" max="13069" width="9.42578125" style="330" customWidth="1"/>
    <col min="13070" max="13070" width="8.7109375" style="330" customWidth="1"/>
    <col min="13071" max="13071" width="10.42578125" style="330" customWidth="1"/>
    <col min="13072" max="13072" width="10.28515625" style="330" customWidth="1"/>
    <col min="13073" max="13312" width="11.42578125" style="330"/>
    <col min="13313" max="13313" width="7" style="330" customWidth="1"/>
    <col min="13314" max="13314" width="10.7109375" style="330" customWidth="1"/>
    <col min="13315" max="13315" width="10.5703125" style="330" customWidth="1"/>
    <col min="13316" max="13316" width="10.7109375" style="330" customWidth="1"/>
    <col min="13317" max="13317" width="10.28515625" style="330" customWidth="1"/>
    <col min="13318" max="13318" width="10.7109375" style="330" customWidth="1"/>
    <col min="13319" max="13319" width="9.42578125" style="330" customWidth="1"/>
    <col min="13320" max="13320" width="10.5703125" style="330" customWidth="1"/>
    <col min="13321" max="13321" width="13.7109375" style="330" customWidth="1"/>
    <col min="13322" max="13323" width="10.42578125" style="330" customWidth="1"/>
    <col min="13324" max="13324" width="10.28515625" style="330" customWidth="1"/>
    <col min="13325" max="13325" width="9.42578125" style="330" customWidth="1"/>
    <col min="13326" max="13326" width="8.7109375" style="330" customWidth="1"/>
    <col min="13327" max="13327" width="10.42578125" style="330" customWidth="1"/>
    <col min="13328" max="13328" width="10.28515625" style="330" customWidth="1"/>
    <col min="13329" max="13568" width="11.42578125" style="330"/>
    <col min="13569" max="13569" width="7" style="330" customWidth="1"/>
    <col min="13570" max="13570" width="10.7109375" style="330" customWidth="1"/>
    <col min="13571" max="13571" width="10.5703125" style="330" customWidth="1"/>
    <col min="13572" max="13572" width="10.7109375" style="330" customWidth="1"/>
    <col min="13573" max="13573" width="10.28515625" style="330" customWidth="1"/>
    <col min="13574" max="13574" width="10.7109375" style="330" customWidth="1"/>
    <col min="13575" max="13575" width="9.42578125" style="330" customWidth="1"/>
    <col min="13576" max="13576" width="10.5703125" style="330" customWidth="1"/>
    <col min="13577" max="13577" width="13.7109375" style="330" customWidth="1"/>
    <col min="13578" max="13579" width="10.42578125" style="330" customWidth="1"/>
    <col min="13580" max="13580" width="10.28515625" style="330" customWidth="1"/>
    <col min="13581" max="13581" width="9.42578125" style="330" customWidth="1"/>
    <col min="13582" max="13582" width="8.7109375" style="330" customWidth="1"/>
    <col min="13583" max="13583" width="10.42578125" style="330" customWidth="1"/>
    <col min="13584" max="13584" width="10.28515625" style="330" customWidth="1"/>
    <col min="13585" max="13824" width="11.42578125" style="330"/>
    <col min="13825" max="13825" width="7" style="330" customWidth="1"/>
    <col min="13826" max="13826" width="10.7109375" style="330" customWidth="1"/>
    <col min="13827" max="13827" width="10.5703125" style="330" customWidth="1"/>
    <col min="13828" max="13828" width="10.7109375" style="330" customWidth="1"/>
    <col min="13829" max="13829" width="10.28515625" style="330" customWidth="1"/>
    <col min="13830" max="13830" width="10.7109375" style="330" customWidth="1"/>
    <col min="13831" max="13831" width="9.42578125" style="330" customWidth="1"/>
    <col min="13832" max="13832" width="10.5703125" style="330" customWidth="1"/>
    <col min="13833" max="13833" width="13.7109375" style="330" customWidth="1"/>
    <col min="13834" max="13835" width="10.42578125" style="330" customWidth="1"/>
    <col min="13836" max="13836" width="10.28515625" style="330" customWidth="1"/>
    <col min="13837" max="13837" width="9.42578125" style="330" customWidth="1"/>
    <col min="13838" max="13838" width="8.7109375" style="330" customWidth="1"/>
    <col min="13839" max="13839" width="10.42578125" style="330" customWidth="1"/>
    <col min="13840" max="13840" width="10.28515625" style="330" customWidth="1"/>
    <col min="13841" max="14080" width="11.42578125" style="330"/>
    <col min="14081" max="14081" width="7" style="330" customWidth="1"/>
    <col min="14082" max="14082" width="10.7109375" style="330" customWidth="1"/>
    <col min="14083" max="14083" width="10.5703125" style="330" customWidth="1"/>
    <col min="14084" max="14084" width="10.7109375" style="330" customWidth="1"/>
    <col min="14085" max="14085" width="10.28515625" style="330" customWidth="1"/>
    <col min="14086" max="14086" width="10.7109375" style="330" customWidth="1"/>
    <col min="14087" max="14087" width="9.42578125" style="330" customWidth="1"/>
    <col min="14088" max="14088" width="10.5703125" style="330" customWidth="1"/>
    <col min="14089" max="14089" width="13.7109375" style="330" customWidth="1"/>
    <col min="14090" max="14091" width="10.42578125" style="330" customWidth="1"/>
    <col min="14092" max="14092" width="10.28515625" style="330" customWidth="1"/>
    <col min="14093" max="14093" width="9.42578125" style="330" customWidth="1"/>
    <col min="14094" max="14094" width="8.7109375" style="330" customWidth="1"/>
    <col min="14095" max="14095" width="10.42578125" style="330" customWidth="1"/>
    <col min="14096" max="14096" width="10.28515625" style="330" customWidth="1"/>
    <col min="14097" max="14336" width="11.42578125" style="330"/>
    <col min="14337" max="14337" width="7" style="330" customWidth="1"/>
    <col min="14338" max="14338" width="10.7109375" style="330" customWidth="1"/>
    <col min="14339" max="14339" width="10.5703125" style="330" customWidth="1"/>
    <col min="14340" max="14340" width="10.7109375" style="330" customWidth="1"/>
    <col min="14341" max="14341" width="10.28515625" style="330" customWidth="1"/>
    <col min="14342" max="14342" width="10.7109375" style="330" customWidth="1"/>
    <col min="14343" max="14343" width="9.42578125" style="330" customWidth="1"/>
    <col min="14344" max="14344" width="10.5703125" style="330" customWidth="1"/>
    <col min="14345" max="14345" width="13.7109375" style="330" customWidth="1"/>
    <col min="14346" max="14347" width="10.42578125" style="330" customWidth="1"/>
    <col min="14348" max="14348" width="10.28515625" style="330" customWidth="1"/>
    <col min="14349" max="14349" width="9.42578125" style="330" customWidth="1"/>
    <col min="14350" max="14350" width="8.7109375" style="330" customWidth="1"/>
    <col min="14351" max="14351" width="10.42578125" style="330" customWidth="1"/>
    <col min="14352" max="14352" width="10.28515625" style="330" customWidth="1"/>
    <col min="14353" max="14592" width="11.42578125" style="330"/>
    <col min="14593" max="14593" width="7" style="330" customWidth="1"/>
    <col min="14594" max="14594" width="10.7109375" style="330" customWidth="1"/>
    <col min="14595" max="14595" width="10.5703125" style="330" customWidth="1"/>
    <col min="14596" max="14596" width="10.7109375" style="330" customWidth="1"/>
    <col min="14597" max="14597" width="10.28515625" style="330" customWidth="1"/>
    <col min="14598" max="14598" width="10.7109375" style="330" customWidth="1"/>
    <col min="14599" max="14599" width="9.42578125" style="330" customWidth="1"/>
    <col min="14600" max="14600" width="10.5703125" style="330" customWidth="1"/>
    <col min="14601" max="14601" width="13.7109375" style="330" customWidth="1"/>
    <col min="14602" max="14603" width="10.42578125" style="330" customWidth="1"/>
    <col min="14604" max="14604" width="10.28515625" style="330" customWidth="1"/>
    <col min="14605" max="14605" width="9.42578125" style="330" customWidth="1"/>
    <col min="14606" max="14606" width="8.7109375" style="330" customWidth="1"/>
    <col min="14607" max="14607" width="10.42578125" style="330" customWidth="1"/>
    <col min="14608" max="14608" width="10.28515625" style="330" customWidth="1"/>
    <col min="14609" max="14848" width="11.42578125" style="330"/>
    <col min="14849" max="14849" width="7" style="330" customWidth="1"/>
    <col min="14850" max="14850" width="10.7109375" style="330" customWidth="1"/>
    <col min="14851" max="14851" width="10.5703125" style="330" customWidth="1"/>
    <col min="14852" max="14852" width="10.7109375" style="330" customWidth="1"/>
    <col min="14853" max="14853" width="10.28515625" style="330" customWidth="1"/>
    <col min="14854" max="14854" width="10.7109375" style="330" customWidth="1"/>
    <col min="14855" max="14855" width="9.42578125" style="330" customWidth="1"/>
    <col min="14856" max="14856" width="10.5703125" style="330" customWidth="1"/>
    <col min="14857" max="14857" width="13.7109375" style="330" customWidth="1"/>
    <col min="14858" max="14859" width="10.42578125" style="330" customWidth="1"/>
    <col min="14860" max="14860" width="10.28515625" style="330" customWidth="1"/>
    <col min="14861" max="14861" width="9.42578125" style="330" customWidth="1"/>
    <col min="14862" max="14862" width="8.7109375" style="330" customWidth="1"/>
    <col min="14863" max="14863" width="10.42578125" style="330" customWidth="1"/>
    <col min="14864" max="14864" width="10.28515625" style="330" customWidth="1"/>
    <col min="14865" max="15104" width="11.42578125" style="330"/>
    <col min="15105" max="15105" width="7" style="330" customWidth="1"/>
    <col min="15106" max="15106" width="10.7109375" style="330" customWidth="1"/>
    <col min="15107" max="15107" width="10.5703125" style="330" customWidth="1"/>
    <col min="15108" max="15108" width="10.7109375" style="330" customWidth="1"/>
    <col min="15109" max="15109" width="10.28515625" style="330" customWidth="1"/>
    <col min="15110" max="15110" width="10.7109375" style="330" customWidth="1"/>
    <col min="15111" max="15111" width="9.42578125" style="330" customWidth="1"/>
    <col min="15112" max="15112" width="10.5703125" style="330" customWidth="1"/>
    <col min="15113" max="15113" width="13.7109375" style="330" customWidth="1"/>
    <col min="15114" max="15115" width="10.42578125" style="330" customWidth="1"/>
    <col min="15116" max="15116" width="10.28515625" style="330" customWidth="1"/>
    <col min="15117" max="15117" width="9.42578125" style="330" customWidth="1"/>
    <col min="15118" max="15118" width="8.7109375" style="330" customWidth="1"/>
    <col min="15119" max="15119" width="10.42578125" style="330" customWidth="1"/>
    <col min="15120" max="15120" width="10.28515625" style="330" customWidth="1"/>
    <col min="15121" max="15360" width="11.42578125" style="330"/>
    <col min="15361" max="15361" width="7" style="330" customWidth="1"/>
    <col min="15362" max="15362" width="10.7109375" style="330" customWidth="1"/>
    <col min="15363" max="15363" width="10.5703125" style="330" customWidth="1"/>
    <col min="15364" max="15364" width="10.7109375" style="330" customWidth="1"/>
    <col min="15365" max="15365" width="10.28515625" style="330" customWidth="1"/>
    <col min="15366" max="15366" width="10.7109375" style="330" customWidth="1"/>
    <col min="15367" max="15367" width="9.42578125" style="330" customWidth="1"/>
    <col min="15368" max="15368" width="10.5703125" style="330" customWidth="1"/>
    <col min="15369" max="15369" width="13.7109375" style="330" customWidth="1"/>
    <col min="15370" max="15371" width="10.42578125" style="330" customWidth="1"/>
    <col min="15372" max="15372" width="10.28515625" style="330" customWidth="1"/>
    <col min="15373" max="15373" width="9.42578125" style="330" customWidth="1"/>
    <col min="15374" max="15374" width="8.7109375" style="330" customWidth="1"/>
    <col min="15375" max="15375" width="10.42578125" style="330" customWidth="1"/>
    <col min="15376" max="15376" width="10.28515625" style="330" customWidth="1"/>
    <col min="15377" max="15616" width="11.42578125" style="330"/>
    <col min="15617" max="15617" width="7" style="330" customWidth="1"/>
    <col min="15618" max="15618" width="10.7109375" style="330" customWidth="1"/>
    <col min="15619" max="15619" width="10.5703125" style="330" customWidth="1"/>
    <col min="15620" max="15620" width="10.7109375" style="330" customWidth="1"/>
    <col min="15621" max="15621" width="10.28515625" style="330" customWidth="1"/>
    <col min="15622" max="15622" width="10.7109375" style="330" customWidth="1"/>
    <col min="15623" max="15623" width="9.42578125" style="330" customWidth="1"/>
    <col min="15624" max="15624" width="10.5703125" style="330" customWidth="1"/>
    <col min="15625" max="15625" width="13.7109375" style="330" customWidth="1"/>
    <col min="15626" max="15627" width="10.42578125" style="330" customWidth="1"/>
    <col min="15628" max="15628" width="10.28515625" style="330" customWidth="1"/>
    <col min="15629" max="15629" width="9.42578125" style="330" customWidth="1"/>
    <col min="15630" max="15630" width="8.7109375" style="330" customWidth="1"/>
    <col min="15631" max="15631" width="10.42578125" style="330" customWidth="1"/>
    <col min="15632" max="15632" width="10.28515625" style="330" customWidth="1"/>
    <col min="15633" max="15872" width="11.42578125" style="330"/>
    <col min="15873" max="15873" width="7" style="330" customWidth="1"/>
    <col min="15874" max="15874" width="10.7109375" style="330" customWidth="1"/>
    <col min="15875" max="15875" width="10.5703125" style="330" customWidth="1"/>
    <col min="15876" max="15876" width="10.7109375" style="330" customWidth="1"/>
    <col min="15877" max="15877" width="10.28515625" style="330" customWidth="1"/>
    <col min="15878" max="15878" width="10.7109375" style="330" customWidth="1"/>
    <col min="15879" max="15879" width="9.42578125" style="330" customWidth="1"/>
    <col min="15880" max="15880" width="10.5703125" style="330" customWidth="1"/>
    <col min="15881" max="15881" width="13.7109375" style="330" customWidth="1"/>
    <col min="15882" max="15883" width="10.42578125" style="330" customWidth="1"/>
    <col min="15884" max="15884" width="10.28515625" style="330" customWidth="1"/>
    <col min="15885" max="15885" width="9.42578125" style="330" customWidth="1"/>
    <col min="15886" max="15886" width="8.7109375" style="330" customWidth="1"/>
    <col min="15887" max="15887" width="10.42578125" style="330" customWidth="1"/>
    <col min="15888" max="15888" width="10.28515625" style="330" customWidth="1"/>
    <col min="15889" max="16128" width="11.42578125" style="330"/>
    <col min="16129" max="16129" width="7" style="330" customWidth="1"/>
    <col min="16130" max="16130" width="10.7109375" style="330" customWidth="1"/>
    <col min="16131" max="16131" width="10.5703125" style="330" customWidth="1"/>
    <col min="16132" max="16132" width="10.7109375" style="330" customWidth="1"/>
    <col min="16133" max="16133" width="10.28515625" style="330" customWidth="1"/>
    <col min="16134" max="16134" width="10.7109375" style="330" customWidth="1"/>
    <col min="16135" max="16135" width="9.42578125" style="330" customWidth="1"/>
    <col min="16136" max="16136" width="10.5703125" style="330" customWidth="1"/>
    <col min="16137" max="16137" width="13.7109375" style="330" customWidth="1"/>
    <col min="16138" max="16139" width="10.42578125" style="330" customWidth="1"/>
    <col min="16140" max="16140" width="10.28515625" style="330" customWidth="1"/>
    <col min="16141" max="16141" width="9.42578125" style="330" customWidth="1"/>
    <col min="16142" max="16142" width="8.7109375" style="330" customWidth="1"/>
    <col min="16143" max="16143" width="10.42578125" style="330" customWidth="1"/>
    <col min="16144" max="16144" width="10.28515625" style="330" customWidth="1"/>
    <col min="16145" max="16384" width="11.42578125" style="330"/>
  </cols>
  <sheetData>
    <row r="1" spans="1:21" ht="15" customHeight="1" x14ac:dyDescent="0.2">
      <c r="A1" s="775" t="s">
        <v>1615</v>
      </c>
      <c r="B1" s="775"/>
      <c r="C1" s="775"/>
      <c r="D1" s="775"/>
      <c r="E1" s="775"/>
      <c r="F1" s="775"/>
      <c r="G1" s="775"/>
      <c r="H1" s="775"/>
      <c r="I1" s="775"/>
      <c r="J1" s="775"/>
      <c r="K1" s="775"/>
      <c r="L1" s="775"/>
      <c r="M1" s="775"/>
      <c r="N1" s="775"/>
      <c r="O1" s="775"/>
      <c r="P1" s="775"/>
    </row>
    <row r="2" spans="1:21" ht="15" customHeight="1" x14ac:dyDescent="0.2">
      <c r="A2" s="775" t="s">
        <v>1616</v>
      </c>
      <c r="B2" s="775"/>
      <c r="C2" s="775"/>
      <c r="D2" s="775"/>
      <c r="E2" s="775"/>
      <c r="F2" s="775" t="s">
        <v>1617</v>
      </c>
      <c r="G2" s="775"/>
      <c r="H2" s="775"/>
      <c r="I2" s="775"/>
      <c r="J2" s="775"/>
      <c r="K2" s="775"/>
      <c r="L2" s="775"/>
      <c r="M2" s="775"/>
      <c r="N2" s="775"/>
      <c r="O2" s="775"/>
      <c r="P2" s="775"/>
    </row>
    <row r="3" spans="1:21" ht="15" customHeight="1" x14ac:dyDescent="0.2">
      <c r="E3" s="331"/>
    </row>
    <row r="4" spans="1:21" ht="15" customHeight="1" x14ac:dyDescent="0.25">
      <c r="A4" s="776" t="s">
        <v>1618</v>
      </c>
      <c r="B4" s="776"/>
      <c r="C4" s="776"/>
      <c r="D4" s="776"/>
      <c r="E4" s="776"/>
      <c r="F4" s="331"/>
      <c r="K4" s="331"/>
      <c r="N4" s="331" t="s">
        <v>1619</v>
      </c>
      <c r="O4" s="332">
        <f>IF(HorasAmortizaciónEquipoCamión=0,0,ROUND(Valor_CamiónSolo*PorcentajeEquipoAmortizarCamión/HorasAmortizaciónEquipoCamión,3))</f>
        <v>0</v>
      </c>
    </row>
    <row r="5" spans="1:21" ht="15" customHeight="1" x14ac:dyDescent="0.2">
      <c r="F5" s="331"/>
      <c r="K5" s="331"/>
      <c r="O5" s="333"/>
    </row>
    <row r="6" spans="1:21" ht="15" customHeight="1" x14ac:dyDescent="0.2">
      <c r="A6" s="397"/>
      <c r="B6" s="397"/>
      <c r="C6" s="397"/>
      <c r="D6" s="397"/>
      <c r="E6" s="397"/>
      <c r="F6" s="331"/>
      <c r="K6" s="331"/>
      <c r="O6" s="333"/>
    </row>
    <row r="7" spans="1:21" ht="15" customHeight="1" x14ac:dyDescent="0.2">
      <c r="A7" s="781" t="s">
        <v>1620</v>
      </c>
      <c r="B7" s="782"/>
      <c r="C7" s="782"/>
      <c r="D7" s="783"/>
      <c r="E7" s="375"/>
      <c r="F7" s="331"/>
      <c r="G7" s="334"/>
      <c r="I7" s="777"/>
      <c r="J7" s="335"/>
      <c r="K7" s="336"/>
      <c r="N7" s="331" t="s">
        <v>1621</v>
      </c>
      <c r="O7" s="363">
        <f>ROUND(Valor_CamiónSolo*E10/4000,3)</f>
        <v>0</v>
      </c>
      <c r="Q7" s="334"/>
      <c r="R7" s="337"/>
      <c r="S7" s="777"/>
      <c r="T7" s="338"/>
      <c r="U7" s="335"/>
    </row>
    <row r="8" spans="1:21" ht="15" customHeight="1" x14ac:dyDescent="0.2">
      <c r="A8" s="781" t="s">
        <v>1622</v>
      </c>
      <c r="B8" s="782"/>
      <c r="C8" s="782"/>
      <c r="D8" s="783"/>
      <c r="E8" s="376"/>
      <c r="F8" s="331"/>
      <c r="G8" s="778"/>
      <c r="H8" s="778"/>
      <c r="I8" s="777"/>
      <c r="K8" s="331"/>
      <c r="O8" s="333"/>
      <c r="Q8" s="778"/>
      <c r="R8" s="778"/>
      <c r="S8" s="777"/>
    </row>
    <row r="9" spans="1:21" ht="15" customHeight="1" x14ac:dyDescent="0.2">
      <c r="A9" s="781" t="s">
        <v>1623</v>
      </c>
      <c r="B9" s="782"/>
      <c r="C9" s="782"/>
      <c r="D9" s="783"/>
      <c r="E9" s="377"/>
      <c r="F9" s="331"/>
      <c r="K9" s="331"/>
      <c r="O9" s="333"/>
    </row>
    <row r="10" spans="1:21" ht="15" customHeight="1" x14ac:dyDescent="0.2">
      <c r="A10" s="781" t="s">
        <v>1624</v>
      </c>
      <c r="B10" s="782"/>
      <c r="C10" s="782"/>
      <c r="D10" s="783"/>
      <c r="E10" s="377"/>
      <c r="F10" s="331"/>
      <c r="K10" s="331"/>
      <c r="N10" s="331" t="s">
        <v>1625</v>
      </c>
      <c r="O10" s="332">
        <f>ROUND(O4*Porcentaje_Reparaciones_Repuestos,3)</f>
        <v>0</v>
      </c>
    </row>
    <row r="11" spans="1:21" ht="15" customHeight="1" x14ac:dyDescent="0.2">
      <c r="A11" s="781" t="s">
        <v>1626</v>
      </c>
      <c r="B11" s="782"/>
      <c r="C11" s="782"/>
      <c r="D11" s="783"/>
      <c r="E11" s="377"/>
      <c r="F11" s="331"/>
      <c r="K11" s="331"/>
      <c r="O11" s="333"/>
    </row>
    <row r="12" spans="1:21" ht="15" customHeight="1" x14ac:dyDescent="0.2">
      <c r="A12" s="781" t="s">
        <v>1627</v>
      </c>
      <c r="B12" s="782"/>
      <c r="C12" s="782"/>
      <c r="D12" s="783"/>
      <c r="E12" s="377"/>
      <c r="F12" s="331"/>
      <c r="K12" s="331"/>
      <c r="O12" s="333"/>
    </row>
    <row r="13" spans="1:21" ht="15" customHeight="1" x14ac:dyDescent="0.2">
      <c r="A13" s="781" t="s">
        <v>1628</v>
      </c>
      <c r="B13" s="782"/>
      <c r="C13" s="782"/>
      <c r="D13" s="783"/>
      <c r="E13" s="376"/>
      <c r="F13" s="331"/>
      <c r="K13" s="331"/>
      <c r="N13" s="331" t="s">
        <v>1629</v>
      </c>
      <c r="O13" s="332">
        <f>ROUND(Tiempo_lavado_en_horas*Mano_Obra_Lavado*Cantidad_lavado_al_mes*12/2000,3)</f>
        <v>0</v>
      </c>
    </row>
    <row r="14" spans="1:21" ht="15" customHeight="1" x14ac:dyDescent="0.2">
      <c r="A14" s="781" t="s">
        <v>1630</v>
      </c>
      <c r="B14" s="782"/>
      <c r="C14" s="782"/>
      <c r="D14" s="783"/>
      <c r="E14" s="378"/>
      <c r="F14" s="331"/>
      <c r="K14" s="331"/>
      <c r="O14" s="333"/>
    </row>
    <row r="15" spans="1:21" ht="15" customHeight="1" x14ac:dyDescent="0.2">
      <c r="A15" s="781" t="s">
        <v>1631</v>
      </c>
      <c r="B15" s="782"/>
      <c r="C15" s="782"/>
      <c r="D15" s="783"/>
      <c r="E15" s="379"/>
      <c r="F15" s="331"/>
      <c r="G15" s="334"/>
      <c r="I15" s="777"/>
      <c r="J15" s="335"/>
      <c r="K15" s="336"/>
      <c r="O15" s="333"/>
      <c r="Q15" s="339"/>
      <c r="R15" s="340"/>
      <c r="S15" s="777"/>
      <c r="T15" s="338"/>
      <c r="U15" s="341"/>
    </row>
    <row r="16" spans="1:21" ht="15" customHeight="1" x14ac:dyDescent="0.2">
      <c r="A16" s="781" t="s">
        <v>1632</v>
      </c>
      <c r="B16" s="782"/>
      <c r="C16" s="782"/>
      <c r="D16" s="783"/>
      <c r="E16" s="380"/>
      <c r="F16" s="331"/>
      <c r="G16" s="778"/>
      <c r="H16" s="778"/>
      <c r="I16" s="777"/>
      <c r="K16" s="331"/>
      <c r="N16" s="331" t="s">
        <v>1633</v>
      </c>
      <c r="O16" s="332">
        <f>ROUND(Valor_CamiónSolo*PorSegurosPatentesImpustoCamión/2000,3)</f>
        <v>0</v>
      </c>
      <c r="Q16" s="779"/>
      <c r="R16" s="779"/>
      <c r="S16" s="777"/>
    </row>
    <row r="17" spans="1:21" ht="15" customHeight="1" x14ac:dyDescent="0.2">
      <c r="A17" s="781" t="s">
        <v>1634</v>
      </c>
      <c r="B17" s="782"/>
      <c r="C17" s="782"/>
      <c r="D17" s="783"/>
      <c r="E17" s="381"/>
      <c r="F17" s="331"/>
      <c r="K17" s="331"/>
      <c r="O17" s="333"/>
    </row>
    <row r="18" spans="1:21" ht="15" customHeight="1" x14ac:dyDescent="0.2">
      <c r="A18" s="781" t="s">
        <v>1635</v>
      </c>
      <c r="B18" s="782"/>
      <c r="C18" s="782"/>
      <c r="D18" s="783"/>
      <c r="E18" s="382"/>
      <c r="F18" s="331"/>
      <c r="K18" s="331"/>
      <c r="O18" s="333"/>
    </row>
    <row r="19" spans="1:21" ht="15" customHeight="1" x14ac:dyDescent="0.2">
      <c r="A19" s="781" t="s">
        <v>1636</v>
      </c>
      <c r="B19" s="782"/>
      <c r="C19" s="782"/>
      <c r="D19" s="783"/>
      <c r="E19" s="383"/>
      <c r="F19" s="331"/>
      <c r="G19" s="334"/>
      <c r="J19" s="335"/>
      <c r="K19" s="336"/>
      <c r="N19" s="331" t="s">
        <v>1637</v>
      </c>
      <c r="O19" s="332">
        <f>IF(V_Ul_cámara_cubiertas_CamiónSolo=0,0,ROUND(Cantidad_camaras_cubiertas*Valor_cámara_cubiertas_CamiónSolo/V_Ul_cámara_cubiertas_CamiónSolo,3))</f>
        <v>0</v>
      </c>
      <c r="Q19" s="342"/>
      <c r="R19" s="343"/>
      <c r="S19" s="344"/>
      <c r="T19" s="338"/>
      <c r="U19" s="345"/>
    </row>
    <row r="20" spans="1:21" ht="15" customHeight="1" x14ac:dyDescent="0.2">
      <c r="A20" s="781" t="s">
        <v>1638</v>
      </c>
      <c r="B20" s="782"/>
      <c r="C20" s="782"/>
      <c r="D20" s="783"/>
      <c r="E20" s="377"/>
      <c r="F20" s="331"/>
      <c r="G20" s="778"/>
      <c r="H20" s="778"/>
      <c r="K20" s="331"/>
      <c r="O20" s="333"/>
    </row>
    <row r="21" spans="1:21" ht="15" customHeight="1" x14ac:dyDescent="0.2">
      <c r="A21" s="781" t="s">
        <v>1689</v>
      </c>
      <c r="B21" s="782"/>
      <c r="C21" s="782"/>
      <c r="D21" s="783" t="s">
        <v>1639</v>
      </c>
      <c r="E21" s="384"/>
      <c r="G21" s="789"/>
      <c r="H21" s="789"/>
      <c r="I21" s="789"/>
      <c r="K21" s="331"/>
      <c r="O21" s="333"/>
    </row>
    <row r="22" spans="1:21" ht="15" customHeight="1" x14ac:dyDescent="0.2">
      <c r="A22" s="781" t="s">
        <v>1690</v>
      </c>
      <c r="B22" s="782"/>
      <c r="C22" s="782"/>
      <c r="D22" s="783" t="s">
        <v>1640</v>
      </c>
      <c r="E22" s="385"/>
      <c r="K22" s="331"/>
      <c r="N22" s="331" t="s">
        <v>1641</v>
      </c>
      <c r="O22" s="332">
        <f>ROUND(Consumo_gasoil_CamiónSolo_porkm*Costo_gasoil*(1+Porcentaje_Lubricantes),3)</f>
        <v>0</v>
      </c>
    </row>
    <row r="23" spans="1:21" ht="15" customHeight="1" x14ac:dyDescent="0.25">
      <c r="A23" s="398"/>
      <c r="B23" s="398"/>
      <c r="C23" s="398"/>
      <c r="D23" s="398"/>
      <c r="E23" s="398"/>
      <c r="G23" s="346"/>
      <c r="H23" s="347"/>
      <c r="I23" s="348"/>
      <c r="J23" s="349"/>
      <c r="K23" s="336"/>
    </row>
    <row r="25" spans="1:21" ht="15" customHeight="1" x14ac:dyDescent="0.2">
      <c r="A25" s="785" t="s">
        <v>1642</v>
      </c>
      <c r="B25" s="785"/>
      <c r="C25" s="785"/>
      <c r="D25" s="785"/>
      <c r="E25" s="785"/>
      <c r="F25" s="785"/>
      <c r="G25" s="785"/>
      <c r="H25" s="786" t="s">
        <v>1643</v>
      </c>
      <c r="I25" s="786"/>
      <c r="J25" s="786"/>
      <c r="K25" s="786"/>
      <c r="L25" s="786"/>
      <c r="M25" s="786"/>
      <c r="N25" s="786"/>
      <c r="O25" s="786"/>
      <c r="P25" s="787" t="s">
        <v>1644</v>
      </c>
    </row>
    <row r="26" spans="1:21" ht="15" customHeight="1" x14ac:dyDescent="0.2">
      <c r="A26" s="350" t="s">
        <v>1645</v>
      </c>
      <c r="B26" s="350" t="s">
        <v>1646</v>
      </c>
      <c r="C26" s="350" t="s">
        <v>1647</v>
      </c>
      <c r="D26" s="350" t="s">
        <v>1648</v>
      </c>
      <c r="E26" s="350" t="s">
        <v>1649</v>
      </c>
      <c r="F26" s="350" t="s">
        <v>975</v>
      </c>
      <c r="G26" s="350" t="s">
        <v>1650</v>
      </c>
      <c r="H26" s="788" t="s">
        <v>1591</v>
      </c>
      <c r="I26" s="788" t="s">
        <v>1651</v>
      </c>
      <c r="J26" s="350" t="s">
        <v>1652</v>
      </c>
      <c r="K26" s="350" t="s">
        <v>1653</v>
      </c>
      <c r="L26" s="350" t="s">
        <v>1654</v>
      </c>
      <c r="M26" s="350" t="s">
        <v>1655</v>
      </c>
      <c r="N26" s="350" t="s">
        <v>1656</v>
      </c>
      <c r="O26" s="351" t="s">
        <v>1657</v>
      </c>
      <c r="P26" s="787"/>
    </row>
    <row r="27" spans="1:21" ht="15" customHeight="1" x14ac:dyDescent="0.2">
      <c r="A27" s="350" t="s">
        <v>1658</v>
      </c>
      <c r="B27" s="350" t="s">
        <v>1659</v>
      </c>
      <c r="C27" s="350" t="s">
        <v>1660</v>
      </c>
      <c r="D27" s="350" t="s">
        <v>1661</v>
      </c>
      <c r="E27" s="350" t="s">
        <v>1662</v>
      </c>
      <c r="F27" s="350" t="s">
        <v>1663</v>
      </c>
      <c r="G27" s="350" t="s">
        <v>1664</v>
      </c>
      <c r="H27" s="788"/>
      <c r="I27" s="788"/>
      <c r="J27" s="350" t="s">
        <v>1665</v>
      </c>
      <c r="K27" s="350" t="s">
        <v>1666</v>
      </c>
      <c r="L27" s="350" t="s">
        <v>1667</v>
      </c>
      <c r="M27" s="350" t="s">
        <v>1668</v>
      </c>
      <c r="N27" s="350" t="s">
        <v>1669</v>
      </c>
      <c r="O27" s="351" t="s">
        <v>1670</v>
      </c>
      <c r="P27" s="787"/>
    </row>
    <row r="28" spans="1:21" ht="15" customHeight="1" x14ac:dyDescent="0.2">
      <c r="A28" s="784" t="s">
        <v>1671</v>
      </c>
      <c r="B28" s="784" t="s">
        <v>1672</v>
      </c>
      <c r="C28" s="784" t="s">
        <v>1673</v>
      </c>
      <c r="D28" s="784" t="s">
        <v>1674</v>
      </c>
      <c r="E28" s="784" t="s">
        <v>1675</v>
      </c>
      <c r="F28" s="784" t="s">
        <v>1676</v>
      </c>
      <c r="G28" s="784" t="s">
        <v>1677</v>
      </c>
      <c r="H28" s="784" t="s">
        <v>1678</v>
      </c>
      <c r="I28" s="784" t="s">
        <v>1679</v>
      </c>
      <c r="J28" s="784" t="s">
        <v>1680</v>
      </c>
      <c r="K28" s="784" t="s">
        <v>1681</v>
      </c>
      <c r="L28" s="784" t="s">
        <v>1682</v>
      </c>
      <c r="M28" s="784" t="s">
        <v>1683</v>
      </c>
      <c r="N28" s="784" t="s">
        <v>1684</v>
      </c>
      <c r="O28" s="784" t="s">
        <v>1685</v>
      </c>
      <c r="P28" s="780" t="s">
        <v>1686</v>
      </c>
    </row>
    <row r="29" spans="1:21" ht="15" customHeight="1" x14ac:dyDescent="0.2">
      <c r="A29" s="784"/>
      <c r="B29" s="784"/>
      <c r="C29" s="784"/>
      <c r="D29" s="784"/>
      <c r="E29" s="784"/>
      <c r="F29" s="784"/>
      <c r="G29" s="784"/>
      <c r="H29" s="784"/>
      <c r="I29" s="784"/>
      <c r="J29" s="784"/>
      <c r="K29" s="784"/>
      <c r="L29" s="784"/>
      <c r="M29" s="784"/>
      <c r="N29" s="784"/>
      <c r="O29" s="784"/>
      <c r="P29" s="780"/>
    </row>
    <row r="30" spans="1:21" ht="15" customHeight="1" x14ac:dyDescent="0.2">
      <c r="A30" s="352">
        <v>1</v>
      </c>
      <c r="B30" s="353"/>
      <c r="C30" s="354">
        <f>IF(B30=0,0,(2*A30*60)/B30)</f>
        <v>0</v>
      </c>
      <c r="D30" s="355"/>
      <c r="E30" s="354">
        <f t="shared" ref="E30:E64" si="0">+C30+D30</f>
        <v>0</v>
      </c>
      <c r="F30" s="356"/>
      <c r="G30" s="357">
        <f t="shared" ref="G30:G64" si="1">+A30*2</f>
        <v>2</v>
      </c>
      <c r="H30" s="358">
        <f t="shared" ref="H30:H64" si="2">A*(E30/60)</f>
        <v>0</v>
      </c>
      <c r="I30" s="358">
        <f t="shared" ref="I30:I38" si="3">B*(E30/60)</f>
        <v>0</v>
      </c>
      <c r="J30" s="358">
        <f t="shared" ref="J30:J38" si="4">C_*(C30/60)</f>
        <v>0</v>
      </c>
      <c r="K30" s="358">
        <f t="shared" ref="K30:K38" si="5">D*(E30/60)</f>
        <v>0</v>
      </c>
      <c r="L30" s="358">
        <f t="shared" ref="L30:L38" si="6">E*(E30/60)</f>
        <v>0</v>
      </c>
      <c r="M30" s="358">
        <f t="shared" ref="M30:M38" si="7">+G30*F_</f>
        <v>0</v>
      </c>
      <c r="N30" s="358">
        <f t="shared" ref="N30:N38" si="8">Mano_Obra_Lavado*(E30/60)</f>
        <v>0</v>
      </c>
      <c r="O30" s="358">
        <f t="shared" ref="O30:O38" si="9">+G30*G</f>
        <v>0</v>
      </c>
      <c r="P30" s="359">
        <f>IF(F30=0,0,ROUND(SUM(H30:O30)/F30,3))</f>
        <v>0</v>
      </c>
      <c r="R30" s="360"/>
    </row>
    <row r="31" spans="1:21" ht="15" customHeight="1" x14ac:dyDescent="0.2">
      <c r="A31" s="352">
        <v>1.5</v>
      </c>
      <c r="B31" s="353"/>
      <c r="C31" s="354">
        <f t="shared" ref="C31:C64" si="10">IF(B31=0,0,(2*A31*60)/B31)</f>
        <v>0</v>
      </c>
      <c r="D31" s="355"/>
      <c r="E31" s="354">
        <f t="shared" si="0"/>
        <v>0</v>
      </c>
      <c r="F31" s="356"/>
      <c r="G31" s="357">
        <f t="shared" si="1"/>
        <v>3</v>
      </c>
      <c r="H31" s="358">
        <f t="shared" si="2"/>
        <v>0</v>
      </c>
      <c r="I31" s="358">
        <f t="shared" si="3"/>
        <v>0</v>
      </c>
      <c r="J31" s="358">
        <f t="shared" si="4"/>
        <v>0</v>
      </c>
      <c r="K31" s="358">
        <f t="shared" si="5"/>
        <v>0</v>
      </c>
      <c r="L31" s="358">
        <f t="shared" si="6"/>
        <v>0</v>
      </c>
      <c r="M31" s="358">
        <f t="shared" si="7"/>
        <v>0</v>
      </c>
      <c r="N31" s="358">
        <f t="shared" si="8"/>
        <v>0</v>
      </c>
      <c r="O31" s="358">
        <f t="shared" si="9"/>
        <v>0</v>
      </c>
      <c r="P31" s="359">
        <f t="shared" ref="P31:P64" si="11">IF(F31=0,0,ROUND(SUM(H31:O31)/F31,3))</f>
        <v>0</v>
      </c>
      <c r="R31" s="360"/>
    </row>
    <row r="32" spans="1:21" ht="15" customHeight="1" x14ac:dyDescent="0.2">
      <c r="A32" s="352">
        <v>2</v>
      </c>
      <c r="B32" s="353"/>
      <c r="C32" s="354">
        <f t="shared" si="10"/>
        <v>0</v>
      </c>
      <c r="D32" s="355"/>
      <c r="E32" s="354">
        <f t="shared" si="0"/>
        <v>0</v>
      </c>
      <c r="F32" s="356"/>
      <c r="G32" s="357">
        <f t="shared" si="1"/>
        <v>4</v>
      </c>
      <c r="H32" s="358">
        <f t="shared" si="2"/>
        <v>0</v>
      </c>
      <c r="I32" s="358">
        <f t="shared" si="3"/>
        <v>0</v>
      </c>
      <c r="J32" s="358">
        <f t="shared" si="4"/>
        <v>0</v>
      </c>
      <c r="K32" s="358">
        <f t="shared" si="5"/>
        <v>0</v>
      </c>
      <c r="L32" s="358">
        <f t="shared" si="6"/>
        <v>0</v>
      </c>
      <c r="M32" s="358">
        <f t="shared" si="7"/>
        <v>0</v>
      </c>
      <c r="N32" s="358">
        <f t="shared" si="8"/>
        <v>0</v>
      </c>
      <c r="O32" s="358">
        <f t="shared" si="9"/>
        <v>0</v>
      </c>
      <c r="P32" s="359">
        <f t="shared" si="11"/>
        <v>0</v>
      </c>
      <c r="R32" s="360"/>
    </row>
    <row r="33" spans="1:18" ht="15" customHeight="1" x14ac:dyDescent="0.2">
      <c r="A33" s="352">
        <v>2.5</v>
      </c>
      <c r="B33" s="353"/>
      <c r="C33" s="354">
        <f t="shared" si="10"/>
        <v>0</v>
      </c>
      <c r="D33" s="355"/>
      <c r="E33" s="354">
        <f t="shared" si="0"/>
        <v>0</v>
      </c>
      <c r="F33" s="356"/>
      <c r="G33" s="357">
        <f t="shared" si="1"/>
        <v>5</v>
      </c>
      <c r="H33" s="358">
        <f t="shared" si="2"/>
        <v>0</v>
      </c>
      <c r="I33" s="358">
        <f t="shared" si="3"/>
        <v>0</v>
      </c>
      <c r="J33" s="358">
        <f t="shared" si="4"/>
        <v>0</v>
      </c>
      <c r="K33" s="358">
        <f t="shared" si="5"/>
        <v>0</v>
      </c>
      <c r="L33" s="358">
        <f t="shared" si="6"/>
        <v>0</v>
      </c>
      <c r="M33" s="358">
        <f t="shared" si="7"/>
        <v>0</v>
      </c>
      <c r="N33" s="358">
        <f t="shared" si="8"/>
        <v>0</v>
      </c>
      <c r="O33" s="358">
        <f t="shared" si="9"/>
        <v>0</v>
      </c>
      <c r="P33" s="359">
        <f t="shared" si="11"/>
        <v>0</v>
      </c>
      <c r="R33" s="360"/>
    </row>
    <row r="34" spans="1:18" ht="15" customHeight="1" x14ac:dyDescent="0.2">
      <c r="A34" s="352">
        <v>3</v>
      </c>
      <c r="B34" s="353"/>
      <c r="C34" s="354">
        <f t="shared" si="10"/>
        <v>0</v>
      </c>
      <c r="D34" s="355"/>
      <c r="E34" s="354">
        <f t="shared" si="0"/>
        <v>0</v>
      </c>
      <c r="F34" s="356"/>
      <c r="G34" s="357">
        <f t="shared" si="1"/>
        <v>6</v>
      </c>
      <c r="H34" s="358">
        <f t="shared" si="2"/>
        <v>0</v>
      </c>
      <c r="I34" s="358">
        <f t="shared" si="3"/>
        <v>0</v>
      </c>
      <c r="J34" s="358">
        <f t="shared" si="4"/>
        <v>0</v>
      </c>
      <c r="K34" s="358">
        <f t="shared" si="5"/>
        <v>0</v>
      </c>
      <c r="L34" s="358">
        <f t="shared" si="6"/>
        <v>0</v>
      </c>
      <c r="M34" s="358">
        <f t="shared" si="7"/>
        <v>0</v>
      </c>
      <c r="N34" s="358">
        <f t="shared" si="8"/>
        <v>0</v>
      </c>
      <c r="O34" s="358">
        <f t="shared" si="9"/>
        <v>0</v>
      </c>
      <c r="P34" s="359">
        <f t="shared" si="11"/>
        <v>0</v>
      </c>
      <c r="R34" s="360"/>
    </row>
    <row r="35" spans="1:18" ht="15" customHeight="1" x14ac:dyDescent="0.2">
      <c r="A35" s="352">
        <v>3.5</v>
      </c>
      <c r="B35" s="353"/>
      <c r="C35" s="354">
        <f t="shared" si="10"/>
        <v>0</v>
      </c>
      <c r="D35" s="355"/>
      <c r="E35" s="354">
        <f t="shared" si="0"/>
        <v>0</v>
      </c>
      <c r="F35" s="356"/>
      <c r="G35" s="357">
        <f t="shared" si="1"/>
        <v>7</v>
      </c>
      <c r="H35" s="358">
        <f t="shared" si="2"/>
        <v>0</v>
      </c>
      <c r="I35" s="358">
        <f t="shared" si="3"/>
        <v>0</v>
      </c>
      <c r="J35" s="358">
        <f t="shared" si="4"/>
        <v>0</v>
      </c>
      <c r="K35" s="358">
        <f t="shared" si="5"/>
        <v>0</v>
      </c>
      <c r="L35" s="358">
        <f t="shared" si="6"/>
        <v>0</v>
      </c>
      <c r="M35" s="358">
        <f t="shared" si="7"/>
        <v>0</v>
      </c>
      <c r="N35" s="358">
        <f t="shared" si="8"/>
        <v>0</v>
      </c>
      <c r="O35" s="358">
        <f t="shared" si="9"/>
        <v>0</v>
      </c>
      <c r="P35" s="359">
        <f t="shared" si="11"/>
        <v>0</v>
      </c>
      <c r="R35" s="360"/>
    </row>
    <row r="36" spans="1:18" ht="15" customHeight="1" x14ac:dyDescent="0.2">
      <c r="A36" s="352">
        <v>4</v>
      </c>
      <c r="B36" s="353"/>
      <c r="C36" s="354">
        <f t="shared" si="10"/>
        <v>0</v>
      </c>
      <c r="D36" s="355"/>
      <c r="E36" s="354">
        <f t="shared" si="0"/>
        <v>0</v>
      </c>
      <c r="F36" s="356"/>
      <c r="G36" s="357">
        <f t="shared" si="1"/>
        <v>8</v>
      </c>
      <c r="H36" s="358">
        <f t="shared" si="2"/>
        <v>0</v>
      </c>
      <c r="I36" s="358">
        <f t="shared" si="3"/>
        <v>0</v>
      </c>
      <c r="J36" s="358">
        <f t="shared" si="4"/>
        <v>0</v>
      </c>
      <c r="K36" s="358">
        <f t="shared" si="5"/>
        <v>0</v>
      </c>
      <c r="L36" s="358">
        <f t="shared" si="6"/>
        <v>0</v>
      </c>
      <c r="M36" s="358">
        <f t="shared" si="7"/>
        <v>0</v>
      </c>
      <c r="N36" s="358">
        <f t="shared" si="8"/>
        <v>0</v>
      </c>
      <c r="O36" s="358">
        <f t="shared" si="9"/>
        <v>0</v>
      </c>
      <c r="P36" s="359">
        <f t="shared" si="11"/>
        <v>0</v>
      </c>
      <c r="R36" s="360"/>
    </row>
    <row r="37" spans="1:18" ht="15" customHeight="1" x14ac:dyDescent="0.2">
      <c r="A37" s="352">
        <v>4.5</v>
      </c>
      <c r="B37" s="353"/>
      <c r="C37" s="354">
        <f t="shared" si="10"/>
        <v>0</v>
      </c>
      <c r="D37" s="355"/>
      <c r="E37" s="354">
        <f t="shared" si="0"/>
        <v>0</v>
      </c>
      <c r="F37" s="356"/>
      <c r="G37" s="357">
        <f t="shared" si="1"/>
        <v>9</v>
      </c>
      <c r="H37" s="358">
        <f t="shared" si="2"/>
        <v>0</v>
      </c>
      <c r="I37" s="358">
        <f t="shared" si="3"/>
        <v>0</v>
      </c>
      <c r="J37" s="358">
        <f t="shared" si="4"/>
        <v>0</v>
      </c>
      <c r="K37" s="358">
        <f t="shared" si="5"/>
        <v>0</v>
      </c>
      <c r="L37" s="358">
        <f t="shared" si="6"/>
        <v>0</v>
      </c>
      <c r="M37" s="358">
        <f t="shared" si="7"/>
        <v>0</v>
      </c>
      <c r="N37" s="358">
        <f t="shared" si="8"/>
        <v>0</v>
      </c>
      <c r="O37" s="358">
        <f t="shared" si="9"/>
        <v>0</v>
      </c>
      <c r="P37" s="359">
        <f t="shared" si="11"/>
        <v>0</v>
      </c>
      <c r="R37" s="360"/>
    </row>
    <row r="38" spans="1:18" ht="15" customHeight="1" x14ac:dyDescent="0.2">
      <c r="A38" s="352">
        <v>5</v>
      </c>
      <c r="B38" s="353"/>
      <c r="C38" s="354">
        <f t="shared" si="10"/>
        <v>0</v>
      </c>
      <c r="D38" s="355"/>
      <c r="E38" s="354">
        <f t="shared" si="0"/>
        <v>0</v>
      </c>
      <c r="F38" s="356"/>
      <c r="G38" s="357">
        <f t="shared" si="1"/>
        <v>10</v>
      </c>
      <c r="H38" s="358">
        <f t="shared" si="2"/>
        <v>0</v>
      </c>
      <c r="I38" s="358">
        <f t="shared" si="3"/>
        <v>0</v>
      </c>
      <c r="J38" s="358">
        <f t="shared" si="4"/>
        <v>0</v>
      </c>
      <c r="K38" s="358">
        <f t="shared" si="5"/>
        <v>0</v>
      </c>
      <c r="L38" s="358">
        <f t="shared" si="6"/>
        <v>0</v>
      </c>
      <c r="M38" s="358">
        <f t="shared" si="7"/>
        <v>0</v>
      </c>
      <c r="N38" s="358">
        <f t="shared" si="8"/>
        <v>0</v>
      </c>
      <c r="O38" s="358">
        <f t="shared" si="9"/>
        <v>0</v>
      </c>
      <c r="P38" s="359">
        <f t="shared" si="11"/>
        <v>0</v>
      </c>
      <c r="R38" s="360"/>
    </row>
    <row r="39" spans="1:18" ht="15" customHeight="1" x14ac:dyDescent="0.2">
      <c r="A39" s="352">
        <v>6</v>
      </c>
      <c r="B39" s="353"/>
      <c r="C39" s="354">
        <f t="shared" si="10"/>
        <v>0</v>
      </c>
      <c r="D39" s="355"/>
      <c r="E39" s="354">
        <f t="shared" si="0"/>
        <v>0</v>
      </c>
      <c r="F39" s="356"/>
      <c r="G39" s="357">
        <f t="shared" si="1"/>
        <v>12</v>
      </c>
      <c r="H39" s="358">
        <f t="shared" si="2"/>
        <v>0</v>
      </c>
      <c r="I39" s="358">
        <f t="shared" ref="I39:I64" si="12">B*(E39/60)</f>
        <v>0</v>
      </c>
      <c r="J39" s="358">
        <f t="shared" ref="J39:J64" si="13">C_*(C39/60)</f>
        <v>0</v>
      </c>
      <c r="K39" s="358">
        <f t="shared" ref="K39:K64" si="14">D*(E39/60)</f>
        <v>0</v>
      </c>
      <c r="L39" s="358">
        <f t="shared" ref="L39:L64" si="15">E*(E39/60)</f>
        <v>0</v>
      </c>
      <c r="M39" s="358">
        <f t="shared" ref="M39:M64" si="16">+G39*F_</f>
        <v>0</v>
      </c>
      <c r="N39" s="358">
        <f t="shared" ref="N39:N64" si="17">Mano_Obra_Lavado*(E39/60)</f>
        <v>0</v>
      </c>
      <c r="O39" s="358">
        <f t="shared" ref="O39:O64" si="18">+G39*G</f>
        <v>0</v>
      </c>
      <c r="P39" s="359">
        <f t="shared" si="11"/>
        <v>0</v>
      </c>
      <c r="R39" s="360"/>
    </row>
    <row r="40" spans="1:18" ht="15" customHeight="1" x14ac:dyDescent="0.2">
      <c r="A40" s="352">
        <v>7</v>
      </c>
      <c r="B40" s="353"/>
      <c r="C40" s="354">
        <f t="shared" si="10"/>
        <v>0</v>
      </c>
      <c r="D40" s="355"/>
      <c r="E40" s="354">
        <f t="shared" si="0"/>
        <v>0</v>
      </c>
      <c r="F40" s="356"/>
      <c r="G40" s="357">
        <f t="shared" si="1"/>
        <v>14</v>
      </c>
      <c r="H40" s="358">
        <f t="shared" si="2"/>
        <v>0</v>
      </c>
      <c r="I40" s="358">
        <f t="shared" si="12"/>
        <v>0</v>
      </c>
      <c r="J40" s="358">
        <f t="shared" si="13"/>
        <v>0</v>
      </c>
      <c r="K40" s="358">
        <f t="shared" si="14"/>
        <v>0</v>
      </c>
      <c r="L40" s="358">
        <f t="shared" si="15"/>
        <v>0</v>
      </c>
      <c r="M40" s="358">
        <f t="shared" si="16"/>
        <v>0</v>
      </c>
      <c r="N40" s="358">
        <f t="shared" si="17"/>
        <v>0</v>
      </c>
      <c r="O40" s="358">
        <f t="shared" si="18"/>
        <v>0</v>
      </c>
      <c r="P40" s="359">
        <f t="shared" si="11"/>
        <v>0</v>
      </c>
      <c r="R40" s="360"/>
    </row>
    <row r="41" spans="1:18" ht="15" customHeight="1" x14ac:dyDescent="0.2">
      <c r="A41" s="352">
        <v>8</v>
      </c>
      <c r="B41" s="353"/>
      <c r="C41" s="354">
        <f t="shared" si="10"/>
        <v>0</v>
      </c>
      <c r="D41" s="355"/>
      <c r="E41" s="354">
        <f t="shared" si="0"/>
        <v>0</v>
      </c>
      <c r="F41" s="356"/>
      <c r="G41" s="357">
        <f t="shared" si="1"/>
        <v>16</v>
      </c>
      <c r="H41" s="358">
        <f t="shared" si="2"/>
        <v>0</v>
      </c>
      <c r="I41" s="358">
        <f t="shared" si="12"/>
        <v>0</v>
      </c>
      <c r="J41" s="358">
        <f t="shared" si="13"/>
        <v>0</v>
      </c>
      <c r="K41" s="358">
        <f t="shared" si="14"/>
        <v>0</v>
      </c>
      <c r="L41" s="358">
        <f t="shared" si="15"/>
        <v>0</v>
      </c>
      <c r="M41" s="358">
        <f t="shared" si="16"/>
        <v>0</v>
      </c>
      <c r="N41" s="358">
        <f t="shared" si="17"/>
        <v>0</v>
      </c>
      <c r="O41" s="358">
        <f t="shared" si="18"/>
        <v>0</v>
      </c>
      <c r="P41" s="359">
        <f t="shared" si="11"/>
        <v>0</v>
      </c>
      <c r="R41" s="360"/>
    </row>
    <row r="42" spans="1:18" ht="15" customHeight="1" x14ac:dyDescent="0.2">
      <c r="A42" s="352">
        <v>9</v>
      </c>
      <c r="B42" s="353"/>
      <c r="C42" s="354">
        <f t="shared" si="10"/>
        <v>0</v>
      </c>
      <c r="D42" s="355"/>
      <c r="E42" s="354">
        <f t="shared" si="0"/>
        <v>0</v>
      </c>
      <c r="F42" s="356"/>
      <c r="G42" s="357">
        <f t="shared" si="1"/>
        <v>18</v>
      </c>
      <c r="H42" s="358">
        <f t="shared" si="2"/>
        <v>0</v>
      </c>
      <c r="I42" s="358">
        <f t="shared" si="12"/>
        <v>0</v>
      </c>
      <c r="J42" s="358">
        <f t="shared" si="13"/>
        <v>0</v>
      </c>
      <c r="K42" s="358">
        <f t="shared" si="14"/>
        <v>0</v>
      </c>
      <c r="L42" s="358">
        <f t="shared" si="15"/>
        <v>0</v>
      </c>
      <c r="M42" s="358">
        <f t="shared" si="16"/>
        <v>0</v>
      </c>
      <c r="N42" s="358">
        <f t="shared" si="17"/>
        <v>0</v>
      </c>
      <c r="O42" s="358">
        <f t="shared" si="18"/>
        <v>0</v>
      </c>
      <c r="P42" s="359">
        <f t="shared" si="11"/>
        <v>0</v>
      </c>
      <c r="R42" s="360"/>
    </row>
    <row r="43" spans="1:18" ht="15" customHeight="1" x14ac:dyDescent="0.2">
      <c r="A43" s="352">
        <v>10</v>
      </c>
      <c r="B43" s="353"/>
      <c r="C43" s="354">
        <f t="shared" si="10"/>
        <v>0</v>
      </c>
      <c r="D43" s="355"/>
      <c r="E43" s="354">
        <f t="shared" si="0"/>
        <v>0</v>
      </c>
      <c r="F43" s="356"/>
      <c r="G43" s="357">
        <f t="shared" si="1"/>
        <v>20</v>
      </c>
      <c r="H43" s="358">
        <f t="shared" si="2"/>
        <v>0</v>
      </c>
      <c r="I43" s="358">
        <f t="shared" si="12"/>
        <v>0</v>
      </c>
      <c r="J43" s="358">
        <f t="shared" si="13"/>
        <v>0</v>
      </c>
      <c r="K43" s="358">
        <f t="shared" si="14"/>
        <v>0</v>
      </c>
      <c r="L43" s="358">
        <f t="shared" si="15"/>
        <v>0</v>
      </c>
      <c r="M43" s="358">
        <f t="shared" si="16"/>
        <v>0</v>
      </c>
      <c r="N43" s="358">
        <f t="shared" si="17"/>
        <v>0</v>
      </c>
      <c r="O43" s="358">
        <f t="shared" si="18"/>
        <v>0</v>
      </c>
      <c r="P43" s="359">
        <f t="shared" si="11"/>
        <v>0</v>
      </c>
      <c r="R43" s="360"/>
    </row>
    <row r="44" spans="1:18" ht="15" customHeight="1" x14ac:dyDescent="0.2">
      <c r="A44" s="352">
        <v>12</v>
      </c>
      <c r="B44" s="353"/>
      <c r="C44" s="354">
        <f t="shared" si="10"/>
        <v>0</v>
      </c>
      <c r="D44" s="355"/>
      <c r="E44" s="354">
        <f t="shared" si="0"/>
        <v>0</v>
      </c>
      <c r="F44" s="356"/>
      <c r="G44" s="357">
        <f t="shared" si="1"/>
        <v>24</v>
      </c>
      <c r="H44" s="358">
        <f t="shared" si="2"/>
        <v>0</v>
      </c>
      <c r="I44" s="358">
        <f t="shared" si="12"/>
        <v>0</v>
      </c>
      <c r="J44" s="358">
        <f t="shared" si="13"/>
        <v>0</v>
      </c>
      <c r="K44" s="358">
        <f t="shared" si="14"/>
        <v>0</v>
      </c>
      <c r="L44" s="358">
        <f t="shared" si="15"/>
        <v>0</v>
      </c>
      <c r="M44" s="358">
        <f t="shared" si="16"/>
        <v>0</v>
      </c>
      <c r="N44" s="358">
        <f t="shared" si="17"/>
        <v>0</v>
      </c>
      <c r="O44" s="358">
        <f t="shared" si="18"/>
        <v>0</v>
      </c>
      <c r="P44" s="359">
        <f t="shared" si="11"/>
        <v>0</v>
      </c>
      <c r="R44" s="360"/>
    </row>
    <row r="45" spans="1:18" ht="15" customHeight="1" x14ac:dyDescent="0.2">
      <c r="A45" s="352">
        <v>15</v>
      </c>
      <c r="B45" s="353"/>
      <c r="C45" s="354">
        <f t="shared" si="10"/>
        <v>0</v>
      </c>
      <c r="D45" s="355"/>
      <c r="E45" s="354">
        <f t="shared" si="0"/>
        <v>0</v>
      </c>
      <c r="F45" s="356"/>
      <c r="G45" s="357">
        <f t="shared" si="1"/>
        <v>30</v>
      </c>
      <c r="H45" s="358">
        <f t="shared" si="2"/>
        <v>0</v>
      </c>
      <c r="I45" s="358">
        <f t="shared" si="12"/>
        <v>0</v>
      </c>
      <c r="J45" s="358">
        <f t="shared" si="13"/>
        <v>0</v>
      </c>
      <c r="K45" s="358">
        <f t="shared" si="14"/>
        <v>0</v>
      </c>
      <c r="L45" s="358">
        <f t="shared" si="15"/>
        <v>0</v>
      </c>
      <c r="M45" s="358">
        <f t="shared" si="16"/>
        <v>0</v>
      </c>
      <c r="N45" s="358">
        <f t="shared" si="17"/>
        <v>0</v>
      </c>
      <c r="O45" s="358">
        <f t="shared" si="18"/>
        <v>0</v>
      </c>
      <c r="P45" s="359">
        <f t="shared" si="11"/>
        <v>0</v>
      </c>
      <c r="R45" s="360"/>
    </row>
    <row r="46" spans="1:18" ht="15" customHeight="1" x14ac:dyDescent="0.2">
      <c r="A46" s="352">
        <v>17</v>
      </c>
      <c r="B46" s="353"/>
      <c r="C46" s="354">
        <f t="shared" si="10"/>
        <v>0</v>
      </c>
      <c r="D46" s="355"/>
      <c r="E46" s="354">
        <f t="shared" si="0"/>
        <v>0</v>
      </c>
      <c r="F46" s="356"/>
      <c r="G46" s="357">
        <f t="shared" si="1"/>
        <v>34</v>
      </c>
      <c r="H46" s="358">
        <f t="shared" si="2"/>
        <v>0</v>
      </c>
      <c r="I46" s="358">
        <f t="shared" si="12"/>
        <v>0</v>
      </c>
      <c r="J46" s="358">
        <f t="shared" si="13"/>
        <v>0</v>
      </c>
      <c r="K46" s="358">
        <f t="shared" si="14"/>
        <v>0</v>
      </c>
      <c r="L46" s="358">
        <f t="shared" si="15"/>
        <v>0</v>
      </c>
      <c r="M46" s="358">
        <f t="shared" si="16"/>
        <v>0</v>
      </c>
      <c r="N46" s="358">
        <f t="shared" si="17"/>
        <v>0</v>
      </c>
      <c r="O46" s="358">
        <f t="shared" si="18"/>
        <v>0</v>
      </c>
      <c r="P46" s="359">
        <f t="shared" si="11"/>
        <v>0</v>
      </c>
      <c r="R46" s="360"/>
    </row>
    <row r="47" spans="1:18" ht="15" customHeight="1" x14ac:dyDescent="0.2">
      <c r="A47" s="352">
        <v>19</v>
      </c>
      <c r="B47" s="353"/>
      <c r="C47" s="354">
        <f t="shared" si="10"/>
        <v>0</v>
      </c>
      <c r="D47" s="355"/>
      <c r="E47" s="354">
        <f t="shared" si="0"/>
        <v>0</v>
      </c>
      <c r="F47" s="356"/>
      <c r="G47" s="357">
        <f t="shared" si="1"/>
        <v>38</v>
      </c>
      <c r="H47" s="358">
        <f t="shared" si="2"/>
        <v>0</v>
      </c>
      <c r="I47" s="358">
        <f t="shared" si="12"/>
        <v>0</v>
      </c>
      <c r="J47" s="358">
        <f t="shared" si="13"/>
        <v>0</v>
      </c>
      <c r="K47" s="358">
        <f t="shared" si="14"/>
        <v>0</v>
      </c>
      <c r="L47" s="358">
        <f t="shared" si="15"/>
        <v>0</v>
      </c>
      <c r="M47" s="358">
        <f t="shared" si="16"/>
        <v>0</v>
      </c>
      <c r="N47" s="358">
        <f t="shared" si="17"/>
        <v>0</v>
      </c>
      <c r="O47" s="358">
        <f t="shared" si="18"/>
        <v>0</v>
      </c>
      <c r="P47" s="359">
        <f t="shared" si="11"/>
        <v>0</v>
      </c>
      <c r="R47" s="360"/>
    </row>
    <row r="48" spans="1:18" ht="15" customHeight="1" x14ac:dyDescent="0.2">
      <c r="A48" s="352">
        <v>20</v>
      </c>
      <c r="B48" s="353"/>
      <c r="C48" s="354">
        <f t="shared" si="10"/>
        <v>0</v>
      </c>
      <c r="D48" s="355"/>
      <c r="E48" s="354">
        <f t="shared" si="0"/>
        <v>0</v>
      </c>
      <c r="F48" s="356"/>
      <c r="G48" s="357">
        <f t="shared" si="1"/>
        <v>40</v>
      </c>
      <c r="H48" s="358">
        <f t="shared" si="2"/>
        <v>0</v>
      </c>
      <c r="I48" s="358">
        <f t="shared" si="12"/>
        <v>0</v>
      </c>
      <c r="J48" s="358">
        <f t="shared" si="13"/>
        <v>0</v>
      </c>
      <c r="K48" s="358">
        <f t="shared" si="14"/>
        <v>0</v>
      </c>
      <c r="L48" s="358">
        <f t="shared" si="15"/>
        <v>0</v>
      </c>
      <c r="M48" s="358">
        <f t="shared" si="16"/>
        <v>0</v>
      </c>
      <c r="N48" s="358">
        <f t="shared" si="17"/>
        <v>0</v>
      </c>
      <c r="O48" s="358">
        <f t="shared" si="18"/>
        <v>0</v>
      </c>
      <c r="P48" s="359">
        <f t="shared" si="11"/>
        <v>0</v>
      </c>
      <c r="R48" s="360"/>
    </row>
    <row r="49" spans="1:18" ht="15" customHeight="1" x14ac:dyDescent="0.2">
      <c r="A49" s="352">
        <v>25</v>
      </c>
      <c r="B49" s="353"/>
      <c r="C49" s="354">
        <f t="shared" si="10"/>
        <v>0</v>
      </c>
      <c r="D49" s="355"/>
      <c r="E49" s="354">
        <f t="shared" si="0"/>
        <v>0</v>
      </c>
      <c r="F49" s="356"/>
      <c r="G49" s="357">
        <f t="shared" si="1"/>
        <v>50</v>
      </c>
      <c r="H49" s="358">
        <f t="shared" si="2"/>
        <v>0</v>
      </c>
      <c r="I49" s="358">
        <f t="shared" si="12"/>
        <v>0</v>
      </c>
      <c r="J49" s="358">
        <f t="shared" si="13"/>
        <v>0</v>
      </c>
      <c r="K49" s="358">
        <f t="shared" si="14"/>
        <v>0</v>
      </c>
      <c r="L49" s="358">
        <f t="shared" si="15"/>
        <v>0</v>
      </c>
      <c r="M49" s="358">
        <f t="shared" si="16"/>
        <v>0</v>
      </c>
      <c r="N49" s="358">
        <f t="shared" si="17"/>
        <v>0</v>
      </c>
      <c r="O49" s="358">
        <f t="shared" si="18"/>
        <v>0</v>
      </c>
      <c r="P49" s="359">
        <f t="shared" si="11"/>
        <v>0</v>
      </c>
      <c r="R49" s="360"/>
    </row>
    <row r="50" spans="1:18" ht="15" customHeight="1" x14ac:dyDescent="0.2">
      <c r="A50" s="352">
        <v>30</v>
      </c>
      <c r="B50" s="353"/>
      <c r="C50" s="354">
        <f t="shared" si="10"/>
        <v>0</v>
      </c>
      <c r="D50" s="355"/>
      <c r="E50" s="354">
        <f t="shared" si="0"/>
        <v>0</v>
      </c>
      <c r="F50" s="356"/>
      <c r="G50" s="357">
        <f t="shared" si="1"/>
        <v>60</v>
      </c>
      <c r="H50" s="358">
        <f t="shared" si="2"/>
        <v>0</v>
      </c>
      <c r="I50" s="358">
        <f t="shared" si="12"/>
        <v>0</v>
      </c>
      <c r="J50" s="358">
        <f t="shared" si="13"/>
        <v>0</v>
      </c>
      <c r="K50" s="358">
        <f t="shared" si="14"/>
        <v>0</v>
      </c>
      <c r="L50" s="358">
        <f t="shared" si="15"/>
        <v>0</v>
      </c>
      <c r="M50" s="358">
        <f t="shared" si="16"/>
        <v>0</v>
      </c>
      <c r="N50" s="358">
        <f t="shared" si="17"/>
        <v>0</v>
      </c>
      <c r="O50" s="358">
        <f t="shared" si="18"/>
        <v>0</v>
      </c>
      <c r="P50" s="359">
        <f t="shared" si="11"/>
        <v>0</v>
      </c>
      <c r="R50" s="360"/>
    </row>
    <row r="51" spans="1:18" ht="15" customHeight="1" x14ac:dyDescent="0.2">
      <c r="A51" s="352">
        <v>35</v>
      </c>
      <c r="B51" s="353"/>
      <c r="C51" s="354">
        <f t="shared" si="10"/>
        <v>0</v>
      </c>
      <c r="D51" s="355"/>
      <c r="E51" s="354">
        <f t="shared" si="0"/>
        <v>0</v>
      </c>
      <c r="F51" s="356"/>
      <c r="G51" s="357">
        <f t="shared" si="1"/>
        <v>70</v>
      </c>
      <c r="H51" s="358">
        <f t="shared" si="2"/>
        <v>0</v>
      </c>
      <c r="I51" s="358">
        <f t="shared" si="12"/>
        <v>0</v>
      </c>
      <c r="J51" s="358">
        <f t="shared" si="13"/>
        <v>0</v>
      </c>
      <c r="K51" s="358">
        <f t="shared" si="14"/>
        <v>0</v>
      </c>
      <c r="L51" s="358">
        <f t="shared" si="15"/>
        <v>0</v>
      </c>
      <c r="M51" s="358">
        <f t="shared" si="16"/>
        <v>0</v>
      </c>
      <c r="N51" s="358">
        <f t="shared" si="17"/>
        <v>0</v>
      </c>
      <c r="O51" s="358">
        <f t="shared" si="18"/>
        <v>0</v>
      </c>
      <c r="P51" s="359">
        <f t="shared" si="11"/>
        <v>0</v>
      </c>
      <c r="R51" s="360"/>
    </row>
    <row r="52" spans="1:18" ht="15" customHeight="1" x14ac:dyDescent="0.2">
      <c r="A52" s="352">
        <v>40</v>
      </c>
      <c r="B52" s="353"/>
      <c r="C52" s="354">
        <f t="shared" si="10"/>
        <v>0</v>
      </c>
      <c r="D52" s="355"/>
      <c r="E52" s="354">
        <f t="shared" si="0"/>
        <v>0</v>
      </c>
      <c r="F52" s="356"/>
      <c r="G52" s="357">
        <f t="shared" si="1"/>
        <v>80</v>
      </c>
      <c r="H52" s="358">
        <f t="shared" si="2"/>
        <v>0</v>
      </c>
      <c r="I52" s="358">
        <f t="shared" si="12"/>
        <v>0</v>
      </c>
      <c r="J52" s="358">
        <f t="shared" si="13"/>
        <v>0</v>
      </c>
      <c r="K52" s="358">
        <f t="shared" si="14"/>
        <v>0</v>
      </c>
      <c r="L52" s="358">
        <f t="shared" si="15"/>
        <v>0</v>
      </c>
      <c r="M52" s="358">
        <f t="shared" si="16"/>
        <v>0</v>
      </c>
      <c r="N52" s="358">
        <f t="shared" si="17"/>
        <v>0</v>
      </c>
      <c r="O52" s="358">
        <f t="shared" si="18"/>
        <v>0</v>
      </c>
      <c r="P52" s="359">
        <f t="shared" si="11"/>
        <v>0</v>
      </c>
      <c r="R52" s="360"/>
    </row>
    <row r="53" spans="1:18" ht="15" customHeight="1" x14ac:dyDescent="0.2">
      <c r="A53" s="352">
        <v>45</v>
      </c>
      <c r="B53" s="353"/>
      <c r="C53" s="354">
        <f t="shared" si="10"/>
        <v>0</v>
      </c>
      <c r="D53" s="355"/>
      <c r="E53" s="354">
        <f t="shared" si="0"/>
        <v>0</v>
      </c>
      <c r="F53" s="356"/>
      <c r="G53" s="357">
        <f t="shared" si="1"/>
        <v>90</v>
      </c>
      <c r="H53" s="358">
        <f t="shared" si="2"/>
        <v>0</v>
      </c>
      <c r="I53" s="358">
        <f t="shared" si="12"/>
        <v>0</v>
      </c>
      <c r="J53" s="358">
        <f t="shared" si="13"/>
        <v>0</v>
      </c>
      <c r="K53" s="358">
        <f t="shared" si="14"/>
        <v>0</v>
      </c>
      <c r="L53" s="358">
        <f t="shared" si="15"/>
        <v>0</v>
      </c>
      <c r="M53" s="358">
        <f t="shared" si="16"/>
        <v>0</v>
      </c>
      <c r="N53" s="358">
        <f t="shared" si="17"/>
        <v>0</v>
      </c>
      <c r="O53" s="358">
        <f t="shared" si="18"/>
        <v>0</v>
      </c>
      <c r="P53" s="359">
        <f t="shared" si="11"/>
        <v>0</v>
      </c>
      <c r="R53" s="360"/>
    </row>
    <row r="54" spans="1:18" ht="15" customHeight="1" x14ac:dyDescent="0.2">
      <c r="A54" s="352">
        <v>50</v>
      </c>
      <c r="B54" s="353"/>
      <c r="C54" s="354">
        <f t="shared" si="10"/>
        <v>0</v>
      </c>
      <c r="D54" s="355"/>
      <c r="E54" s="354">
        <f t="shared" si="0"/>
        <v>0</v>
      </c>
      <c r="F54" s="356"/>
      <c r="G54" s="357">
        <f t="shared" si="1"/>
        <v>100</v>
      </c>
      <c r="H54" s="358">
        <f t="shared" si="2"/>
        <v>0</v>
      </c>
      <c r="I54" s="358">
        <f t="shared" si="12"/>
        <v>0</v>
      </c>
      <c r="J54" s="358">
        <f t="shared" si="13"/>
        <v>0</v>
      </c>
      <c r="K54" s="358">
        <f t="shared" si="14"/>
        <v>0</v>
      </c>
      <c r="L54" s="358">
        <f t="shared" si="15"/>
        <v>0</v>
      </c>
      <c r="M54" s="358">
        <f t="shared" si="16"/>
        <v>0</v>
      </c>
      <c r="N54" s="358">
        <f t="shared" si="17"/>
        <v>0</v>
      </c>
      <c r="O54" s="358">
        <f t="shared" si="18"/>
        <v>0</v>
      </c>
      <c r="P54" s="359">
        <f t="shared" si="11"/>
        <v>0</v>
      </c>
      <c r="R54" s="360"/>
    </row>
    <row r="55" spans="1:18" ht="15" customHeight="1" x14ac:dyDescent="0.2">
      <c r="A55" s="352">
        <v>55</v>
      </c>
      <c r="B55" s="353"/>
      <c r="C55" s="354">
        <f t="shared" si="10"/>
        <v>0</v>
      </c>
      <c r="D55" s="355"/>
      <c r="E55" s="354">
        <f t="shared" si="0"/>
        <v>0</v>
      </c>
      <c r="F55" s="356"/>
      <c r="G55" s="357">
        <f t="shared" si="1"/>
        <v>110</v>
      </c>
      <c r="H55" s="358">
        <f t="shared" si="2"/>
        <v>0</v>
      </c>
      <c r="I55" s="358">
        <f t="shared" si="12"/>
        <v>0</v>
      </c>
      <c r="J55" s="358">
        <f t="shared" si="13"/>
        <v>0</v>
      </c>
      <c r="K55" s="358">
        <f t="shared" si="14"/>
        <v>0</v>
      </c>
      <c r="L55" s="358">
        <f t="shared" si="15"/>
        <v>0</v>
      </c>
      <c r="M55" s="358">
        <f t="shared" si="16"/>
        <v>0</v>
      </c>
      <c r="N55" s="358">
        <f t="shared" si="17"/>
        <v>0</v>
      </c>
      <c r="O55" s="358">
        <f t="shared" si="18"/>
        <v>0</v>
      </c>
      <c r="P55" s="359">
        <f t="shared" si="11"/>
        <v>0</v>
      </c>
      <c r="R55" s="360"/>
    </row>
    <row r="56" spans="1:18" ht="15" customHeight="1" x14ac:dyDescent="0.2">
      <c r="A56" s="352">
        <v>60</v>
      </c>
      <c r="B56" s="353"/>
      <c r="C56" s="354">
        <f t="shared" si="10"/>
        <v>0</v>
      </c>
      <c r="D56" s="355"/>
      <c r="E56" s="354">
        <f t="shared" si="0"/>
        <v>0</v>
      </c>
      <c r="F56" s="356"/>
      <c r="G56" s="357">
        <f t="shared" si="1"/>
        <v>120</v>
      </c>
      <c r="H56" s="358">
        <f t="shared" si="2"/>
        <v>0</v>
      </c>
      <c r="I56" s="358">
        <f t="shared" si="12"/>
        <v>0</v>
      </c>
      <c r="J56" s="358">
        <f t="shared" si="13"/>
        <v>0</v>
      </c>
      <c r="K56" s="358">
        <f t="shared" si="14"/>
        <v>0</v>
      </c>
      <c r="L56" s="358">
        <f t="shared" si="15"/>
        <v>0</v>
      </c>
      <c r="M56" s="358">
        <f t="shared" si="16"/>
        <v>0</v>
      </c>
      <c r="N56" s="358">
        <f t="shared" si="17"/>
        <v>0</v>
      </c>
      <c r="O56" s="358">
        <f t="shared" si="18"/>
        <v>0</v>
      </c>
      <c r="P56" s="359">
        <f t="shared" si="11"/>
        <v>0</v>
      </c>
      <c r="R56" s="360"/>
    </row>
    <row r="57" spans="1:18" ht="15" customHeight="1" x14ac:dyDescent="0.2">
      <c r="A57" s="352">
        <v>65</v>
      </c>
      <c r="B57" s="353"/>
      <c r="C57" s="354">
        <f t="shared" si="10"/>
        <v>0</v>
      </c>
      <c r="D57" s="355"/>
      <c r="E57" s="354">
        <f t="shared" si="0"/>
        <v>0</v>
      </c>
      <c r="F57" s="356"/>
      <c r="G57" s="357">
        <f t="shared" si="1"/>
        <v>130</v>
      </c>
      <c r="H57" s="358">
        <f t="shared" si="2"/>
        <v>0</v>
      </c>
      <c r="I57" s="358">
        <f t="shared" si="12"/>
        <v>0</v>
      </c>
      <c r="J57" s="358">
        <f t="shared" si="13"/>
        <v>0</v>
      </c>
      <c r="K57" s="358">
        <f t="shared" si="14"/>
        <v>0</v>
      </c>
      <c r="L57" s="358">
        <f t="shared" si="15"/>
        <v>0</v>
      </c>
      <c r="M57" s="358">
        <f t="shared" si="16"/>
        <v>0</v>
      </c>
      <c r="N57" s="358">
        <f t="shared" si="17"/>
        <v>0</v>
      </c>
      <c r="O57" s="358">
        <f t="shared" si="18"/>
        <v>0</v>
      </c>
      <c r="P57" s="359">
        <f t="shared" si="11"/>
        <v>0</v>
      </c>
      <c r="R57" s="360"/>
    </row>
    <row r="58" spans="1:18" ht="15" customHeight="1" x14ac:dyDescent="0.2">
      <c r="A58" s="352">
        <v>70</v>
      </c>
      <c r="B58" s="353"/>
      <c r="C58" s="354">
        <f t="shared" si="10"/>
        <v>0</v>
      </c>
      <c r="D58" s="355"/>
      <c r="E58" s="354">
        <f t="shared" si="0"/>
        <v>0</v>
      </c>
      <c r="F58" s="356"/>
      <c r="G58" s="357">
        <f t="shared" si="1"/>
        <v>140</v>
      </c>
      <c r="H58" s="358">
        <f t="shared" si="2"/>
        <v>0</v>
      </c>
      <c r="I58" s="358">
        <f t="shared" si="12"/>
        <v>0</v>
      </c>
      <c r="J58" s="358">
        <f t="shared" si="13"/>
        <v>0</v>
      </c>
      <c r="K58" s="358">
        <f t="shared" si="14"/>
        <v>0</v>
      </c>
      <c r="L58" s="358">
        <f t="shared" si="15"/>
        <v>0</v>
      </c>
      <c r="M58" s="358">
        <f t="shared" si="16"/>
        <v>0</v>
      </c>
      <c r="N58" s="358">
        <f t="shared" si="17"/>
        <v>0</v>
      </c>
      <c r="O58" s="358">
        <f t="shared" si="18"/>
        <v>0</v>
      </c>
      <c r="P58" s="359">
        <f t="shared" si="11"/>
        <v>0</v>
      </c>
      <c r="R58" s="360"/>
    </row>
    <row r="59" spans="1:18" ht="15" customHeight="1" x14ac:dyDescent="0.2">
      <c r="A59" s="352">
        <v>75</v>
      </c>
      <c r="B59" s="353"/>
      <c r="C59" s="354">
        <f t="shared" si="10"/>
        <v>0</v>
      </c>
      <c r="D59" s="355"/>
      <c r="E59" s="354">
        <f t="shared" si="0"/>
        <v>0</v>
      </c>
      <c r="F59" s="356"/>
      <c r="G59" s="357">
        <f t="shared" si="1"/>
        <v>150</v>
      </c>
      <c r="H59" s="358">
        <f t="shared" si="2"/>
        <v>0</v>
      </c>
      <c r="I59" s="358">
        <f t="shared" si="12"/>
        <v>0</v>
      </c>
      <c r="J59" s="358">
        <f t="shared" si="13"/>
        <v>0</v>
      </c>
      <c r="K59" s="358">
        <f t="shared" si="14"/>
        <v>0</v>
      </c>
      <c r="L59" s="358">
        <f t="shared" si="15"/>
        <v>0</v>
      </c>
      <c r="M59" s="358">
        <f t="shared" si="16"/>
        <v>0</v>
      </c>
      <c r="N59" s="358">
        <f t="shared" si="17"/>
        <v>0</v>
      </c>
      <c r="O59" s="358">
        <f t="shared" si="18"/>
        <v>0</v>
      </c>
      <c r="P59" s="359">
        <f t="shared" si="11"/>
        <v>0</v>
      </c>
      <c r="R59" s="360"/>
    </row>
    <row r="60" spans="1:18" ht="15" customHeight="1" x14ac:dyDescent="0.2">
      <c r="A60" s="352">
        <v>80</v>
      </c>
      <c r="B60" s="353"/>
      <c r="C60" s="354">
        <f t="shared" si="10"/>
        <v>0</v>
      </c>
      <c r="D60" s="355"/>
      <c r="E60" s="354">
        <f t="shared" si="0"/>
        <v>0</v>
      </c>
      <c r="F60" s="356"/>
      <c r="G60" s="357">
        <f t="shared" si="1"/>
        <v>160</v>
      </c>
      <c r="H60" s="358">
        <f t="shared" si="2"/>
        <v>0</v>
      </c>
      <c r="I60" s="358">
        <f t="shared" si="12"/>
        <v>0</v>
      </c>
      <c r="J60" s="358">
        <f t="shared" si="13"/>
        <v>0</v>
      </c>
      <c r="K60" s="358">
        <f t="shared" si="14"/>
        <v>0</v>
      </c>
      <c r="L60" s="358">
        <f t="shared" si="15"/>
        <v>0</v>
      </c>
      <c r="M60" s="358">
        <f t="shared" si="16"/>
        <v>0</v>
      </c>
      <c r="N60" s="358">
        <f t="shared" si="17"/>
        <v>0</v>
      </c>
      <c r="O60" s="358">
        <f t="shared" si="18"/>
        <v>0</v>
      </c>
      <c r="P60" s="359">
        <f t="shared" si="11"/>
        <v>0</v>
      </c>
      <c r="R60" s="360"/>
    </row>
    <row r="61" spans="1:18" ht="15" customHeight="1" x14ac:dyDescent="0.2">
      <c r="A61" s="352">
        <v>85</v>
      </c>
      <c r="B61" s="353"/>
      <c r="C61" s="354">
        <f t="shared" si="10"/>
        <v>0</v>
      </c>
      <c r="D61" s="355"/>
      <c r="E61" s="354">
        <f t="shared" si="0"/>
        <v>0</v>
      </c>
      <c r="F61" s="356"/>
      <c r="G61" s="357">
        <f t="shared" si="1"/>
        <v>170</v>
      </c>
      <c r="H61" s="358">
        <f t="shared" si="2"/>
        <v>0</v>
      </c>
      <c r="I61" s="358">
        <f t="shared" si="12"/>
        <v>0</v>
      </c>
      <c r="J61" s="358">
        <f t="shared" si="13"/>
        <v>0</v>
      </c>
      <c r="K61" s="358">
        <f t="shared" si="14"/>
        <v>0</v>
      </c>
      <c r="L61" s="358">
        <f t="shared" si="15"/>
        <v>0</v>
      </c>
      <c r="M61" s="358">
        <f t="shared" si="16"/>
        <v>0</v>
      </c>
      <c r="N61" s="358">
        <f t="shared" si="17"/>
        <v>0</v>
      </c>
      <c r="O61" s="358">
        <f t="shared" si="18"/>
        <v>0</v>
      </c>
      <c r="P61" s="359">
        <f t="shared" si="11"/>
        <v>0</v>
      </c>
      <c r="R61" s="360"/>
    </row>
    <row r="62" spans="1:18" ht="15" customHeight="1" x14ac:dyDescent="0.2">
      <c r="A62" s="352">
        <v>90</v>
      </c>
      <c r="B62" s="353"/>
      <c r="C62" s="354">
        <f t="shared" si="10"/>
        <v>0</v>
      </c>
      <c r="D62" s="355"/>
      <c r="E62" s="354">
        <f t="shared" si="0"/>
        <v>0</v>
      </c>
      <c r="F62" s="356"/>
      <c r="G62" s="357">
        <f t="shared" si="1"/>
        <v>180</v>
      </c>
      <c r="H62" s="358">
        <f t="shared" si="2"/>
        <v>0</v>
      </c>
      <c r="I62" s="358">
        <f t="shared" si="12"/>
        <v>0</v>
      </c>
      <c r="J62" s="358">
        <f t="shared" si="13"/>
        <v>0</v>
      </c>
      <c r="K62" s="358">
        <f t="shared" si="14"/>
        <v>0</v>
      </c>
      <c r="L62" s="358">
        <f t="shared" si="15"/>
        <v>0</v>
      </c>
      <c r="M62" s="358">
        <f t="shared" si="16"/>
        <v>0</v>
      </c>
      <c r="N62" s="358">
        <f t="shared" si="17"/>
        <v>0</v>
      </c>
      <c r="O62" s="358">
        <f t="shared" si="18"/>
        <v>0</v>
      </c>
      <c r="P62" s="359">
        <f t="shared" si="11"/>
        <v>0</v>
      </c>
      <c r="R62" s="360"/>
    </row>
    <row r="63" spans="1:18" ht="15" customHeight="1" x14ac:dyDescent="0.2">
      <c r="A63" s="352">
        <v>95</v>
      </c>
      <c r="B63" s="353"/>
      <c r="C63" s="354">
        <f t="shared" si="10"/>
        <v>0</v>
      </c>
      <c r="D63" s="355"/>
      <c r="E63" s="354">
        <f t="shared" si="0"/>
        <v>0</v>
      </c>
      <c r="F63" s="356"/>
      <c r="G63" s="357">
        <f t="shared" si="1"/>
        <v>190</v>
      </c>
      <c r="H63" s="358">
        <f t="shared" si="2"/>
        <v>0</v>
      </c>
      <c r="I63" s="358">
        <f t="shared" si="12"/>
        <v>0</v>
      </c>
      <c r="J63" s="358">
        <f t="shared" si="13"/>
        <v>0</v>
      </c>
      <c r="K63" s="358">
        <f t="shared" si="14"/>
        <v>0</v>
      </c>
      <c r="L63" s="358">
        <f t="shared" si="15"/>
        <v>0</v>
      </c>
      <c r="M63" s="358">
        <f t="shared" si="16"/>
        <v>0</v>
      </c>
      <c r="N63" s="358">
        <f t="shared" si="17"/>
        <v>0</v>
      </c>
      <c r="O63" s="358">
        <f t="shared" si="18"/>
        <v>0</v>
      </c>
      <c r="P63" s="359">
        <f t="shared" si="11"/>
        <v>0</v>
      </c>
      <c r="R63" s="360"/>
    </row>
    <row r="64" spans="1:18" ht="15" customHeight="1" x14ac:dyDescent="0.2">
      <c r="A64" s="352">
        <v>100</v>
      </c>
      <c r="B64" s="353"/>
      <c r="C64" s="354">
        <f t="shared" si="10"/>
        <v>0</v>
      </c>
      <c r="D64" s="355"/>
      <c r="E64" s="354">
        <f t="shared" si="0"/>
        <v>0</v>
      </c>
      <c r="F64" s="356"/>
      <c r="G64" s="357">
        <f t="shared" si="1"/>
        <v>200</v>
      </c>
      <c r="H64" s="358">
        <f t="shared" si="2"/>
        <v>0</v>
      </c>
      <c r="I64" s="358">
        <f t="shared" si="12"/>
        <v>0</v>
      </c>
      <c r="J64" s="358">
        <f t="shared" si="13"/>
        <v>0</v>
      </c>
      <c r="K64" s="358">
        <f t="shared" si="14"/>
        <v>0</v>
      </c>
      <c r="L64" s="358">
        <f t="shared" si="15"/>
        <v>0</v>
      </c>
      <c r="M64" s="358">
        <f t="shared" si="16"/>
        <v>0</v>
      </c>
      <c r="N64" s="358">
        <f t="shared" si="17"/>
        <v>0</v>
      </c>
      <c r="O64" s="358">
        <f t="shared" si="18"/>
        <v>0</v>
      </c>
      <c r="P64" s="359">
        <f t="shared" si="11"/>
        <v>0</v>
      </c>
      <c r="R64" s="360"/>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&amp;C&amp;G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30" customWidth="1"/>
    <col min="2" max="4" width="10.7109375" style="330" customWidth="1"/>
    <col min="5" max="5" width="13.85546875" style="330" bestFit="1" customWidth="1"/>
    <col min="6" max="6" width="10.7109375" style="330" customWidth="1"/>
    <col min="7" max="7" width="9.42578125" style="330" customWidth="1"/>
    <col min="8" max="8" width="10.5703125" style="330" customWidth="1"/>
    <col min="9" max="9" width="13.7109375" style="330" customWidth="1"/>
    <col min="10" max="11" width="10.42578125" style="330" customWidth="1"/>
    <col min="12" max="12" width="10.28515625" style="330" customWidth="1"/>
    <col min="13" max="13" width="9.42578125" style="330" customWidth="1"/>
    <col min="14" max="14" width="8.7109375" style="330" customWidth="1"/>
    <col min="15" max="15" width="13.28515625" style="330" bestFit="1" customWidth="1"/>
    <col min="16" max="16" width="10.28515625" style="330" customWidth="1"/>
    <col min="17" max="256" width="11.42578125" style="330"/>
    <col min="257" max="257" width="7" style="330" customWidth="1"/>
    <col min="258" max="258" width="10.7109375" style="330" customWidth="1"/>
    <col min="259" max="259" width="10.5703125" style="330" customWidth="1"/>
    <col min="260" max="260" width="10.7109375" style="330" customWidth="1"/>
    <col min="261" max="261" width="10.28515625" style="330" customWidth="1"/>
    <col min="262" max="262" width="10.7109375" style="330" customWidth="1"/>
    <col min="263" max="263" width="9.42578125" style="330" customWidth="1"/>
    <col min="264" max="264" width="10.5703125" style="330" customWidth="1"/>
    <col min="265" max="265" width="13.7109375" style="330" customWidth="1"/>
    <col min="266" max="267" width="10.42578125" style="330" customWidth="1"/>
    <col min="268" max="268" width="10.28515625" style="330" customWidth="1"/>
    <col min="269" max="269" width="9.42578125" style="330" customWidth="1"/>
    <col min="270" max="270" width="8.7109375" style="330" customWidth="1"/>
    <col min="271" max="271" width="10.42578125" style="330" customWidth="1"/>
    <col min="272" max="272" width="10.28515625" style="330" customWidth="1"/>
    <col min="273" max="512" width="11.42578125" style="330"/>
    <col min="513" max="513" width="7" style="330" customWidth="1"/>
    <col min="514" max="514" width="10.7109375" style="330" customWidth="1"/>
    <col min="515" max="515" width="10.5703125" style="330" customWidth="1"/>
    <col min="516" max="516" width="10.7109375" style="330" customWidth="1"/>
    <col min="517" max="517" width="10.28515625" style="330" customWidth="1"/>
    <col min="518" max="518" width="10.7109375" style="330" customWidth="1"/>
    <col min="519" max="519" width="9.42578125" style="330" customWidth="1"/>
    <col min="520" max="520" width="10.5703125" style="330" customWidth="1"/>
    <col min="521" max="521" width="13.7109375" style="330" customWidth="1"/>
    <col min="522" max="523" width="10.42578125" style="330" customWidth="1"/>
    <col min="524" max="524" width="10.28515625" style="330" customWidth="1"/>
    <col min="525" max="525" width="9.42578125" style="330" customWidth="1"/>
    <col min="526" max="526" width="8.7109375" style="330" customWidth="1"/>
    <col min="527" max="527" width="10.42578125" style="330" customWidth="1"/>
    <col min="528" max="528" width="10.28515625" style="330" customWidth="1"/>
    <col min="529" max="768" width="11.42578125" style="330"/>
    <col min="769" max="769" width="7" style="330" customWidth="1"/>
    <col min="770" max="770" width="10.7109375" style="330" customWidth="1"/>
    <col min="771" max="771" width="10.5703125" style="330" customWidth="1"/>
    <col min="772" max="772" width="10.7109375" style="330" customWidth="1"/>
    <col min="773" max="773" width="10.28515625" style="330" customWidth="1"/>
    <col min="774" max="774" width="10.7109375" style="330" customWidth="1"/>
    <col min="775" max="775" width="9.42578125" style="330" customWidth="1"/>
    <col min="776" max="776" width="10.5703125" style="330" customWidth="1"/>
    <col min="777" max="777" width="13.7109375" style="330" customWidth="1"/>
    <col min="778" max="779" width="10.42578125" style="330" customWidth="1"/>
    <col min="780" max="780" width="10.28515625" style="330" customWidth="1"/>
    <col min="781" max="781" width="9.42578125" style="330" customWidth="1"/>
    <col min="782" max="782" width="8.7109375" style="330" customWidth="1"/>
    <col min="783" max="783" width="10.42578125" style="330" customWidth="1"/>
    <col min="784" max="784" width="10.28515625" style="330" customWidth="1"/>
    <col min="785" max="1024" width="11.42578125" style="330"/>
    <col min="1025" max="1025" width="7" style="330" customWidth="1"/>
    <col min="1026" max="1026" width="10.7109375" style="330" customWidth="1"/>
    <col min="1027" max="1027" width="10.5703125" style="330" customWidth="1"/>
    <col min="1028" max="1028" width="10.7109375" style="330" customWidth="1"/>
    <col min="1029" max="1029" width="10.28515625" style="330" customWidth="1"/>
    <col min="1030" max="1030" width="10.7109375" style="330" customWidth="1"/>
    <col min="1031" max="1031" width="9.42578125" style="330" customWidth="1"/>
    <col min="1032" max="1032" width="10.5703125" style="330" customWidth="1"/>
    <col min="1033" max="1033" width="13.7109375" style="330" customWidth="1"/>
    <col min="1034" max="1035" width="10.42578125" style="330" customWidth="1"/>
    <col min="1036" max="1036" width="10.28515625" style="330" customWidth="1"/>
    <col min="1037" max="1037" width="9.42578125" style="330" customWidth="1"/>
    <col min="1038" max="1038" width="8.7109375" style="330" customWidth="1"/>
    <col min="1039" max="1039" width="10.42578125" style="330" customWidth="1"/>
    <col min="1040" max="1040" width="10.28515625" style="330" customWidth="1"/>
    <col min="1041" max="1280" width="11.42578125" style="330"/>
    <col min="1281" max="1281" width="7" style="330" customWidth="1"/>
    <col min="1282" max="1282" width="10.7109375" style="330" customWidth="1"/>
    <col min="1283" max="1283" width="10.5703125" style="330" customWidth="1"/>
    <col min="1284" max="1284" width="10.7109375" style="330" customWidth="1"/>
    <col min="1285" max="1285" width="10.28515625" style="330" customWidth="1"/>
    <col min="1286" max="1286" width="10.7109375" style="330" customWidth="1"/>
    <col min="1287" max="1287" width="9.42578125" style="330" customWidth="1"/>
    <col min="1288" max="1288" width="10.5703125" style="330" customWidth="1"/>
    <col min="1289" max="1289" width="13.7109375" style="330" customWidth="1"/>
    <col min="1290" max="1291" width="10.42578125" style="330" customWidth="1"/>
    <col min="1292" max="1292" width="10.28515625" style="330" customWidth="1"/>
    <col min="1293" max="1293" width="9.42578125" style="330" customWidth="1"/>
    <col min="1294" max="1294" width="8.7109375" style="330" customWidth="1"/>
    <col min="1295" max="1295" width="10.42578125" style="330" customWidth="1"/>
    <col min="1296" max="1296" width="10.28515625" style="330" customWidth="1"/>
    <col min="1297" max="1536" width="11.42578125" style="330"/>
    <col min="1537" max="1537" width="7" style="330" customWidth="1"/>
    <col min="1538" max="1538" width="10.7109375" style="330" customWidth="1"/>
    <col min="1539" max="1539" width="10.5703125" style="330" customWidth="1"/>
    <col min="1540" max="1540" width="10.7109375" style="330" customWidth="1"/>
    <col min="1541" max="1541" width="10.28515625" style="330" customWidth="1"/>
    <col min="1542" max="1542" width="10.7109375" style="330" customWidth="1"/>
    <col min="1543" max="1543" width="9.42578125" style="330" customWidth="1"/>
    <col min="1544" max="1544" width="10.5703125" style="330" customWidth="1"/>
    <col min="1545" max="1545" width="13.7109375" style="330" customWidth="1"/>
    <col min="1546" max="1547" width="10.42578125" style="330" customWidth="1"/>
    <col min="1548" max="1548" width="10.28515625" style="330" customWidth="1"/>
    <col min="1549" max="1549" width="9.42578125" style="330" customWidth="1"/>
    <col min="1550" max="1550" width="8.7109375" style="330" customWidth="1"/>
    <col min="1551" max="1551" width="10.42578125" style="330" customWidth="1"/>
    <col min="1552" max="1552" width="10.28515625" style="330" customWidth="1"/>
    <col min="1553" max="1792" width="11.42578125" style="330"/>
    <col min="1793" max="1793" width="7" style="330" customWidth="1"/>
    <col min="1794" max="1794" width="10.7109375" style="330" customWidth="1"/>
    <col min="1795" max="1795" width="10.5703125" style="330" customWidth="1"/>
    <col min="1796" max="1796" width="10.7109375" style="330" customWidth="1"/>
    <col min="1797" max="1797" width="10.28515625" style="330" customWidth="1"/>
    <col min="1798" max="1798" width="10.7109375" style="330" customWidth="1"/>
    <col min="1799" max="1799" width="9.42578125" style="330" customWidth="1"/>
    <col min="1800" max="1800" width="10.5703125" style="330" customWidth="1"/>
    <col min="1801" max="1801" width="13.7109375" style="330" customWidth="1"/>
    <col min="1802" max="1803" width="10.42578125" style="330" customWidth="1"/>
    <col min="1804" max="1804" width="10.28515625" style="330" customWidth="1"/>
    <col min="1805" max="1805" width="9.42578125" style="330" customWidth="1"/>
    <col min="1806" max="1806" width="8.7109375" style="330" customWidth="1"/>
    <col min="1807" max="1807" width="10.42578125" style="330" customWidth="1"/>
    <col min="1808" max="1808" width="10.28515625" style="330" customWidth="1"/>
    <col min="1809" max="2048" width="11.42578125" style="330"/>
    <col min="2049" max="2049" width="7" style="330" customWidth="1"/>
    <col min="2050" max="2050" width="10.7109375" style="330" customWidth="1"/>
    <col min="2051" max="2051" width="10.5703125" style="330" customWidth="1"/>
    <col min="2052" max="2052" width="10.7109375" style="330" customWidth="1"/>
    <col min="2053" max="2053" width="10.28515625" style="330" customWidth="1"/>
    <col min="2054" max="2054" width="10.7109375" style="330" customWidth="1"/>
    <col min="2055" max="2055" width="9.42578125" style="330" customWidth="1"/>
    <col min="2056" max="2056" width="10.5703125" style="330" customWidth="1"/>
    <col min="2057" max="2057" width="13.7109375" style="330" customWidth="1"/>
    <col min="2058" max="2059" width="10.42578125" style="330" customWidth="1"/>
    <col min="2060" max="2060" width="10.28515625" style="330" customWidth="1"/>
    <col min="2061" max="2061" width="9.42578125" style="330" customWidth="1"/>
    <col min="2062" max="2062" width="8.7109375" style="330" customWidth="1"/>
    <col min="2063" max="2063" width="10.42578125" style="330" customWidth="1"/>
    <col min="2064" max="2064" width="10.28515625" style="330" customWidth="1"/>
    <col min="2065" max="2304" width="11.42578125" style="330"/>
    <col min="2305" max="2305" width="7" style="330" customWidth="1"/>
    <col min="2306" max="2306" width="10.7109375" style="330" customWidth="1"/>
    <col min="2307" max="2307" width="10.5703125" style="330" customWidth="1"/>
    <col min="2308" max="2308" width="10.7109375" style="330" customWidth="1"/>
    <col min="2309" max="2309" width="10.28515625" style="330" customWidth="1"/>
    <col min="2310" max="2310" width="10.7109375" style="330" customWidth="1"/>
    <col min="2311" max="2311" width="9.42578125" style="330" customWidth="1"/>
    <col min="2312" max="2312" width="10.5703125" style="330" customWidth="1"/>
    <col min="2313" max="2313" width="13.7109375" style="330" customWidth="1"/>
    <col min="2314" max="2315" width="10.42578125" style="330" customWidth="1"/>
    <col min="2316" max="2316" width="10.28515625" style="330" customWidth="1"/>
    <col min="2317" max="2317" width="9.42578125" style="330" customWidth="1"/>
    <col min="2318" max="2318" width="8.7109375" style="330" customWidth="1"/>
    <col min="2319" max="2319" width="10.42578125" style="330" customWidth="1"/>
    <col min="2320" max="2320" width="10.28515625" style="330" customWidth="1"/>
    <col min="2321" max="2560" width="11.42578125" style="330"/>
    <col min="2561" max="2561" width="7" style="330" customWidth="1"/>
    <col min="2562" max="2562" width="10.7109375" style="330" customWidth="1"/>
    <col min="2563" max="2563" width="10.5703125" style="330" customWidth="1"/>
    <col min="2564" max="2564" width="10.7109375" style="330" customWidth="1"/>
    <col min="2565" max="2565" width="10.28515625" style="330" customWidth="1"/>
    <col min="2566" max="2566" width="10.7109375" style="330" customWidth="1"/>
    <col min="2567" max="2567" width="9.42578125" style="330" customWidth="1"/>
    <col min="2568" max="2568" width="10.5703125" style="330" customWidth="1"/>
    <col min="2569" max="2569" width="13.7109375" style="330" customWidth="1"/>
    <col min="2570" max="2571" width="10.42578125" style="330" customWidth="1"/>
    <col min="2572" max="2572" width="10.28515625" style="330" customWidth="1"/>
    <col min="2573" max="2573" width="9.42578125" style="330" customWidth="1"/>
    <col min="2574" max="2574" width="8.7109375" style="330" customWidth="1"/>
    <col min="2575" max="2575" width="10.42578125" style="330" customWidth="1"/>
    <col min="2576" max="2576" width="10.28515625" style="330" customWidth="1"/>
    <col min="2577" max="2816" width="11.42578125" style="330"/>
    <col min="2817" max="2817" width="7" style="330" customWidth="1"/>
    <col min="2818" max="2818" width="10.7109375" style="330" customWidth="1"/>
    <col min="2819" max="2819" width="10.5703125" style="330" customWidth="1"/>
    <col min="2820" max="2820" width="10.7109375" style="330" customWidth="1"/>
    <col min="2821" max="2821" width="10.28515625" style="330" customWidth="1"/>
    <col min="2822" max="2822" width="10.7109375" style="330" customWidth="1"/>
    <col min="2823" max="2823" width="9.42578125" style="330" customWidth="1"/>
    <col min="2824" max="2824" width="10.5703125" style="330" customWidth="1"/>
    <col min="2825" max="2825" width="13.7109375" style="330" customWidth="1"/>
    <col min="2826" max="2827" width="10.42578125" style="330" customWidth="1"/>
    <col min="2828" max="2828" width="10.28515625" style="330" customWidth="1"/>
    <col min="2829" max="2829" width="9.42578125" style="330" customWidth="1"/>
    <col min="2830" max="2830" width="8.7109375" style="330" customWidth="1"/>
    <col min="2831" max="2831" width="10.42578125" style="330" customWidth="1"/>
    <col min="2832" max="2832" width="10.28515625" style="330" customWidth="1"/>
    <col min="2833" max="3072" width="11.42578125" style="330"/>
    <col min="3073" max="3073" width="7" style="330" customWidth="1"/>
    <col min="3074" max="3074" width="10.7109375" style="330" customWidth="1"/>
    <col min="3075" max="3075" width="10.5703125" style="330" customWidth="1"/>
    <col min="3076" max="3076" width="10.7109375" style="330" customWidth="1"/>
    <col min="3077" max="3077" width="10.28515625" style="330" customWidth="1"/>
    <col min="3078" max="3078" width="10.7109375" style="330" customWidth="1"/>
    <col min="3079" max="3079" width="9.42578125" style="330" customWidth="1"/>
    <col min="3080" max="3080" width="10.5703125" style="330" customWidth="1"/>
    <col min="3081" max="3081" width="13.7109375" style="330" customWidth="1"/>
    <col min="3082" max="3083" width="10.42578125" style="330" customWidth="1"/>
    <col min="3084" max="3084" width="10.28515625" style="330" customWidth="1"/>
    <col min="3085" max="3085" width="9.42578125" style="330" customWidth="1"/>
    <col min="3086" max="3086" width="8.7109375" style="330" customWidth="1"/>
    <col min="3087" max="3087" width="10.42578125" style="330" customWidth="1"/>
    <col min="3088" max="3088" width="10.28515625" style="330" customWidth="1"/>
    <col min="3089" max="3328" width="11.42578125" style="330"/>
    <col min="3329" max="3329" width="7" style="330" customWidth="1"/>
    <col min="3330" max="3330" width="10.7109375" style="330" customWidth="1"/>
    <col min="3331" max="3331" width="10.5703125" style="330" customWidth="1"/>
    <col min="3332" max="3332" width="10.7109375" style="330" customWidth="1"/>
    <col min="3333" max="3333" width="10.28515625" style="330" customWidth="1"/>
    <col min="3334" max="3334" width="10.7109375" style="330" customWidth="1"/>
    <col min="3335" max="3335" width="9.42578125" style="330" customWidth="1"/>
    <col min="3336" max="3336" width="10.5703125" style="330" customWidth="1"/>
    <col min="3337" max="3337" width="13.7109375" style="330" customWidth="1"/>
    <col min="3338" max="3339" width="10.42578125" style="330" customWidth="1"/>
    <col min="3340" max="3340" width="10.28515625" style="330" customWidth="1"/>
    <col min="3341" max="3341" width="9.42578125" style="330" customWidth="1"/>
    <col min="3342" max="3342" width="8.7109375" style="330" customWidth="1"/>
    <col min="3343" max="3343" width="10.42578125" style="330" customWidth="1"/>
    <col min="3344" max="3344" width="10.28515625" style="330" customWidth="1"/>
    <col min="3345" max="3584" width="11.42578125" style="330"/>
    <col min="3585" max="3585" width="7" style="330" customWidth="1"/>
    <col min="3586" max="3586" width="10.7109375" style="330" customWidth="1"/>
    <col min="3587" max="3587" width="10.5703125" style="330" customWidth="1"/>
    <col min="3588" max="3588" width="10.7109375" style="330" customWidth="1"/>
    <col min="3589" max="3589" width="10.28515625" style="330" customWidth="1"/>
    <col min="3590" max="3590" width="10.7109375" style="330" customWidth="1"/>
    <col min="3591" max="3591" width="9.42578125" style="330" customWidth="1"/>
    <col min="3592" max="3592" width="10.5703125" style="330" customWidth="1"/>
    <col min="3593" max="3593" width="13.7109375" style="330" customWidth="1"/>
    <col min="3594" max="3595" width="10.42578125" style="330" customWidth="1"/>
    <col min="3596" max="3596" width="10.28515625" style="330" customWidth="1"/>
    <col min="3597" max="3597" width="9.42578125" style="330" customWidth="1"/>
    <col min="3598" max="3598" width="8.7109375" style="330" customWidth="1"/>
    <col min="3599" max="3599" width="10.42578125" style="330" customWidth="1"/>
    <col min="3600" max="3600" width="10.28515625" style="330" customWidth="1"/>
    <col min="3601" max="3840" width="11.42578125" style="330"/>
    <col min="3841" max="3841" width="7" style="330" customWidth="1"/>
    <col min="3842" max="3842" width="10.7109375" style="330" customWidth="1"/>
    <col min="3843" max="3843" width="10.5703125" style="330" customWidth="1"/>
    <col min="3844" max="3844" width="10.7109375" style="330" customWidth="1"/>
    <col min="3845" max="3845" width="10.28515625" style="330" customWidth="1"/>
    <col min="3846" max="3846" width="10.7109375" style="330" customWidth="1"/>
    <col min="3847" max="3847" width="9.42578125" style="330" customWidth="1"/>
    <col min="3848" max="3848" width="10.5703125" style="330" customWidth="1"/>
    <col min="3849" max="3849" width="13.7109375" style="330" customWidth="1"/>
    <col min="3850" max="3851" width="10.42578125" style="330" customWidth="1"/>
    <col min="3852" max="3852" width="10.28515625" style="330" customWidth="1"/>
    <col min="3853" max="3853" width="9.42578125" style="330" customWidth="1"/>
    <col min="3854" max="3854" width="8.7109375" style="330" customWidth="1"/>
    <col min="3855" max="3855" width="10.42578125" style="330" customWidth="1"/>
    <col min="3856" max="3856" width="10.28515625" style="330" customWidth="1"/>
    <col min="3857" max="4096" width="11.42578125" style="330"/>
    <col min="4097" max="4097" width="7" style="330" customWidth="1"/>
    <col min="4098" max="4098" width="10.7109375" style="330" customWidth="1"/>
    <col min="4099" max="4099" width="10.5703125" style="330" customWidth="1"/>
    <col min="4100" max="4100" width="10.7109375" style="330" customWidth="1"/>
    <col min="4101" max="4101" width="10.28515625" style="330" customWidth="1"/>
    <col min="4102" max="4102" width="10.7109375" style="330" customWidth="1"/>
    <col min="4103" max="4103" width="9.42578125" style="330" customWidth="1"/>
    <col min="4104" max="4104" width="10.5703125" style="330" customWidth="1"/>
    <col min="4105" max="4105" width="13.7109375" style="330" customWidth="1"/>
    <col min="4106" max="4107" width="10.42578125" style="330" customWidth="1"/>
    <col min="4108" max="4108" width="10.28515625" style="330" customWidth="1"/>
    <col min="4109" max="4109" width="9.42578125" style="330" customWidth="1"/>
    <col min="4110" max="4110" width="8.7109375" style="330" customWidth="1"/>
    <col min="4111" max="4111" width="10.42578125" style="330" customWidth="1"/>
    <col min="4112" max="4112" width="10.28515625" style="330" customWidth="1"/>
    <col min="4113" max="4352" width="11.42578125" style="330"/>
    <col min="4353" max="4353" width="7" style="330" customWidth="1"/>
    <col min="4354" max="4354" width="10.7109375" style="330" customWidth="1"/>
    <col min="4355" max="4355" width="10.5703125" style="330" customWidth="1"/>
    <col min="4356" max="4356" width="10.7109375" style="330" customWidth="1"/>
    <col min="4357" max="4357" width="10.28515625" style="330" customWidth="1"/>
    <col min="4358" max="4358" width="10.7109375" style="330" customWidth="1"/>
    <col min="4359" max="4359" width="9.42578125" style="330" customWidth="1"/>
    <col min="4360" max="4360" width="10.5703125" style="330" customWidth="1"/>
    <col min="4361" max="4361" width="13.7109375" style="330" customWidth="1"/>
    <col min="4362" max="4363" width="10.42578125" style="330" customWidth="1"/>
    <col min="4364" max="4364" width="10.28515625" style="330" customWidth="1"/>
    <col min="4365" max="4365" width="9.42578125" style="330" customWidth="1"/>
    <col min="4366" max="4366" width="8.7109375" style="330" customWidth="1"/>
    <col min="4367" max="4367" width="10.42578125" style="330" customWidth="1"/>
    <col min="4368" max="4368" width="10.28515625" style="330" customWidth="1"/>
    <col min="4369" max="4608" width="11.42578125" style="330"/>
    <col min="4609" max="4609" width="7" style="330" customWidth="1"/>
    <col min="4610" max="4610" width="10.7109375" style="330" customWidth="1"/>
    <col min="4611" max="4611" width="10.5703125" style="330" customWidth="1"/>
    <col min="4612" max="4612" width="10.7109375" style="330" customWidth="1"/>
    <col min="4613" max="4613" width="10.28515625" style="330" customWidth="1"/>
    <col min="4614" max="4614" width="10.7109375" style="330" customWidth="1"/>
    <col min="4615" max="4615" width="9.42578125" style="330" customWidth="1"/>
    <col min="4616" max="4616" width="10.5703125" style="330" customWidth="1"/>
    <col min="4617" max="4617" width="13.7109375" style="330" customWidth="1"/>
    <col min="4618" max="4619" width="10.42578125" style="330" customWidth="1"/>
    <col min="4620" max="4620" width="10.28515625" style="330" customWidth="1"/>
    <col min="4621" max="4621" width="9.42578125" style="330" customWidth="1"/>
    <col min="4622" max="4622" width="8.7109375" style="330" customWidth="1"/>
    <col min="4623" max="4623" width="10.42578125" style="330" customWidth="1"/>
    <col min="4624" max="4624" width="10.28515625" style="330" customWidth="1"/>
    <col min="4625" max="4864" width="11.42578125" style="330"/>
    <col min="4865" max="4865" width="7" style="330" customWidth="1"/>
    <col min="4866" max="4866" width="10.7109375" style="330" customWidth="1"/>
    <col min="4867" max="4867" width="10.5703125" style="330" customWidth="1"/>
    <col min="4868" max="4868" width="10.7109375" style="330" customWidth="1"/>
    <col min="4869" max="4869" width="10.28515625" style="330" customWidth="1"/>
    <col min="4870" max="4870" width="10.7109375" style="330" customWidth="1"/>
    <col min="4871" max="4871" width="9.42578125" style="330" customWidth="1"/>
    <col min="4872" max="4872" width="10.5703125" style="330" customWidth="1"/>
    <col min="4873" max="4873" width="13.7109375" style="330" customWidth="1"/>
    <col min="4874" max="4875" width="10.42578125" style="330" customWidth="1"/>
    <col min="4876" max="4876" width="10.28515625" style="330" customWidth="1"/>
    <col min="4877" max="4877" width="9.42578125" style="330" customWidth="1"/>
    <col min="4878" max="4878" width="8.7109375" style="330" customWidth="1"/>
    <col min="4879" max="4879" width="10.42578125" style="330" customWidth="1"/>
    <col min="4880" max="4880" width="10.28515625" style="330" customWidth="1"/>
    <col min="4881" max="5120" width="11.42578125" style="330"/>
    <col min="5121" max="5121" width="7" style="330" customWidth="1"/>
    <col min="5122" max="5122" width="10.7109375" style="330" customWidth="1"/>
    <col min="5123" max="5123" width="10.5703125" style="330" customWidth="1"/>
    <col min="5124" max="5124" width="10.7109375" style="330" customWidth="1"/>
    <col min="5125" max="5125" width="10.28515625" style="330" customWidth="1"/>
    <col min="5126" max="5126" width="10.7109375" style="330" customWidth="1"/>
    <col min="5127" max="5127" width="9.42578125" style="330" customWidth="1"/>
    <col min="5128" max="5128" width="10.5703125" style="330" customWidth="1"/>
    <col min="5129" max="5129" width="13.7109375" style="330" customWidth="1"/>
    <col min="5130" max="5131" width="10.42578125" style="330" customWidth="1"/>
    <col min="5132" max="5132" width="10.28515625" style="330" customWidth="1"/>
    <col min="5133" max="5133" width="9.42578125" style="330" customWidth="1"/>
    <col min="5134" max="5134" width="8.7109375" style="330" customWidth="1"/>
    <col min="5135" max="5135" width="10.42578125" style="330" customWidth="1"/>
    <col min="5136" max="5136" width="10.28515625" style="330" customWidth="1"/>
    <col min="5137" max="5376" width="11.42578125" style="330"/>
    <col min="5377" max="5377" width="7" style="330" customWidth="1"/>
    <col min="5378" max="5378" width="10.7109375" style="330" customWidth="1"/>
    <col min="5379" max="5379" width="10.5703125" style="330" customWidth="1"/>
    <col min="5380" max="5380" width="10.7109375" style="330" customWidth="1"/>
    <col min="5381" max="5381" width="10.28515625" style="330" customWidth="1"/>
    <col min="5382" max="5382" width="10.7109375" style="330" customWidth="1"/>
    <col min="5383" max="5383" width="9.42578125" style="330" customWidth="1"/>
    <col min="5384" max="5384" width="10.5703125" style="330" customWidth="1"/>
    <col min="5385" max="5385" width="13.7109375" style="330" customWidth="1"/>
    <col min="5386" max="5387" width="10.42578125" style="330" customWidth="1"/>
    <col min="5388" max="5388" width="10.28515625" style="330" customWidth="1"/>
    <col min="5389" max="5389" width="9.42578125" style="330" customWidth="1"/>
    <col min="5390" max="5390" width="8.7109375" style="330" customWidth="1"/>
    <col min="5391" max="5391" width="10.42578125" style="330" customWidth="1"/>
    <col min="5392" max="5392" width="10.28515625" style="330" customWidth="1"/>
    <col min="5393" max="5632" width="11.42578125" style="330"/>
    <col min="5633" max="5633" width="7" style="330" customWidth="1"/>
    <col min="5634" max="5634" width="10.7109375" style="330" customWidth="1"/>
    <col min="5635" max="5635" width="10.5703125" style="330" customWidth="1"/>
    <col min="5636" max="5636" width="10.7109375" style="330" customWidth="1"/>
    <col min="5637" max="5637" width="10.28515625" style="330" customWidth="1"/>
    <col min="5638" max="5638" width="10.7109375" style="330" customWidth="1"/>
    <col min="5639" max="5639" width="9.42578125" style="330" customWidth="1"/>
    <col min="5640" max="5640" width="10.5703125" style="330" customWidth="1"/>
    <col min="5641" max="5641" width="13.7109375" style="330" customWidth="1"/>
    <col min="5642" max="5643" width="10.42578125" style="330" customWidth="1"/>
    <col min="5644" max="5644" width="10.28515625" style="330" customWidth="1"/>
    <col min="5645" max="5645" width="9.42578125" style="330" customWidth="1"/>
    <col min="5646" max="5646" width="8.7109375" style="330" customWidth="1"/>
    <col min="5647" max="5647" width="10.42578125" style="330" customWidth="1"/>
    <col min="5648" max="5648" width="10.28515625" style="330" customWidth="1"/>
    <col min="5649" max="5888" width="11.42578125" style="330"/>
    <col min="5889" max="5889" width="7" style="330" customWidth="1"/>
    <col min="5890" max="5890" width="10.7109375" style="330" customWidth="1"/>
    <col min="5891" max="5891" width="10.5703125" style="330" customWidth="1"/>
    <col min="5892" max="5892" width="10.7109375" style="330" customWidth="1"/>
    <col min="5893" max="5893" width="10.28515625" style="330" customWidth="1"/>
    <col min="5894" max="5894" width="10.7109375" style="330" customWidth="1"/>
    <col min="5895" max="5895" width="9.42578125" style="330" customWidth="1"/>
    <col min="5896" max="5896" width="10.5703125" style="330" customWidth="1"/>
    <col min="5897" max="5897" width="13.7109375" style="330" customWidth="1"/>
    <col min="5898" max="5899" width="10.42578125" style="330" customWidth="1"/>
    <col min="5900" max="5900" width="10.28515625" style="330" customWidth="1"/>
    <col min="5901" max="5901" width="9.42578125" style="330" customWidth="1"/>
    <col min="5902" max="5902" width="8.7109375" style="330" customWidth="1"/>
    <col min="5903" max="5903" width="10.42578125" style="330" customWidth="1"/>
    <col min="5904" max="5904" width="10.28515625" style="330" customWidth="1"/>
    <col min="5905" max="6144" width="11.42578125" style="330"/>
    <col min="6145" max="6145" width="7" style="330" customWidth="1"/>
    <col min="6146" max="6146" width="10.7109375" style="330" customWidth="1"/>
    <col min="6147" max="6147" width="10.5703125" style="330" customWidth="1"/>
    <col min="6148" max="6148" width="10.7109375" style="330" customWidth="1"/>
    <col min="6149" max="6149" width="10.28515625" style="330" customWidth="1"/>
    <col min="6150" max="6150" width="10.7109375" style="330" customWidth="1"/>
    <col min="6151" max="6151" width="9.42578125" style="330" customWidth="1"/>
    <col min="6152" max="6152" width="10.5703125" style="330" customWidth="1"/>
    <col min="6153" max="6153" width="13.7109375" style="330" customWidth="1"/>
    <col min="6154" max="6155" width="10.42578125" style="330" customWidth="1"/>
    <col min="6156" max="6156" width="10.28515625" style="330" customWidth="1"/>
    <col min="6157" max="6157" width="9.42578125" style="330" customWidth="1"/>
    <col min="6158" max="6158" width="8.7109375" style="330" customWidth="1"/>
    <col min="6159" max="6159" width="10.42578125" style="330" customWidth="1"/>
    <col min="6160" max="6160" width="10.28515625" style="330" customWidth="1"/>
    <col min="6161" max="6400" width="11.42578125" style="330"/>
    <col min="6401" max="6401" width="7" style="330" customWidth="1"/>
    <col min="6402" max="6402" width="10.7109375" style="330" customWidth="1"/>
    <col min="6403" max="6403" width="10.5703125" style="330" customWidth="1"/>
    <col min="6404" max="6404" width="10.7109375" style="330" customWidth="1"/>
    <col min="6405" max="6405" width="10.28515625" style="330" customWidth="1"/>
    <col min="6406" max="6406" width="10.7109375" style="330" customWidth="1"/>
    <col min="6407" max="6407" width="9.42578125" style="330" customWidth="1"/>
    <col min="6408" max="6408" width="10.5703125" style="330" customWidth="1"/>
    <col min="6409" max="6409" width="13.7109375" style="330" customWidth="1"/>
    <col min="6410" max="6411" width="10.42578125" style="330" customWidth="1"/>
    <col min="6412" max="6412" width="10.28515625" style="330" customWidth="1"/>
    <col min="6413" max="6413" width="9.42578125" style="330" customWidth="1"/>
    <col min="6414" max="6414" width="8.7109375" style="330" customWidth="1"/>
    <col min="6415" max="6415" width="10.42578125" style="330" customWidth="1"/>
    <col min="6416" max="6416" width="10.28515625" style="330" customWidth="1"/>
    <col min="6417" max="6656" width="11.42578125" style="330"/>
    <col min="6657" max="6657" width="7" style="330" customWidth="1"/>
    <col min="6658" max="6658" width="10.7109375" style="330" customWidth="1"/>
    <col min="6659" max="6659" width="10.5703125" style="330" customWidth="1"/>
    <col min="6660" max="6660" width="10.7109375" style="330" customWidth="1"/>
    <col min="6661" max="6661" width="10.28515625" style="330" customWidth="1"/>
    <col min="6662" max="6662" width="10.7109375" style="330" customWidth="1"/>
    <col min="6663" max="6663" width="9.42578125" style="330" customWidth="1"/>
    <col min="6664" max="6664" width="10.5703125" style="330" customWidth="1"/>
    <col min="6665" max="6665" width="13.7109375" style="330" customWidth="1"/>
    <col min="6666" max="6667" width="10.42578125" style="330" customWidth="1"/>
    <col min="6668" max="6668" width="10.28515625" style="330" customWidth="1"/>
    <col min="6669" max="6669" width="9.42578125" style="330" customWidth="1"/>
    <col min="6670" max="6670" width="8.7109375" style="330" customWidth="1"/>
    <col min="6671" max="6671" width="10.42578125" style="330" customWidth="1"/>
    <col min="6672" max="6672" width="10.28515625" style="330" customWidth="1"/>
    <col min="6673" max="6912" width="11.42578125" style="330"/>
    <col min="6913" max="6913" width="7" style="330" customWidth="1"/>
    <col min="6914" max="6914" width="10.7109375" style="330" customWidth="1"/>
    <col min="6915" max="6915" width="10.5703125" style="330" customWidth="1"/>
    <col min="6916" max="6916" width="10.7109375" style="330" customWidth="1"/>
    <col min="6917" max="6917" width="10.28515625" style="330" customWidth="1"/>
    <col min="6918" max="6918" width="10.7109375" style="330" customWidth="1"/>
    <col min="6919" max="6919" width="9.42578125" style="330" customWidth="1"/>
    <col min="6920" max="6920" width="10.5703125" style="330" customWidth="1"/>
    <col min="6921" max="6921" width="13.7109375" style="330" customWidth="1"/>
    <col min="6922" max="6923" width="10.42578125" style="330" customWidth="1"/>
    <col min="6924" max="6924" width="10.28515625" style="330" customWidth="1"/>
    <col min="6925" max="6925" width="9.42578125" style="330" customWidth="1"/>
    <col min="6926" max="6926" width="8.7109375" style="330" customWidth="1"/>
    <col min="6927" max="6927" width="10.42578125" style="330" customWidth="1"/>
    <col min="6928" max="6928" width="10.28515625" style="330" customWidth="1"/>
    <col min="6929" max="7168" width="11.42578125" style="330"/>
    <col min="7169" max="7169" width="7" style="330" customWidth="1"/>
    <col min="7170" max="7170" width="10.7109375" style="330" customWidth="1"/>
    <col min="7171" max="7171" width="10.5703125" style="330" customWidth="1"/>
    <col min="7172" max="7172" width="10.7109375" style="330" customWidth="1"/>
    <col min="7173" max="7173" width="10.28515625" style="330" customWidth="1"/>
    <col min="7174" max="7174" width="10.7109375" style="330" customWidth="1"/>
    <col min="7175" max="7175" width="9.42578125" style="330" customWidth="1"/>
    <col min="7176" max="7176" width="10.5703125" style="330" customWidth="1"/>
    <col min="7177" max="7177" width="13.7109375" style="330" customWidth="1"/>
    <col min="7178" max="7179" width="10.42578125" style="330" customWidth="1"/>
    <col min="7180" max="7180" width="10.28515625" style="330" customWidth="1"/>
    <col min="7181" max="7181" width="9.42578125" style="330" customWidth="1"/>
    <col min="7182" max="7182" width="8.7109375" style="330" customWidth="1"/>
    <col min="7183" max="7183" width="10.42578125" style="330" customWidth="1"/>
    <col min="7184" max="7184" width="10.28515625" style="330" customWidth="1"/>
    <col min="7185" max="7424" width="11.42578125" style="330"/>
    <col min="7425" max="7425" width="7" style="330" customWidth="1"/>
    <col min="7426" max="7426" width="10.7109375" style="330" customWidth="1"/>
    <col min="7427" max="7427" width="10.5703125" style="330" customWidth="1"/>
    <col min="7428" max="7428" width="10.7109375" style="330" customWidth="1"/>
    <col min="7429" max="7429" width="10.28515625" style="330" customWidth="1"/>
    <col min="7430" max="7430" width="10.7109375" style="330" customWidth="1"/>
    <col min="7431" max="7431" width="9.42578125" style="330" customWidth="1"/>
    <col min="7432" max="7432" width="10.5703125" style="330" customWidth="1"/>
    <col min="7433" max="7433" width="13.7109375" style="330" customWidth="1"/>
    <col min="7434" max="7435" width="10.42578125" style="330" customWidth="1"/>
    <col min="7436" max="7436" width="10.28515625" style="330" customWidth="1"/>
    <col min="7437" max="7437" width="9.42578125" style="330" customWidth="1"/>
    <col min="7438" max="7438" width="8.7109375" style="330" customWidth="1"/>
    <col min="7439" max="7439" width="10.42578125" style="330" customWidth="1"/>
    <col min="7440" max="7440" width="10.28515625" style="330" customWidth="1"/>
    <col min="7441" max="7680" width="11.42578125" style="330"/>
    <col min="7681" max="7681" width="7" style="330" customWidth="1"/>
    <col min="7682" max="7682" width="10.7109375" style="330" customWidth="1"/>
    <col min="7683" max="7683" width="10.5703125" style="330" customWidth="1"/>
    <col min="7684" max="7684" width="10.7109375" style="330" customWidth="1"/>
    <col min="7685" max="7685" width="10.28515625" style="330" customWidth="1"/>
    <col min="7686" max="7686" width="10.7109375" style="330" customWidth="1"/>
    <col min="7687" max="7687" width="9.42578125" style="330" customWidth="1"/>
    <col min="7688" max="7688" width="10.5703125" style="330" customWidth="1"/>
    <col min="7689" max="7689" width="13.7109375" style="330" customWidth="1"/>
    <col min="7690" max="7691" width="10.42578125" style="330" customWidth="1"/>
    <col min="7692" max="7692" width="10.28515625" style="330" customWidth="1"/>
    <col min="7693" max="7693" width="9.42578125" style="330" customWidth="1"/>
    <col min="7694" max="7694" width="8.7109375" style="330" customWidth="1"/>
    <col min="7695" max="7695" width="10.42578125" style="330" customWidth="1"/>
    <col min="7696" max="7696" width="10.28515625" style="330" customWidth="1"/>
    <col min="7697" max="7936" width="11.42578125" style="330"/>
    <col min="7937" max="7937" width="7" style="330" customWidth="1"/>
    <col min="7938" max="7938" width="10.7109375" style="330" customWidth="1"/>
    <col min="7939" max="7939" width="10.5703125" style="330" customWidth="1"/>
    <col min="7940" max="7940" width="10.7109375" style="330" customWidth="1"/>
    <col min="7941" max="7941" width="10.28515625" style="330" customWidth="1"/>
    <col min="7942" max="7942" width="10.7109375" style="330" customWidth="1"/>
    <col min="7943" max="7943" width="9.42578125" style="330" customWidth="1"/>
    <col min="7944" max="7944" width="10.5703125" style="330" customWidth="1"/>
    <col min="7945" max="7945" width="13.7109375" style="330" customWidth="1"/>
    <col min="7946" max="7947" width="10.42578125" style="330" customWidth="1"/>
    <col min="7948" max="7948" width="10.28515625" style="330" customWidth="1"/>
    <col min="7949" max="7949" width="9.42578125" style="330" customWidth="1"/>
    <col min="7950" max="7950" width="8.7109375" style="330" customWidth="1"/>
    <col min="7951" max="7951" width="10.42578125" style="330" customWidth="1"/>
    <col min="7952" max="7952" width="10.28515625" style="330" customWidth="1"/>
    <col min="7953" max="8192" width="11.42578125" style="330"/>
    <col min="8193" max="8193" width="7" style="330" customWidth="1"/>
    <col min="8194" max="8194" width="10.7109375" style="330" customWidth="1"/>
    <col min="8195" max="8195" width="10.5703125" style="330" customWidth="1"/>
    <col min="8196" max="8196" width="10.7109375" style="330" customWidth="1"/>
    <col min="8197" max="8197" width="10.28515625" style="330" customWidth="1"/>
    <col min="8198" max="8198" width="10.7109375" style="330" customWidth="1"/>
    <col min="8199" max="8199" width="9.42578125" style="330" customWidth="1"/>
    <col min="8200" max="8200" width="10.5703125" style="330" customWidth="1"/>
    <col min="8201" max="8201" width="13.7109375" style="330" customWidth="1"/>
    <col min="8202" max="8203" width="10.42578125" style="330" customWidth="1"/>
    <col min="8204" max="8204" width="10.28515625" style="330" customWidth="1"/>
    <col min="8205" max="8205" width="9.42578125" style="330" customWidth="1"/>
    <col min="8206" max="8206" width="8.7109375" style="330" customWidth="1"/>
    <col min="8207" max="8207" width="10.42578125" style="330" customWidth="1"/>
    <col min="8208" max="8208" width="10.28515625" style="330" customWidth="1"/>
    <col min="8209" max="8448" width="11.42578125" style="330"/>
    <col min="8449" max="8449" width="7" style="330" customWidth="1"/>
    <col min="8450" max="8450" width="10.7109375" style="330" customWidth="1"/>
    <col min="8451" max="8451" width="10.5703125" style="330" customWidth="1"/>
    <col min="8452" max="8452" width="10.7109375" style="330" customWidth="1"/>
    <col min="8453" max="8453" width="10.28515625" style="330" customWidth="1"/>
    <col min="8454" max="8454" width="10.7109375" style="330" customWidth="1"/>
    <col min="8455" max="8455" width="9.42578125" style="330" customWidth="1"/>
    <col min="8456" max="8456" width="10.5703125" style="330" customWidth="1"/>
    <col min="8457" max="8457" width="13.7109375" style="330" customWidth="1"/>
    <col min="8458" max="8459" width="10.42578125" style="330" customWidth="1"/>
    <col min="8460" max="8460" width="10.28515625" style="330" customWidth="1"/>
    <col min="8461" max="8461" width="9.42578125" style="330" customWidth="1"/>
    <col min="8462" max="8462" width="8.7109375" style="330" customWidth="1"/>
    <col min="8463" max="8463" width="10.42578125" style="330" customWidth="1"/>
    <col min="8464" max="8464" width="10.28515625" style="330" customWidth="1"/>
    <col min="8465" max="8704" width="11.42578125" style="330"/>
    <col min="8705" max="8705" width="7" style="330" customWidth="1"/>
    <col min="8706" max="8706" width="10.7109375" style="330" customWidth="1"/>
    <col min="8707" max="8707" width="10.5703125" style="330" customWidth="1"/>
    <col min="8708" max="8708" width="10.7109375" style="330" customWidth="1"/>
    <col min="8709" max="8709" width="10.28515625" style="330" customWidth="1"/>
    <col min="8710" max="8710" width="10.7109375" style="330" customWidth="1"/>
    <col min="8711" max="8711" width="9.42578125" style="330" customWidth="1"/>
    <col min="8712" max="8712" width="10.5703125" style="330" customWidth="1"/>
    <col min="8713" max="8713" width="13.7109375" style="330" customWidth="1"/>
    <col min="8714" max="8715" width="10.42578125" style="330" customWidth="1"/>
    <col min="8716" max="8716" width="10.28515625" style="330" customWidth="1"/>
    <col min="8717" max="8717" width="9.42578125" style="330" customWidth="1"/>
    <col min="8718" max="8718" width="8.7109375" style="330" customWidth="1"/>
    <col min="8719" max="8719" width="10.42578125" style="330" customWidth="1"/>
    <col min="8720" max="8720" width="10.28515625" style="330" customWidth="1"/>
    <col min="8721" max="8960" width="11.42578125" style="330"/>
    <col min="8961" max="8961" width="7" style="330" customWidth="1"/>
    <col min="8962" max="8962" width="10.7109375" style="330" customWidth="1"/>
    <col min="8963" max="8963" width="10.5703125" style="330" customWidth="1"/>
    <col min="8964" max="8964" width="10.7109375" style="330" customWidth="1"/>
    <col min="8965" max="8965" width="10.28515625" style="330" customWidth="1"/>
    <col min="8966" max="8966" width="10.7109375" style="330" customWidth="1"/>
    <col min="8967" max="8967" width="9.42578125" style="330" customWidth="1"/>
    <col min="8968" max="8968" width="10.5703125" style="330" customWidth="1"/>
    <col min="8969" max="8969" width="13.7109375" style="330" customWidth="1"/>
    <col min="8970" max="8971" width="10.42578125" style="330" customWidth="1"/>
    <col min="8972" max="8972" width="10.28515625" style="330" customWidth="1"/>
    <col min="8973" max="8973" width="9.42578125" style="330" customWidth="1"/>
    <col min="8974" max="8974" width="8.7109375" style="330" customWidth="1"/>
    <col min="8975" max="8975" width="10.42578125" style="330" customWidth="1"/>
    <col min="8976" max="8976" width="10.28515625" style="330" customWidth="1"/>
    <col min="8977" max="9216" width="11.42578125" style="330"/>
    <col min="9217" max="9217" width="7" style="330" customWidth="1"/>
    <col min="9218" max="9218" width="10.7109375" style="330" customWidth="1"/>
    <col min="9219" max="9219" width="10.5703125" style="330" customWidth="1"/>
    <col min="9220" max="9220" width="10.7109375" style="330" customWidth="1"/>
    <col min="9221" max="9221" width="10.28515625" style="330" customWidth="1"/>
    <col min="9222" max="9222" width="10.7109375" style="330" customWidth="1"/>
    <col min="9223" max="9223" width="9.42578125" style="330" customWidth="1"/>
    <col min="9224" max="9224" width="10.5703125" style="330" customWidth="1"/>
    <col min="9225" max="9225" width="13.7109375" style="330" customWidth="1"/>
    <col min="9226" max="9227" width="10.42578125" style="330" customWidth="1"/>
    <col min="9228" max="9228" width="10.28515625" style="330" customWidth="1"/>
    <col min="9229" max="9229" width="9.42578125" style="330" customWidth="1"/>
    <col min="9230" max="9230" width="8.7109375" style="330" customWidth="1"/>
    <col min="9231" max="9231" width="10.42578125" style="330" customWidth="1"/>
    <col min="9232" max="9232" width="10.28515625" style="330" customWidth="1"/>
    <col min="9233" max="9472" width="11.42578125" style="330"/>
    <col min="9473" max="9473" width="7" style="330" customWidth="1"/>
    <col min="9474" max="9474" width="10.7109375" style="330" customWidth="1"/>
    <col min="9475" max="9475" width="10.5703125" style="330" customWidth="1"/>
    <col min="9476" max="9476" width="10.7109375" style="330" customWidth="1"/>
    <col min="9477" max="9477" width="10.28515625" style="330" customWidth="1"/>
    <col min="9478" max="9478" width="10.7109375" style="330" customWidth="1"/>
    <col min="9479" max="9479" width="9.42578125" style="330" customWidth="1"/>
    <col min="9480" max="9480" width="10.5703125" style="330" customWidth="1"/>
    <col min="9481" max="9481" width="13.7109375" style="330" customWidth="1"/>
    <col min="9482" max="9483" width="10.42578125" style="330" customWidth="1"/>
    <col min="9484" max="9484" width="10.28515625" style="330" customWidth="1"/>
    <col min="9485" max="9485" width="9.42578125" style="330" customWidth="1"/>
    <col min="9486" max="9486" width="8.7109375" style="330" customWidth="1"/>
    <col min="9487" max="9487" width="10.42578125" style="330" customWidth="1"/>
    <col min="9488" max="9488" width="10.28515625" style="330" customWidth="1"/>
    <col min="9489" max="9728" width="11.42578125" style="330"/>
    <col min="9729" max="9729" width="7" style="330" customWidth="1"/>
    <col min="9730" max="9730" width="10.7109375" style="330" customWidth="1"/>
    <col min="9731" max="9731" width="10.5703125" style="330" customWidth="1"/>
    <col min="9732" max="9732" width="10.7109375" style="330" customWidth="1"/>
    <col min="9733" max="9733" width="10.28515625" style="330" customWidth="1"/>
    <col min="9734" max="9734" width="10.7109375" style="330" customWidth="1"/>
    <col min="9735" max="9735" width="9.42578125" style="330" customWidth="1"/>
    <col min="9736" max="9736" width="10.5703125" style="330" customWidth="1"/>
    <col min="9737" max="9737" width="13.7109375" style="330" customWidth="1"/>
    <col min="9738" max="9739" width="10.42578125" style="330" customWidth="1"/>
    <col min="9740" max="9740" width="10.28515625" style="330" customWidth="1"/>
    <col min="9741" max="9741" width="9.42578125" style="330" customWidth="1"/>
    <col min="9742" max="9742" width="8.7109375" style="330" customWidth="1"/>
    <col min="9743" max="9743" width="10.42578125" style="330" customWidth="1"/>
    <col min="9744" max="9744" width="10.28515625" style="330" customWidth="1"/>
    <col min="9745" max="9984" width="11.42578125" style="330"/>
    <col min="9985" max="9985" width="7" style="330" customWidth="1"/>
    <col min="9986" max="9986" width="10.7109375" style="330" customWidth="1"/>
    <col min="9987" max="9987" width="10.5703125" style="330" customWidth="1"/>
    <col min="9988" max="9988" width="10.7109375" style="330" customWidth="1"/>
    <col min="9989" max="9989" width="10.28515625" style="330" customWidth="1"/>
    <col min="9990" max="9990" width="10.7109375" style="330" customWidth="1"/>
    <col min="9991" max="9991" width="9.42578125" style="330" customWidth="1"/>
    <col min="9992" max="9992" width="10.5703125" style="330" customWidth="1"/>
    <col min="9993" max="9993" width="13.7109375" style="330" customWidth="1"/>
    <col min="9994" max="9995" width="10.42578125" style="330" customWidth="1"/>
    <col min="9996" max="9996" width="10.28515625" style="330" customWidth="1"/>
    <col min="9997" max="9997" width="9.42578125" style="330" customWidth="1"/>
    <col min="9998" max="9998" width="8.7109375" style="330" customWidth="1"/>
    <col min="9999" max="9999" width="10.42578125" style="330" customWidth="1"/>
    <col min="10000" max="10000" width="10.28515625" style="330" customWidth="1"/>
    <col min="10001" max="10240" width="11.42578125" style="330"/>
    <col min="10241" max="10241" width="7" style="330" customWidth="1"/>
    <col min="10242" max="10242" width="10.7109375" style="330" customWidth="1"/>
    <col min="10243" max="10243" width="10.5703125" style="330" customWidth="1"/>
    <col min="10244" max="10244" width="10.7109375" style="330" customWidth="1"/>
    <col min="10245" max="10245" width="10.28515625" style="330" customWidth="1"/>
    <col min="10246" max="10246" width="10.7109375" style="330" customWidth="1"/>
    <col min="10247" max="10247" width="9.42578125" style="330" customWidth="1"/>
    <col min="10248" max="10248" width="10.5703125" style="330" customWidth="1"/>
    <col min="10249" max="10249" width="13.7109375" style="330" customWidth="1"/>
    <col min="10250" max="10251" width="10.42578125" style="330" customWidth="1"/>
    <col min="10252" max="10252" width="10.28515625" style="330" customWidth="1"/>
    <col min="10253" max="10253" width="9.42578125" style="330" customWidth="1"/>
    <col min="10254" max="10254" width="8.7109375" style="330" customWidth="1"/>
    <col min="10255" max="10255" width="10.42578125" style="330" customWidth="1"/>
    <col min="10256" max="10256" width="10.28515625" style="330" customWidth="1"/>
    <col min="10257" max="10496" width="11.42578125" style="330"/>
    <col min="10497" max="10497" width="7" style="330" customWidth="1"/>
    <col min="10498" max="10498" width="10.7109375" style="330" customWidth="1"/>
    <col min="10499" max="10499" width="10.5703125" style="330" customWidth="1"/>
    <col min="10500" max="10500" width="10.7109375" style="330" customWidth="1"/>
    <col min="10501" max="10501" width="10.28515625" style="330" customWidth="1"/>
    <col min="10502" max="10502" width="10.7109375" style="330" customWidth="1"/>
    <col min="10503" max="10503" width="9.42578125" style="330" customWidth="1"/>
    <col min="10504" max="10504" width="10.5703125" style="330" customWidth="1"/>
    <col min="10505" max="10505" width="13.7109375" style="330" customWidth="1"/>
    <col min="10506" max="10507" width="10.42578125" style="330" customWidth="1"/>
    <col min="10508" max="10508" width="10.28515625" style="330" customWidth="1"/>
    <col min="10509" max="10509" width="9.42578125" style="330" customWidth="1"/>
    <col min="10510" max="10510" width="8.7109375" style="330" customWidth="1"/>
    <col min="10511" max="10511" width="10.42578125" style="330" customWidth="1"/>
    <col min="10512" max="10512" width="10.28515625" style="330" customWidth="1"/>
    <col min="10513" max="10752" width="11.42578125" style="330"/>
    <col min="10753" max="10753" width="7" style="330" customWidth="1"/>
    <col min="10754" max="10754" width="10.7109375" style="330" customWidth="1"/>
    <col min="10755" max="10755" width="10.5703125" style="330" customWidth="1"/>
    <col min="10756" max="10756" width="10.7109375" style="330" customWidth="1"/>
    <col min="10757" max="10757" width="10.28515625" style="330" customWidth="1"/>
    <col min="10758" max="10758" width="10.7109375" style="330" customWidth="1"/>
    <col min="10759" max="10759" width="9.42578125" style="330" customWidth="1"/>
    <col min="10760" max="10760" width="10.5703125" style="330" customWidth="1"/>
    <col min="10761" max="10761" width="13.7109375" style="330" customWidth="1"/>
    <col min="10762" max="10763" width="10.42578125" style="330" customWidth="1"/>
    <col min="10764" max="10764" width="10.28515625" style="330" customWidth="1"/>
    <col min="10765" max="10765" width="9.42578125" style="330" customWidth="1"/>
    <col min="10766" max="10766" width="8.7109375" style="330" customWidth="1"/>
    <col min="10767" max="10767" width="10.42578125" style="330" customWidth="1"/>
    <col min="10768" max="10768" width="10.28515625" style="330" customWidth="1"/>
    <col min="10769" max="11008" width="11.42578125" style="330"/>
    <col min="11009" max="11009" width="7" style="330" customWidth="1"/>
    <col min="11010" max="11010" width="10.7109375" style="330" customWidth="1"/>
    <col min="11011" max="11011" width="10.5703125" style="330" customWidth="1"/>
    <col min="11012" max="11012" width="10.7109375" style="330" customWidth="1"/>
    <col min="11013" max="11013" width="10.28515625" style="330" customWidth="1"/>
    <col min="11014" max="11014" width="10.7109375" style="330" customWidth="1"/>
    <col min="11015" max="11015" width="9.42578125" style="330" customWidth="1"/>
    <col min="11016" max="11016" width="10.5703125" style="330" customWidth="1"/>
    <col min="11017" max="11017" width="13.7109375" style="330" customWidth="1"/>
    <col min="11018" max="11019" width="10.42578125" style="330" customWidth="1"/>
    <col min="11020" max="11020" width="10.28515625" style="330" customWidth="1"/>
    <col min="11021" max="11021" width="9.42578125" style="330" customWidth="1"/>
    <col min="11022" max="11022" width="8.7109375" style="330" customWidth="1"/>
    <col min="11023" max="11023" width="10.42578125" style="330" customWidth="1"/>
    <col min="11024" max="11024" width="10.28515625" style="330" customWidth="1"/>
    <col min="11025" max="11264" width="11.42578125" style="330"/>
    <col min="11265" max="11265" width="7" style="330" customWidth="1"/>
    <col min="11266" max="11266" width="10.7109375" style="330" customWidth="1"/>
    <col min="11267" max="11267" width="10.5703125" style="330" customWidth="1"/>
    <col min="11268" max="11268" width="10.7109375" style="330" customWidth="1"/>
    <col min="11269" max="11269" width="10.28515625" style="330" customWidth="1"/>
    <col min="11270" max="11270" width="10.7109375" style="330" customWidth="1"/>
    <col min="11271" max="11271" width="9.42578125" style="330" customWidth="1"/>
    <col min="11272" max="11272" width="10.5703125" style="330" customWidth="1"/>
    <col min="11273" max="11273" width="13.7109375" style="330" customWidth="1"/>
    <col min="11274" max="11275" width="10.42578125" style="330" customWidth="1"/>
    <col min="11276" max="11276" width="10.28515625" style="330" customWidth="1"/>
    <col min="11277" max="11277" width="9.42578125" style="330" customWidth="1"/>
    <col min="11278" max="11278" width="8.7109375" style="330" customWidth="1"/>
    <col min="11279" max="11279" width="10.42578125" style="330" customWidth="1"/>
    <col min="11280" max="11280" width="10.28515625" style="330" customWidth="1"/>
    <col min="11281" max="11520" width="11.42578125" style="330"/>
    <col min="11521" max="11521" width="7" style="330" customWidth="1"/>
    <col min="11522" max="11522" width="10.7109375" style="330" customWidth="1"/>
    <col min="11523" max="11523" width="10.5703125" style="330" customWidth="1"/>
    <col min="11524" max="11524" width="10.7109375" style="330" customWidth="1"/>
    <col min="11525" max="11525" width="10.28515625" style="330" customWidth="1"/>
    <col min="11526" max="11526" width="10.7109375" style="330" customWidth="1"/>
    <col min="11527" max="11527" width="9.42578125" style="330" customWidth="1"/>
    <col min="11528" max="11528" width="10.5703125" style="330" customWidth="1"/>
    <col min="11529" max="11529" width="13.7109375" style="330" customWidth="1"/>
    <col min="11530" max="11531" width="10.42578125" style="330" customWidth="1"/>
    <col min="11532" max="11532" width="10.28515625" style="330" customWidth="1"/>
    <col min="11533" max="11533" width="9.42578125" style="330" customWidth="1"/>
    <col min="11534" max="11534" width="8.7109375" style="330" customWidth="1"/>
    <col min="11535" max="11535" width="10.42578125" style="330" customWidth="1"/>
    <col min="11536" max="11536" width="10.28515625" style="330" customWidth="1"/>
    <col min="11537" max="11776" width="11.42578125" style="330"/>
    <col min="11777" max="11777" width="7" style="330" customWidth="1"/>
    <col min="11778" max="11778" width="10.7109375" style="330" customWidth="1"/>
    <col min="11779" max="11779" width="10.5703125" style="330" customWidth="1"/>
    <col min="11780" max="11780" width="10.7109375" style="330" customWidth="1"/>
    <col min="11781" max="11781" width="10.28515625" style="330" customWidth="1"/>
    <col min="11782" max="11782" width="10.7109375" style="330" customWidth="1"/>
    <col min="11783" max="11783" width="9.42578125" style="330" customWidth="1"/>
    <col min="11784" max="11784" width="10.5703125" style="330" customWidth="1"/>
    <col min="11785" max="11785" width="13.7109375" style="330" customWidth="1"/>
    <col min="11786" max="11787" width="10.42578125" style="330" customWidth="1"/>
    <col min="11788" max="11788" width="10.28515625" style="330" customWidth="1"/>
    <col min="11789" max="11789" width="9.42578125" style="330" customWidth="1"/>
    <col min="11790" max="11790" width="8.7109375" style="330" customWidth="1"/>
    <col min="11791" max="11791" width="10.42578125" style="330" customWidth="1"/>
    <col min="11792" max="11792" width="10.28515625" style="330" customWidth="1"/>
    <col min="11793" max="12032" width="11.42578125" style="330"/>
    <col min="12033" max="12033" width="7" style="330" customWidth="1"/>
    <col min="12034" max="12034" width="10.7109375" style="330" customWidth="1"/>
    <col min="12035" max="12035" width="10.5703125" style="330" customWidth="1"/>
    <col min="12036" max="12036" width="10.7109375" style="330" customWidth="1"/>
    <col min="12037" max="12037" width="10.28515625" style="330" customWidth="1"/>
    <col min="12038" max="12038" width="10.7109375" style="330" customWidth="1"/>
    <col min="12039" max="12039" width="9.42578125" style="330" customWidth="1"/>
    <col min="12040" max="12040" width="10.5703125" style="330" customWidth="1"/>
    <col min="12041" max="12041" width="13.7109375" style="330" customWidth="1"/>
    <col min="12042" max="12043" width="10.42578125" style="330" customWidth="1"/>
    <col min="12044" max="12044" width="10.28515625" style="330" customWidth="1"/>
    <col min="12045" max="12045" width="9.42578125" style="330" customWidth="1"/>
    <col min="12046" max="12046" width="8.7109375" style="330" customWidth="1"/>
    <col min="12047" max="12047" width="10.42578125" style="330" customWidth="1"/>
    <col min="12048" max="12048" width="10.28515625" style="330" customWidth="1"/>
    <col min="12049" max="12288" width="11.42578125" style="330"/>
    <col min="12289" max="12289" width="7" style="330" customWidth="1"/>
    <col min="12290" max="12290" width="10.7109375" style="330" customWidth="1"/>
    <col min="12291" max="12291" width="10.5703125" style="330" customWidth="1"/>
    <col min="12292" max="12292" width="10.7109375" style="330" customWidth="1"/>
    <col min="12293" max="12293" width="10.28515625" style="330" customWidth="1"/>
    <col min="12294" max="12294" width="10.7109375" style="330" customWidth="1"/>
    <col min="12295" max="12295" width="9.42578125" style="330" customWidth="1"/>
    <col min="12296" max="12296" width="10.5703125" style="330" customWidth="1"/>
    <col min="12297" max="12297" width="13.7109375" style="330" customWidth="1"/>
    <col min="12298" max="12299" width="10.42578125" style="330" customWidth="1"/>
    <col min="12300" max="12300" width="10.28515625" style="330" customWidth="1"/>
    <col min="12301" max="12301" width="9.42578125" style="330" customWidth="1"/>
    <col min="12302" max="12302" width="8.7109375" style="330" customWidth="1"/>
    <col min="12303" max="12303" width="10.42578125" style="330" customWidth="1"/>
    <col min="12304" max="12304" width="10.28515625" style="330" customWidth="1"/>
    <col min="12305" max="12544" width="11.42578125" style="330"/>
    <col min="12545" max="12545" width="7" style="330" customWidth="1"/>
    <col min="12546" max="12546" width="10.7109375" style="330" customWidth="1"/>
    <col min="12547" max="12547" width="10.5703125" style="330" customWidth="1"/>
    <col min="12548" max="12548" width="10.7109375" style="330" customWidth="1"/>
    <col min="12549" max="12549" width="10.28515625" style="330" customWidth="1"/>
    <col min="12550" max="12550" width="10.7109375" style="330" customWidth="1"/>
    <col min="12551" max="12551" width="9.42578125" style="330" customWidth="1"/>
    <col min="12552" max="12552" width="10.5703125" style="330" customWidth="1"/>
    <col min="12553" max="12553" width="13.7109375" style="330" customWidth="1"/>
    <col min="12554" max="12555" width="10.42578125" style="330" customWidth="1"/>
    <col min="12556" max="12556" width="10.28515625" style="330" customWidth="1"/>
    <col min="12557" max="12557" width="9.42578125" style="330" customWidth="1"/>
    <col min="12558" max="12558" width="8.7109375" style="330" customWidth="1"/>
    <col min="12559" max="12559" width="10.42578125" style="330" customWidth="1"/>
    <col min="12560" max="12560" width="10.28515625" style="330" customWidth="1"/>
    <col min="12561" max="12800" width="11.42578125" style="330"/>
    <col min="12801" max="12801" width="7" style="330" customWidth="1"/>
    <col min="12802" max="12802" width="10.7109375" style="330" customWidth="1"/>
    <col min="12803" max="12803" width="10.5703125" style="330" customWidth="1"/>
    <col min="12804" max="12804" width="10.7109375" style="330" customWidth="1"/>
    <col min="12805" max="12805" width="10.28515625" style="330" customWidth="1"/>
    <col min="12806" max="12806" width="10.7109375" style="330" customWidth="1"/>
    <col min="12807" max="12807" width="9.42578125" style="330" customWidth="1"/>
    <col min="12808" max="12808" width="10.5703125" style="330" customWidth="1"/>
    <col min="12809" max="12809" width="13.7109375" style="330" customWidth="1"/>
    <col min="12810" max="12811" width="10.42578125" style="330" customWidth="1"/>
    <col min="12812" max="12812" width="10.28515625" style="330" customWidth="1"/>
    <col min="12813" max="12813" width="9.42578125" style="330" customWidth="1"/>
    <col min="12814" max="12814" width="8.7109375" style="330" customWidth="1"/>
    <col min="12815" max="12815" width="10.42578125" style="330" customWidth="1"/>
    <col min="12816" max="12816" width="10.28515625" style="330" customWidth="1"/>
    <col min="12817" max="13056" width="11.42578125" style="330"/>
    <col min="13057" max="13057" width="7" style="330" customWidth="1"/>
    <col min="13058" max="13058" width="10.7109375" style="330" customWidth="1"/>
    <col min="13059" max="13059" width="10.5703125" style="330" customWidth="1"/>
    <col min="13060" max="13060" width="10.7109375" style="330" customWidth="1"/>
    <col min="13061" max="13061" width="10.28515625" style="330" customWidth="1"/>
    <col min="13062" max="13062" width="10.7109375" style="330" customWidth="1"/>
    <col min="13063" max="13063" width="9.42578125" style="330" customWidth="1"/>
    <col min="13064" max="13064" width="10.5703125" style="330" customWidth="1"/>
    <col min="13065" max="13065" width="13.7109375" style="330" customWidth="1"/>
    <col min="13066" max="13067" width="10.42578125" style="330" customWidth="1"/>
    <col min="13068" max="13068" width="10.28515625" style="330" customWidth="1"/>
    <col min="13069" max="13069" width="9.42578125" style="330" customWidth="1"/>
    <col min="13070" max="13070" width="8.7109375" style="330" customWidth="1"/>
    <col min="13071" max="13071" width="10.42578125" style="330" customWidth="1"/>
    <col min="13072" max="13072" width="10.28515625" style="330" customWidth="1"/>
    <col min="13073" max="13312" width="11.42578125" style="330"/>
    <col min="13313" max="13313" width="7" style="330" customWidth="1"/>
    <col min="13314" max="13314" width="10.7109375" style="330" customWidth="1"/>
    <col min="13315" max="13315" width="10.5703125" style="330" customWidth="1"/>
    <col min="13316" max="13316" width="10.7109375" style="330" customWidth="1"/>
    <col min="13317" max="13317" width="10.28515625" style="330" customWidth="1"/>
    <col min="13318" max="13318" width="10.7109375" style="330" customWidth="1"/>
    <col min="13319" max="13319" width="9.42578125" style="330" customWidth="1"/>
    <col min="13320" max="13320" width="10.5703125" style="330" customWidth="1"/>
    <col min="13321" max="13321" width="13.7109375" style="330" customWidth="1"/>
    <col min="13322" max="13323" width="10.42578125" style="330" customWidth="1"/>
    <col min="13324" max="13324" width="10.28515625" style="330" customWidth="1"/>
    <col min="13325" max="13325" width="9.42578125" style="330" customWidth="1"/>
    <col min="13326" max="13326" width="8.7109375" style="330" customWidth="1"/>
    <col min="13327" max="13327" width="10.42578125" style="330" customWidth="1"/>
    <col min="13328" max="13328" width="10.28515625" style="330" customWidth="1"/>
    <col min="13329" max="13568" width="11.42578125" style="330"/>
    <col min="13569" max="13569" width="7" style="330" customWidth="1"/>
    <col min="13570" max="13570" width="10.7109375" style="330" customWidth="1"/>
    <col min="13571" max="13571" width="10.5703125" style="330" customWidth="1"/>
    <col min="13572" max="13572" width="10.7109375" style="330" customWidth="1"/>
    <col min="13573" max="13573" width="10.28515625" style="330" customWidth="1"/>
    <col min="13574" max="13574" width="10.7109375" style="330" customWidth="1"/>
    <col min="13575" max="13575" width="9.42578125" style="330" customWidth="1"/>
    <col min="13576" max="13576" width="10.5703125" style="330" customWidth="1"/>
    <col min="13577" max="13577" width="13.7109375" style="330" customWidth="1"/>
    <col min="13578" max="13579" width="10.42578125" style="330" customWidth="1"/>
    <col min="13580" max="13580" width="10.28515625" style="330" customWidth="1"/>
    <col min="13581" max="13581" width="9.42578125" style="330" customWidth="1"/>
    <col min="13582" max="13582" width="8.7109375" style="330" customWidth="1"/>
    <col min="13583" max="13583" width="10.42578125" style="330" customWidth="1"/>
    <col min="13584" max="13584" width="10.28515625" style="330" customWidth="1"/>
    <col min="13585" max="13824" width="11.42578125" style="330"/>
    <col min="13825" max="13825" width="7" style="330" customWidth="1"/>
    <col min="13826" max="13826" width="10.7109375" style="330" customWidth="1"/>
    <col min="13827" max="13827" width="10.5703125" style="330" customWidth="1"/>
    <col min="13828" max="13828" width="10.7109375" style="330" customWidth="1"/>
    <col min="13829" max="13829" width="10.28515625" style="330" customWidth="1"/>
    <col min="13830" max="13830" width="10.7109375" style="330" customWidth="1"/>
    <col min="13831" max="13831" width="9.42578125" style="330" customWidth="1"/>
    <col min="13832" max="13832" width="10.5703125" style="330" customWidth="1"/>
    <col min="13833" max="13833" width="13.7109375" style="330" customWidth="1"/>
    <col min="13834" max="13835" width="10.42578125" style="330" customWidth="1"/>
    <col min="13836" max="13836" width="10.28515625" style="330" customWidth="1"/>
    <col min="13837" max="13837" width="9.42578125" style="330" customWidth="1"/>
    <col min="13838" max="13838" width="8.7109375" style="330" customWidth="1"/>
    <col min="13839" max="13839" width="10.42578125" style="330" customWidth="1"/>
    <col min="13840" max="13840" width="10.28515625" style="330" customWidth="1"/>
    <col min="13841" max="14080" width="11.42578125" style="330"/>
    <col min="14081" max="14081" width="7" style="330" customWidth="1"/>
    <col min="14082" max="14082" width="10.7109375" style="330" customWidth="1"/>
    <col min="14083" max="14083" width="10.5703125" style="330" customWidth="1"/>
    <col min="14084" max="14084" width="10.7109375" style="330" customWidth="1"/>
    <col min="14085" max="14085" width="10.28515625" style="330" customWidth="1"/>
    <col min="14086" max="14086" width="10.7109375" style="330" customWidth="1"/>
    <col min="14087" max="14087" width="9.42578125" style="330" customWidth="1"/>
    <col min="14088" max="14088" width="10.5703125" style="330" customWidth="1"/>
    <col min="14089" max="14089" width="13.7109375" style="330" customWidth="1"/>
    <col min="14090" max="14091" width="10.42578125" style="330" customWidth="1"/>
    <col min="14092" max="14092" width="10.28515625" style="330" customWidth="1"/>
    <col min="14093" max="14093" width="9.42578125" style="330" customWidth="1"/>
    <col min="14094" max="14094" width="8.7109375" style="330" customWidth="1"/>
    <col min="14095" max="14095" width="10.42578125" style="330" customWidth="1"/>
    <col min="14096" max="14096" width="10.28515625" style="330" customWidth="1"/>
    <col min="14097" max="14336" width="11.42578125" style="330"/>
    <col min="14337" max="14337" width="7" style="330" customWidth="1"/>
    <col min="14338" max="14338" width="10.7109375" style="330" customWidth="1"/>
    <col min="14339" max="14339" width="10.5703125" style="330" customWidth="1"/>
    <col min="14340" max="14340" width="10.7109375" style="330" customWidth="1"/>
    <col min="14341" max="14341" width="10.28515625" style="330" customWidth="1"/>
    <col min="14342" max="14342" width="10.7109375" style="330" customWidth="1"/>
    <col min="14343" max="14343" width="9.42578125" style="330" customWidth="1"/>
    <col min="14344" max="14344" width="10.5703125" style="330" customWidth="1"/>
    <col min="14345" max="14345" width="13.7109375" style="330" customWidth="1"/>
    <col min="14346" max="14347" width="10.42578125" style="330" customWidth="1"/>
    <col min="14348" max="14348" width="10.28515625" style="330" customWidth="1"/>
    <col min="14349" max="14349" width="9.42578125" style="330" customWidth="1"/>
    <col min="14350" max="14350" width="8.7109375" style="330" customWidth="1"/>
    <col min="14351" max="14351" width="10.42578125" style="330" customWidth="1"/>
    <col min="14352" max="14352" width="10.28515625" style="330" customWidth="1"/>
    <col min="14353" max="14592" width="11.42578125" style="330"/>
    <col min="14593" max="14593" width="7" style="330" customWidth="1"/>
    <col min="14594" max="14594" width="10.7109375" style="330" customWidth="1"/>
    <col min="14595" max="14595" width="10.5703125" style="330" customWidth="1"/>
    <col min="14596" max="14596" width="10.7109375" style="330" customWidth="1"/>
    <col min="14597" max="14597" width="10.28515625" style="330" customWidth="1"/>
    <col min="14598" max="14598" width="10.7109375" style="330" customWidth="1"/>
    <col min="14599" max="14599" width="9.42578125" style="330" customWidth="1"/>
    <col min="14600" max="14600" width="10.5703125" style="330" customWidth="1"/>
    <col min="14601" max="14601" width="13.7109375" style="330" customWidth="1"/>
    <col min="14602" max="14603" width="10.42578125" style="330" customWidth="1"/>
    <col min="14604" max="14604" width="10.28515625" style="330" customWidth="1"/>
    <col min="14605" max="14605" width="9.42578125" style="330" customWidth="1"/>
    <col min="14606" max="14606" width="8.7109375" style="330" customWidth="1"/>
    <col min="14607" max="14607" width="10.42578125" style="330" customWidth="1"/>
    <col min="14608" max="14608" width="10.28515625" style="330" customWidth="1"/>
    <col min="14609" max="14848" width="11.42578125" style="330"/>
    <col min="14849" max="14849" width="7" style="330" customWidth="1"/>
    <col min="14850" max="14850" width="10.7109375" style="330" customWidth="1"/>
    <col min="14851" max="14851" width="10.5703125" style="330" customWidth="1"/>
    <col min="14852" max="14852" width="10.7109375" style="330" customWidth="1"/>
    <col min="14853" max="14853" width="10.28515625" style="330" customWidth="1"/>
    <col min="14854" max="14854" width="10.7109375" style="330" customWidth="1"/>
    <col min="14855" max="14855" width="9.42578125" style="330" customWidth="1"/>
    <col min="14856" max="14856" width="10.5703125" style="330" customWidth="1"/>
    <col min="14857" max="14857" width="13.7109375" style="330" customWidth="1"/>
    <col min="14858" max="14859" width="10.42578125" style="330" customWidth="1"/>
    <col min="14860" max="14860" width="10.28515625" style="330" customWidth="1"/>
    <col min="14861" max="14861" width="9.42578125" style="330" customWidth="1"/>
    <col min="14862" max="14862" width="8.7109375" style="330" customWidth="1"/>
    <col min="14863" max="14863" width="10.42578125" style="330" customWidth="1"/>
    <col min="14864" max="14864" width="10.28515625" style="330" customWidth="1"/>
    <col min="14865" max="15104" width="11.42578125" style="330"/>
    <col min="15105" max="15105" width="7" style="330" customWidth="1"/>
    <col min="15106" max="15106" width="10.7109375" style="330" customWidth="1"/>
    <col min="15107" max="15107" width="10.5703125" style="330" customWidth="1"/>
    <col min="15108" max="15108" width="10.7109375" style="330" customWidth="1"/>
    <col min="15109" max="15109" width="10.28515625" style="330" customWidth="1"/>
    <col min="15110" max="15110" width="10.7109375" style="330" customWidth="1"/>
    <col min="15111" max="15111" width="9.42578125" style="330" customWidth="1"/>
    <col min="15112" max="15112" width="10.5703125" style="330" customWidth="1"/>
    <col min="15113" max="15113" width="13.7109375" style="330" customWidth="1"/>
    <col min="15114" max="15115" width="10.42578125" style="330" customWidth="1"/>
    <col min="15116" max="15116" width="10.28515625" style="330" customWidth="1"/>
    <col min="15117" max="15117" width="9.42578125" style="330" customWidth="1"/>
    <col min="15118" max="15118" width="8.7109375" style="330" customWidth="1"/>
    <col min="15119" max="15119" width="10.42578125" style="330" customWidth="1"/>
    <col min="15120" max="15120" width="10.28515625" style="330" customWidth="1"/>
    <col min="15121" max="15360" width="11.42578125" style="330"/>
    <col min="15361" max="15361" width="7" style="330" customWidth="1"/>
    <col min="15362" max="15362" width="10.7109375" style="330" customWidth="1"/>
    <col min="15363" max="15363" width="10.5703125" style="330" customWidth="1"/>
    <col min="15364" max="15364" width="10.7109375" style="330" customWidth="1"/>
    <col min="15365" max="15365" width="10.28515625" style="330" customWidth="1"/>
    <col min="15366" max="15366" width="10.7109375" style="330" customWidth="1"/>
    <col min="15367" max="15367" width="9.42578125" style="330" customWidth="1"/>
    <col min="15368" max="15368" width="10.5703125" style="330" customWidth="1"/>
    <col min="15369" max="15369" width="13.7109375" style="330" customWidth="1"/>
    <col min="15370" max="15371" width="10.42578125" style="330" customWidth="1"/>
    <col min="15372" max="15372" width="10.28515625" style="330" customWidth="1"/>
    <col min="15373" max="15373" width="9.42578125" style="330" customWidth="1"/>
    <col min="15374" max="15374" width="8.7109375" style="330" customWidth="1"/>
    <col min="15375" max="15375" width="10.42578125" style="330" customWidth="1"/>
    <col min="15376" max="15376" width="10.28515625" style="330" customWidth="1"/>
    <col min="15377" max="15616" width="11.42578125" style="330"/>
    <col min="15617" max="15617" width="7" style="330" customWidth="1"/>
    <col min="15618" max="15618" width="10.7109375" style="330" customWidth="1"/>
    <col min="15619" max="15619" width="10.5703125" style="330" customWidth="1"/>
    <col min="15620" max="15620" width="10.7109375" style="330" customWidth="1"/>
    <col min="15621" max="15621" width="10.28515625" style="330" customWidth="1"/>
    <col min="15622" max="15622" width="10.7109375" style="330" customWidth="1"/>
    <col min="15623" max="15623" width="9.42578125" style="330" customWidth="1"/>
    <col min="15624" max="15624" width="10.5703125" style="330" customWidth="1"/>
    <col min="15625" max="15625" width="13.7109375" style="330" customWidth="1"/>
    <col min="15626" max="15627" width="10.42578125" style="330" customWidth="1"/>
    <col min="15628" max="15628" width="10.28515625" style="330" customWidth="1"/>
    <col min="15629" max="15629" width="9.42578125" style="330" customWidth="1"/>
    <col min="15630" max="15630" width="8.7109375" style="330" customWidth="1"/>
    <col min="15631" max="15631" width="10.42578125" style="330" customWidth="1"/>
    <col min="15632" max="15632" width="10.28515625" style="330" customWidth="1"/>
    <col min="15633" max="15872" width="11.42578125" style="330"/>
    <col min="15873" max="15873" width="7" style="330" customWidth="1"/>
    <col min="15874" max="15874" width="10.7109375" style="330" customWidth="1"/>
    <col min="15875" max="15875" width="10.5703125" style="330" customWidth="1"/>
    <col min="15876" max="15876" width="10.7109375" style="330" customWidth="1"/>
    <col min="15877" max="15877" width="10.28515625" style="330" customWidth="1"/>
    <col min="15878" max="15878" width="10.7109375" style="330" customWidth="1"/>
    <col min="15879" max="15879" width="9.42578125" style="330" customWidth="1"/>
    <col min="15880" max="15880" width="10.5703125" style="330" customWidth="1"/>
    <col min="15881" max="15881" width="13.7109375" style="330" customWidth="1"/>
    <col min="15882" max="15883" width="10.42578125" style="330" customWidth="1"/>
    <col min="15884" max="15884" width="10.28515625" style="330" customWidth="1"/>
    <col min="15885" max="15885" width="9.42578125" style="330" customWidth="1"/>
    <col min="15886" max="15886" width="8.7109375" style="330" customWidth="1"/>
    <col min="15887" max="15887" width="10.42578125" style="330" customWidth="1"/>
    <col min="15888" max="15888" width="10.28515625" style="330" customWidth="1"/>
    <col min="15889" max="16128" width="11.42578125" style="330"/>
    <col min="16129" max="16129" width="7" style="330" customWidth="1"/>
    <col min="16130" max="16130" width="10.7109375" style="330" customWidth="1"/>
    <col min="16131" max="16131" width="10.5703125" style="330" customWidth="1"/>
    <col min="16132" max="16132" width="10.7109375" style="330" customWidth="1"/>
    <col min="16133" max="16133" width="10.28515625" style="330" customWidth="1"/>
    <col min="16134" max="16134" width="10.7109375" style="330" customWidth="1"/>
    <col min="16135" max="16135" width="9.42578125" style="330" customWidth="1"/>
    <col min="16136" max="16136" width="10.5703125" style="330" customWidth="1"/>
    <col min="16137" max="16137" width="13.7109375" style="330" customWidth="1"/>
    <col min="16138" max="16139" width="10.42578125" style="330" customWidth="1"/>
    <col min="16140" max="16140" width="10.28515625" style="330" customWidth="1"/>
    <col min="16141" max="16141" width="9.42578125" style="330" customWidth="1"/>
    <col min="16142" max="16142" width="8.7109375" style="330" customWidth="1"/>
    <col min="16143" max="16143" width="10.42578125" style="330" customWidth="1"/>
    <col min="16144" max="16144" width="10.28515625" style="330" customWidth="1"/>
    <col min="16145" max="16384" width="11.42578125" style="330"/>
  </cols>
  <sheetData>
    <row r="1" spans="1:21" ht="15" customHeight="1" x14ac:dyDescent="0.2">
      <c r="A1" s="775" t="s">
        <v>1615</v>
      </c>
      <c r="B1" s="775"/>
      <c r="C1" s="775"/>
      <c r="D1" s="775"/>
      <c r="E1" s="775"/>
      <c r="F1" s="775"/>
      <c r="G1" s="775"/>
      <c r="H1" s="775"/>
      <c r="I1" s="775"/>
      <c r="J1" s="775"/>
      <c r="K1" s="775"/>
      <c r="L1" s="775"/>
      <c r="M1" s="775"/>
      <c r="N1" s="775"/>
      <c r="O1" s="775"/>
      <c r="P1" s="775"/>
    </row>
    <row r="2" spans="1:21" ht="15" customHeight="1" x14ac:dyDescent="0.2">
      <c r="A2" s="775" t="s">
        <v>1687</v>
      </c>
      <c r="B2" s="775"/>
      <c r="C2" s="775"/>
      <c r="D2" s="775"/>
      <c r="E2" s="775"/>
      <c r="F2" s="775" t="s">
        <v>1617</v>
      </c>
      <c r="G2" s="775"/>
      <c r="H2" s="775"/>
      <c r="I2" s="775"/>
      <c r="J2" s="775"/>
      <c r="K2" s="775"/>
      <c r="L2" s="775"/>
      <c r="M2" s="775"/>
      <c r="N2" s="775"/>
      <c r="O2" s="775"/>
      <c r="P2" s="775"/>
    </row>
    <row r="3" spans="1:21" ht="15" customHeight="1" x14ac:dyDescent="0.2">
      <c r="E3" s="331"/>
    </row>
    <row r="4" spans="1:21" ht="15" customHeight="1" x14ac:dyDescent="0.25">
      <c r="A4" s="776" t="s">
        <v>1618</v>
      </c>
      <c r="B4" s="776"/>
      <c r="C4" s="776"/>
      <c r="D4" s="776"/>
      <c r="E4" s="776"/>
      <c r="F4" s="331"/>
      <c r="K4" s="331"/>
      <c r="N4" s="331" t="s">
        <v>1619</v>
      </c>
      <c r="O4" s="332">
        <f>IF(HorasAmortizaciónEquipoCamión=0,0,ROUND(Valor_CamiónAcoplado*PorcentajeEquipoAmortizarCamión/HorasAmortizaciónEquipoCamión,3))</f>
        <v>0</v>
      </c>
    </row>
    <row r="5" spans="1:21" ht="15" customHeight="1" x14ac:dyDescent="0.2">
      <c r="F5" s="331"/>
      <c r="K5" s="331"/>
      <c r="O5" s="333"/>
    </row>
    <row r="6" spans="1:21" ht="15" customHeight="1" x14ac:dyDescent="0.2">
      <c r="A6" s="397"/>
      <c r="B6" s="397"/>
      <c r="C6" s="397"/>
      <c r="D6" s="397"/>
      <c r="E6" s="397"/>
      <c r="F6" s="331"/>
      <c r="K6" s="331"/>
      <c r="O6" s="333"/>
    </row>
    <row r="7" spans="1:21" ht="15" customHeight="1" x14ac:dyDescent="0.2">
      <c r="A7" s="790" t="s">
        <v>1620</v>
      </c>
      <c r="B7" s="790"/>
      <c r="C7" s="790"/>
      <c r="D7" s="790"/>
      <c r="E7" s="386"/>
      <c r="F7" s="331"/>
      <c r="G7" s="334"/>
      <c r="I7" s="777"/>
      <c r="J7" s="335"/>
      <c r="K7" s="336"/>
      <c r="N7" s="331" t="s">
        <v>1621</v>
      </c>
      <c r="O7" s="332">
        <f>ROUND(Valor_CamiónAcoplado*E10/4000,3)</f>
        <v>0</v>
      </c>
      <c r="Q7" s="334"/>
      <c r="R7" s="337"/>
      <c r="S7" s="777"/>
      <c r="T7" s="338"/>
      <c r="U7" s="335"/>
    </row>
    <row r="8" spans="1:21" ht="15" customHeight="1" x14ac:dyDescent="0.2">
      <c r="A8" s="790" t="s">
        <v>1622</v>
      </c>
      <c r="B8" s="790"/>
      <c r="C8" s="790"/>
      <c r="D8" s="790"/>
      <c r="E8" s="387"/>
      <c r="F8" s="331"/>
      <c r="G8" s="778"/>
      <c r="H8" s="778"/>
      <c r="I8" s="777"/>
      <c r="K8" s="331"/>
      <c r="O8" s="333"/>
      <c r="Q8" s="778"/>
      <c r="R8" s="778"/>
      <c r="S8" s="777"/>
    </row>
    <row r="9" spans="1:21" ht="15" customHeight="1" x14ac:dyDescent="0.2">
      <c r="A9" s="790" t="s">
        <v>1623</v>
      </c>
      <c r="B9" s="790"/>
      <c r="C9" s="790"/>
      <c r="D9" s="790"/>
      <c r="E9" s="388"/>
      <c r="F9" s="331"/>
      <c r="K9" s="331"/>
      <c r="O9" s="333"/>
    </row>
    <row r="10" spans="1:21" ht="15" customHeight="1" x14ac:dyDescent="0.2">
      <c r="A10" s="790" t="s">
        <v>1624</v>
      </c>
      <c r="B10" s="790"/>
      <c r="C10" s="790"/>
      <c r="D10" s="790"/>
      <c r="E10" s="388"/>
      <c r="F10" s="331"/>
      <c r="K10" s="331"/>
      <c r="N10" s="331" t="s">
        <v>1625</v>
      </c>
      <c r="O10" s="332">
        <f>ROUND(O4*Porcentaje_Reparaciones_Repuestos,3)</f>
        <v>0</v>
      </c>
    </row>
    <row r="11" spans="1:21" ht="15" customHeight="1" x14ac:dyDescent="0.2">
      <c r="A11" s="790" t="s">
        <v>1626</v>
      </c>
      <c r="B11" s="790"/>
      <c r="C11" s="790"/>
      <c r="D11" s="790"/>
      <c r="E11" s="388"/>
      <c r="F11" s="331"/>
      <c r="K11" s="331"/>
      <c r="O11" s="333"/>
    </row>
    <row r="12" spans="1:21" ht="15" customHeight="1" x14ac:dyDescent="0.2">
      <c r="A12" s="790" t="s">
        <v>1627</v>
      </c>
      <c r="B12" s="790"/>
      <c r="C12" s="790"/>
      <c r="D12" s="790"/>
      <c r="E12" s="388"/>
      <c r="F12" s="331"/>
      <c r="K12" s="331"/>
      <c r="O12" s="333"/>
    </row>
    <row r="13" spans="1:21" ht="15" customHeight="1" x14ac:dyDescent="0.2">
      <c r="A13" s="790" t="s">
        <v>1628</v>
      </c>
      <c r="B13" s="790"/>
      <c r="C13" s="790"/>
      <c r="D13" s="790"/>
      <c r="E13" s="387"/>
      <c r="F13" s="331"/>
      <c r="K13" s="331"/>
      <c r="N13" s="331" t="s">
        <v>1629</v>
      </c>
      <c r="O13" s="332">
        <f>ROUND(Tiempo_lavado_en_horas*Mano_Obra_Lavado*Cantidad_lavado_al_mes*12/2000,3)</f>
        <v>0</v>
      </c>
    </row>
    <row r="14" spans="1:21" ht="15" customHeight="1" x14ac:dyDescent="0.2">
      <c r="A14" s="790" t="s">
        <v>1630</v>
      </c>
      <c r="B14" s="790"/>
      <c r="C14" s="790"/>
      <c r="D14" s="790"/>
      <c r="E14" s="389"/>
      <c r="F14" s="331"/>
      <c r="K14" s="331"/>
      <c r="O14" s="333"/>
    </row>
    <row r="15" spans="1:21" ht="15" customHeight="1" x14ac:dyDescent="0.2">
      <c r="A15" s="790" t="s">
        <v>1631</v>
      </c>
      <c r="B15" s="790"/>
      <c r="C15" s="790"/>
      <c r="D15" s="790"/>
      <c r="E15" s="390"/>
      <c r="F15" s="331"/>
      <c r="G15" s="334"/>
      <c r="I15" s="777"/>
      <c r="J15" s="335"/>
      <c r="K15" s="336"/>
      <c r="O15" s="333"/>
      <c r="Q15" s="339"/>
      <c r="R15" s="340"/>
      <c r="S15" s="777"/>
      <c r="T15" s="338"/>
      <c r="U15" s="341"/>
    </row>
    <row r="16" spans="1:21" ht="15" customHeight="1" x14ac:dyDescent="0.2">
      <c r="A16" s="790" t="s">
        <v>1632</v>
      </c>
      <c r="B16" s="790"/>
      <c r="C16" s="790"/>
      <c r="D16" s="790"/>
      <c r="E16" s="391"/>
      <c r="F16" s="331"/>
      <c r="G16" s="778"/>
      <c r="H16" s="778"/>
      <c r="I16" s="777"/>
      <c r="K16" s="331"/>
      <c r="N16" s="331" t="s">
        <v>1633</v>
      </c>
      <c r="O16" s="332">
        <f>ROUND(Valor_CamiónAcoplado*PorSegurosPatentesImpustoCamión/2000,3)</f>
        <v>0</v>
      </c>
      <c r="Q16" s="779"/>
      <c r="R16" s="779"/>
      <c r="S16" s="777"/>
    </row>
    <row r="17" spans="1:21" ht="15" customHeight="1" x14ac:dyDescent="0.2">
      <c r="A17" s="790" t="s">
        <v>1634</v>
      </c>
      <c r="B17" s="790"/>
      <c r="C17" s="790"/>
      <c r="D17" s="790"/>
      <c r="E17" s="392"/>
      <c r="F17" s="331"/>
      <c r="K17" s="331"/>
      <c r="O17" s="333"/>
    </row>
    <row r="18" spans="1:21" ht="15" customHeight="1" x14ac:dyDescent="0.2">
      <c r="A18" s="790" t="s">
        <v>1635</v>
      </c>
      <c r="B18" s="790"/>
      <c r="C18" s="790"/>
      <c r="D18" s="790"/>
      <c r="E18" s="393"/>
      <c r="F18" s="331"/>
      <c r="K18" s="331"/>
      <c r="O18" s="333"/>
    </row>
    <row r="19" spans="1:21" ht="15" customHeight="1" x14ac:dyDescent="0.2">
      <c r="A19" s="790" t="s">
        <v>1636</v>
      </c>
      <c r="B19" s="790"/>
      <c r="C19" s="790"/>
      <c r="D19" s="790"/>
      <c r="E19" s="394"/>
      <c r="F19" s="331"/>
      <c r="G19" s="334"/>
      <c r="J19" s="335"/>
      <c r="K19" s="336"/>
      <c r="N19" s="331" t="s">
        <v>1637</v>
      </c>
      <c r="O19" s="332">
        <f>IF(V_U_cámara_cubiertas_CamiónAcoplado=0,0,ROUND(Cantidad_camaras_cubiertas*Valor_cámara_cubiertas_CamiónAcoplado/V_U_cámara_cubiertas_CamiónAcoplado,3))</f>
        <v>0</v>
      </c>
      <c r="Q19" s="342"/>
      <c r="R19" s="343"/>
      <c r="S19" s="344"/>
      <c r="T19" s="338"/>
      <c r="U19" s="345"/>
    </row>
    <row r="20" spans="1:21" ht="15" customHeight="1" x14ac:dyDescent="0.2">
      <c r="A20" s="790" t="s">
        <v>1638</v>
      </c>
      <c r="B20" s="790"/>
      <c r="C20" s="790"/>
      <c r="D20" s="790"/>
      <c r="E20" s="388"/>
      <c r="F20" s="331"/>
      <c r="G20" s="778"/>
      <c r="H20" s="778"/>
      <c r="K20" s="331"/>
      <c r="O20" s="333"/>
    </row>
    <row r="21" spans="1:21" ht="15" customHeight="1" x14ac:dyDescent="0.2">
      <c r="A21" s="790" t="s">
        <v>1689</v>
      </c>
      <c r="B21" s="790"/>
      <c r="C21" s="790"/>
      <c r="D21" s="790" t="s">
        <v>1639</v>
      </c>
      <c r="E21" s="395"/>
      <c r="G21" s="789"/>
      <c r="H21" s="789"/>
      <c r="I21" s="789"/>
      <c r="K21" s="331"/>
      <c r="O21" s="333"/>
    </row>
    <row r="22" spans="1:21" ht="15" customHeight="1" x14ac:dyDescent="0.2">
      <c r="A22" s="790" t="s">
        <v>1690</v>
      </c>
      <c r="B22" s="790"/>
      <c r="C22" s="790"/>
      <c r="D22" s="790" t="s">
        <v>1640</v>
      </c>
      <c r="E22" s="396"/>
      <c r="K22" s="331"/>
      <c r="N22" s="331" t="s">
        <v>1641</v>
      </c>
      <c r="O22" s="332">
        <f>ROUND(Consumo_gasoil_CamiónAcoplado_porkm*Costo_gasoil*(1+Porcentaje_Lubricantes),3)</f>
        <v>0</v>
      </c>
    </row>
    <row r="23" spans="1:21" ht="15" customHeight="1" x14ac:dyDescent="0.25">
      <c r="A23" s="398"/>
      <c r="B23" s="398"/>
      <c r="C23" s="398"/>
      <c r="D23" s="398"/>
      <c r="E23" s="398"/>
      <c r="G23" s="346"/>
      <c r="H23" s="347"/>
      <c r="I23" s="348"/>
      <c r="J23" s="349"/>
      <c r="K23" s="336"/>
    </row>
    <row r="25" spans="1:21" ht="15" customHeight="1" x14ac:dyDescent="0.2">
      <c r="A25" s="785" t="s">
        <v>1642</v>
      </c>
      <c r="B25" s="785"/>
      <c r="C25" s="785"/>
      <c r="D25" s="785"/>
      <c r="E25" s="785"/>
      <c r="F25" s="785"/>
      <c r="G25" s="785"/>
      <c r="H25" s="786" t="s">
        <v>1643</v>
      </c>
      <c r="I25" s="786"/>
      <c r="J25" s="786"/>
      <c r="K25" s="786"/>
      <c r="L25" s="786"/>
      <c r="M25" s="786"/>
      <c r="N25" s="786"/>
      <c r="O25" s="786"/>
      <c r="P25" s="787" t="s">
        <v>1644</v>
      </c>
    </row>
    <row r="26" spans="1:21" ht="15" customHeight="1" x14ac:dyDescent="0.2">
      <c r="A26" s="350" t="s">
        <v>1645</v>
      </c>
      <c r="B26" s="350" t="s">
        <v>1646</v>
      </c>
      <c r="C26" s="350" t="s">
        <v>1647</v>
      </c>
      <c r="D26" s="350" t="s">
        <v>1648</v>
      </c>
      <c r="E26" s="350" t="s">
        <v>1649</v>
      </c>
      <c r="F26" s="350" t="s">
        <v>975</v>
      </c>
      <c r="G26" s="350" t="s">
        <v>1650</v>
      </c>
      <c r="H26" s="788" t="s">
        <v>1591</v>
      </c>
      <c r="I26" s="788" t="s">
        <v>1651</v>
      </c>
      <c r="J26" s="350" t="s">
        <v>1652</v>
      </c>
      <c r="K26" s="350" t="s">
        <v>1653</v>
      </c>
      <c r="L26" s="350" t="s">
        <v>1654</v>
      </c>
      <c r="M26" s="350" t="s">
        <v>1655</v>
      </c>
      <c r="N26" s="350" t="s">
        <v>1656</v>
      </c>
      <c r="O26" s="351" t="s">
        <v>1688</v>
      </c>
      <c r="P26" s="787"/>
    </row>
    <row r="27" spans="1:21" ht="15" customHeight="1" x14ac:dyDescent="0.2">
      <c r="A27" s="350" t="s">
        <v>1658</v>
      </c>
      <c r="B27" s="350" t="s">
        <v>1659</v>
      </c>
      <c r="C27" s="350" t="s">
        <v>1660</v>
      </c>
      <c r="D27" s="350" t="s">
        <v>1661</v>
      </c>
      <c r="E27" s="350" t="s">
        <v>1662</v>
      </c>
      <c r="F27" s="350" t="s">
        <v>1663</v>
      </c>
      <c r="G27" s="350" t="s">
        <v>1664</v>
      </c>
      <c r="H27" s="788"/>
      <c r="I27" s="788"/>
      <c r="J27" s="350" t="s">
        <v>1665</v>
      </c>
      <c r="K27" s="350" t="s">
        <v>1666</v>
      </c>
      <c r="L27" s="350" t="s">
        <v>1667</v>
      </c>
      <c r="M27" s="350" t="s">
        <v>1668</v>
      </c>
      <c r="N27" s="350" t="s">
        <v>1669</v>
      </c>
      <c r="O27" s="351" t="s">
        <v>1670</v>
      </c>
      <c r="P27" s="787"/>
    </row>
    <row r="28" spans="1:21" ht="15" customHeight="1" x14ac:dyDescent="0.2">
      <c r="A28" s="784" t="s">
        <v>1671</v>
      </c>
      <c r="B28" s="784" t="s">
        <v>1672</v>
      </c>
      <c r="C28" s="784" t="s">
        <v>1673</v>
      </c>
      <c r="D28" s="784" t="s">
        <v>1674</v>
      </c>
      <c r="E28" s="784" t="s">
        <v>1675</v>
      </c>
      <c r="F28" s="784" t="s">
        <v>1676</v>
      </c>
      <c r="G28" s="784" t="s">
        <v>1677</v>
      </c>
      <c r="H28" s="784" t="s">
        <v>1678</v>
      </c>
      <c r="I28" s="784" t="s">
        <v>1679</v>
      </c>
      <c r="J28" s="784" t="s">
        <v>1680</v>
      </c>
      <c r="K28" s="784" t="s">
        <v>1681</v>
      </c>
      <c r="L28" s="784" t="s">
        <v>1682</v>
      </c>
      <c r="M28" s="784" t="s">
        <v>1683</v>
      </c>
      <c r="N28" s="784" t="s">
        <v>1684</v>
      </c>
      <c r="O28" s="784" t="s">
        <v>1685</v>
      </c>
      <c r="P28" s="780" t="s">
        <v>1686</v>
      </c>
    </row>
    <row r="29" spans="1:21" ht="15" customHeight="1" x14ac:dyDescent="0.2">
      <c r="A29" s="784"/>
      <c r="B29" s="784"/>
      <c r="C29" s="784"/>
      <c r="D29" s="784"/>
      <c r="E29" s="784"/>
      <c r="F29" s="784"/>
      <c r="G29" s="784"/>
      <c r="H29" s="784"/>
      <c r="I29" s="784"/>
      <c r="J29" s="784"/>
      <c r="K29" s="784"/>
      <c r="L29" s="784"/>
      <c r="M29" s="784"/>
      <c r="N29" s="784"/>
      <c r="O29" s="784"/>
      <c r="P29" s="780"/>
    </row>
    <row r="30" spans="1:21" ht="15" customHeight="1" x14ac:dyDescent="0.2">
      <c r="A30" s="352">
        <v>55</v>
      </c>
      <c r="B30" s="361"/>
      <c r="C30" s="354">
        <f>IF(B30=0,0,(2*A30*60)/B30)</f>
        <v>0</v>
      </c>
      <c r="D30" s="354"/>
      <c r="E30" s="354">
        <f t="shared" ref="E30:E64" si="0">+C30+D30</f>
        <v>0</v>
      </c>
      <c r="F30" s="362">
        <f>A30*$E$21</f>
        <v>0</v>
      </c>
      <c r="G30" s="357">
        <f t="shared" ref="G30:G64" si="1">+A30*2</f>
        <v>110</v>
      </c>
      <c r="H30" s="358">
        <f>'Transp. Camión con Acoplado'!A*(E30/60)</f>
        <v>0</v>
      </c>
      <c r="I30" s="358">
        <f>'Transp. Camión con Acoplado'!B*(E30/60)</f>
        <v>0</v>
      </c>
      <c r="J30" s="358">
        <f>'Transp. Camión con Acoplado'!C_*(C30/60)</f>
        <v>0</v>
      </c>
      <c r="K30" s="358">
        <f>'Transp. Camión con Acoplado'!D*(E30/60)</f>
        <v>0</v>
      </c>
      <c r="L30" s="358">
        <f>'Transp. Camión con Acoplado'!E*(E30/60)</f>
        <v>0</v>
      </c>
      <c r="M30" s="358">
        <f>'Transp. Camión con Acoplado'!F_*G30</f>
        <v>0</v>
      </c>
      <c r="N30" s="358">
        <f t="shared" ref="N30:N64" si="2">Mano_Obra_Lavado*(E30/60)</f>
        <v>0</v>
      </c>
      <c r="O30" s="358">
        <f>+G30*'Transp. Camión con Acoplado'!G</f>
        <v>0</v>
      </c>
      <c r="P30" s="359">
        <f>IF(F30=0,0,ROUND(SUM(H30:O30)/F30,3))</f>
        <v>0</v>
      </c>
      <c r="R30" s="360"/>
    </row>
    <row r="31" spans="1:21" ht="15" customHeight="1" x14ac:dyDescent="0.2">
      <c r="A31" s="352">
        <v>60</v>
      </c>
      <c r="B31" s="361"/>
      <c r="C31" s="354">
        <f t="shared" ref="C31:C64" si="3">IF(B31=0,0,(2*A31*60)/B31)</f>
        <v>0</v>
      </c>
      <c r="D31" s="354"/>
      <c r="E31" s="354">
        <f t="shared" si="0"/>
        <v>0</v>
      </c>
      <c r="F31" s="362">
        <f t="shared" ref="F31:F64" si="4">A31*$E$21</f>
        <v>0</v>
      </c>
      <c r="G31" s="357">
        <f t="shared" si="1"/>
        <v>120</v>
      </c>
      <c r="H31" s="358">
        <f>'Transp. Camión con Acoplado'!A*(E31/60)</f>
        <v>0</v>
      </c>
      <c r="I31" s="358">
        <f>'Transp. Camión con Acoplado'!B*(E31/60)</f>
        <v>0</v>
      </c>
      <c r="J31" s="358">
        <f>'Transp. Camión con Acoplado'!C_*(C31/60)</f>
        <v>0</v>
      </c>
      <c r="K31" s="358">
        <f>'Transp. Camión con Acoplado'!D*(E31/60)</f>
        <v>0</v>
      </c>
      <c r="L31" s="358">
        <f>'Transp. Camión con Acoplado'!E*(E31/60)</f>
        <v>0</v>
      </c>
      <c r="M31" s="358">
        <f>'Transp. Camión con Acoplado'!F_*G31</f>
        <v>0</v>
      </c>
      <c r="N31" s="358">
        <f t="shared" si="2"/>
        <v>0</v>
      </c>
      <c r="O31" s="358">
        <f>+G31*'Transp. Camión con Acoplado'!G</f>
        <v>0</v>
      </c>
      <c r="P31" s="359">
        <f t="shared" ref="P31:P64" si="5">IF(F31=0,0,ROUND(SUM(H31:O31)/F31,3))</f>
        <v>0</v>
      </c>
      <c r="R31" s="360"/>
    </row>
    <row r="32" spans="1:21" ht="15" customHeight="1" x14ac:dyDescent="0.2">
      <c r="A32" s="352">
        <v>65</v>
      </c>
      <c r="B32" s="361"/>
      <c r="C32" s="354">
        <f t="shared" si="3"/>
        <v>0</v>
      </c>
      <c r="D32" s="354"/>
      <c r="E32" s="354">
        <f t="shared" si="0"/>
        <v>0</v>
      </c>
      <c r="F32" s="362">
        <f t="shared" si="4"/>
        <v>0</v>
      </c>
      <c r="G32" s="357">
        <f t="shared" si="1"/>
        <v>130</v>
      </c>
      <c r="H32" s="358">
        <f>'Transp. Camión con Acoplado'!A*(E32/60)</f>
        <v>0</v>
      </c>
      <c r="I32" s="358">
        <f>'Transp. Camión con Acoplado'!B*(E32/60)</f>
        <v>0</v>
      </c>
      <c r="J32" s="358">
        <f>'Transp. Camión con Acoplado'!C_*(C32/60)</f>
        <v>0</v>
      </c>
      <c r="K32" s="358">
        <f>'Transp. Camión con Acoplado'!D*(E32/60)</f>
        <v>0</v>
      </c>
      <c r="L32" s="358">
        <f>'Transp. Camión con Acoplado'!E*(E32/60)</f>
        <v>0</v>
      </c>
      <c r="M32" s="358">
        <f>'Transp. Camión con Acoplado'!F_*G32</f>
        <v>0</v>
      </c>
      <c r="N32" s="358">
        <f t="shared" si="2"/>
        <v>0</v>
      </c>
      <c r="O32" s="358">
        <f>+G32*'Transp. Camión con Acoplado'!G</f>
        <v>0</v>
      </c>
      <c r="P32" s="359">
        <f t="shared" si="5"/>
        <v>0</v>
      </c>
      <c r="R32" s="360"/>
    </row>
    <row r="33" spans="1:18" ht="15" customHeight="1" x14ac:dyDescent="0.2">
      <c r="A33" s="352">
        <v>70</v>
      </c>
      <c r="B33" s="361"/>
      <c r="C33" s="354">
        <f t="shared" si="3"/>
        <v>0</v>
      </c>
      <c r="D33" s="354"/>
      <c r="E33" s="354">
        <f t="shared" si="0"/>
        <v>0</v>
      </c>
      <c r="F33" s="362">
        <f t="shared" si="4"/>
        <v>0</v>
      </c>
      <c r="G33" s="357">
        <f t="shared" si="1"/>
        <v>140</v>
      </c>
      <c r="H33" s="358">
        <f>'Transp. Camión con Acoplado'!A*(E33/60)</f>
        <v>0</v>
      </c>
      <c r="I33" s="358">
        <f>'Transp. Camión con Acoplado'!B*(E33/60)</f>
        <v>0</v>
      </c>
      <c r="J33" s="358">
        <f>'Transp. Camión con Acoplado'!C_*(C33/60)</f>
        <v>0</v>
      </c>
      <c r="K33" s="358">
        <f>'Transp. Camión con Acoplado'!D*(E33/60)</f>
        <v>0</v>
      </c>
      <c r="L33" s="358">
        <f>'Transp. Camión con Acoplado'!E*(E33/60)</f>
        <v>0</v>
      </c>
      <c r="M33" s="358">
        <f>'Transp. Camión con Acoplado'!F_*G33</f>
        <v>0</v>
      </c>
      <c r="N33" s="358">
        <f t="shared" si="2"/>
        <v>0</v>
      </c>
      <c r="O33" s="358">
        <f>+G33*'Transp. Camión con Acoplado'!G</f>
        <v>0</v>
      </c>
      <c r="P33" s="359">
        <f t="shared" si="5"/>
        <v>0</v>
      </c>
      <c r="R33" s="360"/>
    </row>
    <row r="34" spans="1:18" ht="15" customHeight="1" x14ac:dyDescent="0.2">
      <c r="A34" s="352">
        <v>75</v>
      </c>
      <c r="B34" s="361"/>
      <c r="C34" s="354">
        <f t="shared" si="3"/>
        <v>0</v>
      </c>
      <c r="D34" s="354"/>
      <c r="E34" s="354">
        <f t="shared" si="0"/>
        <v>0</v>
      </c>
      <c r="F34" s="362">
        <f t="shared" si="4"/>
        <v>0</v>
      </c>
      <c r="G34" s="357">
        <f t="shared" si="1"/>
        <v>150</v>
      </c>
      <c r="H34" s="358">
        <f>'Transp. Camión con Acoplado'!A*(E34/60)</f>
        <v>0</v>
      </c>
      <c r="I34" s="358">
        <f>'Transp. Camión con Acoplado'!B*(E34/60)</f>
        <v>0</v>
      </c>
      <c r="J34" s="358">
        <f>'Transp. Camión con Acoplado'!C_*(C34/60)</f>
        <v>0</v>
      </c>
      <c r="K34" s="358">
        <f>'Transp. Camión con Acoplado'!D*(E34/60)</f>
        <v>0</v>
      </c>
      <c r="L34" s="358">
        <f>'Transp. Camión con Acoplado'!E*(E34/60)</f>
        <v>0</v>
      </c>
      <c r="M34" s="358">
        <f>'Transp. Camión con Acoplado'!F_*G34</f>
        <v>0</v>
      </c>
      <c r="N34" s="358">
        <f t="shared" si="2"/>
        <v>0</v>
      </c>
      <c r="O34" s="358">
        <f>+G34*'Transp. Camión con Acoplado'!G</f>
        <v>0</v>
      </c>
      <c r="P34" s="359">
        <f t="shared" si="5"/>
        <v>0</v>
      </c>
      <c r="R34" s="360"/>
    </row>
    <row r="35" spans="1:18" ht="15" customHeight="1" x14ac:dyDescent="0.2">
      <c r="A35" s="352">
        <v>80</v>
      </c>
      <c r="B35" s="361"/>
      <c r="C35" s="354">
        <f t="shared" si="3"/>
        <v>0</v>
      </c>
      <c r="D35" s="354"/>
      <c r="E35" s="354">
        <f t="shared" si="0"/>
        <v>0</v>
      </c>
      <c r="F35" s="362">
        <f t="shared" si="4"/>
        <v>0</v>
      </c>
      <c r="G35" s="357">
        <f t="shared" si="1"/>
        <v>160</v>
      </c>
      <c r="H35" s="358">
        <f>'Transp. Camión con Acoplado'!A*(E35/60)</f>
        <v>0</v>
      </c>
      <c r="I35" s="358">
        <f>'Transp. Camión con Acoplado'!B*(E35/60)</f>
        <v>0</v>
      </c>
      <c r="J35" s="358">
        <f>'Transp. Camión con Acoplado'!C_*(C35/60)</f>
        <v>0</v>
      </c>
      <c r="K35" s="358">
        <f>'Transp. Camión con Acoplado'!D*(E35/60)</f>
        <v>0</v>
      </c>
      <c r="L35" s="358">
        <f>'Transp. Camión con Acoplado'!E*(E35/60)</f>
        <v>0</v>
      </c>
      <c r="M35" s="358">
        <f>'Transp. Camión con Acoplado'!F_*G35</f>
        <v>0</v>
      </c>
      <c r="N35" s="358">
        <f t="shared" si="2"/>
        <v>0</v>
      </c>
      <c r="O35" s="358">
        <f>+G35*'Transp. Camión con Acoplado'!G</f>
        <v>0</v>
      </c>
      <c r="P35" s="359">
        <f t="shared" si="5"/>
        <v>0</v>
      </c>
      <c r="R35" s="360"/>
    </row>
    <row r="36" spans="1:18" ht="15" customHeight="1" x14ac:dyDescent="0.2">
      <c r="A36" s="352">
        <v>85</v>
      </c>
      <c r="B36" s="361"/>
      <c r="C36" s="354">
        <f t="shared" si="3"/>
        <v>0</v>
      </c>
      <c r="D36" s="354"/>
      <c r="E36" s="354">
        <f t="shared" si="0"/>
        <v>0</v>
      </c>
      <c r="F36" s="362">
        <f t="shared" si="4"/>
        <v>0</v>
      </c>
      <c r="G36" s="357">
        <f t="shared" si="1"/>
        <v>170</v>
      </c>
      <c r="H36" s="358">
        <f>'Transp. Camión con Acoplado'!A*(E36/60)</f>
        <v>0</v>
      </c>
      <c r="I36" s="358">
        <f>'Transp. Camión con Acoplado'!B*(E36/60)</f>
        <v>0</v>
      </c>
      <c r="J36" s="358">
        <f>'Transp. Camión con Acoplado'!C_*(C36/60)</f>
        <v>0</v>
      </c>
      <c r="K36" s="358">
        <f>'Transp. Camión con Acoplado'!D*(E36/60)</f>
        <v>0</v>
      </c>
      <c r="L36" s="358">
        <f>'Transp. Camión con Acoplado'!E*(E36/60)</f>
        <v>0</v>
      </c>
      <c r="M36" s="358">
        <f>'Transp. Camión con Acoplado'!F_*G36</f>
        <v>0</v>
      </c>
      <c r="N36" s="358">
        <f t="shared" si="2"/>
        <v>0</v>
      </c>
      <c r="O36" s="358">
        <f>+G36*'Transp. Camión con Acoplado'!G</f>
        <v>0</v>
      </c>
      <c r="P36" s="359">
        <f t="shared" si="5"/>
        <v>0</v>
      </c>
      <c r="R36" s="360"/>
    </row>
    <row r="37" spans="1:18" ht="15" customHeight="1" x14ac:dyDescent="0.2">
      <c r="A37" s="352">
        <v>90</v>
      </c>
      <c r="B37" s="361"/>
      <c r="C37" s="354">
        <f t="shared" si="3"/>
        <v>0</v>
      </c>
      <c r="D37" s="354"/>
      <c r="E37" s="354">
        <f t="shared" si="0"/>
        <v>0</v>
      </c>
      <c r="F37" s="362">
        <f t="shared" si="4"/>
        <v>0</v>
      </c>
      <c r="G37" s="357">
        <f t="shared" si="1"/>
        <v>180</v>
      </c>
      <c r="H37" s="358">
        <f>'Transp. Camión con Acoplado'!A*(E37/60)</f>
        <v>0</v>
      </c>
      <c r="I37" s="358">
        <f>'Transp. Camión con Acoplado'!B*(E37/60)</f>
        <v>0</v>
      </c>
      <c r="J37" s="358">
        <f>'Transp. Camión con Acoplado'!C_*(C37/60)</f>
        <v>0</v>
      </c>
      <c r="K37" s="358">
        <f>'Transp. Camión con Acoplado'!D*(E37/60)</f>
        <v>0</v>
      </c>
      <c r="L37" s="358">
        <f>'Transp. Camión con Acoplado'!E*(E37/60)</f>
        <v>0</v>
      </c>
      <c r="M37" s="358">
        <f>'Transp. Camión con Acoplado'!F_*G37</f>
        <v>0</v>
      </c>
      <c r="N37" s="358">
        <f t="shared" si="2"/>
        <v>0</v>
      </c>
      <c r="O37" s="358">
        <f>+G37*'Transp. Camión con Acoplado'!G</f>
        <v>0</v>
      </c>
      <c r="P37" s="359">
        <f t="shared" si="5"/>
        <v>0</v>
      </c>
      <c r="R37" s="360"/>
    </row>
    <row r="38" spans="1:18" ht="15" customHeight="1" x14ac:dyDescent="0.2">
      <c r="A38" s="352">
        <v>95</v>
      </c>
      <c r="B38" s="361"/>
      <c r="C38" s="354">
        <f t="shared" si="3"/>
        <v>0</v>
      </c>
      <c r="D38" s="354"/>
      <c r="E38" s="354">
        <f t="shared" si="0"/>
        <v>0</v>
      </c>
      <c r="F38" s="362">
        <f t="shared" si="4"/>
        <v>0</v>
      </c>
      <c r="G38" s="357">
        <f t="shared" si="1"/>
        <v>190</v>
      </c>
      <c r="H38" s="358">
        <f>'Transp. Camión con Acoplado'!A*(E38/60)</f>
        <v>0</v>
      </c>
      <c r="I38" s="358">
        <f>'Transp. Camión con Acoplado'!B*(E38/60)</f>
        <v>0</v>
      </c>
      <c r="J38" s="358">
        <f>'Transp. Camión con Acoplado'!C_*(C38/60)</f>
        <v>0</v>
      </c>
      <c r="K38" s="358">
        <f>'Transp. Camión con Acoplado'!D*(E38/60)</f>
        <v>0</v>
      </c>
      <c r="L38" s="358">
        <f>'Transp. Camión con Acoplado'!E*(E38/60)</f>
        <v>0</v>
      </c>
      <c r="M38" s="358">
        <f>'Transp. Camión con Acoplado'!F_*G38</f>
        <v>0</v>
      </c>
      <c r="N38" s="358">
        <f t="shared" si="2"/>
        <v>0</v>
      </c>
      <c r="O38" s="358">
        <f>+G38*'Transp. Camión con Acoplado'!G</f>
        <v>0</v>
      </c>
      <c r="P38" s="359">
        <f t="shared" si="5"/>
        <v>0</v>
      </c>
      <c r="R38" s="360"/>
    </row>
    <row r="39" spans="1:18" ht="15" customHeight="1" x14ac:dyDescent="0.2">
      <c r="A39" s="352">
        <v>100</v>
      </c>
      <c r="B39" s="361"/>
      <c r="C39" s="354">
        <f t="shared" si="3"/>
        <v>0</v>
      </c>
      <c r="D39" s="354"/>
      <c r="E39" s="354">
        <f t="shared" si="0"/>
        <v>0</v>
      </c>
      <c r="F39" s="362">
        <f t="shared" si="4"/>
        <v>0</v>
      </c>
      <c r="G39" s="357">
        <f t="shared" si="1"/>
        <v>200</v>
      </c>
      <c r="H39" s="358">
        <f>'Transp. Camión con Acoplado'!A*(E39/60)</f>
        <v>0</v>
      </c>
      <c r="I39" s="358">
        <f>'Transp. Camión con Acoplado'!B*(E39/60)</f>
        <v>0</v>
      </c>
      <c r="J39" s="358">
        <f>'Transp. Camión con Acoplado'!C_*(C39/60)</f>
        <v>0</v>
      </c>
      <c r="K39" s="358">
        <f>'Transp. Camión con Acoplado'!D*(E39/60)</f>
        <v>0</v>
      </c>
      <c r="L39" s="358">
        <f>'Transp. Camión con Acoplado'!E*(E39/60)</f>
        <v>0</v>
      </c>
      <c r="M39" s="358">
        <f>'Transp. Camión con Acoplado'!F_*G39</f>
        <v>0</v>
      </c>
      <c r="N39" s="358">
        <f t="shared" si="2"/>
        <v>0</v>
      </c>
      <c r="O39" s="358">
        <f>+G39*'Transp. Camión con Acoplado'!G</f>
        <v>0</v>
      </c>
      <c r="P39" s="359">
        <f t="shared" si="5"/>
        <v>0</v>
      </c>
      <c r="R39" s="360"/>
    </row>
    <row r="40" spans="1:18" ht="15" customHeight="1" x14ac:dyDescent="0.2">
      <c r="A40" s="352">
        <v>105</v>
      </c>
      <c r="B40" s="361"/>
      <c r="C40" s="354">
        <f t="shared" si="3"/>
        <v>0</v>
      </c>
      <c r="D40" s="354"/>
      <c r="E40" s="354">
        <f t="shared" si="0"/>
        <v>0</v>
      </c>
      <c r="F40" s="362">
        <f t="shared" si="4"/>
        <v>0</v>
      </c>
      <c r="G40" s="357">
        <f t="shared" si="1"/>
        <v>210</v>
      </c>
      <c r="H40" s="358">
        <f>'Transp. Camión con Acoplado'!A*(E40/60)</f>
        <v>0</v>
      </c>
      <c r="I40" s="358">
        <f>'Transp. Camión con Acoplado'!B*(E40/60)</f>
        <v>0</v>
      </c>
      <c r="J40" s="358">
        <f>'Transp. Camión con Acoplado'!C_*(C40/60)</f>
        <v>0</v>
      </c>
      <c r="K40" s="358">
        <f>'Transp. Camión con Acoplado'!D*(E40/60)</f>
        <v>0</v>
      </c>
      <c r="L40" s="358">
        <f>'Transp. Camión con Acoplado'!E*(E40/60)</f>
        <v>0</v>
      </c>
      <c r="M40" s="358">
        <f>'Transp. Camión con Acoplado'!F_*G40</f>
        <v>0</v>
      </c>
      <c r="N40" s="358">
        <f t="shared" si="2"/>
        <v>0</v>
      </c>
      <c r="O40" s="358">
        <f>+G40*'Transp. Camión con Acoplado'!G</f>
        <v>0</v>
      </c>
      <c r="P40" s="359">
        <f t="shared" si="5"/>
        <v>0</v>
      </c>
      <c r="R40" s="360"/>
    </row>
    <row r="41" spans="1:18" ht="15" customHeight="1" x14ac:dyDescent="0.2">
      <c r="A41" s="352">
        <v>110</v>
      </c>
      <c r="B41" s="361"/>
      <c r="C41" s="354">
        <f t="shared" si="3"/>
        <v>0</v>
      </c>
      <c r="D41" s="354"/>
      <c r="E41" s="354">
        <f t="shared" si="0"/>
        <v>0</v>
      </c>
      <c r="F41" s="362">
        <f t="shared" si="4"/>
        <v>0</v>
      </c>
      <c r="G41" s="357">
        <f t="shared" si="1"/>
        <v>220</v>
      </c>
      <c r="H41" s="358">
        <f>'Transp. Camión con Acoplado'!A*(E41/60)</f>
        <v>0</v>
      </c>
      <c r="I41" s="358">
        <f>'Transp. Camión con Acoplado'!B*(E41/60)</f>
        <v>0</v>
      </c>
      <c r="J41" s="358">
        <f>'Transp. Camión con Acoplado'!C_*(C41/60)</f>
        <v>0</v>
      </c>
      <c r="K41" s="358">
        <f>'Transp. Camión con Acoplado'!D*(E41/60)</f>
        <v>0</v>
      </c>
      <c r="L41" s="358">
        <f>'Transp. Camión con Acoplado'!E*(E41/60)</f>
        <v>0</v>
      </c>
      <c r="M41" s="358">
        <f>'Transp. Camión con Acoplado'!F_*G41</f>
        <v>0</v>
      </c>
      <c r="N41" s="358">
        <f t="shared" si="2"/>
        <v>0</v>
      </c>
      <c r="O41" s="358">
        <f>+G41*'Transp. Camión con Acoplado'!G</f>
        <v>0</v>
      </c>
      <c r="P41" s="359">
        <f t="shared" si="5"/>
        <v>0</v>
      </c>
      <c r="R41" s="360"/>
    </row>
    <row r="42" spans="1:18" ht="15" customHeight="1" x14ac:dyDescent="0.2">
      <c r="A42" s="352">
        <v>120</v>
      </c>
      <c r="B42" s="361"/>
      <c r="C42" s="354">
        <f t="shared" si="3"/>
        <v>0</v>
      </c>
      <c r="D42" s="354"/>
      <c r="E42" s="354">
        <f t="shared" si="0"/>
        <v>0</v>
      </c>
      <c r="F42" s="362">
        <f t="shared" si="4"/>
        <v>0</v>
      </c>
      <c r="G42" s="357">
        <f t="shared" si="1"/>
        <v>240</v>
      </c>
      <c r="H42" s="358">
        <f>'Transp. Camión con Acoplado'!A*(E42/60)</f>
        <v>0</v>
      </c>
      <c r="I42" s="358">
        <f>'Transp. Camión con Acoplado'!B*(E42/60)</f>
        <v>0</v>
      </c>
      <c r="J42" s="358">
        <f>'Transp. Camión con Acoplado'!C_*(C42/60)</f>
        <v>0</v>
      </c>
      <c r="K42" s="358">
        <f>'Transp. Camión con Acoplado'!D*(E42/60)</f>
        <v>0</v>
      </c>
      <c r="L42" s="358">
        <f>'Transp. Camión con Acoplado'!E*(E42/60)</f>
        <v>0</v>
      </c>
      <c r="M42" s="358">
        <f>'Transp. Camión con Acoplado'!F_*G42</f>
        <v>0</v>
      </c>
      <c r="N42" s="358">
        <f t="shared" si="2"/>
        <v>0</v>
      </c>
      <c r="O42" s="358">
        <f>+G42*'Transp. Camión con Acoplado'!G</f>
        <v>0</v>
      </c>
      <c r="P42" s="359">
        <f t="shared" si="5"/>
        <v>0</v>
      </c>
      <c r="R42" s="360"/>
    </row>
    <row r="43" spans="1:18" ht="15" customHeight="1" x14ac:dyDescent="0.2">
      <c r="A43" s="352">
        <v>130</v>
      </c>
      <c r="B43" s="361"/>
      <c r="C43" s="354">
        <f t="shared" si="3"/>
        <v>0</v>
      </c>
      <c r="D43" s="354"/>
      <c r="E43" s="354">
        <f t="shared" si="0"/>
        <v>0</v>
      </c>
      <c r="F43" s="362">
        <f t="shared" si="4"/>
        <v>0</v>
      </c>
      <c r="G43" s="357">
        <f t="shared" si="1"/>
        <v>260</v>
      </c>
      <c r="H43" s="358">
        <f>'Transp. Camión con Acoplado'!A*(E43/60)</f>
        <v>0</v>
      </c>
      <c r="I43" s="358">
        <f>'Transp. Camión con Acoplado'!B*(E43/60)</f>
        <v>0</v>
      </c>
      <c r="J43" s="358">
        <f>'Transp. Camión con Acoplado'!C_*(C43/60)</f>
        <v>0</v>
      </c>
      <c r="K43" s="358">
        <f>'Transp. Camión con Acoplado'!D*(E43/60)</f>
        <v>0</v>
      </c>
      <c r="L43" s="358">
        <f>'Transp. Camión con Acoplado'!E*(E43/60)</f>
        <v>0</v>
      </c>
      <c r="M43" s="358">
        <f>'Transp. Camión con Acoplado'!F_*G43</f>
        <v>0</v>
      </c>
      <c r="N43" s="358">
        <f t="shared" si="2"/>
        <v>0</v>
      </c>
      <c r="O43" s="358">
        <f>+G43*'Transp. Camión con Acoplado'!G</f>
        <v>0</v>
      </c>
      <c r="P43" s="359">
        <f t="shared" si="5"/>
        <v>0</v>
      </c>
      <c r="R43" s="360"/>
    </row>
    <row r="44" spans="1:18" ht="15" customHeight="1" x14ac:dyDescent="0.2">
      <c r="A44" s="352">
        <v>140</v>
      </c>
      <c r="B44" s="361"/>
      <c r="C44" s="354">
        <f t="shared" si="3"/>
        <v>0</v>
      </c>
      <c r="D44" s="354"/>
      <c r="E44" s="354">
        <f t="shared" si="0"/>
        <v>0</v>
      </c>
      <c r="F44" s="362">
        <f t="shared" si="4"/>
        <v>0</v>
      </c>
      <c r="G44" s="357">
        <f t="shared" si="1"/>
        <v>280</v>
      </c>
      <c r="H44" s="358">
        <f>'Transp. Camión con Acoplado'!A*(E44/60)</f>
        <v>0</v>
      </c>
      <c r="I44" s="358">
        <f>'Transp. Camión con Acoplado'!B*(E44/60)</f>
        <v>0</v>
      </c>
      <c r="J44" s="358">
        <f>'Transp. Camión con Acoplado'!C_*(C44/60)</f>
        <v>0</v>
      </c>
      <c r="K44" s="358">
        <f>'Transp. Camión con Acoplado'!D*(E44/60)</f>
        <v>0</v>
      </c>
      <c r="L44" s="358">
        <f>'Transp. Camión con Acoplado'!E*(E44/60)</f>
        <v>0</v>
      </c>
      <c r="M44" s="358">
        <f>'Transp. Camión con Acoplado'!F_*G44</f>
        <v>0</v>
      </c>
      <c r="N44" s="358">
        <f t="shared" si="2"/>
        <v>0</v>
      </c>
      <c r="O44" s="358">
        <f>+G44*'Transp. Camión con Acoplado'!G</f>
        <v>0</v>
      </c>
      <c r="P44" s="359">
        <f t="shared" si="5"/>
        <v>0</v>
      </c>
      <c r="R44" s="360"/>
    </row>
    <row r="45" spans="1:18" ht="15" customHeight="1" x14ac:dyDescent="0.2">
      <c r="A45" s="352">
        <v>150</v>
      </c>
      <c r="B45" s="361"/>
      <c r="C45" s="354">
        <f t="shared" si="3"/>
        <v>0</v>
      </c>
      <c r="D45" s="354"/>
      <c r="E45" s="354">
        <f t="shared" si="0"/>
        <v>0</v>
      </c>
      <c r="F45" s="362">
        <f t="shared" si="4"/>
        <v>0</v>
      </c>
      <c r="G45" s="357">
        <f t="shared" si="1"/>
        <v>300</v>
      </c>
      <c r="H45" s="358">
        <f>'Transp. Camión con Acoplado'!A*(E45/60)</f>
        <v>0</v>
      </c>
      <c r="I45" s="358">
        <f>'Transp. Camión con Acoplado'!B*(E45/60)</f>
        <v>0</v>
      </c>
      <c r="J45" s="358">
        <f>'Transp. Camión con Acoplado'!C_*(C45/60)</f>
        <v>0</v>
      </c>
      <c r="K45" s="358">
        <f>'Transp. Camión con Acoplado'!D*(E45/60)</f>
        <v>0</v>
      </c>
      <c r="L45" s="358">
        <f>'Transp. Camión con Acoplado'!E*(E45/60)</f>
        <v>0</v>
      </c>
      <c r="M45" s="358">
        <f>'Transp. Camión con Acoplado'!F_*G45</f>
        <v>0</v>
      </c>
      <c r="N45" s="358">
        <f t="shared" si="2"/>
        <v>0</v>
      </c>
      <c r="O45" s="358">
        <f>+G45*'Transp. Camión con Acoplado'!G</f>
        <v>0</v>
      </c>
      <c r="P45" s="359">
        <f t="shared" si="5"/>
        <v>0</v>
      </c>
      <c r="R45" s="360"/>
    </row>
    <row r="46" spans="1:18" ht="15" customHeight="1" x14ac:dyDescent="0.2">
      <c r="A46" s="352">
        <v>160</v>
      </c>
      <c r="B46" s="361"/>
      <c r="C46" s="354">
        <f t="shared" si="3"/>
        <v>0</v>
      </c>
      <c r="D46" s="354"/>
      <c r="E46" s="354">
        <f t="shared" si="0"/>
        <v>0</v>
      </c>
      <c r="F46" s="362">
        <f t="shared" si="4"/>
        <v>0</v>
      </c>
      <c r="G46" s="357">
        <f t="shared" si="1"/>
        <v>320</v>
      </c>
      <c r="H46" s="358">
        <f>'Transp. Camión con Acoplado'!A*(E46/60)</f>
        <v>0</v>
      </c>
      <c r="I46" s="358">
        <f>'Transp. Camión con Acoplado'!B*(E46/60)</f>
        <v>0</v>
      </c>
      <c r="J46" s="358">
        <f>'Transp. Camión con Acoplado'!C_*(C46/60)</f>
        <v>0</v>
      </c>
      <c r="K46" s="358">
        <f>'Transp. Camión con Acoplado'!D*(E46/60)</f>
        <v>0</v>
      </c>
      <c r="L46" s="358">
        <f>'Transp. Camión con Acoplado'!E*(E46/60)</f>
        <v>0</v>
      </c>
      <c r="M46" s="358">
        <f>'Transp. Camión con Acoplado'!F_*G46</f>
        <v>0</v>
      </c>
      <c r="N46" s="358">
        <f t="shared" si="2"/>
        <v>0</v>
      </c>
      <c r="O46" s="358">
        <f>+G46*'Transp. Camión con Acoplado'!G</f>
        <v>0</v>
      </c>
      <c r="P46" s="359">
        <f t="shared" si="5"/>
        <v>0</v>
      </c>
      <c r="R46" s="360"/>
    </row>
    <row r="47" spans="1:18" ht="15" customHeight="1" x14ac:dyDescent="0.2">
      <c r="A47" s="352">
        <v>170</v>
      </c>
      <c r="B47" s="361"/>
      <c r="C47" s="354">
        <f t="shared" si="3"/>
        <v>0</v>
      </c>
      <c r="D47" s="354"/>
      <c r="E47" s="354">
        <f t="shared" si="0"/>
        <v>0</v>
      </c>
      <c r="F47" s="362">
        <f t="shared" si="4"/>
        <v>0</v>
      </c>
      <c r="G47" s="357">
        <f t="shared" si="1"/>
        <v>340</v>
      </c>
      <c r="H47" s="358">
        <f>'Transp. Camión con Acoplado'!A*(E47/60)</f>
        <v>0</v>
      </c>
      <c r="I47" s="358">
        <f>'Transp. Camión con Acoplado'!B*(E47/60)</f>
        <v>0</v>
      </c>
      <c r="J47" s="358">
        <f>'Transp. Camión con Acoplado'!C_*(C47/60)</f>
        <v>0</v>
      </c>
      <c r="K47" s="358">
        <f>'Transp. Camión con Acoplado'!D*(E47/60)</f>
        <v>0</v>
      </c>
      <c r="L47" s="358">
        <f>'Transp. Camión con Acoplado'!E*(E47/60)</f>
        <v>0</v>
      </c>
      <c r="M47" s="358">
        <f>'Transp. Camión con Acoplado'!F_*G47</f>
        <v>0</v>
      </c>
      <c r="N47" s="358">
        <f t="shared" si="2"/>
        <v>0</v>
      </c>
      <c r="O47" s="358">
        <f>+G47*'Transp. Camión con Acoplado'!G</f>
        <v>0</v>
      </c>
      <c r="P47" s="359">
        <f t="shared" si="5"/>
        <v>0</v>
      </c>
      <c r="R47" s="360"/>
    </row>
    <row r="48" spans="1:18" ht="15" customHeight="1" x14ac:dyDescent="0.2">
      <c r="A48" s="352">
        <v>180</v>
      </c>
      <c r="B48" s="361"/>
      <c r="C48" s="354">
        <f t="shared" si="3"/>
        <v>0</v>
      </c>
      <c r="D48" s="354"/>
      <c r="E48" s="354">
        <f t="shared" si="0"/>
        <v>0</v>
      </c>
      <c r="F48" s="362">
        <f t="shared" si="4"/>
        <v>0</v>
      </c>
      <c r="G48" s="357">
        <f t="shared" si="1"/>
        <v>360</v>
      </c>
      <c r="H48" s="358">
        <f>'Transp. Camión con Acoplado'!A*(E48/60)</f>
        <v>0</v>
      </c>
      <c r="I48" s="358">
        <f>'Transp. Camión con Acoplado'!B*(E48/60)</f>
        <v>0</v>
      </c>
      <c r="J48" s="358">
        <f>'Transp. Camión con Acoplado'!C_*(C48/60)</f>
        <v>0</v>
      </c>
      <c r="K48" s="358">
        <f>'Transp. Camión con Acoplado'!D*(E48/60)</f>
        <v>0</v>
      </c>
      <c r="L48" s="358">
        <f>'Transp. Camión con Acoplado'!E*(E48/60)</f>
        <v>0</v>
      </c>
      <c r="M48" s="358">
        <f>'Transp. Camión con Acoplado'!F_*G48</f>
        <v>0</v>
      </c>
      <c r="N48" s="358">
        <f t="shared" si="2"/>
        <v>0</v>
      </c>
      <c r="O48" s="358">
        <f>+G48*'Transp. Camión con Acoplado'!G</f>
        <v>0</v>
      </c>
      <c r="P48" s="359">
        <f t="shared" si="5"/>
        <v>0</v>
      </c>
      <c r="R48" s="360"/>
    </row>
    <row r="49" spans="1:18" ht="15" customHeight="1" x14ac:dyDescent="0.2">
      <c r="A49" s="352">
        <v>200</v>
      </c>
      <c r="B49" s="361"/>
      <c r="C49" s="354">
        <f t="shared" si="3"/>
        <v>0</v>
      </c>
      <c r="D49" s="354"/>
      <c r="E49" s="354">
        <f t="shared" si="0"/>
        <v>0</v>
      </c>
      <c r="F49" s="362">
        <f t="shared" si="4"/>
        <v>0</v>
      </c>
      <c r="G49" s="357">
        <f t="shared" si="1"/>
        <v>400</v>
      </c>
      <c r="H49" s="358">
        <f>'Transp. Camión con Acoplado'!A*(E49/60)</f>
        <v>0</v>
      </c>
      <c r="I49" s="358">
        <f>'Transp. Camión con Acoplado'!B*(E49/60)</f>
        <v>0</v>
      </c>
      <c r="J49" s="358">
        <f>'Transp. Camión con Acoplado'!C_*(C49/60)</f>
        <v>0</v>
      </c>
      <c r="K49" s="358">
        <f>'Transp. Camión con Acoplado'!D*(E49/60)</f>
        <v>0</v>
      </c>
      <c r="L49" s="358">
        <f>'Transp. Camión con Acoplado'!E*(E49/60)</f>
        <v>0</v>
      </c>
      <c r="M49" s="358">
        <f>'Transp. Camión con Acoplado'!F_*G49</f>
        <v>0</v>
      </c>
      <c r="N49" s="358">
        <f t="shared" si="2"/>
        <v>0</v>
      </c>
      <c r="O49" s="358">
        <f>+G49*'Transp. Camión con Acoplado'!G</f>
        <v>0</v>
      </c>
      <c r="P49" s="359">
        <f t="shared" si="5"/>
        <v>0</v>
      </c>
      <c r="R49" s="360"/>
    </row>
    <row r="50" spans="1:18" ht="15" customHeight="1" x14ac:dyDescent="0.2">
      <c r="A50" s="352">
        <v>225</v>
      </c>
      <c r="B50" s="361"/>
      <c r="C50" s="354">
        <f t="shared" si="3"/>
        <v>0</v>
      </c>
      <c r="D50" s="354"/>
      <c r="E50" s="354">
        <f t="shared" si="0"/>
        <v>0</v>
      </c>
      <c r="F50" s="362">
        <f t="shared" si="4"/>
        <v>0</v>
      </c>
      <c r="G50" s="357">
        <f t="shared" si="1"/>
        <v>450</v>
      </c>
      <c r="H50" s="358">
        <f>'Transp. Camión con Acoplado'!A*(E50/60)</f>
        <v>0</v>
      </c>
      <c r="I50" s="358">
        <f>'Transp. Camión con Acoplado'!B*(E50/60)</f>
        <v>0</v>
      </c>
      <c r="J50" s="358">
        <f>'Transp. Camión con Acoplado'!C_*(C50/60)</f>
        <v>0</v>
      </c>
      <c r="K50" s="358">
        <f>'Transp. Camión con Acoplado'!D*(E50/60)</f>
        <v>0</v>
      </c>
      <c r="L50" s="358">
        <f>'Transp. Camión con Acoplado'!E*(E50/60)</f>
        <v>0</v>
      </c>
      <c r="M50" s="358">
        <f>'Transp. Camión con Acoplado'!F_*G50</f>
        <v>0</v>
      </c>
      <c r="N50" s="358">
        <f t="shared" si="2"/>
        <v>0</v>
      </c>
      <c r="O50" s="358">
        <f>+G50*'Transp. Camión con Acoplado'!G</f>
        <v>0</v>
      </c>
      <c r="P50" s="359">
        <f t="shared" si="5"/>
        <v>0</v>
      </c>
      <c r="R50" s="360"/>
    </row>
    <row r="51" spans="1:18" ht="15" customHeight="1" x14ac:dyDescent="0.2">
      <c r="A51" s="352">
        <v>250</v>
      </c>
      <c r="B51" s="361"/>
      <c r="C51" s="354">
        <f t="shared" si="3"/>
        <v>0</v>
      </c>
      <c r="D51" s="354"/>
      <c r="E51" s="354">
        <f t="shared" si="0"/>
        <v>0</v>
      </c>
      <c r="F51" s="362">
        <f t="shared" si="4"/>
        <v>0</v>
      </c>
      <c r="G51" s="357">
        <f t="shared" si="1"/>
        <v>500</v>
      </c>
      <c r="H51" s="358">
        <f>'Transp. Camión con Acoplado'!A*(E51/60)</f>
        <v>0</v>
      </c>
      <c r="I51" s="358">
        <f>'Transp. Camión con Acoplado'!B*(E51/60)</f>
        <v>0</v>
      </c>
      <c r="J51" s="358">
        <f>'Transp. Camión con Acoplado'!C_*(C51/60)</f>
        <v>0</v>
      </c>
      <c r="K51" s="358">
        <f>'Transp. Camión con Acoplado'!D*(E51/60)</f>
        <v>0</v>
      </c>
      <c r="L51" s="358">
        <f>'Transp. Camión con Acoplado'!E*(E51/60)</f>
        <v>0</v>
      </c>
      <c r="M51" s="358">
        <f>'Transp. Camión con Acoplado'!F_*G51</f>
        <v>0</v>
      </c>
      <c r="N51" s="358">
        <f t="shared" si="2"/>
        <v>0</v>
      </c>
      <c r="O51" s="358">
        <f>+G51*'Transp. Camión con Acoplado'!G</f>
        <v>0</v>
      </c>
      <c r="P51" s="359">
        <f t="shared" si="5"/>
        <v>0</v>
      </c>
      <c r="R51" s="360"/>
    </row>
    <row r="52" spans="1:18" ht="15" customHeight="1" x14ac:dyDescent="0.2">
      <c r="A52" s="352">
        <v>275</v>
      </c>
      <c r="B52" s="361"/>
      <c r="C52" s="354">
        <f t="shared" si="3"/>
        <v>0</v>
      </c>
      <c r="D52" s="354"/>
      <c r="E52" s="354">
        <f t="shared" si="0"/>
        <v>0</v>
      </c>
      <c r="F52" s="362">
        <f t="shared" si="4"/>
        <v>0</v>
      </c>
      <c r="G52" s="357">
        <f t="shared" si="1"/>
        <v>550</v>
      </c>
      <c r="H52" s="358">
        <f>'Transp. Camión con Acoplado'!A*(E52/60)</f>
        <v>0</v>
      </c>
      <c r="I52" s="358">
        <f>'Transp. Camión con Acoplado'!B*(E52/60)</f>
        <v>0</v>
      </c>
      <c r="J52" s="358">
        <f>'Transp. Camión con Acoplado'!C_*(C52/60)</f>
        <v>0</v>
      </c>
      <c r="K52" s="358">
        <f>'Transp. Camión con Acoplado'!D*(E52/60)</f>
        <v>0</v>
      </c>
      <c r="L52" s="358">
        <f>'Transp. Camión con Acoplado'!E*(E52/60)</f>
        <v>0</v>
      </c>
      <c r="M52" s="358">
        <f>'Transp. Camión con Acoplado'!F_*G52</f>
        <v>0</v>
      </c>
      <c r="N52" s="358">
        <f t="shared" si="2"/>
        <v>0</v>
      </c>
      <c r="O52" s="358">
        <f>+G52*'Transp. Camión con Acoplado'!G</f>
        <v>0</v>
      </c>
      <c r="P52" s="359">
        <f t="shared" si="5"/>
        <v>0</v>
      </c>
      <c r="R52" s="360"/>
    </row>
    <row r="53" spans="1:18" ht="15" customHeight="1" x14ac:dyDescent="0.2">
      <c r="A53" s="352">
        <v>300</v>
      </c>
      <c r="B53" s="361"/>
      <c r="C53" s="354">
        <f t="shared" si="3"/>
        <v>0</v>
      </c>
      <c r="D53" s="354"/>
      <c r="E53" s="354">
        <f t="shared" si="0"/>
        <v>0</v>
      </c>
      <c r="F53" s="362">
        <f t="shared" si="4"/>
        <v>0</v>
      </c>
      <c r="G53" s="357">
        <f t="shared" si="1"/>
        <v>600</v>
      </c>
      <c r="H53" s="358">
        <f>'Transp. Camión con Acoplado'!A*(E53/60)</f>
        <v>0</v>
      </c>
      <c r="I53" s="358">
        <f>'Transp. Camión con Acoplado'!B*(E53/60)</f>
        <v>0</v>
      </c>
      <c r="J53" s="358">
        <f>'Transp. Camión con Acoplado'!C_*(C53/60)</f>
        <v>0</v>
      </c>
      <c r="K53" s="358">
        <f>'Transp. Camión con Acoplado'!D*(E53/60)</f>
        <v>0</v>
      </c>
      <c r="L53" s="358">
        <f>'Transp. Camión con Acoplado'!E*(E53/60)</f>
        <v>0</v>
      </c>
      <c r="M53" s="358">
        <f>'Transp. Camión con Acoplado'!F_*G53</f>
        <v>0</v>
      </c>
      <c r="N53" s="358">
        <f t="shared" si="2"/>
        <v>0</v>
      </c>
      <c r="O53" s="358">
        <f>+G53*'Transp. Camión con Acoplado'!G</f>
        <v>0</v>
      </c>
      <c r="P53" s="359">
        <f t="shared" si="5"/>
        <v>0</v>
      </c>
      <c r="R53" s="360"/>
    </row>
    <row r="54" spans="1:18" ht="15" customHeight="1" x14ac:dyDescent="0.2">
      <c r="A54" s="352">
        <v>325</v>
      </c>
      <c r="B54" s="361"/>
      <c r="C54" s="354">
        <f t="shared" si="3"/>
        <v>0</v>
      </c>
      <c r="D54" s="354"/>
      <c r="E54" s="354">
        <f t="shared" si="0"/>
        <v>0</v>
      </c>
      <c r="F54" s="362">
        <f t="shared" si="4"/>
        <v>0</v>
      </c>
      <c r="G54" s="357">
        <f t="shared" si="1"/>
        <v>650</v>
      </c>
      <c r="H54" s="358">
        <f>'Transp. Camión con Acoplado'!A*(E54/60)</f>
        <v>0</v>
      </c>
      <c r="I54" s="358">
        <f>'Transp. Camión con Acoplado'!B*(E54/60)</f>
        <v>0</v>
      </c>
      <c r="J54" s="358">
        <f>'Transp. Camión con Acoplado'!C_*(C54/60)</f>
        <v>0</v>
      </c>
      <c r="K54" s="358">
        <f>'Transp. Camión con Acoplado'!D*(E54/60)</f>
        <v>0</v>
      </c>
      <c r="L54" s="358">
        <f>'Transp. Camión con Acoplado'!E*(E54/60)</f>
        <v>0</v>
      </c>
      <c r="M54" s="358">
        <f>'Transp. Camión con Acoplado'!F_*G54</f>
        <v>0</v>
      </c>
      <c r="N54" s="358">
        <f t="shared" si="2"/>
        <v>0</v>
      </c>
      <c r="O54" s="358">
        <f>+G54*'Transp. Camión con Acoplado'!G</f>
        <v>0</v>
      </c>
      <c r="P54" s="359">
        <f t="shared" si="5"/>
        <v>0</v>
      </c>
      <c r="R54" s="360"/>
    </row>
    <row r="55" spans="1:18" ht="15" customHeight="1" x14ac:dyDescent="0.2">
      <c r="A55" s="352">
        <v>350</v>
      </c>
      <c r="B55" s="361"/>
      <c r="C55" s="354">
        <f t="shared" si="3"/>
        <v>0</v>
      </c>
      <c r="D55" s="354"/>
      <c r="E55" s="354">
        <f t="shared" si="0"/>
        <v>0</v>
      </c>
      <c r="F55" s="362">
        <f t="shared" si="4"/>
        <v>0</v>
      </c>
      <c r="G55" s="357">
        <f t="shared" si="1"/>
        <v>700</v>
      </c>
      <c r="H55" s="358">
        <f>'Transp. Camión con Acoplado'!A*(E55/60)</f>
        <v>0</v>
      </c>
      <c r="I55" s="358">
        <f>'Transp. Camión con Acoplado'!B*(E55/60)</f>
        <v>0</v>
      </c>
      <c r="J55" s="358">
        <f>'Transp. Camión con Acoplado'!C_*(C55/60)</f>
        <v>0</v>
      </c>
      <c r="K55" s="358">
        <f>'Transp. Camión con Acoplado'!D*(E55/60)</f>
        <v>0</v>
      </c>
      <c r="L55" s="358">
        <f>'Transp. Camión con Acoplado'!E*(E55/60)</f>
        <v>0</v>
      </c>
      <c r="M55" s="358">
        <f>'Transp. Camión con Acoplado'!F_*G55</f>
        <v>0</v>
      </c>
      <c r="N55" s="358">
        <f t="shared" si="2"/>
        <v>0</v>
      </c>
      <c r="O55" s="358">
        <f>+G55*'Transp. Camión con Acoplado'!G</f>
        <v>0</v>
      </c>
      <c r="P55" s="359">
        <f t="shared" si="5"/>
        <v>0</v>
      </c>
      <c r="R55" s="360"/>
    </row>
    <row r="56" spans="1:18" ht="15" customHeight="1" x14ac:dyDescent="0.2">
      <c r="A56" s="352">
        <v>375</v>
      </c>
      <c r="B56" s="361"/>
      <c r="C56" s="354">
        <f t="shared" si="3"/>
        <v>0</v>
      </c>
      <c r="D56" s="354"/>
      <c r="E56" s="354">
        <f t="shared" si="0"/>
        <v>0</v>
      </c>
      <c r="F56" s="362">
        <f t="shared" si="4"/>
        <v>0</v>
      </c>
      <c r="G56" s="357">
        <f t="shared" si="1"/>
        <v>750</v>
      </c>
      <c r="H56" s="358">
        <f>'Transp. Camión con Acoplado'!A*(E56/60)</f>
        <v>0</v>
      </c>
      <c r="I56" s="358">
        <f>'Transp. Camión con Acoplado'!B*(E56/60)</f>
        <v>0</v>
      </c>
      <c r="J56" s="358">
        <f>'Transp. Camión con Acoplado'!C_*(C56/60)</f>
        <v>0</v>
      </c>
      <c r="K56" s="358">
        <f>'Transp. Camión con Acoplado'!D*(E56/60)</f>
        <v>0</v>
      </c>
      <c r="L56" s="358">
        <f>'Transp. Camión con Acoplado'!E*(E56/60)</f>
        <v>0</v>
      </c>
      <c r="M56" s="358">
        <f>'Transp. Camión con Acoplado'!F_*G56</f>
        <v>0</v>
      </c>
      <c r="N56" s="358">
        <f t="shared" si="2"/>
        <v>0</v>
      </c>
      <c r="O56" s="358">
        <f>+G56*'Transp. Camión con Acoplado'!G</f>
        <v>0</v>
      </c>
      <c r="P56" s="359">
        <f t="shared" si="5"/>
        <v>0</v>
      </c>
      <c r="R56" s="360"/>
    </row>
    <row r="57" spans="1:18" ht="15" customHeight="1" x14ac:dyDescent="0.2">
      <c r="A57" s="352">
        <v>400</v>
      </c>
      <c r="B57" s="361"/>
      <c r="C57" s="354">
        <f t="shared" si="3"/>
        <v>0</v>
      </c>
      <c r="D57" s="354"/>
      <c r="E57" s="354">
        <f t="shared" si="0"/>
        <v>0</v>
      </c>
      <c r="F57" s="362">
        <f t="shared" si="4"/>
        <v>0</v>
      </c>
      <c r="G57" s="357">
        <f t="shared" si="1"/>
        <v>800</v>
      </c>
      <c r="H57" s="358">
        <f>'Transp. Camión con Acoplado'!A*(E57/60)</f>
        <v>0</v>
      </c>
      <c r="I57" s="358">
        <f>'Transp. Camión con Acoplado'!B*(E57/60)</f>
        <v>0</v>
      </c>
      <c r="J57" s="358">
        <f>'Transp. Camión con Acoplado'!C_*(C57/60)</f>
        <v>0</v>
      </c>
      <c r="K57" s="358">
        <f>'Transp. Camión con Acoplado'!D*(E57/60)</f>
        <v>0</v>
      </c>
      <c r="L57" s="358">
        <f>'Transp. Camión con Acoplado'!E*(E57/60)</f>
        <v>0</v>
      </c>
      <c r="M57" s="358">
        <f>'Transp. Camión con Acoplado'!F_*G57</f>
        <v>0</v>
      </c>
      <c r="N57" s="358">
        <f t="shared" si="2"/>
        <v>0</v>
      </c>
      <c r="O57" s="358">
        <f>+G57*'Transp. Camión con Acoplado'!G</f>
        <v>0</v>
      </c>
      <c r="P57" s="359">
        <f t="shared" si="5"/>
        <v>0</v>
      </c>
      <c r="R57" s="360"/>
    </row>
    <row r="58" spans="1:18" ht="15" customHeight="1" x14ac:dyDescent="0.2">
      <c r="A58" s="352">
        <v>425</v>
      </c>
      <c r="B58" s="361"/>
      <c r="C58" s="354">
        <f t="shared" si="3"/>
        <v>0</v>
      </c>
      <c r="D58" s="354"/>
      <c r="E58" s="354">
        <f t="shared" si="0"/>
        <v>0</v>
      </c>
      <c r="F58" s="362">
        <f t="shared" si="4"/>
        <v>0</v>
      </c>
      <c r="G58" s="357">
        <f t="shared" si="1"/>
        <v>850</v>
      </c>
      <c r="H58" s="358">
        <f>'Transp. Camión con Acoplado'!A*(E58/60)</f>
        <v>0</v>
      </c>
      <c r="I58" s="358">
        <f>'Transp. Camión con Acoplado'!B*(E58/60)</f>
        <v>0</v>
      </c>
      <c r="J58" s="358">
        <f>'Transp. Camión con Acoplado'!C_*(C58/60)</f>
        <v>0</v>
      </c>
      <c r="K58" s="358">
        <f>'Transp. Camión con Acoplado'!D*(E58/60)</f>
        <v>0</v>
      </c>
      <c r="L58" s="358">
        <f>'Transp. Camión con Acoplado'!E*(E58/60)</f>
        <v>0</v>
      </c>
      <c r="M58" s="358">
        <f>'Transp. Camión con Acoplado'!F_*G58</f>
        <v>0</v>
      </c>
      <c r="N58" s="358">
        <f t="shared" si="2"/>
        <v>0</v>
      </c>
      <c r="O58" s="358">
        <f>+G58*'Transp. Camión con Acoplado'!G</f>
        <v>0</v>
      </c>
      <c r="P58" s="359">
        <f t="shared" si="5"/>
        <v>0</v>
      </c>
      <c r="R58" s="360"/>
    </row>
    <row r="59" spans="1:18" ht="15" customHeight="1" x14ac:dyDescent="0.2">
      <c r="A59" s="352">
        <v>450</v>
      </c>
      <c r="B59" s="361"/>
      <c r="C59" s="354">
        <f t="shared" si="3"/>
        <v>0</v>
      </c>
      <c r="D59" s="354"/>
      <c r="E59" s="354">
        <f t="shared" si="0"/>
        <v>0</v>
      </c>
      <c r="F59" s="362">
        <f t="shared" si="4"/>
        <v>0</v>
      </c>
      <c r="G59" s="357">
        <f t="shared" si="1"/>
        <v>900</v>
      </c>
      <c r="H59" s="358">
        <f>'Transp. Camión con Acoplado'!A*(E59/60)</f>
        <v>0</v>
      </c>
      <c r="I59" s="358">
        <f>'Transp. Camión con Acoplado'!B*(E59/60)</f>
        <v>0</v>
      </c>
      <c r="J59" s="358">
        <f>'Transp. Camión con Acoplado'!C_*(C59/60)</f>
        <v>0</v>
      </c>
      <c r="K59" s="358">
        <f>'Transp. Camión con Acoplado'!D*(E59/60)</f>
        <v>0</v>
      </c>
      <c r="L59" s="358">
        <f>'Transp. Camión con Acoplado'!E*(E59/60)</f>
        <v>0</v>
      </c>
      <c r="M59" s="358">
        <f>'Transp. Camión con Acoplado'!F_*G59</f>
        <v>0</v>
      </c>
      <c r="N59" s="358">
        <f t="shared" si="2"/>
        <v>0</v>
      </c>
      <c r="O59" s="358">
        <f>+G59*'Transp. Camión con Acoplado'!G</f>
        <v>0</v>
      </c>
      <c r="P59" s="359">
        <f t="shared" si="5"/>
        <v>0</v>
      </c>
      <c r="R59" s="360"/>
    </row>
    <row r="60" spans="1:18" ht="15" customHeight="1" x14ac:dyDescent="0.2">
      <c r="A60" s="352">
        <v>475</v>
      </c>
      <c r="B60" s="361"/>
      <c r="C60" s="354">
        <f t="shared" si="3"/>
        <v>0</v>
      </c>
      <c r="D60" s="354"/>
      <c r="E60" s="354">
        <f t="shared" si="0"/>
        <v>0</v>
      </c>
      <c r="F60" s="362">
        <f t="shared" si="4"/>
        <v>0</v>
      </c>
      <c r="G60" s="357">
        <f t="shared" si="1"/>
        <v>950</v>
      </c>
      <c r="H60" s="358">
        <f>'Transp. Camión con Acoplado'!A*(E60/60)</f>
        <v>0</v>
      </c>
      <c r="I60" s="358">
        <f>'Transp. Camión con Acoplado'!B*(E60/60)</f>
        <v>0</v>
      </c>
      <c r="J60" s="358">
        <f>'Transp. Camión con Acoplado'!C_*(C60/60)</f>
        <v>0</v>
      </c>
      <c r="K60" s="358">
        <f>'Transp. Camión con Acoplado'!D*(E60/60)</f>
        <v>0</v>
      </c>
      <c r="L60" s="358">
        <f>'Transp. Camión con Acoplado'!E*(E60/60)</f>
        <v>0</v>
      </c>
      <c r="M60" s="358">
        <f>'Transp. Camión con Acoplado'!F_*G60</f>
        <v>0</v>
      </c>
      <c r="N60" s="358">
        <f t="shared" si="2"/>
        <v>0</v>
      </c>
      <c r="O60" s="358">
        <f>+G60*'Transp. Camión con Acoplado'!G</f>
        <v>0</v>
      </c>
      <c r="P60" s="359">
        <f t="shared" si="5"/>
        <v>0</v>
      </c>
      <c r="R60" s="360"/>
    </row>
    <row r="61" spans="1:18" ht="15" customHeight="1" x14ac:dyDescent="0.2">
      <c r="A61" s="352">
        <v>500</v>
      </c>
      <c r="B61" s="361"/>
      <c r="C61" s="354">
        <f t="shared" si="3"/>
        <v>0</v>
      </c>
      <c r="D61" s="354"/>
      <c r="E61" s="354">
        <f t="shared" si="0"/>
        <v>0</v>
      </c>
      <c r="F61" s="362">
        <f t="shared" si="4"/>
        <v>0</v>
      </c>
      <c r="G61" s="357">
        <f t="shared" si="1"/>
        <v>1000</v>
      </c>
      <c r="H61" s="358">
        <f>'Transp. Camión con Acoplado'!A*(E61/60)</f>
        <v>0</v>
      </c>
      <c r="I61" s="358">
        <f>'Transp. Camión con Acoplado'!B*(E61/60)</f>
        <v>0</v>
      </c>
      <c r="J61" s="358">
        <f>'Transp. Camión con Acoplado'!C_*(C61/60)</f>
        <v>0</v>
      </c>
      <c r="K61" s="358">
        <f>'Transp. Camión con Acoplado'!D*(E61/60)</f>
        <v>0</v>
      </c>
      <c r="L61" s="358">
        <f>'Transp. Camión con Acoplado'!E*(E61/60)</f>
        <v>0</v>
      </c>
      <c r="M61" s="358">
        <f>'Transp. Camión con Acoplado'!F_*G61</f>
        <v>0</v>
      </c>
      <c r="N61" s="358">
        <f t="shared" si="2"/>
        <v>0</v>
      </c>
      <c r="O61" s="358">
        <f>+G61*'Transp. Camión con Acoplado'!G</f>
        <v>0</v>
      </c>
      <c r="P61" s="359">
        <f t="shared" si="5"/>
        <v>0</v>
      </c>
      <c r="R61" s="360"/>
    </row>
    <row r="62" spans="1:18" ht="15" customHeight="1" x14ac:dyDescent="0.2">
      <c r="A62" s="352">
        <v>600</v>
      </c>
      <c r="B62" s="361"/>
      <c r="C62" s="354">
        <f t="shared" si="3"/>
        <v>0</v>
      </c>
      <c r="D62" s="354"/>
      <c r="E62" s="354">
        <f t="shared" si="0"/>
        <v>0</v>
      </c>
      <c r="F62" s="362">
        <f t="shared" si="4"/>
        <v>0</v>
      </c>
      <c r="G62" s="357">
        <f t="shared" si="1"/>
        <v>1200</v>
      </c>
      <c r="H62" s="358">
        <f>'Transp. Camión con Acoplado'!A*(E62/60)</f>
        <v>0</v>
      </c>
      <c r="I62" s="358">
        <f>'Transp. Camión con Acoplado'!B*(E62/60)</f>
        <v>0</v>
      </c>
      <c r="J62" s="358">
        <f>'Transp. Camión con Acoplado'!C_*(C62/60)</f>
        <v>0</v>
      </c>
      <c r="K62" s="358">
        <f>'Transp. Camión con Acoplado'!D*(E62/60)</f>
        <v>0</v>
      </c>
      <c r="L62" s="358">
        <f>'Transp. Camión con Acoplado'!E*(E62/60)</f>
        <v>0</v>
      </c>
      <c r="M62" s="358">
        <f>'Transp. Camión con Acoplado'!F_*G62</f>
        <v>0</v>
      </c>
      <c r="N62" s="358">
        <f t="shared" si="2"/>
        <v>0</v>
      </c>
      <c r="O62" s="358">
        <f>+G62*'Transp. Camión con Acoplado'!G</f>
        <v>0</v>
      </c>
      <c r="P62" s="359">
        <f t="shared" si="5"/>
        <v>0</v>
      </c>
      <c r="R62" s="360"/>
    </row>
    <row r="63" spans="1:18" ht="15" customHeight="1" x14ac:dyDescent="0.2">
      <c r="A63" s="352">
        <v>800</v>
      </c>
      <c r="B63" s="361"/>
      <c r="C63" s="354">
        <f t="shared" si="3"/>
        <v>0</v>
      </c>
      <c r="D63" s="354"/>
      <c r="E63" s="354">
        <f t="shared" si="0"/>
        <v>0</v>
      </c>
      <c r="F63" s="362">
        <f t="shared" si="4"/>
        <v>0</v>
      </c>
      <c r="G63" s="357">
        <f t="shared" si="1"/>
        <v>1600</v>
      </c>
      <c r="H63" s="358">
        <f>'Transp. Camión con Acoplado'!A*(E63/60)</f>
        <v>0</v>
      </c>
      <c r="I63" s="358">
        <f>'Transp. Camión con Acoplado'!B*(E63/60)</f>
        <v>0</v>
      </c>
      <c r="J63" s="358">
        <f>'Transp. Camión con Acoplado'!C_*(C63/60)</f>
        <v>0</v>
      </c>
      <c r="K63" s="358">
        <f>'Transp. Camión con Acoplado'!D*(E63/60)</f>
        <v>0</v>
      </c>
      <c r="L63" s="358">
        <f>'Transp. Camión con Acoplado'!E*(E63/60)</f>
        <v>0</v>
      </c>
      <c r="M63" s="358">
        <f>'Transp. Camión con Acoplado'!F_*G63</f>
        <v>0</v>
      </c>
      <c r="N63" s="358">
        <f t="shared" si="2"/>
        <v>0</v>
      </c>
      <c r="O63" s="358">
        <f>+G63*'Transp. Camión con Acoplado'!G</f>
        <v>0</v>
      </c>
      <c r="P63" s="359">
        <f t="shared" si="5"/>
        <v>0</v>
      </c>
      <c r="R63" s="360"/>
    </row>
    <row r="64" spans="1:18" ht="15" customHeight="1" x14ac:dyDescent="0.2">
      <c r="A64" s="352">
        <v>1000</v>
      </c>
      <c r="B64" s="361"/>
      <c r="C64" s="354">
        <f t="shared" si="3"/>
        <v>0</v>
      </c>
      <c r="D64" s="354"/>
      <c r="E64" s="354">
        <f t="shared" si="0"/>
        <v>0</v>
      </c>
      <c r="F64" s="362">
        <f t="shared" si="4"/>
        <v>0</v>
      </c>
      <c r="G64" s="357">
        <f t="shared" si="1"/>
        <v>2000</v>
      </c>
      <c r="H64" s="358">
        <f>'Transp. Camión con Acoplado'!A*(E64/60)</f>
        <v>0</v>
      </c>
      <c r="I64" s="358">
        <f>'Transp. Camión con Acoplado'!B*(E64/60)</f>
        <v>0</v>
      </c>
      <c r="J64" s="358">
        <f>'Transp. Camión con Acoplado'!C_*(C64/60)</f>
        <v>0</v>
      </c>
      <c r="K64" s="358">
        <f>'Transp. Camión con Acoplado'!D*(E64/60)</f>
        <v>0</v>
      </c>
      <c r="L64" s="358">
        <f>'Transp. Camión con Acoplado'!E*(E64/60)</f>
        <v>0</v>
      </c>
      <c r="M64" s="358">
        <f>'Transp. Camión con Acoplado'!F_*G64</f>
        <v>0</v>
      </c>
      <c r="N64" s="358">
        <f t="shared" si="2"/>
        <v>0</v>
      </c>
      <c r="O64" s="358">
        <f>+G64*'Transp. Camión con Acoplado'!G</f>
        <v>0</v>
      </c>
      <c r="P64" s="359">
        <f t="shared" si="5"/>
        <v>0</v>
      </c>
      <c r="R64" s="360"/>
    </row>
    <row r="65" spans="13:16" ht="15" customHeight="1" x14ac:dyDescent="0.2">
      <c r="M65" s="791"/>
      <c r="N65" s="791"/>
      <c r="O65" s="791"/>
      <c r="P65" s="791"/>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opLeftCell="A43" zoomScale="90" zoomScaleNormal="90" zoomScaleSheetLayoutView="90" workbookViewId="0">
      <selection activeCell="G59" sqref="G59"/>
    </sheetView>
  </sheetViews>
  <sheetFormatPr baseColWidth="10" defaultColWidth="11.42578125" defaultRowHeight="20.100000000000001" customHeight="1" x14ac:dyDescent="0.2"/>
  <cols>
    <col min="1" max="1" width="11.140625" style="550" customWidth="1"/>
    <col min="2" max="2" width="19" style="53" customWidth="1"/>
    <col min="3" max="3" width="58" style="53" customWidth="1"/>
    <col min="4" max="4" width="9.140625" style="77" customWidth="1"/>
    <col min="5" max="5" width="14.85546875" style="53" customWidth="1"/>
    <col min="6" max="6" width="15.7109375" style="53" customWidth="1"/>
    <col min="7" max="7" width="94.140625" style="53" customWidth="1"/>
    <col min="8" max="8" width="9.42578125" style="53" customWidth="1"/>
    <col min="9" max="9" width="13.42578125" style="53" customWidth="1"/>
    <col min="10" max="10" width="41" style="54" customWidth="1"/>
    <col min="11" max="11" width="24.85546875" style="53" customWidth="1"/>
    <col min="12" max="16384" width="11.42578125" style="53"/>
  </cols>
  <sheetData>
    <row r="1" spans="1:10" ht="20.100000000000001" customHeight="1" x14ac:dyDescent="0.2">
      <c r="A1" s="705" t="s">
        <v>917</v>
      </c>
      <c r="B1" s="706"/>
      <c r="C1" s="706"/>
      <c r="D1" s="707"/>
      <c r="E1" s="57"/>
      <c r="F1" s="57"/>
      <c r="I1" s="54"/>
      <c r="J1" s="53"/>
    </row>
    <row r="2" spans="1:10" ht="20.100000000000001" customHeight="1" x14ac:dyDescent="0.2">
      <c r="A2" s="52" t="s">
        <v>8</v>
      </c>
      <c r="C2" s="52" t="s">
        <v>1947</v>
      </c>
      <c r="D2" s="52"/>
      <c r="E2" s="52"/>
      <c r="F2" s="52"/>
      <c r="I2" s="54"/>
      <c r="J2" s="53"/>
    </row>
    <row r="3" spans="1:10" s="62" customFormat="1" ht="12.75" x14ac:dyDescent="0.2">
      <c r="A3" s="61" t="s">
        <v>21</v>
      </c>
      <c r="C3" s="662" t="s">
        <v>1966</v>
      </c>
      <c r="D3" s="64"/>
      <c r="E3" s="61" t="s">
        <v>1920</v>
      </c>
      <c r="F3" s="64"/>
      <c r="I3" s="145"/>
    </row>
    <row r="4" spans="1:10" s="59" customFormat="1" ht="19.5" customHeight="1" x14ac:dyDescent="0.2">
      <c r="A4" s="122"/>
      <c r="C4" s="650"/>
      <c r="D4" s="5"/>
      <c r="E4" s="63"/>
      <c r="F4" s="59" t="s">
        <v>1921</v>
      </c>
      <c r="I4" s="402"/>
    </row>
    <row r="5" spans="1:10" s="59" customFormat="1" ht="19.5" customHeight="1" x14ac:dyDescent="0.2">
      <c r="A5" s="122"/>
      <c r="C5" s="650"/>
      <c r="D5" s="5"/>
      <c r="E5" s="5"/>
      <c r="I5" s="402"/>
    </row>
    <row r="6" spans="1:10" s="59" customFormat="1" ht="19.5" customHeight="1" x14ac:dyDescent="0.2">
      <c r="A6" s="122"/>
      <c r="C6" s="650"/>
      <c r="D6" s="5"/>
      <c r="E6" s="412"/>
      <c r="F6" s="59" t="s">
        <v>1922</v>
      </c>
      <c r="I6" s="402"/>
    </row>
    <row r="7" spans="1:10" s="59" customFormat="1" ht="19.5" customHeight="1" x14ac:dyDescent="0.2">
      <c r="A7" s="122"/>
      <c r="C7" s="650"/>
      <c r="D7" s="5"/>
      <c r="E7" s="5"/>
      <c r="I7" s="402"/>
    </row>
    <row r="8" spans="1:10" s="62" customFormat="1" ht="20.100000000000001" customHeight="1" x14ac:dyDescent="0.2">
      <c r="A8" s="61" t="s">
        <v>13</v>
      </c>
      <c r="C8" s="651" t="s">
        <v>1967</v>
      </c>
      <c r="D8" s="64"/>
      <c r="E8" s="554"/>
      <c r="F8" s="59" t="s">
        <v>1923</v>
      </c>
      <c r="I8" s="145"/>
    </row>
    <row r="9" spans="1:10" s="62" customFormat="1" ht="20.100000000000001" customHeight="1" x14ac:dyDescent="0.2">
      <c r="A9" s="61" t="s">
        <v>1968</v>
      </c>
      <c r="C9" s="652" t="s">
        <v>1969</v>
      </c>
      <c r="I9" s="145"/>
    </row>
    <row r="10" spans="1:10" s="62" customFormat="1" ht="20.100000000000001" customHeight="1" x14ac:dyDescent="0.2">
      <c r="A10" s="61" t="s">
        <v>30</v>
      </c>
      <c r="C10" s="653" t="s">
        <v>1970</v>
      </c>
      <c r="I10" s="145"/>
    </row>
    <row r="11" spans="1:10" s="62" customFormat="1" ht="20.100000000000001" customHeight="1" x14ac:dyDescent="0.2">
      <c r="A11" s="61" t="s">
        <v>15</v>
      </c>
      <c r="C11" s="654">
        <v>214031821.09720469</v>
      </c>
      <c r="I11" s="145"/>
    </row>
    <row r="12" spans="1:10" s="62" customFormat="1" ht="20.100000000000001" customHeight="1" x14ac:dyDescent="0.2">
      <c r="A12" s="61" t="s">
        <v>891</v>
      </c>
      <c r="C12" s="65">
        <v>0.3</v>
      </c>
      <c r="I12" s="145"/>
    </row>
    <row r="13" spans="1:10" s="62" customFormat="1" ht="20.100000000000001" customHeight="1" x14ac:dyDescent="0.2">
      <c r="A13" s="61" t="s">
        <v>1948</v>
      </c>
      <c r="C13" s="655" t="s">
        <v>1963</v>
      </c>
      <c r="E13" s="693"/>
      <c r="I13" s="145"/>
    </row>
    <row r="14" spans="1:10" s="62" customFormat="1" ht="20.100000000000001" customHeight="1" x14ac:dyDescent="0.2">
      <c r="A14" s="61" t="s">
        <v>1950</v>
      </c>
      <c r="C14" s="656">
        <v>150</v>
      </c>
      <c r="E14" s="693"/>
      <c r="I14" s="145"/>
    </row>
    <row r="15" spans="1:10" s="62" customFormat="1" ht="20.100000000000001" customHeight="1" x14ac:dyDescent="0.2">
      <c r="A15" s="61"/>
      <c r="B15" s="66"/>
      <c r="E15" s="694"/>
      <c r="I15" s="145"/>
    </row>
    <row r="16" spans="1:10" ht="20.100000000000001" customHeight="1" x14ac:dyDescent="0.2">
      <c r="A16" s="708" t="s">
        <v>918</v>
      </c>
      <c r="B16" s="708"/>
      <c r="C16" s="708"/>
      <c r="D16" s="708"/>
      <c r="E16" s="708"/>
      <c r="F16" s="57"/>
      <c r="I16" s="54"/>
      <c r="J16" s="53"/>
    </row>
    <row r="17" spans="1:11" s="62" customFormat="1" ht="20.100000000000001" customHeight="1" x14ac:dyDescent="0.2">
      <c r="A17" s="61" t="s">
        <v>1952</v>
      </c>
      <c r="C17" s="412"/>
      <c r="D17" s="78"/>
      <c r="I17" s="145"/>
    </row>
    <row r="18" spans="1:11" s="59" customFormat="1" ht="20.100000000000001" customHeight="1" x14ac:dyDescent="0.2">
      <c r="A18" s="122" t="s">
        <v>1707</v>
      </c>
      <c r="B18" s="408"/>
      <c r="C18" s="412"/>
      <c r="D18" s="5"/>
      <c r="E18" s="5"/>
      <c r="I18" s="402"/>
    </row>
    <row r="19" spans="1:11" s="59" customFormat="1" ht="20.100000000000001" customHeight="1" x14ac:dyDescent="0.2">
      <c r="A19" s="122" t="s">
        <v>1708</v>
      </c>
      <c r="B19" s="408"/>
      <c r="C19" s="412"/>
      <c r="D19" s="5"/>
      <c r="E19" s="5"/>
      <c r="I19" s="402"/>
    </row>
    <row r="20" spans="1:11" s="59" customFormat="1" ht="20.100000000000001" customHeight="1" x14ac:dyDescent="0.2">
      <c r="A20" s="122" t="s">
        <v>1709</v>
      </c>
      <c r="B20" s="408"/>
      <c r="C20" s="412"/>
      <c r="D20" s="5"/>
      <c r="E20" s="5"/>
      <c r="H20" s="660"/>
      <c r="I20" s="402"/>
      <c r="K20" s="59" t="e">
        <f>MATCH(Datos!B32,T_Datos)</f>
        <v>#N/A</v>
      </c>
    </row>
    <row r="21" spans="1:11" s="59" customFormat="1" ht="20.100000000000001" customHeight="1" x14ac:dyDescent="0.2">
      <c r="A21" s="122" t="s">
        <v>1708</v>
      </c>
      <c r="B21" s="408"/>
      <c r="C21" s="412"/>
      <c r="D21" s="5"/>
      <c r="E21" s="5"/>
      <c r="I21" s="402"/>
    </row>
    <row r="22" spans="1:11" s="59" customFormat="1" ht="20.100000000000001" customHeight="1" x14ac:dyDescent="0.2">
      <c r="A22" s="122" t="s">
        <v>1709</v>
      </c>
      <c r="B22" s="408"/>
      <c r="C22" s="412"/>
      <c r="D22" s="5"/>
      <c r="E22" s="5"/>
      <c r="G22" s="661"/>
      <c r="I22" s="402"/>
    </row>
    <row r="23" spans="1:11" s="59" customFormat="1" ht="20.100000000000001" customHeight="1" x14ac:dyDescent="0.2">
      <c r="A23" s="61" t="s">
        <v>1706</v>
      </c>
      <c r="C23" s="412"/>
      <c r="D23" s="78"/>
      <c r="E23" s="62"/>
      <c r="F23" s="62"/>
      <c r="G23" s="659"/>
      <c r="H23" s="62"/>
      <c r="I23" s="402"/>
    </row>
    <row r="24" spans="1:11" s="59" customFormat="1" ht="20.100000000000001" customHeight="1" x14ac:dyDescent="0.2">
      <c r="A24" s="61" t="s">
        <v>912</v>
      </c>
      <c r="C24" s="412"/>
      <c r="D24" s="79"/>
      <c r="E24" s="76"/>
      <c r="F24" s="76"/>
      <c r="G24" s="53"/>
      <c r="H24" s="53"/>
      <c r="I24" s="402"/>
    </row>
    <row r="25" spans="1:11" s="59" customFormat="1" ht="20.100000000000001" customHeight="1" x14ac:dyDescent="0.2">
      <c r="A25" s="61" t="s">
        <v>911</v>
      </c>
      <c r="B25" s="53"/>
      <c r="C25" s="412"/>
      <c r="D25" s="79"/>
      <c r="E25" s="53"/>
      <c r="F25" s="53"/>
      <c r="G25" s="53"/>
      <c r="H25" s="53"/>
      <c r="I25" s="402"/>
    </row>
    <row r="26" spans="1:11" s="59" customFormat="1" ht="20.100000000000001" customHeight="1" x14ac:dyDescent="0.2">
      <c r="A26" s="61" t="s">
        <v>937</v>
      </c>
      <c r="C26" s="412"/>
      <c r="D26" s="79"/>
      <c r="E26" s="53"/>
      <c r="F26" s="53"/>
      <c r="G26" s="53"/>
      <c r="H26" s="53"/>
      <c r="I26" s="402"/>
    </row>
    <row r="27" spans="1:11" s="59" customFormat="1" ht="20.100000000000001" customHeight="1" x14ac:dyDescent="0.2">
      <c r="A27" s="61" t="s">
        <v>910</v>
      </c>
      <c r="B27" s="53"/>
      <c r="C27" s="412"/>
      <c r="D27" s="79"/>
      <c r="E27" s="53"/>
      <c r="F27" s="53"/>
      <c r="G27" s="53"/>
      <c r="H27" s="53"/>
      <c r="I27" s="402"/>
    </row>
    <row r="28" spans="1:11" ht="20.100000000000001" customHeight="1" x14ac:dyDescent="0.2">
      <c r="A28" s="61" t="s">
        <v>914</v>
      </c>
      <c r="C28" s="553">
        <f>PrecioUnitario(1,Costo_Financiero,Gasto_Generales_Porcentaje,Beneficio,Ingresos_Brutos,IVA)</f>
        <v>1</v>
      </c>
      <c r="I28" s="54"/>
      <c r="J28" s="67"/>
    </row>
    <row r="29" spans="1:11" ht="20.100000000000001" customHeight="1" x14ac:dyDescent="0.2">
      <c r="D29" s="54"/>
      <c r="E29" s="77"/>
      <c r="K29" s="67"/>
    </row>
    <row r="30" spans="1:11" ht="20.100000000000001" customHeight="1" x14ac:dyDescent="0.2">
      <c r="B30" s="705" t="s">
        <v>936</v>
      </c>
      <c r="C30" s="706"/>
      <c r="D30" s="706"/>
      <c r="E30" s="707"/>
      <c r="F30" s="57"/>
      <c r="I30" s="54"/>
      <c r="J30" s="67"/>
    </row>
    <row r="31" spans="1:11" ht="20.100000000000001" customHeight="1" x14ac:dyDescent="0.2">
      <c r="G31" s="704" t="s">
        <v>938</v>
      </c>
      <c r="H31" s="704"/>
      <c r="I31" s="54"/>
      <c r="J31" s="67"/>
    </row>
    <row r="32" spans="1:11" ht="27.75" customHeight="1" x14ac:dyDescent="0.2">
      <c r="B32" s="416" t="s">
        <v>892</v>
      </c>
      <c r="C32" s="413" t="s">
        <v>0</v>
      </c>
      <c r="D32" s="417" t="s">
        <v>1</v>
      </c>
      <c r="E32" s="416" t="s">
        <v>2</v>
      </c>
      <c r="F32" s="82"/>
      <c r="G32" s="416" t="s">
        <v>939</v>
      </c>
      <c r="H32" s="416" t="s">
        <v>1</v>
      </c>
      <c r="I32" s="54"/>
      <c r="J32" s="416" t="s">
        <v>1710</v>
      </c>
    </row>
    <row r="33" spans="1:11" ht="20.100000000000001" customHeight="1" x14ac:dyDescent="0.2">
      <c r="B33" s="50"/>
      <c r="C33" s="407"/>
      <c r="D33" s="80"/>
      <c r="E33" s="50"/>
      <c r="F33" s="82"/>
      <c r="G33" s="565"/>
      <c r="H33" s="565"/>
      <c r="I33" s="54"/>
      <c r="J33" s="53"/>
    </row>
    <row r="34" spans="1:11" ht="20.100000000000001" customHeight="1" x14ac:dyDescent="0.2">
      <c r="A34" s="550">
        <v>0</v>
      </c>
      <c r="B34" s="413">
        <v>1</v>
      </c>
      <c r="C34" s="698" t="str">
        <f t="shared" ref="C34:C63" si="0">IFERROR(VLOOKUP(J34,T_Código_Items,2,FALSE),G34)</f>
        <v>PROYECTO EJECUTIVO</v>
      </c>
      <c r="D34" s="81">
        <f t="shared" ref="D34:D61" si="1">IFERROR(VLOOKUP(J34,T_Código_Items,3,FALSE),H34)</f>
        <v>0</v>
      </c>
      <c r="E34" s="551"/>
      <c r="F34" s="118"/>
      <c r="G34" s="119" t="s">
        <v>1971</v>
      </c>
      <c r="H34" s="648"/>
      <c r="I34" s="54"/>
      <c r="J34" s="53"/>
    </row>
    <row r="35" spans="1:11" ht="20.100000000000001" customHeight="1" x14ac:dyDescent="0.2">
      <c r="A35" s="550">
        <f t="shared" ref="A35:A37" si="2">IF(D35=0,A34,A34+1)</f>
        <v>1</v>
      </c>
      <c r="B35" s="83" t="s">
        <v>1956</v>
      </c>
      <c r="C35" s="51" t="str">
        <f t="shared" si="0"/>
        <v>Elaboración Proyecto Ejecutivo</v>
      </c>
      <c r="D35" s="81" t="str">
        <f t="shared" si="1"/>
        <v>Gl</v>
      </c>
      <c r="E35" s="552"/>
      <c r="F35" s="120"/>
      <c r="G35" s="119" t="s">
        <v>1972</v>
      </c>
      <c r="H35" s="648" t="s">
        <v>1988</v>
      </c>
      <c r="I35" s="409"/>
      <c r="J35" s="53"/>
    </row>
    <row r="36" spans="1:11" ht="20.100000000000001" customHeight="1" x14ac:dyDescent="0.2">
      <c r="A36" s="550">
        <f t="shared" si="2"/>
        <v>1</v>
      </c>
      <c r="B36" s="413">
        <v>2</v>
      </c>
      <c r="C36" s="698" t="str">
        <f t="shared" si="0"/>
        <v>CANAL AMÉRICA</v>
      </c>
      <c r="D36" s="81">
        <f t="shared" si="1"/>
        <v>0</v>
      </c>
      <c r="E36" s="552"/>
      <c r="F36" s="120"/>
      <c r="G36" s="119" t="s">
        <v>1973</v>
      </c>
      <c r="H36" s="648"/>
      <c r="I36" s="410"/>
      <c r="J36" s="53"/>
    </row>
    <row r="37" spans="1:11" ht="20.100000000000001" customHeight="1" x14ac:dyDescent="0.2">
      <c r="A37" s="550">
        <f t="shared" si="2"/>
        <v>2</v>
      </c>
      <c r="B37" s="83" t="s">
        <v>1957</v>
      </c>
      <c r="C37" s="51" t="str">
        <f t="shared" si="0"/>
        <v>Preparación y Limpieza del Terreno</v>
      </c>
      <c r="D37" s="81" t="str">
        <f t="shared" si="1"/>
        <v>Gl</v>
      </c>
      <c r="E37" s="552"/>
      <c r="F37" s="120"/>
      <c r="G37" s="119" t="s">
        <v>1974</v>
      </c>
      <c r="H37" s="648" t="s">
        <v>1988</v>
      </c>
      <c r="I37" s="54"/>
      <c r="J37" s="53"/>
    </row>
    <row r="38" spans="1:11" ht="27.75" customHeight="1" x14ac:dyDescent="0.2">
      <c r="A38" s="550">
        <f t="shared" ref="A38:A41" si="3">IF(D38=0,A37,A37+1)</f>
        <v>3</v>
      </c>
      <c r="B38" s="83" t="s">
        <v>1958</v>
      </c>
      <c r="C38" s="51" t="str">
        <f t="shared" si="0"/>
        <v>Nivelación y Replanteo</v>
      </c>
      <c r="D38" s="81" t="str">
        <f t="shared" si="1"/>
        <v>Gl</v>
      </c>
      <c r="E38" s="552"/>
      <c r="F38" s="120"/>
      <c r="G38" s="119" t="s">
        <v>1975</v>
      </c>
      <c r="H38" s="648" t="s">
        <v>1988</v>
      </c>
      <c r="I38" s="411"/>
      <c r="J38" s="142"/>
    </row>
    <row r="39" spans="1:11" ht="25.5" customHeight="1" x14ac:dyDescent="0.2">
      <c r="A39" s="550">
        <f t="shared" si="3"/>
        <v>4</v>
      </c>
      <c r="B39" s="83" t="s">
        <v>1959</v>
      </c>
      <c r="C39" s="647" t="str">
        <f t="shared" si="0"/>
        <v>Demolición de las Bocas del Sifón</v>
      </c>
      <c r="D39" s="81" t="str">
        <f t="shared" si="1"/>
        <v>Gl</v>
      </c>
      <c r="E39" s="552"/>
      <c r="F39" s="120"/>
      <c r="G39" s="119" t="s">
        <v>1976</v>
      </c>
      <c r="H39" s="648" t="s">
        <v>1988</v>
      </c>
      <c r="I39" s="411"/>
      <c r="J39" s="53"/>
    </row>
    <row r="40" spans="1:11" ht="20.100000000000001" customHeight="1" x14ac:dyDescent="0.2">
      <c r="A40" s="550">
        <f t="shared" si="3"/>
        <v>5</v>
      </c>
      <c r="B40" s="83" t="s">
        <v>1993</v>
      </c>
      <c r="C40" s="51" t="str">
        <f t="shared" si="0"/>
        <v>Extracción de Membrana</v>
      </c>
      <c r="D40" s="81" t="str">
        <f t="shared" si="1"/>
        <v>ML</v>
      </c>
      <c r="E40" s="552"/>
      <c r="F40" s="120"/>
      <c r="G40" s="119" t="s">
        <v>1977</v>
      </c>
      <c r="H40" s="648" t="s">
        <v>1989</v>
      </c>
      <c r="I40" s="411"/>
      <c r="J40" s="53"/>
      <c r="K40" s="68"/>
    </row>
    <row r="41" spans="1:11" ht="20.100000000000001" customHeight="1" x14ac:dyDescent="0.2">
      <c r="A41" s="550">
        <f t="shared" si="3"/>
        <v>6</v>
      </c>
      <c r="B41" s="83" t="s">
        <v>1994</v>
      </c>
      <c r="C41" s="51" t="str">
        <f t="shared" si="0"/>
        <v>Relleno y Compactación con Cama de Asiento</v>
      </c>
      <c r="D41" s="81" t="str">
        <f t="shared" si="1"/>
        <v>M3</v>
      </c>
      <c r="E41" s="552"/>
      <c r="F41" s="120"/>
      <c r="G41" s="119" t="s">
        <v>1978</v>
      </c>
      <c r="H41" s="648" t="s">
        <v>1990</v>
      </c>
      <c r="I41" s="411"/>
      <c r="J41" s="53"/>
      <c r="K41" s="68"/>
    </row>
    <row r="42" spans="1:11" ht="20.100000000000001" customHeight="1" x14ac:dyDescent="0.2">
      <c r="A42" s="550">
        <f t="shared" ref="A42:A98" si="4">IF(D42=0,A41,A41+1)</f>
        <v>7</v>
      </c>
      <c r="B42" s="83" t="s">
        <v>1995</v>
      </c>
      <c r="C42" s="51" t="str">
        <f t="shared" si="0"/>
        <v>Excavación Caja del Canal</v>
      </c>
      <c r="D42" s="81" t="str">
        <f t="shared" si="1"/>
        <v>M3</v>
      </c>
      <c r="E42" s="552"/>
      <c r="F42" s="120"/>
      <c r="G42" s="119" t="s">
        <v>1979</v>
      </c>
      <c r="H42" s="648" t="s">
        <v>1990</v>
      </c>
      <c r="I42" s="411"/>
      <c r="J42" s="53"/>
      <c r="K42" s="68"/>
    </row>
    <row r="43" spans="1:11" ht="20.100000000000001" customHeight="1" x14ac:dyDescent="0.2">
      <c r="A43" s="550">
        <f t="shared" si="4"/>
        <v>8</v>
      </c>
      <c r="B43" s="83" t="s">
        <v>1996</v>
      </c>
      <c r="C43" s="51" t="str">
        <f t="shared" si="0"/>
        <v>Hormigón de Limpieza</v>
      </c>
      <c r="D43" s="81" t="str">
        <f t="shared" si="1"/>
        <v>M3</v>
      </c>
      <c r="E43" s="552"/>
      <c r="F43" s="120"/>
      <c r="G43" s="119" t="s">
        <v>1980</v>
      </c>
      <c r="H43" s="648" t="s">
        <v>1990</v>
      </c>
      <c r="I43" s="411"/>
      <c r="J43" s="53"/>
      <c r="K43" s="68"/>
    </row>
    <row r="44" spans="1:11" ht="20.100000000000001" customHeight="1" x14ac:dyDescent="0.2">
      <c r="A44" s="550">
        <f t="shared" si="4"/>
        <v>9</v>
      </c>
      <c r="B44" s="83" t="s">
        <v>1997</v>
      </c>
      <c r="C44" s="51" t="str">
        <f t="shared" si="0"/>
        <v>Hormigón H21</v>
      </c>
      <c r="D44" s="81" t="str">
        <f t="shared" si="1"/>
        <v>M3</v>
      </c>
      <c r="E44" s="552"/>
      <c r="F44" s="120"/>
      <c r="G44" s="119" t="s">
        <v>1981</v>
      </c>
      <c r="H44" s="648" t="s">
        <v>1990</v>
      </c>
      <c r="I44" s="411"/>
      <c r="J44" s="53"/>
      <c r="K44" s="68"/>
    </row>
    <row r="45" spans="1:11" ht="24.75" customHeight="1" x14ac:dyDescent="0.2">
      <c r="A45" s="550">
        <f t="shared" si="4"/>
        <v>10</v>
      </c>
      <c r="B45" s="83" t="s">
        <v>1998</v>
      </c>
      <c r="C45" s="51" t="str">
        <f t="shared" si="0"/>
        <v>Armadura Colocada en Obra</v>
      </c>
      <c r="D45" s="81" t="str">
        <f t="shared" si="1"/>
        <v>KG</v>
      </c>
      <c r="E45" s="552"/>
      <c r="F45" s="120"/>
      <c r="G45" s="119" t="s">
        <v>1982</v>
      </c>
      <c r="H45" s="648" t="s">
        <v>1991</v>
      </c>
      <c r="I45" s="411"/>
      <c r="J45" s="53"/>
      <c r="K45" s="68"/>
    </row>
    <row r="46" spans="1:11" ht="27.75" customHeight="1" x14ac:dyDescent="0.2">
      <c r="A46" s="550">
        <f t="shared" si="4"/>
        <v>11</v>
      </c>
      <c r="B46" s="83" t="s">
        <v>1999</v>
      </c>
      <c r="C46" s="647" t="str">
        <f t="shared" si="0"/>
        <v>Juntas de Contracción y Dilatación</v>
      </c>
      <c r="D46" s="81" t="str">
        <f t="shared" si="1"/>
        <v>ML</v>
      </c>
      <c r="E46" s="552"/>
      <c r="F46" s="120"/>
      <c r="G46" s="119" t="s">
        <v>1983</v>
      </c>
      <c r="H46" s="648" t="s">
        <v>1989</v>
      </c>
      <c r="I46" s="411"/>
      <c r="J46" s="53"/>
      <c r="K46" s="68"/>
    </row>
    <row r="47" spans="1:11" ht="20.100000000000001" customHeight="1" x14ac:dyDescent="0.2">
      <c r="A47" s="550">
        <f t="shared" si="4"/>
        <v>12</v>
      </c>
      <c r="B47" s="83" t="s">
        <v>2000</v>
      </c>
      <c r="C47" s="51" t="str">
        <f t="shared" si="0"/>
        <v>Colocación de Membrana de 400 micrones</v>
      </c>
      <c r="D47" s="81" t="str">
        <f t="shared" si="1"/>
        <v>M2</v>
      </c>
      <c r="E47" s="552"/>
      <c r="F47" s="120"/>
      <c r="G47" s="119" t="s">
        <v>1984</v>
      </c>
      <c r="H47" s="648" t="s">
        <v>1992</v>
      </c>
      <c r="I47" s="411"/>
      <c r="J47" s="53"/>
      <c r="K47" s="68"/>
    </row>
    <row r="48" spans="1:11" ht="20.100000000000001" customHeight="1" x14ac:dyDescent="0.2">
      <c r="A48" s="550">
        <f t="shared" si="4"/>
        <v>12</v>
      </c>
      <c r="B48" s="413">
        <v>3</v>
      </c>
      <c r="C48" s="698" t="str">
        <f t="shared" si="0"/>
        <v>PUENTES DE HORMIGÓN</v>
      </c>
      <c r="D48" s="81">
        <f t="shared" si="1"/>
        <v>0</v>
      </c>
      <c r="E48" s="552"/>
      <c r="F48" s="120"/>
      <c r="G48" s="119" t="s">
        <v>1985</v>
      </c>
      <c r="H48" s="648"/>
      <c r="I48" s="411"/>
      <c r="J48" s="53"/>
      <c r="K48" s="68"/>
    </row>
    <row r="49" spans="1:11" ht="20.100000000000001" customHeight="1" x14ac:dyDescent="0.2">
      <c r="A49" s="550">
        <f t="shared" si="4"/>
        <v>13</v>
      </c>
      <c r="B49" s="83" t="s">
        <v>1960</v>
      </c>
      <c r="C49" s="51" t="str">
        <f t="shared" si="0"/>
        <v>Preparación y Limpieza del Terreno</v>
      </c>
      <c r="D49" s="81" t="str">
        <f t="shared" si="1"/>
        <v>Gl</v>
      </c>
      <c r="E49" s="552"/>
      <c r="F49" s="120"/>
      <c r="G49" s="119" t="s">
        <v>1974</v>
      </c>
      <c r="H49" s="648" t="s">
        <v>1988</v>
      </c>
      <c r="I49" s="411"/>
      <c r="J49" s="53"/>
      <c r="K49" s="68"/>
    </row>
    <row r="50" spans="1:11" ht="20.100000000000001" customHeight="1" x14ac:dyDescent="0.2">
      <c r="A50" s="550">
        <f t="shared" si="4"/>
        <v>14</v>
      </c>
      <c r="B50" s="83" t="s">
        <v>1961</v>
      </c>
      <c r="C50" s="51" t="str">
        <f t="shared" si="0"/>
        <v>Nivelación y Replanteo</v>
      </c>
      <c r="D50" s="81" t="str">
        <f t="shared" si="1"/>
        <v>Gl</v>
      </c>
      <c r="E50" s="552"/>
      <c r="F50" s="120"/>
      <c r="G50" s="119" t="s">
        <v>1975</v>
      </c>
      <c r="H50" s="648" t="s">
        <v>1988</v>
      </c>
      <c r="I50" s="411"/>
      <c r="J50" s="53"/>
      <c r="K50" s="68"/>
    </row>
    <row r="51" spans="1:11" ht="20.100000000000001" customHeight="1" x14ac:dyDescent="0.2">
      <c r="A51" s="550">
        <f t="shared" si="4"/>
        <v>15</v>
      </c>
      <c r="B51" s="83" t="s">
        <v>1962</v>
      </c>
      <c r="C51" s="51" t="str">
        <f t="shared" si="0"/>
        <v>Demolición de Puentes</v>
      </c>
      <c r="D51" s="81" t="str">
        <f t="shared" si="1"/>
        <v>Gl</v>
      </c>
      <c r="E51" s="552"/>
      <c r="F51" s="120"/>
      <c r="G51" s="119" t="s">
        <v>1986</v>
      </c>
      <c r="H51" s="648" t="s">
        <v>1988</v>
      </c>
      <c r="I51" s="411"/>
      <c r="J51" s="53"/>
      <c r="K51" s="68"/>
    </row>
    <row r="52" spans="1:11" ht="20.100000000000001" customHeight="1" x14ac:dyDescent="0.2">
      <c r="A52" s="550">
        <f t="shared" si="4"/>
        <v>16</v>
      </c>
      <c r="B52" s="83" t="s">
        <v>2001</v>
      </c>
      <c r="C52" s="51" t="str">
        <f t="shared" si="0"/>
        <v>Relleno y Compactación con Cama de Asiento</v>
      </c>
      <c r="D52" s="81" t="str">
        <f t="shared" si="1"/>
        <v>M3</v>
      </c>
      <c r="E52" s="552"/>
      <c r="F52" s="120"/>
      <c r="G52" s="119" t="s">
        <v>1978</v>
      </c>
      <c r="H52" s="648" t="s">
        <v>1990</v>
      </c>
      <c r="I52" s="411"/>
      <c r="J52" s="53"/>
      <c r="K52" s="68"/>
    </row>
    <row r="53" spans="1:11" ht="20.100000000000001" customHeight="1" x14ac:dyDescent="0.2">
      <c r="A53" s="550">
        <f t="shared" si="4"/>
        <v>17</v>
      </c>
      <c r="B53" s="83" t="s">
        <v>2002</v>
      </c>
      <c r="C53" s="51" t="str">
        <f t="shared" si="0"/>
        <v>Excavación Cimiento</v>
      </c>
      <c r="D53" s="81" t="str">
        <f t="shared" si="1"/>
        <v>M3</v>
      </c>
      <c r="E53" s="552"/>
      <c r="F53" s="120"/>
      <c r="G53" s="119" t="s">
        <v>1987</v>
      </c>
      <c r="H53" s="648" t="s">
        <v>1990</v>
      </c>
      <c r="I53" s="411"/>
      <c r="J53" s="53"/>
      <c r="K53" s="68"/>
    </row>
    <row r="54" spans="1:11" ht="20.100000000000001" customHeight="1" x14ac:dyDescent="0.2">
      <c r="A54" s="550">
        <f t="shared" si="4"/>
        <v>18</v>
      </c>
      <c r="B54" s="83" t="s">
        <v>2003</v>
      </c>
      <c r="C54" s="51" t="str">
        <f t="shared" si="0"/>
        <v>Hormigón de Limpieza</v>
      </c>
      <c r="D54" s="81" t="str">
        <f t="shared" si="1"/>
        <v>M3</v>
      </c>
      <c r="E54" s="552"/>
      <c r="F54" s="120"/>
      <c r="G54" s="119" t="s">
        <v>1980</v>
      </c>
      <c r="H54" s="648" t="s">
        <v>1990</v>
      </c>
      <c r="I54" s="411"/>
      <c r="J54" s="53"/>
      <c r="K54" s="68"/>
    </row>
    <row r="55" spans="1:11" ht="20.100000000000001" customHeight="1" x14ac:dyDescent="0.2">
      <c r="A55" s="550">
        <f t="shared" si="4"/>
        <v>19</v>
      </c>
      <c r="B55" s="83" t="s">
        <v>2004</v>
      </c>
      <c r="C55" s="51" t="str">
        <f t="shared" si="0"/>
        <v>Hormigón H21</v>
      </c>
      <c r="D55" s="81" t="str">
        <f t="shared" si="1"/>
        <v>M3</v>
      </c>
      <c r="E55" s="552"/>
      <c r="F55" s="120"/>
      <c r="G55" s="119" t="s">
        <v>1981</v>
      </c>
      <c r="H55" s="648" t="s">
        <v>1990</v>
      </c>
      <c r="I55" s="411"/>
      <c r="J55" s="53"/>
      <c r="K55" s="68"/>
    </row>
    <row r="56" spans="1:11" ht="20.100000000000001" customHeight="1" x14ac:dyDescent="0.2">
      <c r="A56" s="550">
        <f t="shared" si="4"/>
        <v>20</v>
      </c>
      <c r="B56" s="83" t="s">
        <v>2005</v>
      </c>
      <c r="C56" s="51" t="str">
        <f t="shared" si="0"/>
        <v>Armadura Colocada en Obra</v>
      </c>
      <c r="D56" s="81" t="str">
        <f t="shared" si="1"/>
        <v>KG</v>
      </c>
      <c r="E56" s="552"/>
      <c r="F56" s="120"/>
      <c r="G56" s="119" t="s">
        <v>1982</v>
      </c>
      <c r="H56" s="648" t="s">
        <v>1991</v>
      </c>
      <c r="I56" s="411"/>
      <c r="J56" s="53"/>
      <c r="K56" s="68"/>
    </row>
    <row r="57" spans="1:11" ht="20.100000000000001" customHeight="1" x14ac:dyDescent="0.2">
      <c r="A57" s="550">
        <f t="shared" si="4"/>
        <v>20</v>
      </c>
      <c r="B57" s="83">
        <v>4</v>
      </c>
      <c r="C57" s="51" t="str">
        <f t="shared" si="0"/>
        <v>FORTALECIMIENTO INSTITUCIONAL</v>
      </c>
      <c r="D57" s="81">
        <f t="shared" si="1"/>
        <v>0</v>
      </c>
      <c r="E57" s="552"/>
      <c r="F57" s="120"/>
      <c r="G57" s="119" t="s">
        <v>2007</v>
      </c>
      <c r="H57" s="648"/>
      <c r="I57" s="411"/>
      <c r="J57" s="53"/>
    </row>
    <row r="58" spans="1:11" ht="20.100000000000001" customHeight="1" x14ac:dyDescent="0.2">
      <c r="A58" s="550">
        <f t="shared" si="4"/>
        <v>21</v>
      </c>
      <c r="B58" s="83" t="s">
        <v>2008</v>
      </c>
      <c r="C58" s="51" t="str">
        <f t="shared" si="0"/>
        <v>Camioneta 0 km.</v>
      </c>
      <c r="D58" s="81" t="str">
        <f t="shared" si="1"/>
        <v>UN.</v>
      </c>
      <c r="E58" s="552"/>
      <c r="F58" s="120"/>
      <c r="G58" s="119" t="s">
        <v>2017</v>
      </c>
      <c r="H58" s="648" t="s">
        <v>1</v>
      </c>
      <c r="I58" s="411"/>
      <c r="J58" s="53"/>
    </row>
    <row r="59" spans="1:11" ht="20.100000000000001" customHeight="1" x14ac:dyDescent="0.2">
      <c r="A59" s="550">
        <f t="shared" si="4"/>
        <v>22</v>
      </c>
      <c r="B59" s="83" t="s">
        <v>2009</v>
      </c>
      <c r="C59" s="51" t="str">
        <f t="shared" si="0"/>
        <v xml:space="preserve">Equipo de computación PC Core I7 10400 16gb RAM 240 Ssd + 2TR HD, con Monitor 24 W10 LISTA PARA USAR CON ANTIVIRUS con teclado y mouse inalámbrico. </v>
      </c>
      <c r="D59" s="81" t="str">
        <f t="shared" si="1"/>
        <v>UN.</v>
      </c>
      <c r="E59" s="552"/>
      <c r="F59" s="120"/>
      <c r="G59" s="119" t="s">
        <v>2013</v>
      </c>
      <c r="H59" s="648" t="s">
        <v>1</v>
      </c>
      <c r="I59" s="411"/>
      <c r="J59" s="53"/>
    </row>
    <row r="60" spans="1:11" ht="20.100000000000001" customHeight="1" x14ac:dyDescent="0.2">
      <c r="A60" s="550">
        <f t="shared" si="4"/>
        <v>23</v>
      </c>
      <c r="B60" s="83" t="s">
        <v>2010</v>
      </c>
      <c r="C60" s="51" t="str">
        <f t="shared" si="0"/>
        <v>Dron</v>
      </c>
      <c r="D60" s="81" t="str">
        <f t="shared" si="1"/>
        <v>UN.</v>
      </c>
      <c r="E60" s="552"/>
      <c r="F60" s="120"/>
      <c r="G60" s="119" t="s">
        <v>2014</v>
      </c>
      <c r="H60" s="648" t="s">
        <v>1</v>
      </c>
      <c r="I60" s="411"/>
      <c r="J60" s="53"/>
    </row>
    <row r="61" spans="1:11" ht="20.100000000000001" customHeight="1" x14ac:dyDescent="0.2">
      <c r="A61" s="550">
        <f t="shared" si="4"/>
        <v>24</v>
      </c>
      <c r="B61" s="83" t="s">
        <v>2011</v>
      </c>
      <c r="C61" s="51" t="str">
        <f t="shared" si="0"/>
        <v>GPS diferencial</v>
      </c>
      <c r="D61" s="81" t="str">
        <f t="shared" si="1"/>
        <v>UN.</v>
      </c>
      <c r="E61" s="552"/>
      <c r="F61" s="120"/>
      <c r="G61" s="119" t="s">
        <v>2015</v>
      </c>
      <c r="H61" s="648" t="s">
        <v>1</v>
      </c>
      <c r="I61" s="411"/>
      <c r="J61" s="53"/>
    </row>
    <row r="62" spans="1:11" ht="20.100000000000001" customHeight="1" x14ac:dyDescent="0.2">
      <c r="A62" s="550">
        <f t="shared" si="4"/>
        <v>24</v>
      </c>
      <c r="B62" s="83" t="s">
        <v>2012</v>
      </c>
      <c r="C62" s="51" t="str">
        <f t="shared" si="0"/>
        <v>Nivel Óptico</v>
      </c>
      <c r="D62" s="81"/>
      <c r="E62" s="552"/>
      <c r="F62" s="120"/>
      <c r="G62" s="119" t="s">
        <v>2016</v>
      </c>
      <c r="H62" s="648" t="s">
        <v>1</v>
      </c>
      <c r="I62" s="411"/>
      <c r="J62" s="53"/>
    </row>
    <row r="63" spans="1:11" ht="20.100000000000001" customHeight="1" x14ac:dyDescent="0.2">
      <c r="A63" s="550">
        <f t="shared" si="4"/>
        <v>24</v>
      </c>
      <c r="B63" s="83"/>
      <c r="C63" s="51">
        <f t="shared" si="0"/>
        <v>0</v>
      </c>
      <c r="D63" s="81"/>
      <c r="E63" s="552"/>
      <c r="F63" s="120"/>
      <c r="G63" s="119"/>
      <c r="H63" s="648"/>
      <c r="I63" s="411"/>
      <c r="J63" s="53"/>
    </row>
    <row r="64" spans="1:11" ht="20.100000000000001" customHeight="1" x14ac:dyDescent="0.2">
      <c r="A64" s="550">
        <f t="shared" si="4"/>
        <v>24</v>
      </c>
      <c r="B64" s="83"/>
      <c r="C64" s="51"/>
      <c r="D64" s="81"/>
      <c r="E64" s="552"/>
      <c r="F64" s="120"/>
      <c r="G64" s="119"/>
      <c r="H64" s="648"/>
      <c r="I64" s="411"/>
      <c r="J64" s="53"/>
    </row>
    <row r="65" spans="1:10" ht="20.100000000000001" customHeight="1" x14ac:dyDescent="0.2">
      <c r="A65" s="550">
        <f t="shared" si="4"/>
        <v>24</v>
      </c>
      <c r="B65" s="83"/>
      <c r="C65" s="51"/>
      <c r="D65" s="81"/>
      <c r="E65" s="552"/>
      <c r="F65" s="120"/>
      <c r="G65" s="119"/>
      <c r="H65" s="648"/>
      <c r="I65" s="411"/>
      <c r="J65" s="53"/>
    </row>
    <row r="66" spans="1:10" ht="20.100000000000001" customHeight="1" x14ac:dyDescent="0.2">
      <c r="A66" s="550">
        <f t="shared" si="4"/>
        <v>24</v>
      </c>
      <c r="B66" s="83"/>
      <c r="C66" s="51"/>
      <c r="D66" s="81"/>
      <c r="E66" s="552"/>
      <c r="F66" s="120"/>
      <c r="G66" s="649"/>
      <c r="H66" s="648"/>
      <c r="I66" s="411"/>
      <c r="J66" s="53"/>
    </row>
    <row r="67" spans="1:10" ht="20.100000000000001" customHeight="1" x14ac:dyDescent="0.2">
      <c r="A67" s="550">
        <f t="shared" si="4"/>
        <v>24</v>
      </c>
      <c r="B67" s="83"/>
      <c r="C67" s="51"/>
      <c r="D67" s="81"/>
      <c r="E67" s="552"/>
      <c r="F67" s="120"/>
      <c r="G67" s="119"/>
      <c r="H67" s="648"/>
      <c r="I67" s="411"/>
      <c r="J67" s="53"/>
    </row>
    <row r="68" spans="1:10" ht="20.100000000000001" customHeight="1" x14ac:dyDescent="0.2">
      <c r="A68" s="550">
        <f t="shared" si="4"/>
        <v>24</v>
      </c>
      <c r="B68" s="83"/>
      <c r="C68" s="51"/>
      <c r="D68" s="81"/>
      <c r="E68" s="552"/>
      <c r="F68" s="120"/>
      <c r="G68" s="119"/>
      <c r="H68" s="648"/>
      <c r="I68" s="411"/>
      <c r="J68" s="53"/>
    </row>
    <row r="69" spans="1:10" ht="20.100000000000001" customHeight="1" x14ac:dyDescent="0.2">
      <c r="A69" s="550">
        <f t="shared" si="4"/>
        <v>24</v>
      </c>
      <c r="B69" s="83"/>
      <c r="C69" s="51"/>
      <c r="D69" s="81"/>
      <c r="E69" s="552"/>
      <c r="F69" s="120"/>
      <c r="G69" s="119"/>
      <c r="H69" s="648"/>
      <c r="I69" s="411"/>
      <c r="J69" s="53"/>
    </row>
    <row r="70" spans="1:10" ht="20.100000000000001" customHeight="1" x14ac:dyDescent="0.2">
      <c r="A70" s="550">
        <f t="shared" si="4"/>
        <v>24</v>
      </c>
      <c r="B70" s="83"/>
      <c r="C70" s="51"/>
      <c r="D70" s="81"/>
      <c r="E70" s="552"/>
      <c r="F70" s="120"/>
      <c r="G70" s="119"/>
      <c r="H70" s="648"/>
      <c r="I70" s="411"/>
      <c r="J70" s="53"/>
    </row>
    <row r="71" spans="1:10" ht="20.100000000000001" customHeight="1" x14ac:dyDescent="0.2">
      <c r="A71" s="550">
        <f t="shared" si="4"/>
        <v>24</v>
      </c>
      <c r="B71" s="83"/>
      <c r="C71" s="51"/>
      <c r="D71" s="81"/>
      <c r="E71" s="552"/>
      <c r="F71" s="120"/>
      <c r="G71" s="119"/>
      <c r="H71" s="648"/>
      <c r="I71" s="411"/>
      <c r="J71" s="53"/>
    </row>
    <row r="72" spans="1:10" ht="20.100000000000001" customHeight="1" x14ac:dyDescent="0.2">
      <c r="A72" s="550">
        <f t="shared" si="4"/>
        <v>24</v>
      </c>
      <c r="B72" s="83"/>
      <c r="C72" s="51"/>
      <c r="D72" s="81"/>
      <c r="E72" s="552"/>
      <c r="F72" s="120"/>
      <c r="G72" s="119"/>
      <c r="H72" s="648"/>
      <c r="I72" s="411"/>
      <c r="J72" s="53"/>
    </row>
    <row r="73" spans="1:10" ht="20.100000000000001" customHeight="1" x14ac:dyDescent="0.2">
      <c r="A73" s="550">
        <f t="shared" si="4"/>
        <v>24</v>
      </c>
      <c r="B73" s="83"/>
      <c r="C73" s="51"/>
      <c r="D73" s="81"/>
      <c r="E73" s="552"/>
      <c r="F73" s="120"/>
      <c r="G73" s="119"/>
      <c r="H73" s="648"/>
      <c r="I73" s="411"/>
      <c r="J73" s="53"/>
    </row>
    <row r="74" spans="1:10" ht="20.100000000000001" customHeight="1" x14ac:dyDescent="0.2">
      <c r="A74" s="550">
        <f t="shared" si="4"/>
        <v>24</v>
      </c>
      <c r="B74" s="83"/>
      <c r="C74" s="51"/>
      <c r="D74" s="81"/>
      <c r="E74" s="552"/>
      <c r="F74" s="120"/>
      <c r="G74" s="119"/>
      <c r="H74" s="648"/>
      <c r="I74" s="411"/>
      <c r="J74" s="53"/>
    </row>
    <row r="75" spans="1:10" ht="20.100000000000001" customHeight="1" x14ac:dyDescent="0.2">
      <c r="A75" s="550">
        <f t="shared" si="4"/>
        <v>24</v>
      </c>
      <c r="B75" s="83"/>
      <c r="C75" s="51"/>
      <c r="D75" s="81"/>
      <c r="E75" s="552"/>
      <c r="F75" s="120"/>
      <c r="G75" s="119"/>
      <c r="H75" s="648"/>
      <c r="I75" s="411"/>
      <c r="J75" s="53"/>
    </row>
    <row r="76" spans="1:10" ht="20.100000000000001" customHeight="1" x14ac:dyDescent="0.2">
      <c r="A76" s="550">
        <f t="shared" si="4"/>
        <v>24</v>
      </c>
      <c r="B76" s="83"/>
      <c r="C76" s="51"/>
      <c r="D76" s="81"/>
      <c r="E76" s="552"/>
      <c r="F76" s="120"/>
      <c r="G76" s="119"/>
      <c r="H76" s="648"/>
      <c r="I76" s="411"/>
      <c r="J76" s="53"/>
    </row>
    <row r="77" spans="1:10" ht="20.100000000000001" customHeight="1" x14ac:dyDescent="0.2">
      <c r="A77" s="550">
        <f t="shared" si="4"/>
        <v>24</v>
      </c>
      <c r="B77" s="83"/>
      <c r="C77" s="51"/>
      <c r="D77" s="81"/>
      <c r="E77" s="552"/>
      <c r="F77" s="120"/>
      <c r="G77" s="119"/>
      <c r="H77" s="648"/>
      <c r="I77" s="411"/>
      <c r="J77" s="53"/>
    </row>
    <row r="78" spans="1:10" ht="20.100000000000001" customHeight="1" x14ac:dyDescent="0.2">
      <c r="A78" s="550">
        <f t="shared" si="4"/>
        <v>24</v>
      </c>
      <c r="B78" s="83"/>
      <c r="C78" s="51"/>
      <c r="D78" s="81"/>
      <c r="E78" s="552"/>
      <c r="F78" s="120"/>
      <c r="G78" s="119"/>
      <c r="H78" s="648"/>
      <c r="I78" s="411"/>
      <c r="J78" s="53"/>
    </row>
    <row r="79" spans="1:10" ht="20.100000000000001" customHeight="1" x14ac:dyDescent="0.2">
      <c r="A79" s="550">
        <f t="shared" si="4"/>
        <v>24</v>
      </c>
      <c r="B79" s="83"/>
      <c r="C79" s="51"/>
      <c r="D79" s="81"/>
      <c r="E79" s="552"/>
      <c r="F79" s="120"/>
      <c r="G79" s="119"/>
      <c r="H79" s="648"/>
      <c r="I79" s="411"/>
      <c r="J79" s="53"/>
    </row>
    <row r="80" spans="1:10" ht="20.100000000000001" customHeight="1" x14ac:dyDescent="0.2">
      <c r="A80" s="550">
        <f t="shared" si="4"/>
        <v>24</v>
      </c>
      <c r="B80" s="83"/>
      <c r="C80" s="51"/>
      <c r="D80" s="81"/>
      <c r="E80" s="552"/>
      <c r="F80" s="120"/>
      <c r="G80" s="119"/>
      <c r="H80" s="648"/>
      <c r="I80" s="411"/>
      <c r="J80" s="53"/>
    </row>
    <row r="81" spans="1:10" ht="20.100000000000001" customHeight="1" x14ac:dyDescent="0.2">
      <c r="A81" s="550">
        <f t="shared" si="4"/>
        <v>24</v>
      </c>
      <c r="B81" s="83"/>
      <c r="C81" s="51"/>
      <c r="D81" s="81"/>
      <c r="E81" s="552"/>
      <c r="F81" s="120"/>
      <c r="G81" s="119"/>
      <c r="H81" s="648"/>
      <c r="I81" s="411"/>
      <c r="J81" s="53"/>
    </row>
    <row r="82" spans="1:10" ht="20.100000000000001" customHeight="1" x14ac:dyDescent="0.2">
      <c r="A82" s="550">
        <f t="shared" si="4"/>
        <v>24</v>
      </c>
      <c r="B82" s="83"/>
      <c r="C82" s="51"/>
      <c r="D82" s="81"/>
      <c r="E82" s="552"/>
      <c r="F82" s="120"/>
      <c r="G82" s="119"/>
      <c r="H82" s="648"/>
      <c r="I82" s="411"/>
      <c r="J82" s="53"/>
    </row>
    <row r="83" spans="1:10" ht="20.100000000000001" customHeight="1" x14ac:dyDescent="0.2">
      <c r="A83" s="550">
        <f t="shared" si="4"/>
        <v>24</v>
      </c>
      <c r="B83" s="83"/>
      <c r="C83" s="51"/>
      <c r="D83" s="81"/>
      <c r="E83" s="552"/>
      <c r="F83" s="120"/>
      <c r="G83" s="119"/>
      <c r="H83" s="648"/>
      <c r="I83" s="411"/>
      <c r="J83" s="53"/>
    </row>
    <row r="84" spans="1:10" ht="20.100000000000001" customHeight="1" x14ac:dyDescent="0.2">
      <c r="A84" s="550">
        <f t="shared" si="4"/>
        <v>24</v>
      </c>
      <c r="B84" s="83"/>
      <c r="C84" s="51"/>
      <c r="D84" s="81"/>
      <c r="E84" s="552"/>
      <c r="F84" s="120"/>
      <c r="G84" s="119"/>
      <c r="H84" s="648"/>
      <c r="I84" s="411"/>
      <c r="J84" s="53"/>
    </row>
    <row r="85" spans="1:10" ht="20.100000000000001" customHeight="1" x14ac:dyDescent="0.2">
      <c r="A85" s="550">
        <f t="shared" si="4"/>
        <v>24</v>
      </c>
      <c r="B85" s="83"/>
      <c r="C85" s="51"/>
      <c r="D85" s="81"/>
      <c r="E85" s="552"/>
      <c r="F85" s="120"/>
      <c r="G85" s="119"/>
      <c r="H85" s="648"/>
      <c r="I85" s="411"/>
      <c r="J85" s="53"/>
    </row>
    <row r="86" spans="1:10" ht="20.100000000000001" customHeight="1" x14ac:dyDescent="0.2">
      <c r="A86" s="550">
        <f t="shared" si="4"/>
        <v>24</v>
      </c>
      <c r="B86" s="83"/>
      <c r="C86" s="51"/>
      <c r="D86" s="81"/>
      <c r="E86" s="552"/>
      <c r="F86" s="120"/>
      <c r="G86" s="119"/>
      <c r="H86" s="648"/>
      <c r="I86" s="411"/>
      <c r="J86" s="53"/>
    </row>
    <row r="87" spans="1:10" ht="20.100000000000001" customHeight="1" x14ac:dyDescent="0.2">
      <c r="A87" s="550">
        <f t="shared" si="4"/>
        <v>24</v>
      </c>
      <c r="B87" s="83"/>
      <c r="C87" s="51"/>
      <c r="D87" s="81"/>
      <c r="E87" s="552"/>
      <c r="F87" s="120"/>
      <c r="G87" s="119"/>
      <c r="H87" s="648"/>
      <c r="I87" s="411"/>
      <c r="J87" s="53"/>
    </row>
    <row r="88" spans="1:10" ht="20.100000000000001" customHeight="1" x14ac:dyDescent="0.2">
      <c r="A88" s="550">
        <f t="shared" si="4"/>
        <v>24</v>
      </c>
      <c r="B88" s="83"/>
      <c r="C88" s="51"/>
      <c r="D88" s="81"/>
      <c r="E88" s="552"/>
      <c r="F88" s="120"/>
      <c r="G88" s="119"/>
      <c r="H88" s="648"/>
      <c r="I88" s="411"/>
      <c r="J88" s="53"/>
    </row>
    <row r="89" spans="1:10" ht="20.100000000000001" customHeight="1" x14ac:dyDescent="0.2">
      <c r="A89" s="550">
        <f t="shared" si="4"/>
        <v>24</v>
      </c>
      <c r="B89" s="83"/>
      <c r="C89" s="51"/>
      <c r="D89" s="81"/>
      <c r="E89" s="552"/>
      <c r="F89" s="120"/>
      <c r="G89" s="119"/>
      <c r="H89" s="648"/>
      <c r="I89" s="411"/>
      <c r="J89" s="53"/>
    </row>
    <row r="90" spans="1:10" ht="20.100000000000001" customHeight="1" x14ac:dyDescent="0.2">
      <c r="A90" s="550">
        <f t="shared" si="4"/>
        <v>24</v>
      </c>
      <c r="B90" s="83"/>
      <c r="C90" s="51"/>
      <c r="D90" s="81"/>
      <c r="E90" s="552"/>
      <c r="F90" s="120"/>
      <c r="G90" s="119"/>
      <c r="H90" s="648"/>
      <c r="I90" s="411"/>
      <c r="J90" s="53"/>
    </row>
    <row r="91" spans="1:10" ht="20.100000000000001" customHeight="1" x14ac:dyDescent="0.2">
      <c r="A91" s="550">
        <f t="shared" si="4"/>
        <v>24</v>
      </c>
      <c r="B91" s="83"/>
      <c r="C91" s="51"/>
      <c r="D91" s="81"/>
      <c r="E91" s="552"/>
      <c r="F91" s="120"/>
      <c r="G91" s="119"/>
      <c r="H91" s="648"/>
      <c r="I91" s="411"/>
      <c r="J91" s="53"/>
    </row>
    <row r="92" spans="1:10" ht="20.100000000000001" customHeight="1" x14ac:dyDescent="0.2">
      <c r="A92" s="550">
        <f t="shared" si="4"/>
        <v>24</v>
      </c>
      <c r="B92" s="83"/>
      <c r="C92" s="51"/>
      <c r="D92" s="81"/>
      <c r="E92" s="552"/>
      <c r="F92" s="120"/>
      <c r="G92" s="119"/>
      <c r="H92" s="648"/>
      <c r="I92" s="411"/>
      <c r="J92" s="53"/>
    </row>
    <row r="93" spans="1:10" ht="20.100000000000001" customHeight="1" x14ac:dyDescent="0.2">
      <c r="A93" s="550">
        <f t="shared" si="4"/>
        <v>24</v>
      </c>
      <c r="B93" s="83"/>
      <c r="C93" s="51"/>
      <c r="D93" s="81"/>
      <c r="E93" s="552"/>
      <c r="F93" s="120"/>
      <c r="G93" s="119"/>
      <c r="H93" s="648"/>
      <c r="I93" s="411"/>
      <c r="J93" s="53"/>
    </row>
    <row r="94" spans="1:10" ht="20.100000000000001" customHeight="1" x14ac:dyDescent="0.2">
      <c r="A94" s="550">
        <f t="shared" si="4"/>
        <v>24</v>
      </c>
      <c r="B94" s="83"/>
      <c r="C94" s="51"/>
      <c r="D94" s="81"/>
      <c r="E94" s="552"/>
      <c r="F94" s="120"/>
      <c r="G94" s="649"/>
      <c r="H94" s="648"/>
      <c r="I94" s="411"/>
      <c r="J94" s="53"/>
    </row>
    <row r="95" spans="1:10" ht="20.100000000000001" customHeight="1" x14ac:dyDescent="0.2">
      <c r="A95" s="550">
        <f t="shared" si="4"/>
        <v>24</v>
      </c>
      <c r="B95" s="83"/>
      <c r="C95" s="51"/>
      <c r="D95" s="81"/>
      <c r="E95" s="552"/>
      <c r="F95" s="120"/>
      <c r="G95" s="119"/>
      <c r="H95" s="648"/>
      <c r="I95" s="411"/>
      <c r="J95" s="53"/>
    </row>
    <row r="96" spans="1:10" ht="20.100000000000001" customHeight="1" x14ac:dyDescent="0.2">
      <c r="A96" s="550">
        <f t="shared" si="4"/>
        <v>24</v>
      </c>
      <c r="B96" s="83"/>
      <c r="C96" s="51"/>
      <c r="D96" s="81"/>
      <c r="E96" s="552"/>
      <c r="F96" s="120"/>
      <c r="G96" s="119"/>
      <c r="H96" s="648"/>
      <c r="I96" s="411"/>
      <c r="J96" s="53"/>
    </row>
    <row r="97" spans="1:10" ht="20.100000000000001" customHeight="1" x14ac:dyDescent="0.2">
      <c r="A97" s="550">
        <f t="shared" si="4"/>
        <v>24</v>
      </c>
      <c r="B97" s="83"/>
      <c r="C97" s="51"/>
      <c r="D97" s="81"/>
      <c r="E97" s="552"/>
      <c r="F97" s="120"/>
      <c r="G97" s="119"/>
      <c r="H97" s="648"/>
      <c r="I97" s="411"/>
      <c r="J97" s="53"/>
    </row>
    <row r="98" spans="1:10" ht="20.100000000000001" customHeight="1" x14ac:dyDescent="0.2">
      <c r="A98" s="550">
        <f t="shared" si="4"/>
        <v>24</v>
      </c>
      <c r="B98" s="83"/>
      <c r="C98" s="51"/>
      <c r="D98" s="81"/>
      <c r="E98" s="552"/>
      <c r="F98" s="120"/>
      <c r="G98" s="119"/>
      <c r="H98" s="648"/>
      <c r="I98" s="411"/>
      <c r="J98" s="53"/>
    </row>
    <row r="99" spans="1:10" ht="20.100000000000001" customHeight="1" x14ac:dyDescent="0.2">
      <c r="A99" s="550">
        <f t="shared" ref="A99:A162" si="5">IF(D99=0,A98,A98+1)</f>
        <v>24</v>
      </c>
      <c r="B99" s="83"/>
      <c r="C99" s="51"/>
      <c r="D99" s="81"/>
      <c r="E99" s="552"/>
      <c r="F99" s="120"/>
      <c r="G99" s="119"/>
      <c r="H99" s="648"/>
      <c r="I99" s="411"/>
      <c r="J99" s="53"/>
    </row>
    <row r="100" spans="1:10" ht="20.100000000000001" customHeight="1" x14ac:dyDescent="0.2">
      <c r="A100" s="550">
        <f t="shared" si="5"/>
        <v>24</v>
      </c>
      <c r="B100" s="83"/>
      <c r="C100" s="51"/>
      <c r="D100" s="81"/>
      <c r="E100" s="552"/>
      <c r="F100" s="120"/>
      <c r="G100" s="119"/>
      <c r="H100" s="648"/>
      <c r="I100" s="411"/>
      <c r="J100" s="53"/>
    </row>
    <row r="101" spans="1:10" ht="20.100000000000001" customHeight="1" x14ac:dyDescent="0.2">
      <c r="A101" s="550">
        <f t="shared" si="5"/>
        <v>24</v>
      </c>
      <c r="B101" s="83"/>
      <c r="C101" s="51"/>
      <c r="D101" s="81"/>
      <c r="E101" s="552"/>
      <c r="F101" s="120"/>
      <c r="G101" s="119"/>
      <c r="H101" s="648"/>
      <c r="I101" s="411"/>
      <c r="J101" s="53"/>
    </row>
    <row r="102" spans="1:10" ht="20.100000000000001" customHeight="1" x14ac:dyDescent="0.2">
      <c r="A102" s="550">
        <f t="shared" si="5"/>
        <v>24</v>
      </c>
      <c r="B102" s="83"/>
      <c r="C102" s="51"/>
      <c r="D102" s="81"/>
      <c r="E102" s="552"/>
      <c r="F102" s="120"/>
      <c r="G102" s="119"/>
      <c r="H102" s="648"/>
      <c r="I102" s="411"/>
      <c r="J102" s="53"/>
    </row>
    <row r="103" spans="1:10" ht="20.100000000000001" customHeight="1" x14ac:dyDescent="0.2">
      <c r="A103" s="550">
        <f t="shared" si="5"/>
        <v>24</v>
      </c>
      <c r="B103" s="83"/>
      <c r="C103" s="51"/>
      <c r="D103" s="81"/>
      <c r="E103" s="552"/>
      <c r="F103" s="120"/>
      <c r="G103" s="649"/>
      <c r="H103" s="648"/>
      <c r="I103" s="411"/>
      <c r="J103" s="53"/>
    </row>
    <row r="104" spans="1:10" ht="20.100000000000001" customHeight="1" x14ac:dyDescent="0.2">
      <c r="A104" s="550">
        <f t="shared" si="5"/>
        <v>24</v>
      </c>
      <c r="B104" s="83"/>
      <c r="C104" s="51"/>
      <c r="D104" s="81"/>
      <c r="E104" s="552"/>
      <c r="F104" s="120"/>
      <c r="G104" s="119"/>
      <c r="H104" s="648"/>
      <c r="I104" s="411"/>
      <c r="J104" s="53"/>
    </row>
    <row r="105" spans="1:10" ht="20.100000000000001" customHeight="1" x14ac:dyDescent="0.2">
      <c r="A105" s="550">
        <f t="shared" si="5"/>
        <v>24</v>
      </c>
      <c r="B105" s="83"/>
      <c r="C105" s="51"/>
      <c r="D105" s="81"/>
      <c r="E105" s="552"/>
      <c r="F105" s="120"/>
      <c r="G105" s="119"/>
      <c r="H105" s="648"/>
      <c r="I105" s="411"/>
      <c r="J105" s="53"/>
    </row>
    <row r="106" spans="1:10" ht="20.100000000000001" customHeight="1" x14ac:dyDescent="0.2">
      <c r="A106" s="550">
        <f t="shared" si="5"/>
        <v>24</v>
      </c>
      <c r="B106" s="83"/>
      <c r="C106" s="51"/>
      <c r="D106" s="81"/>
      <c r="E106" s="552"/>
      <c r="F106" s="120"/>
      <c r="G106" s="119"/>
      <c r="H106" s="648"/>
      <c r="I106" s="411"/>
      <c r="J106" s="53"/>
    </row>
    <row r="107" spans="1:10" ht="20.100000000000001" customHeight="1" x14ac:dyDescent="0.2">
      <c r="A107" s="550">
        <f t="shared" si="5"/>
        <v>24</v>
      </c>
      <c r="B107" s="83"/>
      <c r="C107" s="51"/>
      <c r="D107" s="81"/>
      <c r="E107" s="552"/>
      <c r="F107" s="120"/>
      <c r="G107" s="119"/>
      <c r="H107" s="648"/>
      <c r="I107" s="411"/>
      <c r="J107" s="53"/>
    </row>
    <row r="108" spans="1:10" ht="20.100000000000001" customHeight="1" x14ac:dyDescent="0.2">
      <c r="A108" s="550">
        <f t="shared" si="5"/>
        <v>24</v>
      </c>
      <c r="B108" s="83"/>
      <c r="C108" s="51"/>
      <c r="D108" s="81"/>
      <c r="E108" s="552"/>
      <c r="F108" s="120"/>
      <c r="G108" s="119"/>
      <c r="H108" s="648"/>
      <c r="I108" s="411"/>
      <c r="J108" s="53"/>
    </row>
    <row r="109" spans="1:10" ht="20.100000000000001" customHeight="1" x14ac:dyDescent="0.2">
      <c r="A109" s="550">
        <f t="shared" si="5"/>
        <v>24</v>
      </c>
      <c r="B109" s="83"/>
      <c r="C109" s="51"/>
      <c r="D109" s="81"/>
      <c r="E109" s="552"/>
      <c r="F109" s="120"/>
      <c r="G109" s="119"/>
      <c r="H109" s="648"/>
      <c r="I109" s="411"/>
      <c r="J109" s="53"/>
    </row>
    <row r="110" spans="1:10" ht="20.100000000000001" customHeight="1" x14ac:dyDescent="0.2">
      <c r="A110" s="550">
        <f t="shared" si="5"/>
        <v>24</v>
      </c>
      <c r="B110" s="83"/>
      <c r="C110" s="51"/>
      <c r="D110" s="81"/>
      <c r="E110" s="552"/>
      <c r="F110" s="120"/>
      <c r="G110" s="119"/>
      <c r="H110" s="648"/>
      <c r="I110" s="411"/>
      <c r="J110" s="53"/>
    </row>
    <row r="111" spans="1:10" ht="20.100000000000001" customHeight="1" x14ac:dyDescent="0.2">
      <c r="A111" s="550">
        <f t="shared" si="5"/>
        <v>24</v>
      </c>
      <c r="B111" s="83"/>
      <c r="C111" s="51"/>
      <c r="D111" s="81"/>
      <c r="E111" s="552"/>
      <c r="F111" s="120"/>
      <c r="G111" s="119"/>
      <c r="H111" s="648"/>
      <c r="I111" s="411"/>
      <c r="J111" s="53"/>
    </row>
    <row r="112" spans="1:10" ht="20.100000000000001" customHeight="1" x14ac:dyDescent="0.2">
      <c r="A112" s="550">
        <f t="shared" si="5"/>
        <v>24</v>
      </c>
      <c r="B112" s="83"/>
      <c r="C112" s="51"/>
      <c r="D112" s="81"/>
      <c r="E112" s="552"/>
      <c r="F112" s="120"/>
      <c r="G112" s="649"/>
      <c r="H112" s="648"/>
      <c r="I112" s="411"/>
      <c r="J112" s="53"/>
    </row>
    <row r="113" spans="1:10" ht="20.100000000000001" customHeight="1" x14ac:dyDescent="0.2">
      <c r="A113" s="550">
        <f t="shared" si="5"/>
        <v>24</v>
      </c>
      <c r="B113" s="83"/>
      <c r="C113" s="51"/>
      <c r="D113" s="81"/>
      <c r="E113" s="552"/>
      <c r="F113" s="120"/>
      <c r="G113" s="119"/>
      <c r="H113" s="648"/>
      <c r="I113" s="411"/>
      <c r="J113" s="53"/>
    </row>
    <row r="114" spans="1:10" ht="20.100000000000001" customHeight="1" x14ac:dyDescent="0.2">
      <c r="A114" s="550">
        <f t="shared" si="5"/>
        <v>24</v>
      </c>
      <c r="B114" s="83"/>
      <c r="C114" s="51"/>
      <c r="D114" s="81"/>
      <c r="E114" s="552"/>
      <c r="F114" s="120"/>
      <c r="G114" s="119"/>
      <c r="H114" s="648"/>
      <c r="I114" s="411"/>
      <c r="J114" s="53"/>
    </row>
    <row r="115" spans="1:10" ht="20.100000000000001" customHeight="1" x14ac:dyDescent="0.2">
      <c r="A115" s="550">
        <f t="shared" si="5"/>
        <v>24</v>
      </c>
      <c r="B115" s="83"/>
      <c r="C115" s="51"/>
      <c r="D115" s="81"/>
      <c r="E115" s="552"/>
      <c r="F115" s="120"/>
      <c r="G115" s="119"/>
      <c r="H115" s="648"/>
      <c r="I115" s="411"/>
      <c r="J115" s="53"/>
    </row>
    <row r="116" spans="1:10" ht="20.100000000000001" customHeight="1" x14ac:dyDescent="0.2">
      <c r="A116" s="550">
        <f t="shared" si="5"/>
        <v>24</v>
      </c>
      <c r="B116" s="83"/>
      <c r="C116" s="51">
        <f t="shared" ref="C116:C128" si="6">IFERROR(VLOOKUP(J116,T_Código_Items,2,FALSE),G116)</f>
        <v>0</v>
      </c>
      <c r="D116" s="81">
        <f t="shared" ref="D116:D128" si="7">IFERROR(VLOOKUP(J116,T_Código_Items,3,FALSE),H116)</f>
        <v>0</v>
      </c>
      <c r="E116" s="552"/>
      <c r="F116" s="120"/>
      <c r="G116" s="119"/>
      <c r="H116" s="648"/>
      <c r="I116" s="411"/>
      <c r="J116" s="53"/>
    </row>
    <row r="117" spans="1:10" ht="20.100000000000001" customHeight="1" x14ac:dyDescent="0.2">
      <c r="A117" s="550">
        <f t="shared" si="5"/>
        <v>24</v>
      </c>
      <c r="B117" s="83"/>
      <c r="C117" s="51">
        <f t="shared" si="6"/>
        <v>0</v>
      </c>
      <c r="D117" s="81">
        <f t="shared" si="7"/>
        <v>0</v>
      </c>
      <c r="E117" s="552"/>
      <c r="F117" s="120"/>
      <c r="G117" s="119"/>
      <c r="H117" s="648"/>
      <c r="I117" s="411"/>
      <c r="J117" s="53"/>
    </row>
    <row r="118" spans="1:10" ht="20.100000000000001" customHeight="1" x14ac:dyDescent="0.2">
      <c r="A118" s="550">
        <f t="shared" si="5"/>
        <v>24</v>
      </c>
      <c r="B118" s="83"/>
      <c r="C118" s="51">
        <f t="shared" si="6"/>
        <v>0</v>
      </c>
      <c r="D118" s="81">
        <f t="shared" si="7"/>
        <v>0</v>
      </c>
      <c r="E118" s="552"/>
      <c r="F118" s="120"/>
      <c r="G118" s="119"/>
      <c r="H118" s="648"/>
      <c r="I118" s="411"/>
      <c r="J118" s="53"/>
    </row>
    <row r="119" spans="1:10" ht="20.100000000000001" customHeight="1" x14ac:dyDescent="0.2">
      <c r="A119" s="550">
        <f t="shared" si="5"/>
        <v>24</v>
      </c>
      <c r="B119" s="83"/>
      <c r="C119" s="51">
        <f t="shared" si="6"/>
        <v>0</v>
      </c>
      <c r="D119" s="81">
        <f t="shared" si="7"/>
        <v>0</v>
      </c>
      <c r="E119" s="552"/>
      <c r="F119" s="120"/>
      <c r="G119" s="119"/>
      <c r="H119" s="648"/>
      <c r="I119" s="411"/>
      <c r="J119" s="53"/>
    </row>
    <row r="120" spans="1:10" ht="20.100000000000001" customHeight="1" x14ac:dyDescent="0.2">
      <c r="A120" s="550">
        <f t="shared" si="5"/>
        <v>24</v>
      </c>
      <c r="B120" s="83"/>
      <c r="C120" s="51">
        <f t="shared" si="6"/>
        <v>0</v>
      </c>
      <c r="D120" s="81">
        <f t="shared" si="7"/>
        <v>0</v>
      </c>
      <c r="E120" s="552"/>
      <c r="F120" s="120"/>
      <c r="G120" s="119"/>
      <c r="H120" s="648"/>
      <c r="I120" s="411"/>
      <c r="J120" s="53"/>
    </row>
    <row r="121" spans="1:10" ht="20.100000000000001" customHeight="1" x14ac:dyDescent="0.2">
      <c r="A121" s="550">
        <f t="shared" si="5"/>
        <v>24</v>
      </c>
      <c r="B121" s="83"/>
      <c r="C121" s="51">
        <f t="shared" si="6"/>
        <v>0</v>
      </c>
      <c r="D121" s="81">
        <f t="shared" si="7"/>
        <v>0</v>
      </c>
      <c r="E121" s="552"/>
      <c r="F121" s="120"/>
      <c r="G121" s="649"/>
      <c r="H121" s="648"/>
      <c r="I121" s="411"/>
      <c r="J121" s="53"/>
    </row>
    <row r="122" spans="1:10" ht="20.100000000000001" customHeight="1" x14ac:dyDescent="0.2">
      <c r="A122" s="550">
        <f t="shared" si="5"/>
        <v>24</v>
      </c>
      <c r="B122" s="83"/>
      <c r="C122" s="51">
        <f t="shared" si="6"/>
        <v>0</v>
      </c>
      <c r="D122" s="81">
        <f t="shared" si="7"/>
        <v>0</v>
      </c>
      <c r="E122" s="552"/>
      <c r="F122" s="120"/>
      <c r="G122" s="119"/>
      <c r="H122" s="648"/>
      <c r="I122" s="411"/>
      <c r="J122" s="53"/>
    </row>
    <row r="123" spans="1:10" ht="20.100000000000001" customHeight="1" x14ac:dyDescent="0.2">
      <c r="A123" s="550">
        <f t="shared" si="5"/>
        <v>24</v>
      </c>
      <c r="B123" s="83"/>
      <c r="C123" s="51">
        <f t="shared" si="6"/>
        <v>0</v>
      </c>
      <c r="D123" s="81">
        <f t="shared" si="7"/>
        <v>0</v>
      </c>
      <c r="E123" s="552"/>
      <c r="F123" s="120"/>
      <c r="G123" s="119"/>
      <c r="H123" s="648"/>
      <c r="I123" s="411"/>
      <c r="J123" s="53"/>
    </row>
    <row r="124" spans="1:10" ht="20.100000000000001" customHeight="1" x14ac:dyDescent="0.2">
      <c r="A124" s="550">
        <f t="shared" si="5"/>
        <v>24</v>
      </c>
      <c r="B124" s="83"/>
      <c r="C124" s="51">
        <f t="shared" si="6"/>
        <v>0</v>
      </c>
      <c r="D124" s="81">
        <f t="shared" si="7"/>
        <v>0</v>
      </c>
      <c r="E124" s="552"/>
      <c r="F124" s="120"/>
      <c r="G124" s="119"/>
      <c r="H124" s="648"/>
      <c r="I124" s="411"/>
      <c r="J124" s="53"/>
    </row>
    <row r="125" spans="1:10" ht="20.100000000000001" customHeight="1" x14ac:dyDescent="0.2">
      <c r="A125" s="550">
        <f t="shared" si="5"/>
        <v>24</v>
      </c>
      <c r="B125" s="83"/>
      <c r="C125" s="51">
        <f t="shared" si="6"/>
        <v>0</v>
      </c>
      <c r="D125" s="81">
        <f t="shared" si="7"/>
        <v>0</v>
      </c>
      <c r="E125" s="552"/>
      <c r="F125" s="120"/>
      <c r="G125" s="119"/>
      <c r="H125" s="648"/>
      <c r="I125" s="411"/>
      <c r="J125" s="53"/>
    </row>
    <row r="126" spans="1:10" ht="20.100000000000001" customHeight="1" x14ac:dyDescent="0.2">
      <c r="A126" s="550">
        <f t="shared" si="5"/>
        <v>24</v>
      </c>
      <c r="B126" s="83"/>
      <c r="C126" s="51">
        <f t="shared" si="6"/>
        <v>0</v>
      </c>
      <c r="D126" s="81">
        <f t="shared" si="7"/>
        <v>0</v>
      </c>
      <c r="E126" s="552"/>
      <c r="F126" s="120"/>
      <c r="G126" s="119"/>
      <c r="H126" s="648"/>
      <c r="I126" s="411"/>
      <c r="J126" s="53"/>
    </row>
    <row r="127" spans="1:10" ht="20.100000000000001" customHeight="1" x14ac:dyDescent="0.2">
      <c r="A127" s="550">
        <f t="shared" si="5"/>
        <v>24</v>
      </c>
      <c r="B127" s="83"/>
      <c r="C127" s="51">
        <f t="shared" si="6"/>
        <v>0</v>
      </c>
      <c r="D127" s="81">
        <f t="shared" si="7"/>
        <v>0</v>
      </c>
      <c r="E127" s="552"/>
      <c r="F127" s="120"/>
      <c r="G127" s="119"/>
      <c r="H127" s="648"/>
      <c r="I127" s="411"/>
      <c r="J127" s="53"/>
    </row>
    <row r="128" spans="1:10" ht="20.100000000000001" customHeight="1" x14ac:dyDescent="0.2">
      <c r="A128" s="550">
        <f t="shared" si="5"/>
        <v>24</v>
      </c>
      <c r="B128" s="83"/>
      <c r="C128" s="51">
        <f t="shared" si="6"/>
        <v>0</v>
      </c>
      <c r="D128" s="81">
        <f t="shared" si="7"/>
        <v>0</v>
      </c>
      <c r="E128" s="552"/>
      <c r="F128" s="120"/>
      <c r="G128" s="119"/>
      <c r="H128" s="648"/>
      <c r="I128" s="411"/>
      <c r="J128" s="53"/>
    </row>
    <row r="129" spans="1:10" ht="20.100000000000001" customHeight="1" x14ac:dyDescent="0.2">
      <c r="A129" s="550">
        <f t="shared" si="5"/>
        <v>24</v>
      </c>
      <c r="B129" s="83"/>
      <c r="C129" s="51">
        <f t="shared" ref="C129:C160" si="8">IFERROR(VLOOKUP(J129,T_Código_Items,2,FALSE),G129)</f>
        <v>0</v>
      </c>
      <c r="D129" s="81">
        <f t="shared" ref="D129:D160" si="9">IFERROR(VLOOKUP(J129,T_Código_Items,3,FALSE),H129)</f>
        <v>0</v>
      </c>
      <c r="E129" s="552"/>
      <c r="F129" s="120"/>
      <c r="G129" s="119"/>
      <c r="H129" s="648"/>
      <c r="I129" s="411"/>
      <c r="J129" s="53"/>
    </row>
    <row r="130" spans="1:10" ht="20.100000000000001" customHeight="1" x14ac:dyDescent="0.2">
      <c r="A130" s="550">
        <f t="shared" si="5"/>
        <v>24</v>
      </c>
      <c r="B130" s="83"/>
      <c r="C130" s="51">
        <f t="shared" si="8"/>
        <v>0</v>
      </c>
      <c r="D130" s="81">
        <f t="shared" si="9"/>
        <v>0</v>
      </c>
      <c r="E130" s="552"/>
      <c r="F130" s="120"/>
      <c r="G130" s="649"/>
      <c r="H130" s="648"/>
      <c r="I130" s="411"/>
      <c r="J130" s="53"/>
    </row>
    <row r="131" spans="1:10" ht="20.100000000000001" customHeight="1" x14ac:dyDescent="0.2">
      <c r="A131" s="550">
        <f t="shared" si="5"/>
        <v>24</v>
      </c>
      <c r="B131" s="83"/>
      <c r="C131" s="51">
        <f t="shared" si="8"/>
        <v>0</v>
      </c>
      <c r="D131" s="81">
        <f t="shared" si="9"/>
        <v>0</v>
      </c>
      <c r="E131" s="552"/>
      <c r="F131" s="120"/>
      <c r="G131" s="119"/>
      <c r="H131" s="648"/>
      <c r="I131" s="411"/>
      <c r="J131" s="53"/>
    </row>
    <row r="132" spans="1:10" ht="20.100000000000001" customHeight="1" x14ac:dyDescent="0.2">
      <c r="A132" s="550">
        <f t="shared" si="5"/>
        <v>24</v>
      </c>
      <c r="B132" s="83"/>
      <c r="C132" s="51">
        <f t="shared" si="8"/>
        <v>0</v>
      </c>
      <c r="D132" s="81">
        <f t="shared" si="9"/>
        <v>0</v>
      </c>
      <c r="E132" s="552"/>
      <c r="F132" s="120"/>
      <c r="G132" s="119"/>
      <c r="H132" s="648"/>
      <c r="I132" s="411"/>
      <c r="J132" s="53"/>
    </row>
    <row r="133" spans="1:10" ht="20.100000000000001" customHeight="1" x14ac:dyDescent="0.2">
      <c r="A133" s="550">
        <f t="shared" si="5"/>
        <v>24</v>
      </c>
      <c r="B133" s="83"/>
      <c r="C133" s="51">
        <f t="shared" si="8"/>
        <v>0</v>
      </c>
      <c r="D133" s="81">
        <f t="shared" si="9"/>
        <v>0</v>
      </c>
      <c r="E133" s="552"/>
      <c r="F133" s="120"/>
      <c r="G133" s="119"/>
      <c r="H133" s="648"/>
      <c r="I133" s="411"/>
      <c r="J133" s="53"/>
    </row>
    <row r="134" spans="1:10" ht="20.100000000000001" customHeight="1" x14ac:dyDescent="0.2">
      <c r="A134" s="550">
        <f t="shared" si="5"/>
        <v>24</v>
      </c>
      <c r="B134" s="83"/>
      <c r="C134" s="51">
        <f t="shared" si="8"/>
        <v>0</v>
      </c>
      <c r="D134" s="81">
        <f t="shared" si="9"/>
        <v>0</v>
      </c>
      <c r="E134" s="552"/>
      <c r="F134" s="120"/>
      <c r="G134" s="119"/>
      <c r="H134" s="648"/>
      <c r="I134" s="411"/>
      <c r="J134" s="53"/>
    </row>
    <row r="135" spans="1:10" ht="20.100000000000001" customHeight="1" x14ac:dyDescent="0.2">
      <c r="A135" s="550">
        <f t="shared" si="5"/>
        <v>24</v>
      </c>
      <c r="B135" s="83"/>
      <c r="C135" s="51">
        <f t="shared" si="8"/>
        <v>0</v>
      </c>
      <c r="D135" s="81">
        <f t="shared" si="9"/>
        <v>0</v>
      </c>
      <c r="E135" s="552"/>
      <c r="F135" s="120"/>
      <c r="G135" s="119"/>
      <c r="H135" s="648"/>
      <c r="I135" s="411"/>
      <c r="J135" s="53"/>
    </row>
    <row r="136" spans="1:10" ht="20.100000000000001" customHeight="1" x14ac:dyDescent="0.2">
      <c r="A136" s="550">
        <f t="shared" si="5"/>
        <v>24</v>
      </c>
      <c r="B136" s="83"/>
      <c r="C136" s="51">
        <f t="shared" si="8"/>
        <v>0</v>
      </c>
      <c r="D136" s="81">
        <f t="shared" si="9"/>
        <v>0</v>
      </c>
      <c r="E136" s="552"/>
      <c r="F136" s="120"/>
      <c r="G136" s="119"/>
      <c r="H136" s="648"/>
      <c r="I136" s="411"/>
      <c r="J136" s="53"/>
    </row>
    <row r="137" spans="1:10" ht="20.100000000000001" customHeight="1" x14ac:dyDescent="0.2">
      <c r="A137" s="550">
        <f t="shared" si="5"/>
        <v>24</v>
      </c>
      <c r="B137" s="83"/>
      <c r="C137" s="51">
        <f t="shared" si="8"/>
        <v>0</v>
      </c>
      <c r="D137" s="81">
        <f t="shared" si="9"/>
        <v>0</v>
      </c>
      <c r="E137" s="552"/>
      <c r="F137" s="120"/>
      <c r="G137" s="119"/>
      <c r="H137" s="648"/>
      <c r="I137" s="411"/>
      <c r="J137" s="53"/>
    </row>
    <row r="138" spans="1:10" ht="20.100000000000001" customHeight="1" x14ac:dyDescent="0.2">
      <c r="A138" s="550">
        <f t="shared" si="5"/>
        <v>24</v>
      </c>
      <c r="B138" s="83"/>
      <c r="C138" s="51">
        <f t="shared" si="8"/>
        <v>0</v>
      </c>
      <c r="D138" s="81">
        <f t="shared" si="9"/>
        <v>0</v>
      </c>
      <c r="E138" s="552"/>
      <c r="F138" s="120"/>
      <c r="G138" s="119"/>
      <c r="H138" s="648"/>
      <c r="I138" s="411"/>
      <c r="J138" s="53"/>
    </row>
    <row r="139" spans="1:10" ht="20.100000000000001" customHeight="1" x14ac:dyDescent="0.2">
      <c r="A139" s="550">
        <f t="shared" si="5"/>
        <v>24</v>
      </c>
      <c r="B139" s="83"/>
      <c r="C139" s="51">
        <f t="shared" si="8"/>
        <v>0</v>
      </c>
      <c r="D139" s="81">
        <f t="shared" si="9"/>
        <v>0</v>
      </c>
      <c r="E139" s="552"/>
      <c r="F139" s="120"/>
      <c r="G139" s="649"/>
      <c r="H139" s="648"/>
      <c r="I139" s="411"/>
      <c r="J139" s="53"/>
    </row>
    <row r="140" spans="1:10" ht="20.100000000000001" customHeight="1" x14ac:dyDescent="0.2">
      <c r="A140" s="550">
        <f t="shared" si="5"/>
        <v>24</v>
      </c>
      <c r="B140" s="83"/>
      <c r="C140" s="51">
        <f t="shared" si="8"/>
        <v>0</v>
      </c>
      <c r="D140" s="81">
        <f t="shared" si="9"/>
        <v>0</v>
      </c>
      <c r="E140" s="552"/>
      <c r="F140" s="120"/>
      <c r="G140" s="119"/>
      <c r="H140" s="648"/>
      <c r="I140" s="411"/>
      <c r="J140" s="53"/>
    </row>
    <row r="141" spans="1:10" ht="20.100000000000001" customHeight="1" x14ac:dyDescent="0.2">
      <c r="A141" s="550">
        <f t="shared" si="5"/>
        <v>24</v>
      </c>
      <c r="B141" s="83"/>
      <c r="C141" s="51">
        <f t="shared" si="8"/>
        <v>0</v>
      </c>
      <c r="D141" s="81">
        <f t="shared" si="9"/>
        <v>0</v>
      </c>
      <c r="E141" s="552"/>
      <c r="F141" s="120"/>
      <c r="G141" s="119"/>
      <c r="H141" s="648"/>
      <c r="I141" s="411"/>
      <c r="J141" s="53"/>
    </row>
    <row r="142" spans="1:10" ht="20.100000000000001" customHeight="1" x14ac:dyDescent="0.2">
      <c r="A142" s="550">
        <f t="shared" si="5"/>
        <v>24</v>
      </c>
      <c r="B142" s="83"/>
      <c r="C142" s="51">
        <f t="shared" si="8"/>
        <v>0</v>
      </c>
      <c r="D142" s="81">
        <f t="shared" si="9"/>
        <v>0</v>
      </c>
      <c r="E142" s="552"/>
      <c r="F142" s="120"/>
      <c r="G142" s="119"/>
      <c r="H142" s="648"/>
      <c r="I142" s="411"/>
      <c r="J142" s="53"/>
    </row>
    <row r="143" spans="1:10" ht="20.100000000000001" customHeight="1" x14ac:dyDescent="0.2">
      <c r="A143" s="550">
        <f t="shared" si="5"/>
        <v>24</v>
      </c>
      <c r="B143" s="83"/>
      <c r="C143" s="51">
        <f t="shared" si="8"/>
        <v>0</v>
      </c>
      <c r="D143" s="81">
        <f t="shared" si="9"/>
        <v>0</v>
      </c>
      <c r="E143" s="552"/>
      <c r="F143" s="120"/>
      <c r="G143" s="119"/>
      <c r="H143" s="648"/>
      <c r="I143" s="411"/>
      <c r="J143" s="53"/>
    </row>
    <row r="144" spans="1:10" ht="20.100000000000001" customHeight="1" x14ac:dyDescent="0.2">
      <c r="A144" s="550">
        <f t="shared" si="5"/>
        <v>24</v>
      </c>
      <c r="B144" s="83"/>
      <c r="C144" s="51">
        <f t="shared" si="8"/>
        <v>0</v>
      </c>
      <c r="D144" s="81">
        <f t="shared" si="9"/>
        <v>0</v>
      </c>
      <c r="E144" s="552"/>
      <c r="F144" s="120"/>
      <c r="G144" s="119"/>
      <c r="H144" s="648"/>
      <c r="I144" s="411"/>
      <c r="J144" s="53"/>
    </row>
    <row r="145" spans="1:10" ht="20.100000000000001" customHeight="1" x14ac:dyDescent="0.2">
      <c r="A145" s="550">
        <f t="shared" si="5"/>
        <v>24</v>
      </c>
      <c r="B145" s="83"/>
      <c r="C145" s="51">
        <f t="shared" si="8"/>
        <v>0</v>
      </c>
      <c r="D145" s="81">
        <f t="shared" si="9"/>
        <v>0</v>
      </c>
      <c r="E145" s="552"/>
      <c r="F145" s="120"/>
      <c r="G145" s="119"/>
      <c r="H145" s="648"/>
      <c r="I145" s="411"/>
      <c r="J145" s="53"/>
    </row>
    <row r="146" spans="1:10" ht="20.100000000000001" customHeight="1" x14ac:dyDescent="0.2">
      <c r="A146" s="550">
        <f t="shared" si="5"/>
        <v>24</v>
      </c>
      <c r="B146" s="83"/>
      <c r="C146" s="51">
        <f t="shared" si="8"/>
        <v>0</v>
      </c>
      <c r="D146" s="81">
        <f t="shared" si="9"/>
        <v>0</v>
      </c>
      <c r="E146" s="552"/>
      <c r="F146" s="120"/>
      <c r="G146" s="119"/>
      <c r="H146" s="648"/>
      <c r="I146" s="411"/>
      <c r="J146" s="53"/>
    </row>
    <row r="147" spans="1:10" ht="20.100000000000001" customHeight="1" x14ac:dyDescent="0.2">
      <c r="A147" s="550">
        <f t="shared" si="5"/>
        <v>24</v>
      </c>
      <c r="B147" s="83"/>
      <c r="C147" s="51">
        <f t="shared" si="8"/>
        <v>0</v>
      </c>
      <c r="D147" s="81">
        <f t="shared" si="9"/>
        <v>0</v>
      </c>
      <c r="E147" s="552"/>
      <c r="F147" s="120"/>
      <c r="G147" s="119"/>
      <c r="H147" s="648"/>
      <c r="I147" s="411"/>
      <c r="J147" s="53"/>
    </row>
    <row r="148" spans="1:10" ht="20.100000000000001" customHeight="1" x14ac:dyDescent="0.2">
      <c r="A148" s="550">
        <f t="shared" si="5"/>
        <v>24</v>
      </c>
      <c r="B148" s="83"/>
      <c r="C148" s="51">
        <f t="shared" si="8"/>
        <v>0</v>
      </c>
      <c r="D148" s="81">
        <f t="shared" si="9"/>
        <v>0</v>
      </c>
      <c r="E148" s="552"/>
      <c r="F148" s="120"/>
      <c r="G148" s="649"/>
      <c r="H148" s="648"/>
      <c r="I148" s="411"/>
      <c r="J148" s="53"/>
    </row>
    <row r="149" spans="1:10" ht="20.100000000000001" customHeight="1" x14ac:dyDescent="0.2">
      <c r="A149" s="550">
        <f t="shared" si="5"/>
        <v>24</v>
      </c>
      <c r="B149" s="83"/>
      <c r="C149" s="51">
        <f t="shared" si="8"/>
        <v>0</v>
      </c>
      <c r="D149" s="81">
        <f t="shared" si="9"/>
        <v>0</v>
      </c>
      <c r="E149" s="552"/>
      <c r="F149" s="120"/>
      <c r="G149" s="119"/>
      <c r="H149" s="648"/>
      <c r="I149" s="411"/>
      <c r="J149" s="53"/>
    </row>
    <row r="150" spans="1:10" ht="20.100000000000001" customHeight="1" x14ac:dyDescent="0.2">
      <c r="A150" s="550">
        <f t="shared" si="5"/>
        <v>24</v>
      </c>
      <c r="B150" s="83"/>
      <c r="C150" s="51">
        <f t="shared" si="8"/>
        <v>0</v>
      </c>
      <c r="D150" s="81">
        <f t="shared" si="9"/>
        <v>0</v>
      </c>
      <c r="E150" s="552"/>
      <c r="F150" s="120"/>
      <c r="G150" s="119"/>
      <c r="H150" s="648"/>
      <c r="I150" s="411"/>
      <c r="J150" s="53"/>
    </row>
    <row r="151" spans="1:10" ht="20.100000000000001" customHeight="1" x14ac:dyDescent="0.2">
      <c r="A151" s="550">
        <f t="shared" si="5"/>
        <v>24</v>
      </c>
      <c r="B151" s="83"/>
      <c r="C151" s="51">
        <f t="shared" si="8"/>
        <v>0</v>
      </c>
      <c r="D151" s="81">
        <f t="shared" si="9"/>
        <v>0</v>
      </c>
      <c r="E151" s="552"/>
      <c r="F151" s="120"/>
      <c r="G151" s="119"/>
      <c r="H151" s="648"/>
      <c r="I151" s="411"/>
      <c r="J151" s="53"/>
    </row>
    <row r="152" spans="1:10" ht="20.100000000000001" customHeight="1" x14ac:dyDescent="0.2">
      <c r="A152" s="550">
        <f t="shared" si="5"/>
        <v>24</v>
      </c>
      <c r="B152" s="83"/>
      <c r="C152" s="51">
        <f t="shared" si="8"/>
        <v>0</v>
      </c>
      <c r="D152" s="81">
        <f t="shared" si="9"/>
        <v>0</v>
      </c>
      <c r="E152" s="552"/>
      <c r="F152" s="120"/>
      <c r="G152" s="119"/>
      <c r="H152" s="648"/>
      <c r="I152" s="411"/>
      <c r="J152" s="53"/>
    </row>
    <row r="153" spans="1:10" ht="20.100000000000001" customHeight="1" x14ac:dyDescent="0.2">
      <c r="A153" s="550">
        <f t="shared" si="5"/>
        <v>24</v>
      </c>
      <c r="B153" s="83"/>
      <c r="C153" s="51">
        <f t="shared" si="8"/>
        <v>0</v>
      </c>
      <c r="D153" s="81">
        <f t="shared" si="9"/>
        <v>0</v>
      </c>
      <c r="E153" s="552"/>
      <c r="F153" s="120"/>
      <c r="G153" s="119"/>
      <c r="H153" s="648"/>
      <c r="I153" s="411"/>
      <c r="J153" s="53"/>
    </row>
    <row r="154" spans="1:10" ht="20.100000000000001" customHeight="1" x14ac:dyDescent="0.2">
      <c r="A154" s="550">
        <f t="shared" si="5"/>
        <v>24</v>
      </c>
      <c r="B154" s="83"/>
      <c r="C154" s="51">
        <f t="shared" si="8"/>
        <v>0</v>
      </c>
      <c r="D154" s="81">
        <f t="shared" si="9"/>
        <v>0</v>
      </c>
      <c r="E154" s="552"/>
      <c r="F154" s="120"/>
      <c r="G154" s="119"/>
      <c r="H154" s="648"/>
      <c r="I154" s="411"/>
      <c r="J154" s="53"/>
    </row>
    <row r="155" spans="1:10" ht="20.100000000000001" customHeight="1" x14ac:dyDescent="0.2">
      <c r="A155" s="550">
        <f t="shared" si="5"/>
        <v>24</v>
      </c>
      <c r="B155" s="83"/>
      <c r="C155" s="51">
        <f t="shared" si="8"/>
        <v>0</v>
      </c>
      <c r="D155" s="81">
        <f t="shared" si="9"/>
        <v>0</v>
      </c>
      <c r="E155" s="552"/>
      <c r="F155" s="120"/>
      <c r="G155" s="119"/>
      <c r="H155" s="648"/>
      <c r="I155" s="411"/>
      <c r="J155" s="53"/>
    </row>
    <row r="156" spans="1:10" ht="20.100000000000001" customHeight="1" x14ac:dyDescent="0.2">
      <c r="A156" s="550">
        <f t="shared" si="5"/>
        <v>24</v>
      </c>
      <c r="B156" s="83"/>
      <c r="C156" s="51">
        <f t="shared" si="8"/>
        <v>0</v>
      </c>
      <c r="D156" s="81">
        <f t="shared" si="9"/>
        <v>0</v>
      </c>
      <c r="E156" s="552"/>
      <c r="F156" s="120"/>
      <c r="G156" s="119"/>
      <c r="H156" s="648"/>
      <c r="I156" s="411"/>
      <c r="J156" s="53"/>
    </row>
    <row r="157" spans="1:10" ht="20.100000000000001" customHeight="1" x14ac:dyDescent="0.2">
      <c r="A157" s="550">
        <f t="shared" si="5"/>
        <v>24</v>
      </c>
      <c r="B157" s="83"/>
      <c r="C157" s="51">
        <f t="shared" si="8"/>
        <v>0</v>
      </c>
      <c r="D157" s="81">
        <f t="shared" si="9"/>
        <v>0</v>
      </c>
      <c r="E157" s="552"/>
      <c r="F157" s="120"/>
      <c r="G157" s="649"/>
      <c r="H157" s="648"/>
      <c r="I157" s="411"/>
      <c r="J157" s="53"/>
    </row>
    <row r="158" spans="1:10" ht="20.100000000000001" customHeight="1" x14ac:dyDescent="0.2">
      <c r="A158" s="550">
        <f t="shared" si="5"/>
        <v>24</v>
      </c>
      <c r="B158" s="83"/>
      <c r="C158" s="51">
        <f t="shared" si="8"/>
        <v>0</v>
      </c>
      <c r="D158" s="81">
        <f t="shared" si="9"/>
        <v>0</v>
      </c>
      <c r="E158" s="552"/>
      <c r="F158" s="120"/>
      <c r="G158" s="119"/>
      <c r="H158" s="648"/>
      <c r="I158" s="411"/>
      <c r="J158" s="53"/>
    </row>
    <row r="159" spans="1:10" ht="20.100000000000001" customHeight="1" x14ac:dyDescent="0.2">
      <c r="A159" s="550">
        <f t="shared" si="5"/>
        <v>24</v>
      </c>
      <c r="B159" s="83"/>
      <c r="C159" s="51">
        <f t="shared" si="8"/>
        <v>0</v>
      </c>
      <c r="D159" s="81">
        <f t="shared" si="9"/>
        <v>0</v>
      </c>
      <c r="E159" s="552"/>
      <c r="F159" s="120"/>
      <c r="G159" s="119"/>
      <c r="H159" s="648"/>
      <c r="I159" s="411"/>
      <c r="J159" s="53"/>
    </row>
    <row r="160" spans="1:10" ht="20.100000000000001" customHeight="1" x14ac:dyDescent="0.2">
      <c r="A160" s="550">
        <f t="shared" si="5"/>
        <v>24</v>
      </c>
      <c r="B160" s="83"/>
      <c r="C160" s="51">
        <f t="shared" si="8"/>
        <v>0</v>
      </c>
      <c r="D160" s="81">
        <f t="shared" si="9"/>
        <v>0</v>
      </c>
      <c r="E160" s="552"/>
      <c r="F160" s="120"/>
      <c r="G160" s="119"/>
      <c r="H160" s="648"/>
      <c r="I160" s="411"/>
      <c r="J160" s="53"/>
    </row>
    <row r="161" spans="1:10" ht="20.100000000000001" customHeight="1" x14ac:dyDescent="0.2">
      <c r="A161" s="550">
        <f t="shared" si="5"/>
        <v>24</v>
      </c>
      <c r="B161" s="83"/>
      <c r="C161" s="51">
        <f t="shared" ref="C161:C183" si="10">IFERROR(VLOOKUP(J161,T_Código_Items,2,FALSE),G161)</f>
        <v>0</v>
      </c>
      <c r="D161" s="81">
        <f t="shared" ref="D161:D183" si="11">IFERROR(VLOOKUP(J161,T_Código_Items,3,FALSE),H161)</f>
        <v>0</v>
      </c>
      <c r="E161" s="552"/>
      <c r="F161" s="120"/>
      <c r="G161" s="119"/>
      <c r="H161" s="648"/>
      <c r="I161" s="411"/>
      <c r="J161" s="53"/>
    </row>
    <row r="162" spans="1:10" ht="20.100000000000001" customHeight="1" x14ac:dyDescent="0.2">
      <c r="A162" s="550">
        <f t="shared" si="5"/>
        <v>24</v>
      </c>
      <c r="B162" s="83"/>
      <c r="C162" s="51">
        <f t="shared" si="10"/>
        <v>0</v>
      </c>
      <c r="D162" s="81">
        <f t="shared" si="11"/>
        <v>0</v>
      </c>
      <c r="E162" s="552"/>
      <c r="F162" s="120"/>
      <c r="G162" s="119"/>
      <c r="H162" s="648"/>
      <c r="I162" s="411"/>
      <c r="J162" s="53"/>
    </row>
    <row r="163" spans="1:10" ht="20.100000000000001" customHeight="1" x14ac:dyDescent="0.2">
      <c r="A163" s="550">
        <f t="shared" ref="A163:A216" si="12">IF(D163=0,A162,A162+1)</f>
        <v>24</v>
      </c>
      <c r="B163" s="83"/>
      <c r="C163" s="51">
        <f t="shared" si="10"/>
        <v>0</v>
      </c>
      <c r="D163" s="81">
        <f t="shared" si="11"/>
        <v>0</v>
      </c>
      <c r="E163" s="552"/>
      <c r="F163" s="120"/>
      <c r="G163" s="119"/>
      <c r="H163" s="648"/>
      <c r="I163" s="411"/>
      <c r="J163" s="53"/>
    </row>
    <row r="164" spans="1:10" ht="20.100000000000001" customHeight="1" x14ac:dyDescent="0.2">
      <c r="A164" s="550">
        <f t="shared" si="12"/>
        <v>24</v>
      </c>
      <c r="B164" s="83"/>
      <c r="C164" s="51">
        <f t="shared" si="10"/>
        <v>0</v>
      </c>
      <c r="D164" s="81">
        <f t="shared" si="11"/>
        <v>0</v>
      </c>
      <c r="E164" s="552"/>
      <c r="F164" s="120"/>
      <c r="G164" s="119"/>
      <c r="H164" s="648"/>
      <c r="I164" s="411"/>
      <c r="J164" s="53"/>
    </row>
    <row r="165" spans="1:10" ht="20.100000000000001" customHeight="1" x14ac:dyDescent="0.2">
      <c r="A165" s="550">
        <f t="shared" si="12"/>
        <v>24</v>
      </c>
      <c r="B165" s="83"/>
      <c r="C165" s="51">
        <f t="shared" si="10"/>
        <v>0</v>
      </c>
      <c r="D165" s="81">
        <f t="shared" si="11"/>
        <v>0</v>
      </c>
      <c r="E165" s="552"/>
      <c r="F165" s="120"/>
      <c r="G165" s="119"/>
      <c r="H165" s="648"/>
      <c r="I165" s="411"/>
      <c r="J165" s="53"/>
    </row>
    <row r="166" spans="1:10" ht="20.100000000000001" customHeight="1" x14ac:dyDescent="0.2">
      <c r="A166" s="550">
        <f t="shared" si="12"/>
        <v>24</v>
      </c>
      <c r="B166" s="83"/>
      <c r="C166" s="51">
        <f t="shared" si="10"/>
        <v>0</v>
      </c>
      <c r="D166" s="81">
        <f t="shared" si="11"/>
        <v>0</v>
      </c>
      <c r="E166" s="552"/>
      <c r="F166" s="120"/>
      <c r="G166" s="119"/>
      <c r="H166" s="648"/>
      <c r="I166" s="411"/>
      <c r="J166" s="53"/>
    </row>
    <row r="167" spans="1:10" ht="20.100000000000001" customHeight="1" x14ac:dyDescent="0.2">
      <c r="A167" s="550">
        <f t="shared" si="12"/>
        <v>24</v>
      </c>
      <c r="B167" s="83"/>
      <c r="C167" s="51">
        <f t="shared" si="10"/>
        <v>0</v>
      </c>
      <c r="D167" s="81">
        <f t="shared" si="11"/>
        <v>0</v>
      </c>
      <c r="E167" s="552"/>
      <c r="F167" s="120"/>
      <c r="G167" s="649"/>
      <c r="H167" s="648"/>
      <c r="I167" s="411"/>
      <c r="J167" s="53"/>
    </row>
    <row r="168" spans="1:10" ht="20.100000000000001" customHeight="1" x14ac:dyDescent="0.2">
      <c r="A168" s="550">
        <f t="shared" si="12"/>
        <v>24</v>
      </c>
      <c r="B168" s="83"/>
      <c r="C168" s="51">
        <f t="shared" si="10"/>
        <v>0</v>
      </c>
      <c r="D168" s="81">
        <f t="shared" si="11"/>
        <v>0</v>
      </c>
      <c r="E168" s="552"/>
      <c r="F168" s="120"/>
      <c r="G168" s="119"/>
      <c r="H168" s="648"/>
      <c r="I168" s="411"/>
      <c r="J168" s="53"/>
    </row>
    <row r="169" spans="1:10" ht="20.100000000000001" customHeight="1" x14ac:dyDescent="0.2">
      <c r="A169" s="550">
        <f t="shared" si="12"/>
        <v>24</v>
      </c>
      <c r="B169" s="83"/>
      <c r="C169" s="51">
        <f t="shared" si="10"/>
        <v>0</v>
      </c>
      <c r="D169" s="81">
        <f t="shared" si="11"/>
        <v>0</v>
      </c>
      <c r="E169" s="552"/>
      <c r="F169" s="120"/>
      <c r="G169" s="119"/>
      <c r="H169" s="648"/>
      <c r="I169" s="411"/>
      <c r="J169" s="53"/>
    </row>
    <row r="170" spans="1:10" ht="20.100000000000001" customHeight="1" x14ac:dyDescent="0.2">
      <c r="A170" s="550">
        <f t="shared" si="12"/>
        <v>24</v>
      </c>
      <c r="B170" s="83"/>
      <c r="C170" s="51">
        <f t="shared" si="10"/>
        <v>0</v>
      </c>
      <c r="D170" s="81">
        <f t="shared" si="11"/>
        <v>0</v>
      </c>
      <c r="E170" s="552"/>
      <c r="F170" s="120"/>
      <c r="G170" s="119"/>
      <c r="H170" s="648"/>
      <c r="I170" s="411"/>
      <c r="J170" s="53"/>
    </row>
    <row r="171" spans="1:10" ht="20.100000000000001" customHeight="1" x14ac:dyDescent="0.2">
      <c r="A171" s="550">
        <f t="shared" si="12"/>
        <v>24</v>
      </c>
      <c r="B171" s="83"/>
      <c r="C171" s="51">
        <f t="shared" si="10"/>
        <v>0</v>
      </c>
      <c r="D171" s="81">
        <f t="shared" si="11"/>
        <v>0</v>
      </c>
      <c r="E171" s="552"/>
      <c r="F171" s="120"/>
      <c r="G171" s="119"/>
      <c r="H171" s="648"/>
      <c r="I171" s="411"/>
      <c r="J171" s="53"/>
    </row>
    <row r="172" spans="1:10" ht="20.100000000000001" customHeight="1" x14ac:dyDescent="0.2">
      <c r="A172" s="550">
        <f t="shared" si="12"/>
        <v>24</v>
      </c>
      <c r="B172" s="83"/>
      <c r="C172" s="51">
        <f t="shared" si="10"/>
        <v>0</v>
      </c>
      <c r="D172" s="81">
        <f t="shared" si="11"/>
        <v>0</v>
      </c>
      <c r="E172" s="552"/>
      <c r="F172" s="120"/>
      <c r="G172" s="119"/>
      <c r="H172" s="648"/>
      <c r="I172" s="411"/>
      <c r="J172" s="53"/>
    </row>
    <row r="173" spans="1:10" ht="20.100000000000001" customHeight="1" x14ac:dyDescent="0.2">
      <c r="A173" s="550">
        <f t="shared" si="12"/>
        <v>24</v>
      </c>
      <c r="B173" s="83"/>
      <c r="C173" s="51">
        <f t="shared" si="10"/>
        <v>0</v>
      </c>
      <c r="D173" s="81">
        <f t="shared" si="11"/>
        <v>0</v>
      </c>
      <c r="E173" s="552"/>
      <c r="F173" s="120"/>
      <c r="G173" s="119"/>
      <c r="H173" s="648"/>
      <c r="I173" s="411"/>
      <c r="J173" s="53"/>
    </row>
    <row r="174" spans="1:10" ht="20.100000000000001" customHeight="1" x14ac:dyDescent="0.2">
      <c r="A174" s="550">
        <f t="shared" si="12"/>
        <v>24</v>
      </c>
      <c r="B174" s="83"/>
      <c r="C174" s="51">
        <f t="shared" si="10"/>
        <v>0</v>
      </c>
      <c r="D174" s="81">
        <f t="shared" si="11"/>
        <v>0</v>
      </c>
      <c r="E174" s="552"/>
      <c r="F174" s="120"/>
      <c r="G174" s="119"/>
      <c r="H174" s="648"/>
      <c r="I174" s="411"/>
      <c r="J174" s="53"/>
    </row>
    <row r="175" spans="1:10" ht="20.100000000000001" customHeight="1" x14ac:dyDescent="0.2">
      <c r="A175" s="550">
        <f t="shared" si="12"/>
        <v>24</v>
      </c>
      <c r="B175" s="83"/>
      <c r="C175" s="51">
        <f t="shared" si="10"/>
        <v>0</v>
      </c>
      <c r="D175" s="81">
        <f t="shared" si="11"/>
        <v>0</v>
      </c>
      <c r="E175" s="552"/>
      <c r="F175" s="120"/>
      <c r="G175" s="119"/>
      <c r="H175" s="648"/>
      <c r="I175" s="411"/>
      <c r="J175" s="53"/>
    </row>
    <row r="176" spans="1:10" ht="20.100000000000001" customHeight="1" x14ac:dyDescent="0.2">
      <c r="A176" s="550">
        <f t="shared" si="12"/>
        <v>24</v>
      </c>
      <c r="B176" s="83"/>
      <c r="C176" s="51">
        <f t="shared" si="10"/>
        <v>0</v>
      </c>
      <c r="D176" s="81">
        <f t="shared" si="11"/>
        <v>0</v>
      </c>
      <c r="E176" s="552"/>
      <c r="F176" s="120"/>
      <c r="G176" s="649"/>
      <c r="H176" s="648"/>
      <c r="I176" s="411"/>
      <c r="J176" s="53"/>
    </row>
    <row r="177" spans="1:10" ht="20.100000000000001" customHeight="1" x14ac:dyDescent="0.2">
      <c r="A177" s="550">
        <f t="shared" si="12"/>
        <v>24</v>
      </c>
      <c r="B177" s="83"/>
      <c r="C177" s="51">
        <f t="shared" si="10"/>
        <v>0</v>
      </c>
      <c r="D177" s="81">
        <f t="shared" si="11"/>
        <v>0</v>
      </c>
      <c r="E177" s="552"/>
      <c r="F177" s="120"/>
      <c r="G177" s="119"/>
      <c r="H177" s="648"/>
      <c r="I177" s="411"/>
      <c r="J177" s="53"/>
    </row>
    <row r="178" spans="1:10" ht="20.100000000000001" customHeight="1" x14ac:dyDescent="0.2">
      <c r="A178" s="550">
        <f t="shared" si="12"/>
        <v>24</v>
      </c>
      <c r="B178" s="83"/>
      <c r="C178" s="51">
        <f t="shared" si="10"/>
        <v>0</v>
      </c>
      <c r="D178" s="81">
        <f t="shared" si="11"/>
        <v>0</v>
      </c>
      <c r="E178" s="552"/>
      <c r="F178" s="120"/>
      <c r="G178" s="119"/>
      <c r="H178" s="648"/>
      <c r="I178" s="411"/>
      <c r="J178" s="53"/>
    </row>
    <row r="179" spans="1:10" ht="20.100000000000001" customHeight="1" x14ac:dyDescent="0.2">
      <c r="A179" s="550">
        <f t="shared" si="12"/>
        <v>24</v>
      </c>
      <c r="B179" s="83"/>
      <c r="C179" s="51">
        <f t="shared" si="10"/>
        <v>0</v>
      </c>
      <c r="D179" s="81">
        <f t="shared" si="11"/>
        <v>0</v>
      </c>
      <c r="E179" s="552"/>
      <c r="F179" s="120"/>
      <c r="G179" s="119"/>
      <c r="H179" s="648"/>
      <c r="I179" s="411"/>
      <c r="J179" s="53"/>
    </row>
    <row r="180" spans="1:10" ht="20.100000000000001" customHeight="1" x14ac:dyDescent="0.2">
      <c r="A180" s="550">
        <f t="shared" si="12"/>
        <v>24</v>
      </c>
      <c r="B180" s="83"/>
      <c r="C180" s="51">
        <f t="shared" si="10"/>
        <v>0</v>
      </c>
      <c r="D180" s="81">
        <f t="shared" si="11"/>
        <v>0</v>
      </c>
      <c r="E180" s="552"/>
      <c r="F180" s="120"/>
      <c r="G180" s="119"/>
      <c r="H180" s="648"/>
      <c r="I180" s="411"/>
      <c r="J180" s="53"/>
    </row>
    <row r="181" spans="1:10" ht="20.100000000000001" customHeight="1" x14ac:dyDescent="0.2">
      <c r="A181" s="550">
        <f t="shared" si="12"/>
        <v>24</v>
      </c>
      <c r="B181" s="83"/>
      <c r="C181" s="51">
        <f t="shared" si="10"/>
        <v>0</v>
      </c>
      <c r="D181" s="81">
        <f t="shared" si="11"/>
        <v>0</v>
      </c>
      <c r="E181" s="552"/>
      <c r="F181" s="120"/>
      <c r="G181" s="119"/>
      <c r="H181" s="648"/>
      <c r="I181" s="411"/>
      <c r="J181" s="53"/>
    </row>
    <row r="182" spans="1:10" ht="20.100000000000001" customHeight="1" x14ac:dyDescent="0.2">
      <c r="A182" s="550">
        <f t="shared" si="12"/>
        <v>24</v>
      </c>
      <c r="B182" s="83"/>
      <c r="C182" s="51">
        <f t="shared" si="10"/>
        <v>0</v>
      </c>
      <c r="D182" s="81">
        <f t="shared" si="11"/>
        <v>0</v>
      </c>
      <c r="E182" s="552"/>
      <c r="F182" s="120"/>
      <c r="G182" s="119"/>
      <c r="H182" s="648"/>
      <c r="I182" s="411"/>
      <c r="J182" s="53"/>
    </row>
    <row r="183" spans="1:10" ht="20.100000000000001" customHeight="1" x14ac:dyDescent="0.2">
      <c r="A183" s="550">
        <f t="shared" si="12"/>
        <v>24</v>
      </c>
      <c r="B183" s="83"/>
      <c r="C183" s="51">
        <f t="shared" si="10"/>
        <v>0</v>
      </c>
      <c r="D183" s="81">
        <f t="shared" si="11"/>
        <v>0</v>
      </c>
      <c r="E183" s="552"/>
      <c r="F183" s="120"/>
      <c r="G183" s="119"/>
      <c r="H183" s="648"/>
      <c r="I183" s="411"/>
      <c r="J183" s="53"/>
    </row>
    <row r="184" spans="1:10" ht="20.100000000000001" customHeight="1" x14ac:dyDescent="0.2">
      <c r="A184" s="550">
        <f t="shared" si="12"/>
        <v>24</v>
      </c>
      <c r="B184" s="83"/>
      <c r="C184" s="51">
        <f t="shared" ref="C184:C216" si="13">IFERROR(VLOOKUP(J184,T_Código_Items,2,FALSE),G184)</f>
        <v>0</v>
      </c>
      <c r="D184" s="81">
        <f t="shared" ref="D184:D216" si="14">IFERROR(VLOOKUP(J184,T_Código_Items,3,FALSE),H184)</f>
        <v>0</v>
      </c>
      <c r="E184" s="552"/>
      <c r="G184" s="119"/>
      <c r="H184" s="648"/>
      <c r="I184" s="411"/>
      <c r="J184" s="53"/>
    </row>
    <row r="185" spans="1:10" ht="20.100000000000001" customHeight="1" x14ac:dyDescent="0.2">
      <c r="A185" s="550">
        <f t="shared" si="12"/>
        <v>24</v>
      </c>
      <c r="B185" s="83"/>
      <c r="C185" s="51">
        <f t="shared" si="13"/>
        <v>0</v>
      </c>
      <c r="D185" s="81">
        <f t="shared" si="14"/>
        <v>0</v>
      </c>
      <c r="E185" s="552"/>
      <c r="G185" s="649"/>
      <c r="H185" s="648"/>
      <c r="I185" s="411"/>
      <c r="J185" s="53"/>
    </row>
    <row r="186" spans="1:10" ht="20.100000000000001" customHeight="1" x14ac:dyDescent="0.2">
      <c r="A186" s="550">
        <f t="shared" si="12"/>
        <v>24</v>
      </c>
      <c r="B186" s="83"/>
      <c r="C186" s="51">
        <f t="shared" si="13"/>
        <v>0</v>
      </c>
      <c r="D186" s="81">
        <f t="shared" si="14"/>
        <v>0</v>
      </c>
      <c r="E186" s="552"/>
      <c r="G186" s="119"/>
      <c r="H186" s="648"/>
      <c r="I186" s="411"/>
      <c r="J186" s="53"/>
    </row>
    <row r="187" spans="1:10" ht="20.100000000000001" customHeight="1" x14ac:dyDescent="0.2">
      <c r="A187" s="550">
        <f t="shared" si="12"/>
        <v>24</v>
      </c>
      <c r="B187" s="83"/>
      <c r="C187" s="51">
        <f t="shared" si="13"/>
        <v>0</v>
      </c>
      <c r="D187" s="81">
        <f t="shared" si="14"/>
        <v>0</v>
      </c>
      <c r="E187" s="552"/>
      <c r="G187" s="119"/>
      <c r="H187" s="648"/>
      <c r="I187" s="411"/>
      <c r="J187" s="53"/>
    </row>
    <row r="188" spans="1:10" ht="20.100000000000001" customHeight="1" x14ac:dyDescent="0.2">
      <c r="A188" s="550">
        <f t="shared" si="12"/>
        <v>24</v>
      </c>
      <c r="B188" s="83"/>
      <c r="C188" s="51">
        <f t="shared" si="13"/>
        <v>0</v>
      </c>
      <c r="D188" s="81">
        <f t="shared" si="14"/>
        <v>0</v>
      </c>
      <c r="E188" s="552"/>
      <c r="G188" s="119"/>
      <c r="H188" s="648"/>
      <c r="I188" s="411"/>
      <c r="J188" s="53"/>
    </row>
    <row r="189" spans="1:10" ht="20.100000000000001" customHeight="1" x14ac:dyDescent="0.2">
      <c r="A189" s="550">
        <f t="shared" si="12"/>
        <v>24</v>
      </c>
      <c r="B189" s="83"/>
      <c r="C189" s="51">
        <f t="shared" si="13"/>
        <v>0</v>
      </c>
      <c r="D189" s="81">
        <f t="shared" si="14"/>
        <v>0</v>
      </c>
      <c r="E189" s="552"/>
      <c r="G189" s="119"/>
      <c r="H189" s="648"/>
      <c r="I189" s="411"/>
      <c r="J189" s="53"/>
    </row>
    <row r="190" spans="1:10" ht="20.100000000000001" customHeight="1" x14ac:dyDescent="0.2">
      <c r="A190" s="550">
        <f t="shared" si="12"/>
        <v>24</v>
      </c>
      <c r="B190" s="83"/>
      <c r="C190" s="51">
        <f t="shared" si="13"/>
        <v>0</v>
      </c>
      <c r="D190" s="81">
        <f t="shared" si="14"/>
        <v>0</v>
      </c>
      <c r="E190" s="552"/>
      <c r="G190" s="119"/>
      <c r="H190" s="648"/>
      <c r="I190" s="411"/>
      <c r="J190" s="53"/>
    </row>
    <row r="191" spans="1:10" ht="20.100000000000001" customHeight="1" x14ac:dyDescent="0.2">
      <c r="A191" s="550">
        <f t="shared" si="12"/>
        <v>24</v>
      </c>
      <c r="B191" s="83"/>
      <c r="C191" s="51">
        <f t="shared" si="13"/>
        <v>0</v>
      </c>
      <c r="D191" s="81">
        <f t="shared" si="14"/>
        <v>0</v>
      </c>
      <c r="E191" s="552"/>
      <c r="G191" s="119"/>
      <c r="H191" s="648"/>
      <c r="I191" s="411"/>
      <c r="J191" s="53"/>
    </row>
    <row r="192" spans="1:10" ht="20.100000000000001" customHeight="1" x14ac:dyDescent="0.2">
      <c r="A192" s="550">
        <f t="shared" si="12"/>
        <v>24</v>
      </c>
      <c r="B192" s="83"/>
      <c r="C192" s="51">
        <f t="shared" si="13"/>
        <v>0</v>
      </c>
      <c r="D192" s="81">
        <f t="shared" si="14"/>
        <v>0</v>
      </c>
      <c r="E192" s="552"/>
      <c r="G192" s="119"/>
      <c r="H192" s="648"/>
      <c r="I192" s="411"/>
      <c r="J192" s="53"/>
    </row>
    <row r="193" spans="1:10" ht="20.100000000000001" customHeight="1" x14ac:dyDescent="0.2">
      <c r="A193" s="550">
        <f t="shared" si="12"/>
        <v>24</v>
      </c>
      <c r="B193" s="83"/>
      <c r="C193" s="51">
        <f t="shared" si="13"/>
        <v>0</v>
      </c>
      <c r="D193" s="81">
        <f t="shared" si="14"/>
        <v>0</v>
      </c>
      <c r="E193" s="552"/>
      <c r="G193" s="119"/>
      <c r="H193" s="648"/>
      <c r="I193" s="411"/>
      <c r="J193" s="53"/>
    </row>
    <row r="194" spans="1:10" ht="20.100000000000001" customHeight="1" x14ac:dyDescent="0.2">
      <c r="A194" s="550">
        <f t="shared" si="12"/>
        <v>24</v>
      </c>
      <c r="B194" s="83"/>
      <c r="C194" s="51">
        <f t="shared" si="13"/>
        <v>0</v>
      </c>
      <c r="D194" s="81">
        <f t="shared" si="14"/>
        <v>0</v>
      </c>
      <c r="E194" s="552"/>
      <c r="G194" s="649"/>
      <c r="H194" s="648"/>
      <c r="I194" s="411"/>
      <c r="J194" s="53"/>
    </row>
    <row r="195" spans="1:10" ht="20.100000000000001" customHeight="1" x14ac:dyDescent="0.2">
      <c r="A195" s="550">
        <f t="shared" si="12"/>
        <v>24</v>
      </c>
      <c r="B195" s="83"/>
      <c r="C195" s="51">
        <f t="shared" si="13"/>
        <v>0</v>
      </c>
      <c r="D195" s="81">
        <f t="shared" si="14"/>
        <v>0</v>
      </c>
      <c r="E195" s="552"/>
      <c r="G195" s="119"/>
      <c r="H195" s="648"/>
      <c r="I195" s="411"/>
      <c r="J195" s="53"/>
    </row>
    <row r="196" spans="1:10" ht="20.100000000000001" customHeight="1" x14ac:dyDescent="0.2">
      <c r="A196" s="550">
        <f t="shared" si="12"/>
        <v>24</v>
      </c>
      <c r="B196" s="83"/>
      <c r="C196" s="51">
        <f t="shared" si="13"/>
        <v>0</v>
      </c>
      <c r="D196" s="81">
        <f t="shared" si="14"/>
        <v>0</v>
      </c>
      <c r="E196" s="552"/>
      <c r="G196" s="119"/>
      <c r="H196" s="648"/>
      <c r="I196" s="411"/>
      <c r="J196" s="53"/>
    </row>
    <row r="197" spans="1:10" ht="20.100000000000001" customHeight="1" x14ac:dyDescent="0.2">
      <c r="A197" s="550">
        <f t="shared" si="12"/>
        <v>24</v>
      </c>
      <c r="B197" s="83"/>
      <c r="C197" s="51">
        <f t="shared" si="13"/>
        <v>0</v>
      </c>
      <c r="D197" s="81">
        <f t="shared" si="14"/>
        <v>0</v>
      </c>
      <c r="E197" s="552"/>
      <c r="G197" s="119"/>
      <c r="H197" s="648"/>
      <c r="I197" s="411"/>
      <c r="J197" s="53"/>
    </row>
    <row r="198" spans="1:10" ht="20.100000000000001" customHeight="1" x14ac:dyDescent="0.2">
      <c r="A198" s="550">
        <f t="shared" si="12"/>
        <v>24</v>
      </c>
      <c r="B198" s="83"/>
      <c r="C198" s="51">
        <f t="shared" si="13"/>
        <v>0</v>
      </c>
      <c r="D198" s="81">
        <f t="shared" si="14"/>
        <v>0</v>
      </c>
      <c r="E198" s="552"/>
      <c r="G198" s="119"/>
      <c r="H198" s="648"/>
      <c r="I198" s="411"/>
      <c r="J198" s="53"/>
    </row>
    <row r="199" spans="1:10" ht="20.100000000000001" customHeight="1" x14ac:dyDescent="0.2">
      <c r="A199" s="550">
        <f t="shared" si="12"/>
        <v>24</v>
      </c>
      <c r="B199" s="83"/>
      <c r="C199" s="51">
        <f t="shared" si="13"/>
        <v>0</v>
      </c>
      <c r="D199" s="81">
        <f t="shared" si="14"/>
        <v>0</v>
      </c>
      <c r="E199" s="552"/>
      <c r="G199" s="119"/>
      <c r="H199" s="648"/>
      <c r="I199" s="411"/>
      <c r="J199" s="53"/>
    </row>
    <row r="200" spans="1:10" ht="20.100000000000001" customHeight="1" x14ac:dyDescent="0.2">
      <c r="A200" s="550">
        <f t="shared" si="12"/>
        <v>24</v>
      </c>
      <c r="B200" s="83"/>
      <c r="C200" s="51">
        <f t="shared" si="13"/>
        <v>0</v>
      </c>
      <c r="D200" s="81">
        <f t="shared" si="14"/>
        <v>0</v>
      </c>
      <c r="E200" s="552"/>
      <c r="G200" s="119"/>
      <c r="H200" s="648"/>
      <c r="I200" s="411"/>
      <c r="J200" s="53"/>
    </row>
    <row r="201" spans="1:10" ht="20.100000000000001" customHeight="1" x14ac:dyDescent="0.2">
      <c r="A201" s="550">
        <f t="shared" si="12"/>
        <v>24</v>
      </c>
      <c r="B201" s="83"/>
      <c r="C201" s="51">
        <f t="shared" si="13"/>
        <v>0</v>
      </c>
      <c r="D201" s="81">
        <f t="shared" si="14"/>
        <v>0</v>
      </c>
      <c r="E201" s="552"/>
      <c r="G201" s="119"/>
      <c r="H201" s="648"/>
      <c r="I201" s="411"/>
      <c r="J201" s="53"/>
    </row>
    <row r="202" spans="1:10" ht="20.100000000000001" customHeight="1" x14ac:dyDescent="0.2">
      <c r="A202" s="550">
        <f t="shared" si="12"/>
        <v>24</v>
      </c>
      <c r="B202" s="83"/>
      <c r="C202" s="51">
        <f t="shared" si="13"/>
        <v>0</v>
      </c>
      <c r="D202" s="81">
        <f t="shared" si="14"/>
        <v>0</v>
      </c>
      <c r="E202" s="552"/>
      <c r="G202" s="119"/>
      <c r="H202" s="648"/>
      <c r="I202" s="411"/>
      <c r="J202" s="53"/>
    </row>
    <row r="203" spans="1:10" ht="20.100000000000001" customHeight="1" x14ac:dyDescent="0.2">
      <c r="A203" s="550">
        <f t="shared" si="12"/>
        <v>24</v>
      </c>
      <c r="B203" s="83"/>
      <c r="C203" s="51">
        <f t="shared" si="13"/>
        <v>0</v>
      </c>
      <c r="D203" s="81">
        <f t="shared" si="14"/>
        <v>0</v>
      </c>
      <c r="E203" s="552"/>
      <c r="G203" s="649"/>
      <c r="H203" s="648"/>
      <c r="I203" s="411"/>
      <c r="J203" s="53"/>
    </row>
    <row r="204" spans="1:10" ht="20.100000000000001" customHeight="1" x14ac:dyDescent="0.2">
      <c r="A204" s="550">
        <f t="shared" si="12"/>
        <v>24</v>
      </c>
      <c r="B204" s="83"/>
      <c r="C204" s="51">
        <f t="shared" si="13"/>
        <v>0</v>
      </c>
      <c r="D204" s="81">
        <f t="shared" si="14"/>
        <v>0</v>
      </c>
      <c r="E204" s="552"/>
      <c r="G204" s="119"/>
      <c r="H204" s="648"/>
      <c r="I204" s="411"/>
      <c r="J204" s="53"/>
    </row>
    <row r="205" spans="1:10" ht="20.100000000000001" customHeight="1" x14ac:dyDescent="0.2">
      <c r="A205" s="550">
        <f t="shared" si="12"/>
        <v>24</v>
      </c>
      <c r="B205" s="83"/>
      <c r="C205" s="51">
        <f t="shared" si="13"/>
        <v>0</v>
      </c>
      <c r="D205" s="81">
        <f t="shared" si="14"/>
        <v>0</v>
      </c>
      <c r="E205" s="552"/>
      <c r="G205" s="119"/>
      <c r="H205" s="648"/>
      <c r="I205" s="411"/>
      <c r="J205" s="53"/>
    </row>
    <row r="206" spans="1:10" ht="20.100000000000001" customHeight="1" x14ac:dyDescent="0.2">
      <c r="A206" s="550">
        <f t="shared" si="12"/>
        <v>24</v>
      </c>
      <c r="B206" s="83"/>
      <c r="C206" s="51">
        <f t="shared" si="13"/>
        <v>0</v>
      </c>
      <c r="D206" s="81">
        <f t="shared" si="14"/>
        <v>0</v>
      </c>
      <c r="E206" s="552"/>
      <c r="G206" s="119"/>
      <c r="H206" s="648"/>
      <c r="I206" s="411"/>
      <c r="J206" s="53"/>
    </row>
    <row r="207" spans="1:10" ht="20.100000000000001" customHeight="1" x14ac:dyDescent="0.2">
      <c r="A207" s="550">
        <f t="shared" si="12"/>
        <v>24</v>
      </c>
      <c r="B207" s="83"/>
      <c r="C207" s="51">
        <f t="shared" si="13"/>
        <v>0</v>
      </c>
      <c r="D207" s="81">
        <f t="shared" si="14"/>
        <v>0</v>
      </c>
      <c r="E207" s="552"/>
      <c r="G207" s="119"/>
      <c r="H207" s="648"/>
      <c r="I207" s="411"/>
      <c r="J207" s="53"/>
    </row>
    <row r="208" spans="1:10" ht="20.100000000000001" customHeight="1" x14ac:dyDescent="0.2">
      <c r="A208" s="550">
        <f t="shared" si="12"/>
        <v>24</v>
      </c>
      <c r="B208" s="83"/>
      <c r="C208" s="51">
        <f t="shared" si="13"/>
        <v>0</v>
      </c>
      <c r="D208" s="81">
        <f t="shared" si="14"/>
        <v>0</v>
      </c>
      <c r="E208" s="552"/>
      <c r="G208" s="119"/>
      <c r="H208" s="648"/>
      <c r="I208" s="411"/>
      <c r="J208" s="53"/>
    </row>
    <row r="209" spans="1:10" ht="20.100000000000001" customHeight="1" x14ac:dyDescent="0.2">
      <c r="A209" s="550">
        <f t="shared" si="12"/>
        <v>24</v>
      </c>
      <c r="B209" s="83"/>
      <c r="C209" s="51">
        <f t="shared" si="13"/>
        <v>0</v>
      </c>
      <c r="D209" s="81">
        <f t="shared" si="14"/>
        <v>0</v>
      </c>
      <c r="E209" s="552"/>
      <c r="G209" s="119"/>
      <c r="H209" s="648"/>
      <c r="I209" s="411"/>
      <c r="J209" s="53"/>
    </row>
    <row r="210" spans="1:10" ht="20.100000000000001" customHeight="1" x14ac:dyDescent="0.2">
      <c r="A210" s="550">
        <f t="shared" si="12"/>
        <v>24</v>
      </c>
      <c r="B210" s="83"/>
      <c r="C210" s="51">
        <f t="shared" si="13"/>
        <v>0</v>
      </c>
      <c r="D210" s="81">
        <f t="shared" si="14"/>
        <v>0</v>
      </c>
      <c r="E210" s="552"/>
      <c r="G210" s="119"/>
      <c r="H210" s="648"/>
      <c r="I210" s="411"/>
      <c r="J210" s="53"/>
    </row>
    <row r="211" spans="1:10" ht="20.100000000000001" customHeight="1" x14ac:dyDescent="0.2">
      <c r="A211" s="550">
        <f t="shared" si="12"/>
        <v>24</v>
      </c>
      <c r="B211" s="83"/>
      <c r="C211" s="51">
        <f t="shared" si="13"/>
        <v>0</v>
      </c>
      <c r="D211" s="81">
        <f t="shared" si="14"/>
        <v>0</v>
      </c>
      <c r="E211" s="552"/>
      <c r="G211" s="119"/>
      <c r="H211" s="648"/>
      <c r="I211" s="411"/>
      <c r="J211" s="53"/>
    </row>
    <row r="212" spans="1:10" ht="20.100000000000001" customHeight="1" x14ac:dyDescent="0.2">
      <c r="A212" s="550">
        <f t="shared" si="12"/>
        <v>24</v>
      </c>
      <c r="B212" s="83"/>
      <c r="C212" s="51">
        <f t="shared" si="13"/>
        <v>0</v>
      </c>
      <c r="D212" s="81">
        <f t="shared" si="14"/>
        <v>0</v>
      </c>
      <c r="E212" s="552"/>
      <c r="G212" s="649"/>
      <c r="H212" s="648"/>
      <c r="I212" s="411"/>
      <c r="J212" s="53"/>
    </row>
    <row r="213" spans="1:10" ht="20.100000000000001" customHeight="1" x14ac:dyDescent="0.2">
      <c r="A213" s="550">
        <f t="shared" si="12"/>
        <v>24</v>
      </c>
      <c r="B213" s="83"/>
      <c r="C213" s="51">
        <f t="shared" si="13"/>
        <v>0</v>
      </c>
      <c r="D213" s="81">
        <f t="shared" si="14"/>
        <v>0</v>
      </c>
      <c r="E213" s="552"/>
      <c r="G213" s="119"/>
      <c r="H213" s="648"/>
      <c r="I213" s="411"/>
      <c r="J213" s="53"/>
    </row>
    <row r="214" spans="1:10" ht="20.100000000000001" customHeight="1" x14ac:dyDescent="0.2">
      <c r="A214" s="550">
        <f t="shared" si="12"/>
        <v>24</v>
      </c>
      <c r="B214" s="83"/>
      <c r="C214" s="51">
        <f t="shared" si="13"/>
        <v>0</v>
      </c>
      <c r="D214" s="81">
        <f t="shared" si="14"/>
        <v>0</v>
      </c>
      <c r="E214" s="552"/>
      <c r="G214" s="119"/>
      <c r="H214" s="648"/>
      <c r="I214" s="411"/>
      <c r="J214" s="53"/>
    </row>
    <row r="215" spans="1:10" ht="20.100000000000001" customHeight="1" x14ac:dyDescent="0.2">
      <c r="A215" s="550">
        <f t="shared" si="12"/>
        <v>24</v>
      </c>
      <c r="B215" s="83"/>
      <c r="C215" s="51">
        <f t="shared" si="13"/>
        <v>0</v>
      </c>
      <c r="D215" s="81">
        <f t="shared" si="14"/>
        <v>0</v>
      </c>
      <c r="E215" s="552"/>
      <c r="G215" s="119"/>
      <c r="H215" s="648"/>
      <c r="I215" s="77"/>
      <c r="J215" s="411"/>
    </row>
    <row r="216" spans="1:10" ht="20.100000000000001" customHeight="1" x14ac:dyDescent="0.2">
      <c r="A216" s="550">
        <f t="shared" si="12"/>
        <v>24</v>
      </c>
      <c r="B216" s="83"/>
      <c r="C216" s="51">
        <f t="shared" si="13"/>
        <v>0</v>
      </c>
      <c r="D216" s="81">
        <f t="shared" si="14"/>
        <v>0</v>
      </c>
      <c r="E216" s="552"/>
      <c r="G216" s="119"/>
      <c r="H216" s="648"/>
      <c r="I216" s="77"/>
      <c r="J216" s="411"/>
    </row>
    <row r="217" spans="1:10" ht="20.100000000000001" customHeight="1" x14ac:dyDescent="0.2">
      <c r="J217" s="411"/>
    </row>
    <row r="218" spans="1:10" ht="20.100000000000001" customHeight="1" x14ac:dyDescent="0.2">
      <c r="J218" s="411"/>
    </row>
    <row r="219" spans="1:10" ht="20.100000000000001" customHeight="1" x14ac:dyDescent="0.2">
      <c r="J219" s="411"/>
    </row>
    <row r="220" spans="1:10" ht="20.100000000000001" customHeight="1" x14ac:dyDescent="0.2">
      <c r="J220" s="411"/>
    </row>
    <row r="221" spans="1:10" ht="20.100000000000001" customHeight="1" x14ac:dyDescent="0.2">
      <c r="J221" s="411"/>
    </row>
    <row r="222" spans="1:10" ht="20.100000000000001" customHeight="1" x14ac:dyDescent="0.2">
      <c r="J222" s="411"/>
    </row>
    <row r="223" spans="1:10" ht="20.100000000000001" customHeight="1" x14ac:dyDescent="0.2">
      <c r="J223" s="411"/>
    </row>
    <row r="224" spans="1:10" ht="20.100000000000001" customHeight="1" x14ac:dyDescent="0.2">
      <c r="J224" s="411"/>
    </row>
    <row r="225" spans="10:10" ht="20.100000000000001" customHeight="1" x14ac:dyDescent="0.2">
      <c r="J225" s="411"/>
    </row>
    <row r="226" spans="10:10" ht="20.100000000000001" customHeight="1" x14ac:dyDescent="0.2">
      <c r="J226" s="411"/>
    </row>
    <row r="227" spans="10:10" ht="20.100000000000001" customHeight="1" x14ac:dyDescent="0.2">
      <c r="J227" s="411"/>
    </row>
    <row r="228" spans="10:10" ht="20.100000000000001" customHeight="1" x14ac:dyDescent="0.2">
      <c r="J228" s="411"/>
    </row>
    <row r="229" spans="10:10" ht="20.100000000000001" customHeight="1" x14ac:dyDescent="0.2">
      <c r="J229" s="411"/>
    </row>
    <row r="230" spans="10:10" ht="20.100000000000001" customHeight="1" x14ac:dyDescent="0.2">
      <c r="J230" s="411"/>
    </row>
    <row r="231" spans="10:10" ht="20.100000000000001" customHeight="1" x14ac:dyDescent="0.2">
      <c r="J231" s="411"/>
    </row>
    <row r="232" spans="10:10" ht="20.100000000000001" customHeight="1" x14ac:dyDescent="0.2">
      <c r="J232" s="411"/>
    </row>
    <row r="233" spans="10:10" ht="20.100000000000001" customHeight="1" x14ac:dyDescent="0.2">
      <c r="J233" s="411"/>
    </row>
    <row r="234" spans="10:10" ht="20.100000000000001" customHeight="1" x14ac:dyDescent="0.2">
      <c r="J234" s="411"/>
    </row>
    <row r="235" spans="10:10" ht="20.100000000000001" customHeight="1" x14ac:dyDescent="0.2">
      <c r="J235" s="411"/>
    </row>
    <row r="236" spans="10:10" ht="20.100000000000001" customHeight="1" x14ac:dyDescent="0.2">
      <c r="J236" s="411"/>
    </row>
    <row r="237" spans="10:10" ht="20.100000000000001" customHeight="1" x14ac:dyDescent="0.2">
      <c r="J237" s="411"/>
    </row>
    <row r="238" spans="10:10" ht="20.100000000000001" customHeight="1" x14ac:dyDescent="0.2">
      <c r="J238" s="411"/>
    </row>
    <row r="239" spans="10:10" ht="20.100000000000001" customHeight="1" x14ac:dyDescent="0.2">
      <c r="J239" s="411"/>
    </row>
    <row r="240" spans="10:10" ht="20.100000000000001" customHeight="1" x14ac:dyDescent="0.2">
      <c r="J240" s="411"/>
    </row>
    <row r="241" spans="10:10" ht="20.100000000000001" customHeight="1" x14ac:dyDescent="0.2">
      <c r="J241" s="411"/>
    </row>
    <row r="242" spans="10:10" ht="20.100000000000001" customHeight="1" x14ac:dyDescent="0.2">
      <c r="J242" s="411"/>
    </row>
    <row r="243" spans="10:10" ht="20.100000000000001" customHeight="1" x14ac:dyDescent="0.2">
      <c r="J243" s="411"/>
    </row>
    <row r="244" spans="10:10" ht="20.100000000000001" customHeight="1" x14ac:dyDescent="0.2">
      <c r="J244" s="411"/>
    </row>
    <row r="245" spans="10:10" ht="20.100000000000001" customHeight="1" x14ac:dyDescent="0.2">
      <c r="J245" s="411"/>
    </row>
    <row r="246" spans="10:10" ht="20.100000000000001" customHeight="1" x14ac:dyDescent="0.2">
      <c r="J246" s="411"/>
    </row>
    <row r="247" spans="10:10" ht="20.100000000000001" customHeight="1" x14ac:dyDescent="0.2">
      <c r="J247" s="411"/>
    </row>
    <row r="248" spans="10:10" ht="20.100000000000001" customHeight="1" x14ac:dyDescent="0.2">
      <c r="J248" s="411"/>
    </row>
    <row r="249" spans="10:10" ht="20.100000000000001" customHeight="1" x14ac:dyDescent="0.2">
      <c r="J249" s="411"/>
    </row>
    <row r="250" spans="10:10" ht="20.100000000000001" customHeight="1" x14ac:dyDescent="0.2">
      <c r="J250" s="411"/>
    </row>
    <row r="251" spans="10:10" ht="20.100000000000001" customHeight="1" x14ac:dyDescent="0.2">
      <c r="J251" s="411"/>
    </row>
    <row r="252" spans="10:10" ht="20.100000000000001" customHeight="1" x14ac:dyDescent="0.2">
      <c r="J252" s="411"/>
    </row>
    <row r="253" spans="10:10" ht="20.100000000000001" customHeight="1" x14ac:dyDescent="0.2">
      <c r="J253" s="411"/>
    </row>
    <row r="254" spans="10:10" ht="20.100000000000001" customHeight="1" x14ac:dyDescent="0.2">
      <c r="J254" s="411"/>
    </row>
    <row r="255" spans="10:10" ht="20.100000000000001" customHeight="1" x14ac:dyDescent="0.2">
      <c r="J255" s="411"/>
    </row>
    <row r="256" spans="10:10" ht="20.100000000000001" customHeight="1" x14ac:dyDescent="0.2">
      <c r="J256" s="411"/>
    </row>
    <row r="257" spans="3:10" ht="20.100000000000001" customHeight="1" x14ac:dyDescent="0.2">
      <c r="J257" s="411"/>
    </row>
    <row r="258" spans="3:10" ht="20.100000000000001" customHeight="1" x14ac:dyDescent="0.2">
      <c r="J258" s="411"/>
    </row>
    <row r="259" spans="3:10" ht="20.100000000000001" customHeight="1" x14ac:dyDescent="0.2">
      <c r="J259" s="411"/>
    </row>
    <row r="260" spans="3:10" ht="20.100000000000001" customHeight="1" x14ac:dyDescent="0.2">
      <c r="J260" s="411"/>
    </row>
    <row r="261" spans="3:10" ht="20.100000000000001" customHeight="1" x14ac:dyDescent="0.2">
      <c r="J261" s="411"/>
    </row>
    <row r="262" spans="3:10" ht="20.100000000000001" customHeight="1" x14ac:dyDescent="0.2">
      <c r="C262" s="53">
        <v>5</v>
      </c>
      <c r="J262" s="411"/>
    </row>
    <row r="263" spans="3:10" ht="20.100000000000001" customHeight="1" x14ac:dyDescent="0.2">
      <c r="J263" s="411"/>
    </row>
    <row r="264" spans="3:10" ht="20.100000000000001" customHeight="1" x14ac:dyDescent="0.2">
      <c r="J264" s="411"/>
    </row>
    <row r="265" spans="3:10" ht="20.100000000000001" customHeight="1" x14ac:dyDescent="0.2">
      <c r="J265" s="411"/>
    </row>
    <row r="266" spans="3:10" ht="20.100000000000001" customHeight="1" x14ac:dyDescent="0.2">
      <c r="J266" s="411"/>
    </row>
    <row r="267" spans="3:10" ht="20.100000000000001" customHeight="1" x14ac:dyDescent="0.2">
      <c r="J267" s="411"/>
    </row>
    <row r="268" spans="3:10" ht="20.100000000000001" customHeight="1" x14ac:dyDescent="0.2">
      <c r="J268" s="411"/>
    </row>
    <row r="269" spans="3:10" ht="20.100000000000001" customHeight="1" x14ac:dyDescent="0.2">
      <c r="J269" s="411"/>
    </row>
    <row r="270" spans="3:10" ht="20.100000000000001" customHeight="1" x14ac:dyDescent="0.2">
      <c r="J270" s="411"/>
    </row>
    <row r="271" spans="3:10" ht="20.100000000000001" customHeight="1" x14ac:dyDescent="0.2">
      <c r="J271" s="411"/>
    </row>
    <row r="272" spans="3:10" ht="20.100000000000001" customHeight="1" x14ac:dyDescent="0.2">
      <c r="J272" s="411"/>
    </row>
    <row r="273" spans="10:10" ht="20.100000000000001" customHeight="1" x14ac:dyDescent="0.2">
      <c r="J273" s="411"/>
    </row>
    <row r="274" spans="10:10" ht="20.100000000000001" customHeight="1" x14ac:dyDescent="0.2">
      <c r="J274" s="411"/>
    </row>
    <row r="275" spans="10:10" ht="20.100000000000001" customHeight="1" x14ac:dyDescent="0.2">
      <c r="J275" s="411"/>
    </row>
    <row r="276" spans="10:10" ht="20.100000000000001" customHeight="1" x14ac:dyDescent="0.2">
      <c r="J276" s="411"/>
    </row>
    <row r="277" spans="10:10" ht="20.100000000000001" customHeight="1" x14ac:dyDescent="0.2">
      <c r="J277" s="411"/>
    </row>
    <row r="278" spans="10:10" ht="20.100000000000001" customHeight="1" x14ac:dyDescent="0.2">
      <c r="J278" s="411"/>
    </row>
    <row r="279" spans="10:10" ht="20.100000000000001" customHeight="1" x14ac:dyDescent="0.2">
      <c r="J279" s="411"/>
    </row>
    <row r="280" spans="10:10" ht="20.100000000000001" customHeight="1" x14ac:dyDescent="0.2">
      <c r="J280" s="411"/>
    </row>
    <row r="281" spans="10:10" ht="20.100000000000001" customHeight="1" x14ac:dyDescent="0.2">
      <c r="J281" s="411"/>
    </row>
    <row r="282" spans="10:10" ht="20.100000000000001" customHeight="1" x14ac:dyDescent="0.2">
      <c r="J282" s="411"/>
    </row>
    <row r="283" spans="10:10" ht="20.100000000000001" customHeight="1" x14ac:dyDescent="0.2">
      <c r="J283" s="411"/>
    </row>
    <row r="284" spans="10:10" ht="20.100000000000001" customHeight="1" x14ac:dyDescent="0.2">
      <c r="J284" s="411"/>
    </row>
    <row r="285" spans="10:10" ht="20.100000000000001" customHeight="1" x14ac:dyDescent="0.2">
      <c r="J285" s="411"/>
    </row>
    <row r="286" spans="10:10" ht="20.100000000000001" customHeight="1" x14ac:dyDescent="0.2">
      <c r="J286" s="411"/>
    </row>
    <row r="287" spans="10:10" ht="20.100000000000001" customHeight="1" x14ac:dyDescent="0.2">
      <c r="J287" s="411"/>
    </row>
    <row r="288" spans="10:10" ht="20.100000000000001" customHeight="1" x14ac:dyDescent="0.2">
      <c r="J288" s="411"/>
    </row>
    <row r="289" spans="10:10" ht="20.100000000000001" customHeight="1" x14ac:dyDescent="0.2">
      <c r="J289" s="411"/>
    </row>
    <row r="290" spans="10:10" ht="20.100000000000001" customHeight="1" x14ac:dyDescent="0.2">
      <c r="J290" s="411"/>
    </row>
    <row r="291" spans="10:10" ht="20.100000000000001" customHeight="1" x14ac:dyDescent="0.2">
      <c r="J291" s="411"/>
    </row>
    <row r="292" spans="10:10" ht="20.100000000000001" customHeight="1" x14ac:dyDescent="0.2">
      <c r="J292" s="411"/>
    </row>
    <row r="293" spans="10:10" ht="20.100000000000001" customHeight="1" x14ac:dyDescent="0.2">
      <c r="J293" s="411"/>
    </row>
    <row r="294" spans="10:10" ht="20.100000000000001" customHeight="1" x14ac:dyDescent="0.2">
      <c r="J294" s="411"/>
    </row>
    <row r="295" spans="10:10" ht="20.100000000000001" customHeight="1" x14ac:dyDescent="0.2">
      <c r="J295" s="411"/>
    </row>
    <row r="296" spans="10:10" ht="20.100000000000001" customHeight="1" x14ac:dyDescent="0.2">
      <c r="J296" s="411"/>
    </row>
    <row r="297" spans="10:10" ht="20.100000000000001" customHeight="1" x14ac:dyDescent="0.2">
      <c r="J297" s="411"/>
    </row>
    <row r="298" spans="10:10" ht="20.100000000000001" customHeight="1" x14ac:dyDescent="0.2">
      <c r="J298" s="411"/>
    </row>
    <row r="299" spans="10:10" ht="20.100000000000001" customHeight="1" x14ac:dyDescent="0.2">
      <c r="J299" s="411"/>
    </row>
    <row r="300" spans="10:10" ht="20.100000000000001" customHeight="1" x14ac:dyDescent="0.2">
      <c r="J300" s="411"/>
    </row>
    <row r="301" spans="10:10" ht="20.100000000000001" customHeight="1" x14ac:dyDescent="0.2">
      <c r="J301" s="411"/>
    </row>
    <row r="302" spans="10:10" ht="20.100000000000001" customHeight="1" x14ac:dyDescent="0.2">
      <c r="J302" s="411"/>
    </row>
    <row r="303" spans="10:10" ht="20.100000000000001" customHeight="1" x14ac:dyDescent="0.2">
      <c r="J303" s="411"/>
    </row>
    <row r="304" spans="10:10" ht="20.100000000000001" customHeight="1" x14ac:dyDescent="0.2">
      <c r="J304" s="411"/>
    </row>
    <row r="305" spans="3:10" ht="20.100000000000001" customHeight="1" x14ac:dyDescent="0.2">
      <c r="J305" s="411"/>
    </row>
    <row r="306" spans="3:10" ht="20.100000000000001" customHeight="1" x14ac:dyDescent="0.2">
      <c r="J306" s="411"/>
    </row>
    <row r="307" spans="3:10" ht="20.100000000000001" customHeight="1" x14ac:dyDescent="0.2">
      <c r="J307" s="411"/>
    </row>
    <row r="308" spans="3:10" ht="20.100000000000001" customHeight="1" x14ac:dyDescent="0.2">
      <c r="J308" s="411"/>
    </row>
    <row r="309" spans="3:10" ht="20.100000000000001" customHeight="1" x14ac:dyDescent="0.2">
      <c r="J309" s="411"/>
    </row>
    <row r="310" spans="3:10" ht="20.100000000000001" customHeight="1" x14ac:dyDescent="0.2">
      <c r="J310" s="411"/>
    </row>
    <row r="311" spans="3:10" ht="20.100000000000001" customHeight="1" x14ac:dyDescent="0.2">
      <c r="J311" s="411"/>
    </row>
    <row r="312" spans="3:10" ht="20.100000000000001" customHeight="1" x14ac:dyDescent="0.2">
      <c r="C312" s="53">
        <v>5</v>
      </c>
    </row>
    <row r="362" spans="3:3" ht="20.100000000000001" customHeight="1" x14ac:dyDescent="0.2">
      <c r="C362" s="53">
        <v>5</v>
      </c>
    </row>
    <row r="412" spans="3:3" ht="20.100000000000001" customHeight="1" x14ac:dyDescent="0.2">
      <c r="C412" s="53">
        <v>5</v>
      </c>
    </row>
    <row r="462" spans="3:3" ht="20.100000000000001" customHeight="1" x14ac:dyDescent="0.2">
      <c r="C462" s="53">
        <v>5</v>
      </c>
    </row>
    <row r="512" spans="3:3" ht="20.100000000000001" customHeight="1" x14ac:dyDescent="0.2">
      <c r="C512" s="53">
        <v>5</v>
      </c>
    </row>
    <row r="562" spans="3:3" ht="20.100000000000001" customHeight="1" x14ac:dyDescent="0.2">
      <c r="C562" s="53">
        <v>5</v>
      </c>
    </row>
    <row r="612" spans="3:3" ht="20.100000000000001" customHeight="1" x14ac:dyDescent="0.2">
      <c r="C612" s="53">
        <v>5</v>
      </c>
    </row>
    <row r="662" spans="3:3" ht="20.100000000000001" customHeight="1" x14ac:dyDescent="0.2">
      <c r="C662" s="53">
        <v>5</v>
      </c>
    </row>
    <row r="712" spans="3:3" ht="20.100000000000001" customHeight="1" x14ac:dyDescent="0.2">
      <c r="C712" s="53">
        <v>5</v>
      </c>
    </row>
    <row r="762" spans="3:3" ht="20.100000000000001" customHeight="1" x14ac:dyDescent="0.2">
      <c r="C762" s="53">
        <v>5</v>
      </c>
    </row>
    <row r="812" spans="3:3" ht="20.100000000000001" customHeight="1" x14ac:dyDescent="0.2">
      <c r="C812" s="53">
        <v>5</v>
      </c>
    </row>
    <row r="813" spans="3:3" ht="20.100000000000001" customHeight="1" x14ac:dyDescent="0.2">
      <c r="C813" s="53" t="e">
        <f>Datos!#REF!</f>
        <v>#REF!</v>
      </c>
    </row>
    <row r="862" spans="3:3" ht="20.100000000000001" customHeight="1" x14ac:dyDescent="0.2">
      <c r="C862" s="53">
        <v>5</v>
      </c>
    </row>
    <row r="863" spans="3:3" ht="20.100000000000001" customHeight="1" x14ac:dyDescent="0.2">
      <c r="C863" s="53" t="e">
        <f>Datos!#REF!</f>
        <v>#REF!</v>
      </c>
    </row>
    <row r="912" spans="3:3" ht="20.100000000000001" customHeight="1" x14ac:dyDescent="0.2">
      <c r="C912" s="53">
        <v>5</v>
      </c>
    </row>
    <row r="913" spans="3:3" ht="20.100000000000001" customHeight="1" x14ac:dyDescent="0.2">
      <c r="C913" s="53" t="e">
        <f>Datos!#REF!</f>
        <v>#REF!</v>
      </c>
    </row>
    <row r="962" spans="3:3" ht="20.100000000000001" customHeight="1" x14ac:dyDescent="0.2">
      <c r="C962" s="53">
        <v>5</v>
      </c>
    </row>
    <row r="963" spans="3:3" ht="20.100000000000001" customHeight="1" x14ac:dyDescent="0.2">
      <c r="C963" s="53" t="e">
        <f>Datos!#REF!</f>
        <v>#REF!</v>
      </c>
    </row>
    <row r="1013" spans="3:3" ht="20.100000000000001" customHeight="1" x14ac:dyDescent="0.2">
      <c r="C1013" s="53" t="e">
        <f>Datos!#REF!</f>
        <v>#REF!</v>
      </c>
    </row>
    <row r="1062" spans="3:3" ht="20.100000000000001" customHeight="1" x14ac:dyDescent="0.2">
      <c r="C1062" s="53">
        <v>7</v>
      </c>
    </row>
    <row r="1063" spans="3:3" ht="20.100000000000001" customHeight="1" x14ac:dyDescent="0.2">
      <c r="C1063" s="53" t="e">
        <f>Datos!#REF!</f>
        <v>#REF!</v>
      </c>
    </row>
    <row r="1113" spans="3:3" ht="20.100000000000001" customHeight="1" x14ac:dyDescent="0.2">
      <c r="C1113" s="53" t="e">
        <f>Datos!#REF!</f>
        <v>#REF!</v>
      </c>
    </row>
    <row r="1162" spans="3:3" ht="20.100000000000001" customHeight="1" x14ac:dyDescent="0.2">
      <c r="C1162" s="53">
        <v>8</v>
      </c>
    </row>
    <row r="1163" spans="3:3" ht="20.100000000000001" customHeight="1" x14ac:dyDescent="0.2">
      <c r="C1163" s="53" t="e">
        <f>Datos!#REF!</f>
        <v>#REF!</v>
      </c>
    </row>
    <row r="1212" spans="3:3" ht="20.100000000000001" customHeight="1" x14ac:dyDescent="0.2">
      <c r="C1212" s="53">
        <v>8</v>
      </c>
    </row>
    <row r="1213" spans="3:3" ht="20.100000000000001" customHeight="1" x14ac:dyDescent="0.2">
      <c r="C1213" s="53" t="e">
        <f>Datos!#REF!</f>
        <v>#REF!</v>
      </c>
    </row>
    <row r="1262" spans="3:3" ht="20.100000000000001" customHeight="1" x14ac:dyDescent="0.2">
      <c r="C1262" s="53">
        <v>8</v>
      </c>
    </row>
    <row r="1263" spans="3:3" ht="20.100000000000001" customHeight="1" x14ac:dyDescent="0.2">
      <c r="C1263" s="53" t="e">
        <f>Datos!#REF!</f>
        <v>#REF!</v>
      </c>
    </row>
    <row r="1312" spans="3:3" ht="20.100000000000001" customHeight="1" x14ac:dyDescent="0.2">
      <c r="C1312" s="53">
        <v>8</v>
      </c>
    </row>
    <row r="1313" spans="3:3" ht="20.100000000000001" customHeight="1" x14ac:dyDescent="0.2">
      <c r="C1313" s="53" t="e">
        <f>Datos!#REF!</f>
        <v>#REF!</v>
      </c>
    </row>
    <row r="1362" spans="3:3" ht="20.100000000000001" customHeight="1" x14ac:dyDescent="0.2">
      <c r="C1362" s="53">
        <v>8</v>
      </c>
    </row>
    <row r="1363" spans="3:3" ht="20.100000000000001" customHeight="1" x14ac:dyDescent="0.2">
      <c r="C1363" s="53" t="e">
        <f>Datos!#REF!</f>
        <v>#REF!</v>
      </c>
    </row>
    <row r="1413" spans="3:3" ht="20.100000000000001" customHeight="1" x14ac:dyDescent="0.2">
      <c r="C1413" s="53" t="e">
        <f>Datos!#REF!</f>
        <v>#REF!</v>
      </c>
    </row>
    <row r="1463" spans="3:3" ht="20.100000000000001" customHeight="1" x14ac:dyDescent="0.2">
      <c r="C1463" s="53" t="e">
        <f>Datos!#REF!</f>
        <v>#REF!</v>
      </c>
    </row>
    <row r="1513" spans="3:3" ht="20.100000000000001" customHeight="1" x14ac:dyDescent="0.2">
      <c r="C1513" s="53" t="e">
        <f>Datos!#REF!</f>
        <v>#REF!</v>
      </c>
    </row>
    <row r="1562" spans="3:3" ht="20.100000000000001" customHeight="1" x14ac:dyDescent="0.2">
      <c r="C1562" s="53">
        <v>12</v>
      </c>
    </row>
    <row r="1563" spans="3:3" ht="20.100000000000001" customHeight="1" x14ac:dyDescent="0.2">
      <c r="C1563" s="53" t="e">
        <f>Datos!#REF!</f>
        <v>#REF!</v>
      </c>
    </row>
    <row r="1612" spans="3:3" ht="20.100000000000001" customHeight="1" x14ac:dyDescent="0.2">
      <c r="C1612" s="53">
        <v>12</v>
      </c>
    </row>
    <row r="1613" spans="3:3" ht="20.100000000000001" customHeight="1" x14ac:dyDescent="0.2">
      <c r="C1613" s="53" t="e">
        <f>Datos!#REF!</f>
        <v>#REF!</v>
      </c>
    </row>
    <row r="1662" spans="3:3" ht="20.100000000000001" customHeight="1" x14ac:dyDescent="0.2">
      <c r="C1662" s="53">
        <v>12</v>
      </c>
    </row>
    <row r="1663" spans="3:3" ht="20.100000000000001" customHeight="1" x14ac:dyDescent="0.2">
      <c r="C1663" s="53" t="e">
        <f>Datos!#REF!</f>
        <v>#REF!</v>
      </c>
    </row>
    <row r="1712" spans="3:3" ht="20.100000000000001" customHeight="1" x14ac:dyDescent="0.2">
      <c r="C1712" s="53">
        <v>12</v>
      </c>
    </row>
    <row r="1713" spans="3:3" ht="20.100000000000001" customHeight="1" x14ac:dyDescent="0.2">
      <c r="C1713" s="53" t="e">
        <f>Datos!#REF!</f>
        <v>#REF!</v>
      </c>
    </row>
    <row r="1762" spans="3:3" ht="20.100000000000001" customHeight="1" x14ac:dyDescent="0.2">
      <c r="C1762" s="53">
        <v>12</v>
      </c>
    </row>
    <row r="1763" spans="3:3" ht="20.100000000000001" customHeight="1" x14ac:dyDescent="0.2">
      <c r="C1763" s="53" t="e">
        <f>Datos!#REF!</f>
        <v>#REF!</v>
      </c>
    </row>
    <row r="1812" spans="3:3" ht="20.100000000000001" customHeight="1" x14ac:dyDescent="0.2">
      <c r="C1812" s="53">
        <v>13</v>
      </c>
    </row>
    <row r="1813" spans="3:3" ht="20.100000000000001" customHeight="1" x14ac:dyDescent="0.2">
      <c r="C1813" s="53" t="e">
        <f>Datos!#REF!</f>
        <v>#REF!</v>
      </c>
    </row>
    <row r="1862" spans="3:3" ht="20.100000000000001" customHeight="1" x14ac:dyDescent="0.2">
      <c r="C1862" s="53">
        <v>13</v>
      </c>
    </row>
    <row r="1863" spans="3:3" ht="20.100000000000001" customHeight="1" x14ac:dyDescent="0.2">
      <c r="C1863" s="53" t="e">
        <f>Datos!#REF!</f>
        <v>#REF!</v>
      </c>
    </row>
  </sheetData>
  <mergeCells count="4">
    <mergeCell ref="G31:H31"/>
    <mergeCell ref="A1:D1"/>
    <mergeCell ref="A16:E16"/>
    <mergeCell ref="B30:E30"/>
  </mergeCells>
  <phoneticPr fontId="55" type="noConversion"/>
  <conditionalFormatting sqref="D24:D27">
    <cfRule type="expression" dxfId="143" priority="7" stopIfTrue="1">
      <formula>#REF!=1</formula>
    </cfRule>
  </conditionalFormatting>
  <conditionalFormatting sqref="B34:B216">
    <cfRule type="expression" dxfId="142" priority="8" stopIfTrue="1">
      <formula>#REF!&gt;0</formula>
    </cfRule>
    <cfRule type="expression" dxfId="141" priority="9" stopIfTrue="1">
      <formula>#REF!&gt;0</formula>
    </cfRule>
    <cfRule type="expression" dxfId="140" priority="10" stopIfTrue="1">
      <formula>#REF!&gt;0</formula>
    </cfRule>
  </conditionalFormatting>
  <conditionalFormatting sqref="D24:D27">
    <cfRule type="expression" dxfId="139" priority="11" stopIfTrue="1">
      <formula>#REF!=1</formula>
    </cfRule>
  </conditionalFormatting>
  <conditionalFormatting sqref="C34:C216">
    <cfRule type="expression" dxfId="138" priority="4" stopIfTrue="1">
      <formula>#REF!&gt;0</formula>
    </cfRule>
    <cfRule type="expression" dxfId="137" priority="5" stopIfTrue="1">
      <formula>#REF!&gt;0</formula>
    </cfRule>
    <cfRule type="expression" dxfId="136" priority="6" stopIfTrue="1">
      <formula>#REF!&gt;0</formula>
    </cfRule>
  </conditionalFormatting>
  <pageMargins left="1.1811023622047245" right="0.78740157480314965" top="0.98425196850393704" bottom="0.78740157480314965" header="0.39370078740157483" footer="0.39370078740157483"/>
  <pageSetup paperSize="9" scale="29" fitToHeight="0" orientation="portrait" r:id="rId1"/>
  <headerFooter>
    <oddHeader>&amp;C&amp;G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44" workbookViewId="0">
      <selection activeCell="C536" sqref="C536"/>
    </sheetView>
  </sheetViews>
  <sheetFormatPr baseColWidth="10" defaultColWidth="11.42578125" defaultRowHeight="15" x14ac:dyDescent="0.2"/>
  <cols>
    <col min="1" max="1" width="11.42578125" style="284"/>
    <col min="2" max="2" width="23" style="284" bestFit="1" customWidth="1"/>
    <col min="3" max="3" width="61.7109375" style="284" customWidth="1"/>
    <col min="4" max="4" width="17.28515625" style="284" bestFit="1" customWidth="1"/>
    <col min="5" max="16384" width="11.42578125" style="28"/>
  </cols>
  <sheetData>
    <row r="1" spans="1:19" x14ac:dyDescent="0.2">
      <c r="A1" s="142"/>
      <c r="B1" s="143" t="s">
        <v>985</v>
      </c>
      <c r="C1" s="144" t="s">
        <v>986</v>
      </c>
      <c r="D1" s="145"/>
      <c r="G1" s="146"/>
      <c r="H1" s="147" t="s">
        <v>985</v>
      </c>
      <c r="I1" s="148" t="s">
        <v>986</v>
      </c>
      <c r="J1" s="146"/>
      <c r="K1" s="146"/>
      <c r="L1" s="146"/>
      <c r="M1" s="146"/>
      <c r="N1" s="146"/>
      <c r="O1" s="149"/>
      <c r="P1" s="146"/>
      <c r="Q1" s="146"/>
      <c r="R1" s="146"/>
      <c r="S1" s="146"/>
    </row>
    <row r="2" spans="1:19" ht="15.75" thickBot="1" x14ac:dyDescent="0.25">
      <c r="A2" s="142"/>
      <c r="B2" s="143"/>
      <c r="C2" s="144"/>
      <c r="D2" s="145"/>
      <c r="G2" s="146"/>
      <c r="H2" s="150"/>
      <c r="I2" s="151"/>
      <c r="J2" s="146"/>
      <c r="K2" s="146"/>
      <c r="L2" s="146"/>
      <c r="M2" s="146"/>
      <c r="N2" s="146"/>
      <c r="O2" s="149"/>
      <c r="P2" s="146"/>
      <c r="Q2" s="146"/>
      <c r="R2" s="146"/>
      <c r="S2" s="146"/>
    </row>
    <row r="3" spans="1:19" x14ac:dyDescent="0.2">
      <c r="A3" s="152">
        <v>1</v>
      </c>
      <c r="B3" s="153" t="s">
        <v>987</v>
      </c>
      <c r="C3" s="62" t="s">
        <v>988</v>
      </c>
      <c r="D3" s="145"/>
      <c r="G3" s="146"/>
      <c r="H3" s="154">
        <v>1</v>
      </c>
      <c r="I3" s="155"/>
      <c r="J3" s="156"/>
      <c r="K3" s="157" t="s">
        <v>988</v>
      </c>
      <c r="L3" s="158"/>
      <c r="M3" s="158"/>
      <c r="N3" s="158"/>
      <c r="O3" s="159"/>
      <c r="P3" s="146"/>
      <c r="Q3" s="160">
        <f>H3</f>
        <v>1</v>
      </c>
      <c r="R3" s="151" t="str">
        <f>CONCATENATE("II-",TEXT(Q3,"0000"))</f>
        <v>II-0001</v>
      </c>
      <c r="S3" s="161" t="str">
        <f>K3</f>
        <v xml:space="preserve"> ACERO EN BARRA COLOCADO</v>
      </c>
    </row>
    <row r="4" spans="1:19" x14ac:dyDescent="0.2">
      <c r="A4" s="152"/>
      <c r="B4" s="153"/>
      <c r="C4" s="62"/>
      <c r="D4" s="145"/>
      <c r="G4" s="146"/>
      <c r="H4" s="162"/>
      <c r="I4" s="163" t="s">
        <v>989</v>
      </c>
      <c r="J4" s="164"/>
      <c r="K4" s="165" t="s">
        <v>990</v>
      </c>
      <c r="L4" s="166"/>
      <c r="M4" s="166"/>
      <c r="N4" s="166"/>
      <c r="O4" s="167"/>
      <c r="P4" s="146"/>
      <c r="Q4" s="146"/>
      <c r="R4" s="146"/>
      <c r="S4" s="146"/>
    </row>
    <row r="5" spans="1:19" x14ac:dyDescent="0.2">
      <c r="A5" s="152">
        <v>1</v>
      </c>
      <c r="B5" s="153" t="s">
        <v>991</v>
      </c>
      <c r="C5" s="62" t="s">
        <v>992</v>
      </c>
      <c r="D5" s="151" t="s">
        <v>993</v>
      </c>
      <c r="G5" s="146"/>
      <c r="H5" s="162"/>
      <c r="I5" s="151"/>
      <c r="J5" s="168">
        <v>1</v>
      </c>
      <c r="K5" s="146"/>
      <c r="L5" s="161" t="s">
        <v>994</v>
      </c>
      <c r="M5" s="146"/>
      <c r="N5" s="146"/>
      <c r="O5" s="169" t="s">
        <v>993</v>
      </c>
      <c r="P5" s="146"/>
      <c r="Q5" s="160">
        <v>1</v>
      </c>
      <c r="R5" s="153" t="str">
        <f>CONCATENATE($R$3,".",TEXT(Q5,"0000"))</f>
        <v>II-0001.0001</v>
      </c>
      <c r="S5" s="146" t="str">
        <f t="shared" ref="S5:S12" si="0">CONCATENATE($E$4," ",L5)</f>
        <v xml:space="preserve"> Ø4</v>
      </c>
    </row>
    <row r="6" spans="1:19" x14ac:dyDescent="0.2">
      <c r="A6" s="152">
        <v>2</v>
      </c>
      <c r="B6" s="145" t="s">
        <v>995</v>
      </c>
      <c r="C6" s="62" t="s">
        <v>996</v>
      </c>
      <c r="D6" s="151" t="s">
        <v>993</v>
      </c>
      <c r="G6" s="146"/>
      <c r="H6" s="162"/>
      <c r="I6" s="151"/>
      <c r="J6" s="168">
        <v>2</v>
      </c>
      <c r="K6" s="146"/>
      <c r="L6" s="161" t="s">
        <v>997</v>
      </c>
      <c r="M6" s="146"/>
      <c r="N6" s="146"/>
      <c r="O6" s="169" t="s">
        <v>993</v>
      </c>
      <c r="P6" s="146"/>
      <c r="Q6" s="160">
        <v>2</v>
      </c>
      <c r="R6" s="153" t="str">
        <f t="shared" ref="R6:R30" si="1">CONCATENATE($R$3,".",TEXT(Q6,"0000"))</f>
        <v>II-0001.0002</v>
      </c>
      <c r="S6" s="146" t="str">
        <f t="shared" si="0"/>
        <v xml:space="preserve"> Ø6</v>
      </c>
    </row>
    <row r="7" spans="1:19" x14ac:dyDescent="0.2">
      <c r="A7" s="152">
        <v>3</v>
      </c>
      <c r="B7" s="145" t="s">
        <v>998</v>
      </c>
      <c r="C7" s="62" t="s">
        <v>999</v>
      </c>
      <c r="D7" s="151" t="s">
        <v>993</v>
      </c>
      <c r="G7" s="146"/>
      <c r="H7" s="162"/>
      <c r="I7" s="151"/>
      <c r="J7" s="168">
        <v>3</v>
      </c>
      <c r="K7" s="146"/>
      <c r="L7" s="161" t="s">
        <v>1000</v>
      </c>
      <c r="M7" s="146"/>
      <c r="N7" s="146"/>
      <c r="O7" s="169" t="s">
        <v>993</v>
      </c>
      <c r="P7" s="146"/>
      <c r="Q7" s="160">
        <v>3</v>
      </c>
      <c r="R7" s="153" t="str">
        <f t="shared" si="1"/>
        <v>II-0001.0003</v>
      </c>
      <c r="S7" s="146" t="str">
        <f t="shared" si="0"/>
        <v xml:space="preserve"> Ø8</v>
      </c>
    </row>
    <row r="8" spans="1:19" x14ac:dyDescent="0.2">
      <c r="A8" s="152">
        <v>4</v>
      </c>
      <c r="B8" s="145" t="s">
        <v>1001</v>
      </c>
      <c r="C8" s="170" t="s">
        <v>1002</v>
      </c>
      <c r="D8" s="151" t="s">
        <v>993</v>
      </c>
      <c r="G8" s="146"/>
      <c r="H8" s="162"/>
      <c r="I8" s="151"/>
      <c r="J8" s="168">
        <v>4</v>
      </c>
      <c r="K8" s="146"/>
      <c r="L8" s="161" t="s">
        <v>1003</v>
      </c>
      <c r="M8" s="146"/>
      <c r="N8" s="146"/>
      <c r="O8" s="169" t="s">
        <v>993</v>
      </c>
      <c r="P8" s="146"/>
      <c r="Q8" s="160">
        <v>4</v>
      </c>
      <c r="R8" s="153" t="str">
        <f t="shared" si="1"/>
        <v>II-0001.0004</v>
      </c>
      <c r="S8" s="146" t="str">
        <f t="shared" si="0"/>
        <v xml:space="preserve"> Ø10</v>
      </c>
    </row>
    <row r="9" spans="1:19" x14ac:dyDescent="0.2">
      <c r="A9" s="152">
        <v>5</v>
      </c>
      <c r="B9" s="153" t="s">
        <v>1004</v>
      </c>
      <c r="C9" s="62" t="s">
        <v>1005</v>
      </c>
      <c r="D9" s="151" t="s">
        <v>993</v>
      </c>
      <c r="G9" s="146"/>
      <c r="H9" s="162"/>
      <c r="I9" s="151"/>
      <c r="J9" s="168">
        <v>5</v>
      </c>
      <c r="K9" s="146"/>
      <c r="L9" s="161" t="s">
        <v>1006</v>
      </c>
      <c r="M9" s="146"/>
      <c r="N9" s="146"/>
      <c r="O9" s="169" t="s">
        <v>993</v>
      </c>
      <c r="P9" s="146"/>
      <c r="Q9" s="160">
        <v>5</v>
      </c>
      <c r="R9" s="153" t="str">
        <f t="shared" si="1"/>
        <v>II-0001.0005</v>
      </c>
      <c r="S9" s="146" t="str">
        <f t="shared" si="0"/>
        <v xml:space="preserve"> Ø12</v>
      </c>
    </row>
    <row r="10" spans="1:19" x14ac:dyDescent="0.2">
      <c r="A10" s="152">
        <v>6</v>
      </c>
      <c r="B10" s="153" t="s">
        <v>1007</v>
      </c>
      <c r="C10" s="62" t="s">
        <v>1008</v>
      </c>
      <c r="D10" s="151" t="s">
        <v>993</v>
      </c>
      <c r="G10" s="146"/>
      <c r="H10" s="162"/>
      <c r="I10" s="151"/>
      <c r="J10" s="168">
        <v>6</v>
      </c>
      <c r="K10" s="146"/>
      <c r="L10" s="161" t="s">
        <v>1009</v>
      </c>
      <c r="M10" s="146"/>
      <c r="N10" s="146"/>
      <c r="O10" s="169" t="s">
        <v>993</v>
      </c>
      <c r="P10" s="146"/>
      <c r="Q10" s="160">
        <v>6</v>
      </c>
      <c r="R10" s="153" t="str">
        <f t="shared" si="1"/>
        <v>II-0001.0006</v>
      </c>
      <c r="S10" s="146" t="str">
        <f t="shared" si="0"/>
        <v xml:space="preserve"> Ø16</v>
      </c>
    </row>
    <row r="11" spans="1:19" x14ac:dyDescent="0.2">
      <c r="A11" s="152">
        <v>7</v>
      </c>
      <c r="B11" s="153" t="s">
        <v>1010</v>
      </c>
      <c r="C11" s="62" t="s">
        <v>1011</v>
      </c>
      <c r="D11" s="151" t="s">
        <v>993</v>
      </c>
      <c r="G11" s="146"/>
      <c r="H11" s="162"/>
      <c r="I11" s="151"/>
      <c r="J11" s="168">
        <v>7</v>
      </c>
      <c r="K11" s="146"/>
      <c r="L11" s="161" t="s">
        <v>1012</v>
      </c>
      <c r="M11" s="146"/>
      <c r="N11" s="146"/>
      <c r="O11" s="169" t="s">
        <v>993</v>
      </c>
      <c r="P11" s="146"/>
      <c r="Q11" s="160">
        <v>7</v>
      </c>
      <c r="R11" s="153" t="str">
        <f t="shared" si="1"/>
        <v>II-0001.0007</v>
      </c>
      <c r="S11" s="146" t="str">
        <f t="shared" si="0"/>
        <v xml:space="preserve"> Ø18</v>
      </c>
    </row>
    <row r="12" spans="1:19" x14ac:dyDescent="0.2">
      <c r="A12" s="152">
        <v>8</v>
      </c>
      <c r="B12" s="145" t="s">
        <v>1013</v>
      </c>
      <c r="C12" s="62" t="s">
        <v>1014</v>
      </c>
      <c r="D12" s="151" t="s">
        <v>993</v>
      </c>
      <c r="G12" s="146"/>
      <c r="H12" s="162"/>
      <c r="I12" s="151"/>
      <c r="J12" s="171">
        <v>8</v>
      </c>
      <c r="K12" s="172"/>
      <c r="L12" s="173" t="s">
        <v>1015</v>
      </c>
      <c r="M12" s="172"/>
      <c r="N12" s="172"/>
      <c r="O12" s="174" t="s">
        <v>993</v>
      </c>
      <c r="P12" s="146"/>
      <c r="Q12" s="160">
        <v>8</v>
      </c>
      <c r="R12" s="153" t="str">
        <f t="shared" si="1"/>
        <v>II-0001.0008</v>
      </c>
      <c r="S12" s="146" t="str">
        <f t="shared" si="0"/>
        <v xml:space="preserve"> Ø20</v>
      </c>
    </row>
    <row r="13" spans="1:19" x14ac:dyDescent="0.2">
      <c r="A13" s="152"/>
      <c r="B13" s="145"/>
      <c r="C13" s="62"/>
      <c r="D13" s="151"/>
      <c r="G13" s="146"/>
      <c r="H13" s="162"/>
      <c r="I13" s="163" t="s">
        <v>1016</v>
      </c>
      <c r="J13" s="151"/>
      <c r="K13" s="175" t="s">
        <v>1017</v>
      </c>
      <c r="L13" s="166"/>
      <c r="M13" s="166"/>
      <c r="N13" s="166"/>
      <c r="O13" s="167"/>
      <c r="P13" s="146"/>
      <c r="Q13" s="146"/>
      <c r="R13" s="146"/>
      <c r="S13" s="146"/>
    </row>
    <row r="14" spans="1:19" x14ac:dyDescent="0.2">
      <c r="A14" s="152">
        <v>20</v>
      </c>
      <c r="B14" s="145" t="s">
        <v>1018</v>
      </c>
      <c r="C14" s="170" t="s">
        <v>992</v>
      </c>
      <c r="D14" s="151" t="s">
        <v>993</v>
      </c>
      <c r="G14" s="146"/>
      <c r="H14" s="162"/>
      <c r="I14" s="151"/>
      <c r="J14" s="168">
        <v>1</v>
      </c>
      <c r="K14" s="146"/>
      <c r="L14" s="161" t="s">
        <v>994</v>
      </c>
      <c r="M14" s="146"/>
      <c r="N14" s="146"/>
      <c r="O14" s="169" t="s">
        <v>993</v>
      </c>
      <c r="P14" s="146"/>
      <c r="Q14" s="160">
        <v>20</v>
      </c>
      <c r="R14" s="153" t="str">
        <f t="shared" si="1"/>
        <v>II-0001.0020</v>
      </c>
      <c r="S14" s="146" t="str">
        <f t="shared" ref="S14:S21" si="2">CONCATENATE($E$13," ",L14)</f>
        <v xml:space="preserve"> Ø4</v>
      </c>
    </row>
    <row r="15" spans="1:19" x14ac:dyDescent="0.2">
      <c r="A15" s="152">
        <v>21</v>
      </c>
      <c r="B15" s="153" t="s">
        <v>1019</v>
      </c>
      <c r="C15" s="62" t="s">
        <v>996</v>
      </c>
      <c r="D15" s="151" t="s">
        <v>993</v>
      </c>
      <c r="G15" s="146"/>
      <c r="H15" s="162"/>
      <c r="I15" s="151"/>
      <c r="J15" s="168">
        <v>2</v>
      </c>
      <c r="K15" s="146"/>
      <c r="L15" s="161" t="s">
        <v>997</v>
      </c>
      <c r="M15" s="146"/>
      <c r="N15" s="146"/>
      <c r="O15" s="169" t="s">
        <v>993</v>
      </c>
      <c r="P15" s="146"/>
      <c r="Q15" s="160">
        <v>21</v>
      </c>
      <c r="R15" s="153" t="str">
        <f t="shared" si="1"/>
        <v>II-0001.0021</v>
      </c>
      <c r="S15" s="146" t="str">
        <f t="shared" si="2"/>
        <v xml:space="preserve"> Ø6</v>
      </c>
    </row>
    <row r="16" spans="1:19" x14ac:dyDescent="0.2">
      <c r="A16" s="152">
        <v>22</v>
      </c>
      <c r="B16" s="153" t="s">
        <v>1020</v>
      </c>
      <c r="C16" s="62" t="s">
        <v>999</v>
      </c>
      <c r="D16" s="151" t="s">
        <v>993</v>
      </c>
      <c r="G16" s="146"/>
      <c r="H16" s="162"/>
      <c r="I16" s="151"/>
      <c r="J16" s="168">
        <v>3</v>
      </c>
      <c r="K16" s="146"/>
      <c r="L16" s="161" t="s">
        <v>1000</v>
      </c>
      <c r="M16" s="146"/>
      <c r="N16" s="146"/>
      <c r="O16" s="169" t="s">
        <v>993</v>
      </c>
      <c r="P16" s="146"/>
      <c r="Q16" s="160">
        <v>22</v>
      </c>
      <c r="R16" s="153" t="str">
        <f t="shared" si="1"/>
        <v>II-0001.0022</v>
      </c>
      <c r="S16" s="146" t="str">
        <f t="shared" si="2"/>
        <v xml:space="preserve"> Ø8</v>
      </c>
    </row>
    <row r="17" spans="1:19" x14ac:dyDescent="0.2">
      <c r="A17" s="152">
        <v>23</v>
      </c>
      <c r="B17" s="153" t="s">
        <v>1021</v>
      </c>
      <c r="C17" s="62" t="s">
        <v>1002</v>
      </c>
      <c r="D17" s="151" t="s">
        <v>993</v>
      </c>
      <c r="G17" s="146"/>
      <c r="H17" s="162"/>
      <c r="I17" s="151"/>
      <c r="J17" s="168">
        <v>4</v>
      </c>
      <c r="K17" s="146"/>
      <c r="L17" s="161" t="s">
        <v>1003</v>
      </c>
      <c r="M17" s="146"/>
      <c r="N17" s="146"/>
      <c r="O17" s="169" t="s">
        <v>993</v>
      </c>
      <c r="P17" s="146"/>
      <c r="Q17" s="160">
        <v>23</v>
      </c>
      <c r="R17" s="153" t="str">
        <f t="shared" si="1"/>
        <v>II-0001.0023</v>
      </c>
      <c r="S17" s="146" t="str">
        <f t="shared" si="2"/>
        <v xml:space="preserve"> Ø10</v>
      </c>
    </row>
    <row r="18" spans="1:19" x14ac:dyDescent="0.2">
      <c r="A18" s="152">
        <v>24</v>
      </c>
      <c r="B18" s="153" t="s">
        <v>1022</v>
      </c>
      <c r="C18" s="62" t="s">
        <v>1005</v>
      </c>
      <c r="D18" s="151" t="s">
        <v>993</v>
      </c>
      <c r="G18" s="146"/>
      <c r="H18" s="162"/>
      <c r="I18" s="151"/>
      <c r="J18" s="168">
        <v>5</v>
      </c>
      <c r="K18" s="146"/>
      <c r="L18" s="161" t="s">
        <v>1006</v>
      </c>
      <c r="M18" s="146"/>
      <c r="N18" s="146"/>
      <c r="O18" s="169" t="s">
        <v>993</v>
      </c>
      <c r="P18" s="146"/>
      <c r="Q18" s="160">
        <v>24</v>
      </c>
      <c r="R18" s="153" t="str">
        <f t="shared" si="1"/>
        <v>II-0001.0024</v>
      </c>
      <c r="S18" s="146" t="str">
        <f t="shared" si="2"/>
        <v xml:space="preserve"> Ø12</v>
      </c>
    </row>
    <row r="19" spans="1:19" x14ac:dyDescent="0.2">
      <c r="A19" s="152">
        <v>25</v>
      </c>
      <c r="B19" s="145" t="s">
        <v>1023</v>
      </c>
      <c r="C19" s="62" t="s">
        <v>1008</v>
      </c>
      <c r="D19" s="151" t="s">
        <v>993</v>
      </c>
      <c r="G19" s="146"/>
      <c r="H19" s="162"/>
      <c r="I19" s="151"/>
      <c r="J19" s="168">
        <v>6</v>
      </c>
      <c r="K19" s="146"/>
      <c r="L19" s="161" t="s">
        <v>1009</v>
      </c>
      <c r="M19" s="146"/>
      <c r="N19" s="146"/>
      <c r="O19" s="169" t="s">
        <v>993</v>
      </c>
      <c r="P19" s="146"/>
      <c r="Q19" s="160">
        <v>25</v>
      </c>
      <c r="R19" s="153" t="str">
        <f t="shared" si="1"/>
        <v>II-0001.0025</v>
      </c>
      <c r="S19" s="146" t="str">
        <f t="shared" si="2"/>
        <v xml:space="preserve"> Ø16</v>
      </c>
    </row>
    <row r="20" spans="1:19" x14ac:dyDescent="0.2">
      <c r="A20" s="152">
        <v>26</v>
      </c>
      <c r="B20" s="145" t="s">
        <v>1024</v>
      </c>
      <c r="C20" s="62" t="s">
        <v>1011</v>
      </c>
      <c r="D20" s="151" t="s">
        <v>993</v>
      </c>
      <c r="G20" s="146"/>
      <c r="H20" s="162"/>
      <c r="I20" s="151"/>
      <c r="J20" s="168">
        <v>7</v>
      </c>
      <c r="K20" s="146"/>
      <c r="L20" s="161" t="s">
        <v>1012</v>
      </c>
      <c r="M20" s="146"/>
      <c r="N20" s="146"/>
      <c r="O20" s="169" t="s">
        <v>993</v>
      </c>
      <c r="P20" s="146"/>
      <c r="Q20" s="160">
        <v>26</v>
      </c>
      <c r="R20" s="153" t="str">
        <f t="shared" si="1"/>
        <v>II-0001.0026</v>
      </c>
      <c r="S20" s="146" t="str">
        <f t="shared" si="2"/>
        <v xml:space="preserve"> Ø18</v>
      </c>
    </row>
    <row r="21" spans="1:19" x14ac:dyDescent="0.2">
      <c r="A21" s="152">
        <v>27</v>
      </c>
      <c r="B21" s="145" t="s">
        <v>1025</v>
      </c>
      <c r="C21" s="170" t="s">
        <v>1014</v>
      </c>
      <c r="D21" s="151" t="s">
        <v>993</v>
      </c>
      <c r="G21" s="146"/>
      <c r="H21" s="162"/>
      <c r="I21" s="176"/>
      <c r="J21" s="171">
        <v>8</v>
      </c>
      <c r="K21" s="172"/>
      <c r="L21" s="173" t="s">
        <v>1015</v>
      </c>
      <c r="M21" s="172"/>
      <c r="N21" s="172"/>
      <c r="O21" s="174" t="s">
        <v>993</v>
      </c>
      <c r="P21" s="146"/>
      <c r="Q21" s="160">
        <v>27</v>
      </c>
      <c r="R21" s="153" t="str">
        <f t="shared" si="1"/>
        <v>II-0001.0027</v>
      </c>
      <c r="S21" s="146" t="str">
        <f t="shared" si="2"/>
        <v xml:space="preserve"> Ø20</v>
      </c>
    </row>
    <row r="22" spans="1:19" x14ac:dyDescent="0.2">
      <c r="A22" s="152"/>
      <c r="B22" s="153"/>
      <c r="C22" s="62"/>
      <c r="D22" s="151"/>
      <c r="G22" s="146"/>
      <c r="H22" s="162"/>
      <c r="I22" s="163" t="s">
        <v>1026</v>
      </c>
      <c r="J22" s="151"/>
      <c r="K22" s="175" t="s">
        <v>1027</v>
      </c>
      <c r="L22" s="166"/>
      <c r="M22" s="166"/>
      <c r="N22" s="166"/>
      <c r="O22" s="167"/>
      <c r="P22" s="146"/>
      <c r="Q22" s="146"/>
      <c r="R22" s="146"/>
      <c r="S22" s="146"/>
    </row>
    <row r="23" spans="1:19" x14ac:dyDescent="0.2">
      <c r="A23" s="152">
        <v>30</v>
      </c>
      <c r="B23" s="153" t="s">
        <v>1028</v>
      </c>
      <c r="C23" s="62" t="s">
        <v>992</v>
      </c>
      <c r="D23" s="151" t="s">
        <v>993</v>
      </c>
      <c r="G23" s="146"/>
      <c r="H23" s="162"/>
      <c r="I23" s="151"/>
      <c r="J23" s="168">
        <v>1</v>
      </c>
      <c r="K23" s="146"/>
      <c r="L23" s="161" t="s">
        <v>994</v>
      </c>
      <c r="M23" s="146"/>
      <c r="N23" s="146"/>
      <c r="O23" s="169" t="s">
        <v>993</v>
      </c>
      <c r="P23" s="146"/>
      <c r="Q23" s="160">
        <v>30</v>
      </c>
      <c r="R23" s="153" t="str">
        <f t="shared" si="1"/>
        <v>II-0001.0030</v>
      </c>
      <c r="S23" s="146" t="str">
        <f>CONCATENATE($E$22," ",L23)</f>
        <v xml:space="preserve"> Ø4</v>
      </c>
    </row>
    <row r="24" spans="1:19" x14ac:dyDescent="0.2">
      <c r="A24" s="152">
        <v>31</v>
      </c>
      <c r="B24" s="153" t="s">
        <v>1029</v>
      </c>
      <c r="C24" s="62" t="s">
        <v>996</v>
      </c>
      <c r="D24" s="151" t="s">
        <v>993</v>
      </c>
      <c r="G24" s="146"/>
      <c r="H24" s="162"/>
      <c r="I24" s="151"/>
      <c r="J24" s="168">
        <v>2</v>
      </c>
      <c r="K24" s="146"/>
      <c r="L24" s="161" t="s">
        <v>997</v>
      </c>
      <c r="M24" s="146"/>
      <c r="N24" s="146"/>
      <c r="O24" s="169" t="s">
        <v>993</v>
      </c>
      <c r="P24" s="146"/>
      <c r="Q24" s="160">
        <v>31</v>
      </c>
      <c r="R24" s="153" t="str">
        <f t="shared" si="1"/>
        <v>II-0001.0031</v>
      </c>
      <c r="S24" s="146" t="str">
        <f t="shared" ref="S24:S30" si="3">CONCATENATE($E$22," ",L24)</f>
        <v xml:space="preserve"> Ø6</v>
      </c>
    </row>
    <row r="25" spans="1:19" x14ac:dyDescent="0.2">
      <c r="A25" s="152">
        <v>32</v>
      </c>
      <c r="B25" s="153" t="s">
        <v>1030</v>
      </c>
      <c r="C25" s="62" t="s">
        <v>999</v>
      </c>
      <c r="D25" s="151" t="s">
        <v>993</v>
      </c>
      <c r="G25" s="146"/>
      <c r="H25" s="162"/>
      <c r="I25" s="151"/>
      <c r="J25" s="168">
        <v>3</v>
      </c>
      <c r="K25" s="146"/>
      <c r="L25" s="161" t="s">
        <v>1000</v>
      </c>
      <c r="M25" s="146"/>
      <c r="N25" s="146"/>
      <c r="O25" s="169" t="s">
        <v>993</v>
      </c>
      <c r="P25" s="146"/>
      <c r="Q25" s="160">
        <v>32</v>
      </c>
      <c r="R25" s="153" t="str">
        <f t="shared" si="1"/>
        <v>II-0001.0032</v>
      </c>
      <c r="S25" s="146" t="str">
        <f t="shared" si="3"/>
        <v xml:space="preserve"> Ø8</v>
      </c>
    </row>
    <row r="26" spans="1:19" x14ac:dyDescent="0.2">
      <c r="A26" s="152">
        <v>33</v>
      </c>
      <c r="B26" s="153" t="s">
        <v>1031</v>
      </c>
      <c r="C26" s="62" t="s">
        <v>1002</v>
      </c>
      <c r="D26" s="151" t="s">
        <v>993</v>
      </c>
      <c r="G26" s="146"/>
      <c r="H26" s="162"/>
      <c r="I26" s="151"/>
      <c r="J26" s="168">
        <v>4</v>
      </c>
      <c r="K26" s="146"/>
      <c r="L26" s="161" t="s">
        <v>1003</v>
      </c>
      <c r="M26" s="146"/>
      <c r="N26" s="146"/>
      <c r="O26" s="169" t="s">
        <v>993</v>
      </c>
      <c r="P26" s="146"/>
      <c r="Q26" s="160">
        <v>33</v>
      </c>
      <c r="R26" s="153" t="str">
        <f t="shared" si="1"/>
        <v>II-0001.0033</v>
      </c>
      <c r="S26" s="146" t="str">
        <f t="shared" si="3"/>
        <v xml:space="preserve"> Ø10</v>
      </c>
    </row>
    <row r="27" spans="1:19" x14ac:dyDescent="0.2">
      <c r="A27" s="152">
        <v>34</v>
      </c>
      <c r="B27" s="153" t="s">
        <v>1032</v>
      </c>
      <c r="C27" s="62" t="s">
        <v>1005</v>
      </c>
      <c r="D27" s="151" t="s">
        <v>993</v>
      </c>
      <c r="G27" s="146"/>
      <c r="H27" s="162"/>
      <c r="I27" s="151"/>
      <c r="J27" s="168">
        <v>5</v>
      </c>
      <c r="K27" s="146"/>
      <c r="L27" s="161" t="s">
        <v>1006</v>
      </c>
      <c r="M27" s="146"/>
      <c r="N27" s="146"/>
      <c r="O27" s="169" t="s">
        <v>993</v>
      </c>
      <c r="P27" s="146"/>
      <c r="Q27" s="160">
        <v>34</v>
      </c>
      <c r="R27" s="153" t="str">
        <f t="shared" si="1"/>
        <v>II-0001.0034</v>
      </c>
      <c r="S27" s="146" t="str">
        <f t="shared" si="3"/>
        <v xml:space="preserve"> Ø12</v>
      </c>
    </row>
    <row r="28" spans="1:19" x14ac:dyDescent="0.2">
      <c r="A28" s="152">
        <v>35</v>
      </c>
      <c r="B28" s="153" t="s">
        <v>1033</v>
      </c>
      <c r="C28" s="62" t="s">
        <v>1008</v>
      </c>
      <c r="D28" s="151" t="s">
        <v>993</v>
      </c>
      <c r="G28" s="146"/>
      <c r="H28" s="162"/>
      <c r="I28" s="151"/>
      <c r="J28" s="168">
        <v>6</v>
      </c>
      <c r="K28" s="146"/>
      <c r="L28" s="161" t="s">
        <v>1009</v>
      </c>
      <c r="M28" s="146"/>
      <c r="N28" s="146"/>
      <c r="O28" s="169" t="s">
        <v>993</v>
      </c>
      <c r="P28" s="146"/>
      <c r="Q28" s="160">
        <v>35</v>
      </c>
      <c r="R28" s="153" t="str">
        <f t="shared" si="1"/>
        <v>II-0001.0035</v>
      </c>
      <c r="S28" s="146" t="str">
        <f t="shared" si="3"/>
        <v xml:space="preserve"> Ø16</v>
      </c>
    </row>
    <row r="29" spans="1:19" x14ac:dyDescent="0.2">
      <c r="A29" s="152">
        <v>36</v>
      </c>
      <c r="B29" s="153" t="s">
        <v>1034</v>
      </c>
      <c r="C29" s="62" t="s">
        <v>1011</v>
      </c>
      <c r="D29" s="151" t="s">
        <v>993</v>
      </c>
      <c r="G29" s="146"/>
      <c r="H29" s="162"/>
      <c r="I29" s="151"/>
      <c r="J29" s="168">
        <v>7</v>
      </c>
      <c r="K29" s="146"/>
      <c r="L29" s="161" t="s">
        <v>1012</v>
      </c>
      <c r="M29" s="146"/>
      <c r="N29" s="146"/>
      <c r="O29" s="169" t="s">
        <v>993</v>
      </c>
      <c r="P29" s="146"/>
      <c r="Q29" s="160">
        <v>36</v>
      </c>
      <c r="R29" s="153" t="str">
        <f t="shared" si="1"/>
        <v>II-0001.0036</v>
      </c>
      <c r="S29" s="146" t="str">
        <f t="shared" si="3"/>
        <v xml:space="preserve"> Ø18</v>
      </c>
    </row>
    <row r="30" spans="1:19" ht="15.75" thickBot="1" x14ac:dyDescent="0.25">
      <c r="A30" s="152">
        <v>37</v>
      </c>
      <c r="B30" s="153" t="s">
        <v>1035</v>
      </c>
      <c r="C30" s="62" t="s">
        <v>1014</v>
      </c>
      <c r="D30" s="151" t="s">
        <v>993</v>
      </c>
      <c r="G30" s="146"/>
      <c r="H30" s="177"/>
      <c r="I30" s="178"/>
      <c r="J30" s="179">
        <v>8</v>
      </c>
      <c r="K30" s="180"/>
      <c r="L30" s="181" t="s">
        <v>1015</v>
      </c>
      <c r="M30" s="180"/>
      <c r="N30" s="180"/>
      <c r="O30" s="182" t="s">
        <v>993</v>
      </c>
      <c r="P30" s="146"/>
      <c r="Q30" s="160">
        <v>37</v>
      </c>
      <c r="R30" s="153" t="str">
        <f t="shared" si="1"/>
        <v>II-0001.0037</v>
      </c>
      <c r="S30" s="146" t="str">
        <f t="shared" si="3"/>
        <v xml:space="preserve"> Ø20</v>
      </c>
    </row>
    <row r="31" spans="1:19" ht="16.5" thickTop="1" thickBot="1" x14ac:dyDescent="0.25">
      <c r="A31" s="152"/>
      <c r="B31" s="153"/>
      <c r="C31" s="62"/>
      <c r="D31" s="151"/>
      <c r="G31" s="146"/>
      <c r="H31" s="162"/>
      <c r="I31" s="151"/>
      <c r="J31" s="151"/>
      <c r="K31" s="146"/>
      <c r="L31" s="161"/>
      <c r="M31" s="146"/>
      <c r="N31" s="146"/>
      <c r="O31" s="183"/>
      <c r="P31" s="146"/>
      <c r="Q31" s="160"/>
      <c r="R31" s="153"/>
      <c r="S31" s="146"/>
    </row>
    <row r="32" spans="1:19" ht="15.75" thickTop="1" x14ac:dyDescent="0.2">
      <c r="A32" s="152">
        <v>2</v>
      </c>
      <c r="B32" s="153" t="s">
        <v>1036</v>
      </c>
      <c r="C32" s="62" t="s">
        <v>1037</v>
      </c>
      <c r="D32" s="151"/>
      <c r="G32" s="146"/>
      <c r="H32" s="184">
        <v>2</v>
      </c>
      <c r="I32" s="185"/>
      <c r="J32" s="186"/>
      <c r="K32" s="792" t="s">
        <v>1037</v>
      </c>
      <c r="L32" s="792"/>
      <c r="M32" s="792"/>
      <c r="N32" s="792"/>
      <c r="O32" s="187"/>
      <c r="P32" s="146"/>
      <c r="Q32" s="160">
        <f>H32</f>
        <v>2</v>
      </c>
      <c r="R32" s="151" t="str">
        <f>CONCATENATE("II-",TEXT(Q32,"0000"))</f>
        <v>II-0002</v>
      </c>
      <c r="S32" s="161" t="str">
        <f>K32</f>
        <v>ABOVEDAMIENTO  REACONDICIONAMIENTO</v>
      </c>
    </row>
    <row r="33" spans="1:19" ht="15.75" thickBot="1" x14ac:dyDescent="0.25">
      <c r="A33" s="152">
        <v>1</v>
      </c>
      <c r="B33" s="153" t="s">
        <v>1038</v>
      </c>
      <c r="C33" s="62" t="s">
        <v>1039</v>
      </c>
      <c r="D33" s="151" t="s">
        <v>6</v>
      </c>
      <c r="G33" s="146"/>
      <c r="H33" s="188"/>
      <c r="I33" s="189" t="s">
        <v>989</v>
      </c>
      <c r="J33" s="190"/>
      <c r="K33" s="191" t="s">
        <v>1040</v>
      </c>
      <c r="L33" s="192"/>
      <c r="M33" s="192"/>
      <c r="N33" s="192"/>
      <c r="O33" s="193" t="s">
        <v>6</v>
      </c>
      <c r="P33" s="146"/>
      <c r="Q33" s="160">
        <v>1</v>
      </c>
      <c r="R33" s="153" t="str">
        <f>CONCATENATE($R$32,".",TEXT(Q33,"0000"))</f>
        <v>II-0002.0001</v>
      </c>
      <c r="S33" s="146" t="str">
        <f>CONCATENATE($K$33," ",L33)</f>
        <v xml:space="preserve">V-384 </v>
      </c>
    </row>
    <row r="34" spans="1:19" ht="16.5" thickTop="1" thickBot="1" x14ac:dyDescent="0.25">
      <c r="A34" s="152"/>
      <c r="B34" s="145"/>
      <c r="C34" s="62"/>
      <c r="D34" s="151"/>
      <c r="G34" s="146"/>
      <c r="H34" s="162"/>
      <c r="I34" s="151"/>
      <c r="J34" s="151"/>
      <c r="K34" s="194"/>
      <c r="L34" s="146"/>
      <c r="M34" s="146"/>
      <c r="N34" s="146"/>
      <c r="O34" s="183"/>
      <c r="P34" s="146"/>
      <c r="Q34" s="146"/>
      <c r="R34" s="146"/>
      <c r="S34" s="146"/>
    </row>
    <row r="35" spans="1:19" ht="15.75" thickTop="1" x14ac:dyDescent="0.2">
      <c r="A35" s="152">
        <v>3</v>
      </c>
      <c r="B35" s="145" t="s">
        <v>1041</v>
      </c>
      <c r="C35" s="62" t="s">
        <v>1042</v>
      </c>
      <c r="D35" s="151"/>
      <c r="G35" s="146"/>
      <c r="H35" s="184">
        <v>3</v>
      </c>
      <c r="I35" s="186"/>
      <c r="J35" s="186"/>
      <c r="K35" s="195" t="s">
        <v>1042</v>
      </c>
      <c r="L35" s="196"/>
      <c r="M35" s="196"/>
      <c r="N35" s="196"/>
      <c r="O35" s="187"/>
      <c r="P35" s="146"/>
      <c r="Q35" s="160">
        <f>H35</f>
        <v>3</v>
      </c>
      <c r="R35" s="151" t="str">
        <f>CONCATENATE("II-",TEXT(Q35,"0000"))</f>
        <v>II-0003</v>
      </c>
      <c r="S35" s="161" t="str">
        <f>K35</f>
        <v>ALAMBRADO</v>
      </c>
    </row>
    <row r="36" spans="1:19" x14ac:dyDescent="0.2">
      <c r="A36" s="152"/>
      <c r="B36" s="145"/>
      <c r="C36" s="170"/>
      <c r="D36" s="151"/>
      <c r="G36" s="146"/>
      <c r="H36" s="197"/>
      <c r="I36" s="163" t="s">
        <v>989</v>
      </c>
      <c r="J36" s="164"/>
      <c r="K36" s="194" t="s">
        <v>1043</v>
      </c>
      <c r="L36" s="146"/>
      <c r="M36" s="146"/>
      <c r="N36" s="146"/>
      <c r="O36" s="198"/>
      <c r="P36" s="146"/>
      <c r="Q36" s="146"/>
      <c r="R36" s="146"/>
      <c r="S36" s="146"/>
    </row>
    <row r="37" spans="1:19" x14ac:dyDescent="0.2">
      <c r="A37" s="152">
        <v>1</v>
      </c>
      <c r="B37" s="153" t="s">
        <v>1044</v>
      </c>
      <c r="C37" s="62" t="s">
        <v>1045</v>
      </c>
      <c r="D37" s="151" t="s">
        <v>965</v>
      </c>
      <c r="G37" s="146"/>
      <c r="H37" s="162"/>
      <c r="I37" s="151"/>
      <c r="J37" s="168">
        <v>1</v>
      </c>
      <c r="K37" s="146"/>
      <c r="L37" s="194" t="s">
        <v>989</v>
      </c>
      <c r="M37" s="199"/>
      <c r="N37" s="146"/>
      <c r="O37" s="183" t="s">
        <v>965</v>
      </c>
      <c r="P37" s="146"/>
      <c r="Q37" s="160">
        <v>1</v>
      </c>
      <c r="R37" s="153" t="str">
        <f>CONCATENATE($R$35,".",TEXT(Q37,"0000"))</f>
        <v>II-0003.0001</v>
      </c>
      <c r="S37" s="146" t="str">
        <f>CONCATENATE($K$36," - TIPO ",L37)</f>
        <v>H-2840-I - TIPO A</v>
      </c>
    </row>
    <row r="38" spans="1:19" x14ac:dyDescent="0.2">
      <c r="A38" s="152">
        <v>2</v>
      </c>
      <c r="B38" s="153" t="s">
        <v>1046</v>
      </c>
      <c r="C38" s="62" t="s">
        <v>1047</v>
      </c>
      <c r="D38" s="151" t="s">
        <v>965</v>
      </c>
      <c r="G38" s="146"/>
      <c r="H38" s="162"/>
      <c r="I38" s="151"/>
      <c r="J38" s="168">
        <v>2</v>
      </c>
      <c r="K38" s="146"/>
      <c r="L38" s="194" t="s">
        <v>1016</v>
      </c>
      <c r="M38" s="199"/>
      <c r="N38" s="146"/>
      <c r="O38" s="183" t="s">
        <v>965</v>
      </c>
      <c r="P38" s="146"/>
      <c r="Q38" s="160">
        <v>2</v>
      </c>
      <c r="R38" s="153" t="str">
        <f t="shared" ref="R38:R42" si="4">CONCATENATE($R$35,".",TEXT(Q38,"0000"))</f>
        <v>II-0003.0002</v>
      </c>
      <c r="S38" s="146" t="str">
        <f t="shared" ref="S38:S40" si="5">CONCATENATE($K$36," - TIPO ",L38)</f>
        <v>H-2840-I - TIPO B</v>
      </c>
    </row>
    <row r="39" spans="1:19" x14ac:dyDescent="0.2">
      <c r="A39" s="152">
        <v>3</v>
      </c>
      <c r="B39" s="153" t="s">
        <v>1048</v>
      </c>
      <c r="C39" s="62" t="s">
        <v>1049</v>
      </c>
      <c r="D39" s="151" t="s">
        <v>965</v>
      </c>
      <c r="G39" s="146"/>
      <c r="H39" s="162"/>
      <c r="I39" s="151"/>
      <c r="J39" s="168">
        <v>3</v>
      </c>
      <c r="K39" s="146"/>
      <c r="L39" s="194" t="s">
        <v>1026</v>
      </c>
      <c r="M39" s="199"/>
      <c r="N39" s="146"/>
      <c r="O39" s="183" t="s">
        <v>965</v>
      </c>
      <c r="P39" s="146"/>
      <c r="Q39" s="160">
        <v>3</v>
      </c>
      <c r="R39" s="153" t="str">
        <f t="shared" si="4"/>
        <v>II-0003.0003</v>
      </c>
      <c r="S39" s="146" t="str">
        <f t="shared" si="5"/>
        <v>H-2840-I - TIPO C</v>
      </c>
    </row>
    <row r="40" spans="1:19" x14ac:dyDescent="0.2">
      <c r="A40" s="152">
        <v>4</v>
      </c>
      <c r="B40" s="145" t="s">
        <v>1050</v>
      </c>
      <c r="C40" s="62" t="s">
        <v>1051</v>
      </c>
      <c r="D40" s="151" t="s">
        <v>965</v>
      </c>
      <c r="G40" s="146"/>
      <c r="H40" s="162"/>
      <c r="I40" s="176"/>
      <c r="J40" s="171">
        <v>4</v>
      </c>
      <c r="K40" s="172"/>
      <c r="L40" s="200" t="s">
        <v>1052</v>
      </c>
      <c r="M40" s="201"/>
      <c r="N40" s="172"/>
      <c r="O40" s="202" t="s">
        <v>965</v>
      </c>
      <c r="P40" s="146"/>
      <c r="Q40" s="160">
        <v>4</v>
      </c>
      <c r="R40" s="153" t="str">
        <f t="shared" si="4"/>
        <v>II-0003.0004</v>
      </c>
      <c r="S40" s="146" t="str">
        <f t="shared" si="5"/>
        <v>H-2840-I - TIPO D</v>
      </c>
    </row>
    <row r="41" spans="1:19" x14ac:dyDescent="0.2">
      <c r="A41" s="152">
        <v>5</v>
      </c>
      <c r="B41" s="153" t="s">
        <v>1053</v>
      </c>
      <c r="C41" s="62" t="s">
        <v>1054</v>
      </c>
      <c r="D41" s="151" t="s">
        <v>965</v>
      </c>
      <c r="G41" s="146"/>
      <c r="H41" s="162"/>
      <c r="I41" s="171" t="s">
        <v>1016</v>
      </c>
      <c r="J41" s="176"/>
      <c r="K41" s="203" t="s">
        <v>1054</v>
      </c>
      <c r="L41" s="204"/>
      <c r="M41" s="204"/>
      <c r="N41" s="204"/>
      <c r="O41" s="205" t="s">
        <v>965</v>
      </c>
      <c r="P41" s="146"/>
      <c r="Q41" s="160">
        <v>5</v>
      </c>
      <c r="R41" s="153" t="str">
        <f t="shared" si="4"/>
        <v>II-0003.0005</v>
      </c>
      <c r="S41" s="146" t="str">
        <f>CONCATENATE($E$36,K41)</f>
        <v>OLIMPICO H-9830</v>
      </c>
    </row>
    <row r="42" spans="1:19" ht="15.75" thickBot="1" x14ac:dyDescent="0.25">
      <c r="A42" s="152">
        <v>6</v>
      </c>
      <c r="B42" s="153" t="s">
        <v>1055</v>
      </c>
      <c r="C42" s="62" t="s">
        <v>1056</v>
      </c>
      <c r="D42" s="151" t="s">
        <v>965</v>
      </c>
      <c r="G42" s="146"/>
      <c r="H42" s="177"/>
      <c r="I42" s="179" t="s">
        <v>1026</v>
      </c>
      <c r="J42" s="190"/>
      <c r="K42" s="191" t="s">
        <v>1056</v>
      </c>
      <c r="L42" s="192"/>
      <c r="M42" s="192"/>
      <c r="N42" s="192"/>
      <c r="O42" s="193" t="s">
        <v>965</v>
      </c>
      <c r="P42" s="146"/>
      <c r="Q42" s="160">
        <v>6</v>
      </c>
      <c r="R42" s="153" t="str">
        <f t="shared" si="4"/>
        <v>II-0003.0006</v>
      </c>
      <c r="S42" s="146" t="str">
        <f>CONCATENATE($E$36,K42)</f>
        <v>TRAZADO C/ REPOSICION  (%)</v>
      </c>
    </row>
    <row r="43" spans="1:19" ht="15.75" thickTop="1" x14ac:dyDescent="0.2">
      <c r="A43" s="152">
        <v>7</v>
      </c>
      <c r="B43" s="153" t="s">
        <v>1057</v>
      </c>
      <c r="C43" s="62" t="s">
        <v>1058</v>
      </c>
      <c r="D43" s="151" t="s">
        <v>965</v>
      </c>
      <c r="G43" s="146"/>
      <c r="H43" s="162"/>
      <c r="I43" s="151"/>
      <c r="J43" s="151"/>
      <c r="K43" s="194"/>
      <c r="L43" s="146"/>
      <c r="M43" s="146"/>
      <c r="N43" s="146"/>
      <c r="O43" s="183"/>
      <c r="P43" s="146"/>
      <c r="Q43" s="160"/>
      <c r="R43" s="153"/>
      <c r="S43" s="146"/>
    </row>
    <row r="44" spans="1:19" x14ac:dyDescent="0.2">
      <c r="A44" s="152"/>
      <c r="B44" s="153"/>
      <c r="C44" s="62"/>
      <c r="D44" s="151"/>
      <c r="G44" s="146"/>
      <c r="H44" s="162"/>
      <c r="I44" s="151"/>
      <c r="J44" s="151"/>
      <c r="K44" s="194"/>
      <c r="L44" s="146"/>
      <c r="M44" s="146"/>
      <c r="N44" s="146"/>
      <c r="O44" s="183"/>
      <c r="P44" s="146"/>
      <c r="Q44" s="160"/>
      <c r="R44" s="153"/>
      <c r="S44" s="146"/>
    </row>
    <row r="45" spans="1:19" x14ac:dyDescent="0.2">
      <c r="A45" s="152">
        <v>4</v>
      </c>
      <c r="B45" s="145" t="s">
        <v>1059</v>
      </c>
      <c r="C45" s="62" t="s">
        <v>1060</v>
      </c>
      <c r="D45" s="151"/>
      <c r="G45" s="146"/>
      <c r="H45" s="184">
        <v>4</v>
      </c>
      <c r="I45" s="186"/>
      <c r="J45" s="186"/>
      <c r="K45" s="793" t="s">
        <v>1060</v>
      </c>
      <c r="L45" s="793"/>
      <c r="M45" s="793"/>
      <c r="N45" s="793"/>
      <c r="O45" s="206"/>
      <c r="P45" s="146"/>
      <c r="Q45" s="160">
        <f>H45</f>
        <v>4</v>
      </c>
      <c r="R45" s="151" t="str">
        <f>CONCATENATE("II-",TEXT(Q45,"0000"))</f>
        <v>II-0004</v>
      </c>
      <c r="S45" s="161" t="str">
        <f>K45</f>
        <v>ALCANTARILLAS METALICAS ACERO CORRUGADO</v>
      </c>
    </row>
    <row r="46" spans="1:19" x14ac:dyDescent="0.2">
      <c r="A46" s="152"/>
      <c r="B46" s="153"/>
      <c r="C46" s="62"/>
      <c r="D46" s="151"/>
      <c r="G46" s="146"/>
      <c r="H46" s="197"/>
      <c r="I46" s="163" t="s">
        <v>989</v>
      </c>
      <c r="J46" s="164"/>
      <c r="K46" s="165" t="s">
        <v>1061</v>
      </c>
      <c r="L46" s="166"/>
      <c r="M46" s="166"/>
      <c r="N46" s="166"/>
      <c r="O46" s="207"/>
      <c r="P46" s="146"/>
      <c r="Q46" s="146"/>
      <c r="R46" s="146"/>
      <c r="S46" s="146"/>
    </row>
    <row r="47" spans="1:19" x14ac:dyDescent="0.2">
      <c r="A47" s="152">
        <v>1</v>
      </c>
      <c r="B47" s="153" t="s">
        <v>1062</v>
      </c>
      <c r="C47" s="62" t="s">
        <v>1063</v>
      </c>
      <c r="D47" s="151" t="s">
        <v>965</v>
      </c>
      <c r="G47" s="146"/>
      <c r="H47" s="162"/>
      <c r="I47" s="151"/>
      <c r="J47" s="168">
        <v>1</v>
      </c>
      <c r="K47" s="146"/>
      <c r="L47" s="161" t="s">
        <v>1064</v>
      </c>
      <c r="M47" s="146"/>
      <c r="N47" s="146"/>
      <c r="O47" s="183" t="s">
        <v>965</v>
      </c>
      <c r="P47" s="146"/>
      <c r="Q47" s="160">
        <v>1</v>
      </c>
      <c r="R47" s="153" t="str">
        <f>CONCATENATE($R$45,".",TEXT(Q47,"0000"))</f>
        <v>II-0004.0001</v>
      </c>
      <c r="S47" s="146" t="str">
        <f>CONCATENATE($K$46," - TIPO ",L47)</f>
        <v>H-10209 - TIPO H-9987</v>
      </c>
    </row>
    <row r="48" spans="1:19" x14ac:dyDescent="0.2">
      <c r="A48" s="152">
        <v>2</v>
      </c>
      <c r="B48" s="145" t="s">
        <v>1065</v>
      </c>
      <c r="C48" s="62" t="s">
        <v>1066</v>
      </c>
      <c r="D48" s="151" t="s">
        <v>965</v>
      </c>
      <c r="G48" s="146"/>
      <c r="H48" s="162"/>
      <c r="I48" s="151"/>
      <c r="J48" s="171">
        <v>2</v>
      </c>
      <c r="K48" s="146"/>
      <c r="L48" s="161" t="s">
        <v>1067</v>
      </c>
      <c r="M48" s="146"/>
      <c r="N48" s="146"/>
      <c r="O48" s="183" t="s">
        <v>965</v>
      </c>
      <c r="P48" s="146"/>
      <c r="Q48" s="160">
        <v>2</v>
      </c>
      <c r="R48" s="153" t="str">
        <f>CONCATENATE($R$45,".",TEXT(Q48,"0000"))</f>
        <v>II-0004.0002</v>
      </c>
      <c r="S48" s="146" t="str">
        <f>CONCATENATE($K$46," - TIPO ",L48)</f>
        <v>H-10209 - TIPO H-2993</v>
      </c>
    </row>
    <row r="49" spans="1:19" x14ac:dyDescent="0.2">
      <c r="A49" s="152"/>
      <c r="B49" s="145"/>
      <c r="C49" s="62"/>
      <c r="D49" s="151"/>
      <c r="G49" s="146"/>
      <c r="H49" s="162"/>
      <c r="I49" s="163" t="s">
        <v>1016</v>
      </c>
      <c r="J49" s="164"/>
      <c r="K49" s="165" t="s">
        <v>1068</v>
      </c>
      <c r="L49" s="166"/>
      <c r="M49" s="166"/>
      <c r="N49" s="166"/>
      <c r="O49" s="207"/>
      <c r="P49" s="146"/>
      <c r="Q49" s="146"/>
      <c r="R49" s="146"/>
      <c r="S49" s="146"/>
    </row>
    <row r="50" spans="1:19" x14ac:dyDescent="0.2">
      <c r="A50" s="152">
        <v>3</v>
      </c>
      <c r="B50" s="145" t="s">
        <v>1069</v>
      </c>
      <c r="C50" s="170" t="s">
        <v>1070</v>
      </c>
      <c r="D50" s="151" t="s">
        <v>965</v>
      </c>
      <c r="G50" s="146"/>
      <c r="H50" s="162"/>
      <c r="I50" s="151"/>
      <c r="J50" s="168">
        <v>1</v>
      </c>
      <c r="K50" s="146"/>
      <c r="L50" s="161" t="s">
        <v>1064</v>
      </c>
      <c r="M50" s="146"/>
      <c r="N50" s="146"/>
      <c r="O50" s="183" t="s">
        <v>965</v>
      </c>
      <c r="P50" s="146"/>
      <c r="Q50" s="160">
        <v>3</v>
      </c>
      <c r="R50" s="153" t="str">
        <f>CONCATENATE($R$45,".",TEXT(Q50,"0000"))</f>
        <v>II-0004.0003</v>
      </c>
      <c r="S50" s="146" t="str">
        <f>CONCATENATE($K$49," - TIPO ",L50)</f>
        <v>H-10235 - TIPO H-9987</v>
      </c>
    </row>
    <row r="51" spans="1:19" x14ac:dyDescent="0.2">
      <c r="A51" s="152">
        <v>4</v>
      </c>
      <c r="B51" s="153" t="s">
        <v>1071</v>
      </c>
      <c r="C51" s="62" t="s">
        <v>1072</v>
      </c>
      <c r="D51" s="151" t="s">
        <v>965</v>
      </c>
      <c r="G51" s="146"/>
      <c r="H51" s="162"/>
      <c r="I51" s="151"/>
      <c r="J51" s="171">
        <v>2</v>
      </c>
      <c r="K51" s="146"/>
      <c r="L51" s="161" t="s">
        <v>1067</v>
      </c>
      <c r="M51" s="146"/>
      <c r="N51" s="146"/>
      <c r="O51" s="183" t="s">
        <v>965</v>
      </c>
      <c r="P51" s="146"/>
      <c r="Q51" s="160">
        <v>4</v>
      </c>
      <c r="R51" s="153" t="str">
        <f>CONCATENATE($R$45,".",TEXT(Q51,"0000"))</f>
        <v>II-0004.0004</v>
      </c>
      <c r="S51" s="146" t="str">
        <f>CONCATENATE($K$49," - TIPO ",L51)</f>
        <v>H-10235 - TIPO H-2993</v>
      </c>
    </row>
    <row r="52" spans="1:19" x14ac:dyDescent="0.2">
      <c r="A52" s="152"/>
      <c r="B52" s="153"/>
      <c r="C52" s="62"/>
      <c r="D52" s="151"/>
      <c r="G52" s="146"/>
      <c r="H52" s="162"/>
      <c r="I52" s="163" t="s">
        <v>1026</v>
      </c>
      <c r="J52" s="164"/>
      <c r="K52" s="165" t="s">
        <v>1073</v>
      </c>
      <c r="L52" s="166"/>
      <c r="M52" s="166"/>
      <c r="N52" s="166"/>
      <c r="O52" s="207"/>
      <c r="P52" s="146"/>
      <c r="Q52" s="146"/>
      <c r="R52" s="146"/>
      <c r="S52" s="146"/>
    </row>
    <row r="53" spans="1:19" ht="15.75" thickBot="1" x14ac:dyDescent="0.25">
      <c r="A53" s="152">
        <v>5</v>
      </c>
      <c r="B53" s="153" t="s">
        <v>1074</v>
      </c>
      <c r="C53" s="62" t="s">
        <v>1075</v>
      </c>
      <c r="D53" s="151" t="s">
        <v>965</v>
      </c>
      <c r="G53" s="146"/>
      <c r="H53" s="208"/>
      <c r="I53" s="209"/>
      <c r="J53" s="210">
        <v>1</v>
      </c>
      <c r="K53" s="211"/>
      <c r="L53" s="212" t="s">
        <v>1076</v>
      </c>
      <c r="M53" s="211"/>
      <c r="N53" s="211"/>
      <c r="O53" s="213" t="s">
        <v>965</v>
      </c>
      <c r="P53" s="146"/>
      <c r="Q53" s="160">
        <v>5</v>
      </c>
      <c r="R53" s="153" t="str">
        <f>CONCATENATE($R$45,".",TEXT(Q53,"0000"))</f>
        <v>II-0004.0005</v>
      </c>
      <c r="S53" s="146" t="str">
        <f>CONCATENATE($K$52," - TIPO ",L53)</f>
        <v>H-10236 - TIPO H-2553</v>
      </c>
    </row>
    <row r="54" spans="1:19" x14ac:dyDescent="0.2">
      <c r="A54" s="152"/>
      <c r="B54" s="153"/>
      <c r="C54" s="62"/>
      <c r="D54" s="151"/>
      <c r="G54" s="146"/>
      <c r="H54" s="214"/>
      <c r="I54" s="151"/>
      <c r="J54" s="151"/>
      <c r="K54" s="146"/>
      <c r="L54" s="161"/>
      <c r="M54" s="146"/>
      <c r="N54" s="146"/>
      <c r="O54" s="199"/>
      <c r="P54" s="146"/>
      <c r="Q54" s="146"/>
      <c r="R54" s="146"/>
      <c r="S54" s="146"/>
    </row>
    <row r="55" spans="1:19" x14ac:dyDescent="0.2">
      <c r="A55" s="152">
        <v>4</v>
      </c>
      <c r="B55" s="153" t="s">
        <v>1059</v>
      </c>
      <c r="C55" s="62" t="s">
        <v>1060</v>
      </c>
      <c r="D55" s="151"/>
      <c r="G55" s="146"/>
      <c r="H55" s="184">
        <v>4</v>
      </c>
      <c r="I55" s="186"/>
      <c r="J55" s="186"/>
      <c r="K55" s="793" t="s">
        <v>1060</v>
      </c>
      <c r="L55" s="793"/>
      <c r="M55" s="793"/>
      <c r="N55" s="793"/>
      <c r="O55" s="206"/>
      <c r="P55" s="146"/>
      <c r="Q55" s="160">
        <f>H55</f>
        <v>4</v>
      </c>
      <c r="R55" s="151" t="str">
        <f>CONCATENATE("II-",TEXT(Q55,"0000"))</f>
        <v>II-0004</v>
      </c>
      <c r="S55" s="161" t="str">
        <f>K55</f>
        <v>ALCANTARILLAS METALICAS ACERO CORRUGADO</v>
      </c>
    </row>
    <row r="56" spans="1:19" x14ac:dyDescent="0.2">
      <c r="A56" s="152"/>
      <c r="B56" s="153"/>
      <c r="C56" s="62"/>
      <c r="D56" s="151"/>
      <c r="G56" s="146"/>
      <c r="H56" s="162"/>
      <c r="I56" s="163" t="s">
        <v>1052</v>
      </c>
      <c r="J56" s="164"/>
      <c r="K56" s="161" t="s">
        <v>1017</v>
      </c>
      <c r="L56" s="146"/>
      <c r="M56" s="146"/>
      <c r="N56" s="146"/>
      <c r="O56" s="198"/>
      <c r="P56" s="146"/>
      <c r="Q56" s="146"/>
      <c r="R56" s="146"/>
      <c r="S56" s="146"/>
    </row>
    <row r="57" spans="1:19" x14ac:dyDescent="0.2">
      <c r="A57" s="152">
        <v>10</v>
      </c>
      <c r="B57" s="153" t="s">
        <v>1077</v>
      </c>
      <c r="C57" s="62" t="s">
        <v>1078</v>
      </c>
      <c r="D57" s="151" t="s">
        <v>965</v>
      </c>
      <c r="G57" s="146"/>
      <c r="H57" s="162"/>
      <c r="I57" s="151"/>
      <c r="J57" s="168">
        <v>1</v>
      </c>
      <c r="K57" s="146"/>
      <c r="L57" s="161" t="s">
        <v>1079</v>
      </c>
      <c r="M57" s="146"/>
      <c r="N57" s="146"/>
      <c r="O57" s="198" t="s">
        <v>965</v>
      </c>
      <c r="P57" s="146"/>
      <c r="Q57" s="160">
        <v>10</v>
      </c>
      <c r="R57" s="153" t="str">
        <f>CONCATENATE($R$45,".",TEXT(Q57,"0000"))</f>
        <v>II-0004.0010</v>
      </c>
      <c r="S57" s="146" t="str">
        <f>CONCATENATE($K$56," - TIPO ",L57)</f>
        <v>ESPECIAL - TIPO BOVEDA PERFIL ALTO Z-6584</v>
      </c>
    </row>
    <row r="58" spans="1:19" x14ac:dyDescent="0.2">
      <c r="A58" s="152">
        <v>11</v>
      </c>
      <c r="B58" s="153" t="s">
        <v>1080</v>
      </c>
      <c r="C58" s="62" t="s">
        <v>1081</v>
      </c>
      <c r="D58" s="151" t="s">
        <v>965</v>
      </c>
      <c r="G58" s="146"/>
      <c r="H58" s="162"/>
      <c r="I58" s="151"/>
      <c r="J58" s="168">
        <v>2</v>
      </c>
      <c r="K58" s="146"/>
      <c r="L58" s="161" t="s">
        <v>1082</v>
      </c>
      <c r="M58" s="146"/>
      <c r="N58" s="146"/>
      <c r="O58" s="198" t="s">
        <v>965</v>
      </c>
      <c r="P58" s="146"/>
      <c r="Q58" s="160">
        <v>11</v>
      </c>
      <c r="R58" s="153" t="str">
        <f t="shared" ref="R58:R67" si="6">CONCATENATE($R$45,".",TEXT(Q58,"0000"))</f>
        <v>II-0004.0011</v>
      </c>
      <c r="S58" s="146" t="str">
        <f t="shared" ref="S58:S61" si="7">CONCATENATE($K$56," - TIPO ",L58)</f>
        <v>ESPECIAL - TIPO BOVEDA PERFIL BAJO Z-6584</v>
      </c>
    </row>
    <row r="59" spans="1:19" x14ac:dyDescent="0.2">
      <c r="A59" s="152">
        <v>12</v>
      </c>
      <c r="B59" s="145" t="s">
        <v>1083</v>
      </c>
      <c r="C59" s="62" t="s">
        <v>1084</v>
      </c>
      <c r="D59" s="151" t="s">
        <v>965</v>
      </c>
      <c r="G59" s="146"/>
      <c r="H59" s="162"/>
      <c r="I59" s="151"/>
      <c r="J59" s="168">
        <v>3</v>
      </c>
      <c r="K59" s="146"/>
      <c r="L59" s="161" t="s">
        <v>1085</v>
      </c>
      <c r="M59" s="146"/>
      <c r="N59" s="146"/>
      <c r="O59" s="198" t="s">
        <v>965</v>
      </c>
      <c r="P59" s="146"/>
      <c r="Q59" s="160">
        <v>12</v>
      </c>
      <c r="R59" s="153" t="str">
        <f t="shared" si="6"/>
        <v>II-0004.0012</v>
      </c>
      <c r="S59" s="146" t="str">
        <f t="shared" si="7"/>
        <v>ESPECIAL - TIPO CIRCULAR</v>
      </c>
    </row>
    <row r="60" spans="1:19" x14ac:dyDescent="0.2">
      <c r="A60" s="152">
        <v>13</v>
      </c>
      <c r="B60" s="145" t="s">
        <v>1086</v>
      </c>
      <c r="C60" s="62" t="s">
        <v>1087</v>
      </c>
      <c r="D60" s="151" t="s">
        <v>965</v>
      </c>
      <c r="G60" s="146"/>
      <c r="H60" s="162"/>
      <c r="I60" s="151"/>
      <c r="J60" s="168">
        <v>4</v>
      </c>
      <c r="K60" s="146"/>
      <c r="L60" s="161" t="s">
        <v>1088</v>
      </c>
      <c r="M60" s="146"/>
      <c r="N60" s="146"/>
      <c r="O60" s="198" t="s">
        <v>965</v>
      </c>
      <c r="P60" s="146"/>
      <c r="Q60" s="160">
        <v>13</v>
      </c>
      <c r="R60" s="153" t="str">
        <f t="shared" si="6"/>
        <v>II-0004.0013</v>
      </c>
      <c r="S60" s="146" t="str">
        <f t="shared" si="7"/>
        <v>ESPECIAL - TIPO ELIPTICA</v>
      </c>
    </row>
    <row r="61" spans="1:19" x14ac:dyDescent="0.2">
      <c r="A61" s="152">
        <v>14</v>
      </c>
      <c r="B61" s="153" t="s">
        <v>1089</v>
      </c>
      <c r="C61" s="62" t="s">
        <v>1090</v>
      </c>
      <c r="D61" s="151" t="s">
        <v>965</v>
      </c>
      <c r="G61" s="146"/>
      <c r="H61" s="162"/>
      <c r="I61" s="215"/>
      <c r="J61" s="171">
        <v>5</v>
      </c>
      <c r="K61" s="172"/>
      <c r="L61" s="173" t="s">
        <v>1091</v>
      </c>
      <c r="M61" s="172"/>
      <c r="N61" s="172"/>
      <c r="O61" s="216" t="s">
        <v>965</v>
      </c>
      <c r="P61" s="146"/>
      <c r="Q61" s="160">
        <v>14</v>
      </c>
      <c r="R61" s="153" t="str">
        <f t="shared" si="6"/>
        <v>II-0004.0014</v>
      </c>
      <c r="S61" s="146" t="str">
        <f t="shared" si="7"/>
        <v>ESPECIAL - TIPO ELIPTICA P/ FERROCARRIL Z-6584</v>
      </c>
    </row>
    <row r="62" spans="1:19" x14ac:dyDescent="0.2">
      <c r="A62" s="152">
        <v>20</v>
      </c>
      <c r="B62" s="153" t="s">
        <v>1092</v>
      </c>
      <c r="C62" s="62" t="s">
        <v>1093</v>
      </c>
      <c r="D62" s="151" t="s">
        <v>965</v>
      </c>
      <c r="G62" s="146"/>
      <c r="H62" s="217"/>
      <c r="I62" s="176" t="s">
        <v>1094</v>
      </c>
      <c r="J62" s="176"/>
      <c r="K62" s="218" t="s">
        <v>1093</v>
      </c>
      <c r="L62" s="219"/>
      <c r="M62" s="219"/>
      <c r="N62" s="219"/>
      <c r="O62" s="216" t="s">
        <v>965</v>
      </c>
      <c r="P62" s="146"/>
      <c r="Q62" s="160">
        <v>20</v>
      </c>
      <c r="R62" s="153" t="str">
        <f t="shared" si="6"/>
        <v>II-0004.0020</v>
      </c>
      <c r="S62" s="146" t="str">
        <f>CONCATENATE(K62)</f>
        <v>PINTURA</v>
      </c>
    </row>
    <row r="63" spans="1:19" x14ac:dyDescent="0.2">
      <c r="A63" s="152">
        <v>21</v>
      </c>
      <c r="B63" s="145" t="s">
        <v>1095</v>
      </c>
      <c r="C63" s="62" t="s">
        <v>1096</v>
      </c>
      <c r="D63" s="151" t="s">
        <v>965</v>
      </c>
      <c r="G63" s="146"/>
      <c r="H63" s="217"/>
      <c r="I63" s="176" t="s">
        <v>1097</v>
      </c>
      <c r="J63" s="176"/>
      <c r="K63" s="794" t="s">
        <v>1096</v>
      </c>
      <c r="L63" s="794"/>
      <c r="M63" s="219"/>
      <c r="N63" s="219"/>
      <c r="O63" s="220" t="s">
        <v>965</v>
      </c>
      <c r="P63" s="146"/>
      <c r="Q63" s="160">
        <v>21</v>
      </c>
      <c r="R63" s="153" t="str">
        <f t="shared" si="6"/>
        <v>II-0004.0021</v>
      </c>
      <c r="S63" s="146" t="str">
        <f t="shared" ref="S63:S67" si="8">CONCATENATE(K63)</f>
        <v>COLOCACION</v>
      </c>
    </row>
    <row r="64" spans="1:19" x14ac:dyDescent="0.2">
      <c r="A64" s="152">
        <v>22</v>
      </c>
      <c r="B64" s="153" t="s">
        <v>1098</v>
      </c>
      <c r="C64" s="62" t="s">
        <v>1099</v>
      </c>
      <c r="D64" s="151" t="s">
        <v>1100</v>
      </c>
      <c r="G64" s="146"/>
      <c r="H64" s="217"/>
      <c r="I64" s="176" t="s">
        <v>1101</v>
      </c>
      <c r="J64" s="176"/>
      <c r="K64" s="794" t="s">
        <v>1099</v>
      </c>
      <c r="L64" s="794"/>
      <c r="M64" s="219"/>
      <c r="N64" s="219"/>
      <c r="O64" s="220" t="s">
        <v>1100</v>
      </c>
      <c r="P64" s="146"/>
      <c r="Q64" s="160">
        <v>22</v>
      </c>
      <c r="R64" s="153" t="str">
        <f t="shared" si="6"/>
        <v>II-0004.0022</v>
      </c>
      <c r="S64" s="146" t="str">
        <f t="shared" si="8"/>
        <v>RELLENO DE SOCAVACION</v>
      </c>
    </row>
    <row r="65" spans="1:19" x14ac:dyDescent="0.2">
      <c r="A65" s="152">
        <v>23</v>
      </c>
      <c r="B65" s="153" t="s">
        <v>1102</v>
      </c>
      <c r="C65" s="62" t="s">
        <v>1103</v>
      </c>
      <c r="D65" s="151" t="s">
        <v>965</v>
      </c>
      <c r="G65" s="146"/>
      <c r="H65" s="217"/>
      <c r="I65" s="163" t="s">
        <v>1104</v>
      </c>
      <c r="J65" s="204"/>
      <c r="K65" s="221" t="s">
        <v>1103</v>
      </c>
      <c r="L65" s="204"/>
      <c r="M65" s="204"/>
      <c r="N65" s="204"/>
      <c r="O65" s="220" t="s">
        <v>965</v>
      </c>
      <c r="P65" s="146"/>
      <c r="Q65" s="160">
        <v>23</v>
      </c>
      <c r="R65" s="153" t="str">
        <f t="shared" si="6"/>
        <v>II-0004.0023</v>
      </c>
      <c r="S65" s="146" t="str">
        <f t="shared" si="8"/>
        <v>REPARACION</v>
      </c>
    </row>
    <row r="66" spans="1:19" x14ac:dyDescent="0.2">
      <c r="A66" s="152">
        <v>24</v>
      </c>
      <c r="B66" s="145" t="s">
        <v>1105</v>
      </c>
      <c r="C66" s="62" t="s">
        <v>1106</v>
      </c>
      <c r="D66" s="151" t="s">
        <v>965</v>
      </c>
      <c r="G66" s="146"/>
      <c r="H66" s="217"/>
      <c r="I66" s="163" t="s">
        <v>889</v>
      </c>
      <c r="J66" s="204"/>
      <c r="K66" s="221" t="s">
        <v>1106</v>
      </c>
      <c r="L66" s="204"/>
      <c r="M66" s="204"/>
      <c r="N66" s="204"/>
      <c r="O66" s="220" t="s">
        <v>965</v>
      </c>
      <c r="P66" s="146"/>
      <c r="Q66" s="160">
        <v>24</v>
      </c>
      <c r="R66" s="153" t="str">
        <f t="shared" si="6"/>
        <v>II-0004.0024</v>
      </c>
      <c r="S66" s="146" t="str">
        <f t="shared" si="8"/>
        <v>RETIRO Y RECOLOCACION</v>
      </c>
    </row>
    <row r="67" spans="1:19" ht="15.75" thickBot="1" x14ac:dyDescent="0.25">
      <c r="A67" s="152">
        <v>25</v>
      </c>
      <c r="B67" s="145" t="s">
        <v>1107</v>
      </c>
      <c r="C67" s="62" t="s">
        <v>1108</v>
      </c>
      <c r="D67" s="151" t="s">
        <v>965</v>
      </c>
      <c r="G67" s="146"/>
      <c r="H67" s="222"/>
      <c r="I67" s="189" t="s">
        <v>1109</v>
      </c>
      <c r="J67" s="192"/>
      <c r="K67" s="223" t="s">
        <v>1108</v>
      </c>
      <c r="L67" s="192"/>
      <c r="M67" s="192"/>
      <c r="N67" s="192"/>
      <c r="O67" s="224" t="s">
        <v>965</v>
      </c>
      <c r="P67" s="146"/>
      <c r="Q67" s="160">
        <v>25</v>
      </c>
      <c r="R67" s="153" t="str">
        <f t="shared" si="6"/>
        <v>II-0004.0025</v>
      </c>
      <c r="S67" s="146" t="str">
        <f t="shared" si="8"/>
        <v xml:space="preserve">RETIRO </v>
      </c>
    </row>
    <row r="68" spans="1:19" ht="16.5" thickTop="1" thickBot="1" x14ac:dyDescent="0.25">
      <c r="A68" s="152"/>
      <c r="B68" s="145"/>
      <c r="C68" s="170"/>
      <c r="D68" s="151"/>
      <c r="G68" s="146"/>
      <c r="H68" s="162"/>
      <c r="I68" s="151"/>
      <c r="J68" s="146"/>
      <c r="K68" s="161"/>
      <c r="L68" s="146"/>
      <c r="M68" s="146"/>
      <c r="N68" s="146"/>
      <c r="O68" s="198"/>
      <c r="P68" s="146"/>
      <c r="Q68" s="160"/>
      <c r="R68" s="153"/>
      <c r="S68" s="146"/>
    </row>
    <row r="69" spans="1:19" ht="15.75" thickTop="1" x14ac:dyDescent="0.2">
      <c r="A69" s="152">
        <v>5</v>
      </c>
      <c r="B69" s="153" t="s">
        <v>1110</v>
      </c>
      <c r="C69" s="62" t="s">
        <v>1111</v>
      </c>
      <c r="D69" s="151"/>
      <c r="G69" s="146"/>
      <c r="H69" s="184">
        <v>5</v>
      </c>
      <c r="I69" s="186"/>
      <c r="J69" s="196"/>
      <c r="K69" s="225" t="s">
        <v>1111</v>
      </c>
      <c r="L69" s="196"/>
      <c r="M69" s="196"/>
      <c r="N69" s="196"/>
      <c r="O69" s="206"/>
      <c r="P69" s="146"/>
      <c r="Q69" s="160">
        <f>H69</f>
        <v>5</v>
      </c>
      <c r="R69" s="151" t="str">
        <f>CONCATENATE("II-",TEXT(Q69,"0000"))</f>
        <v>II-0005</v>
      </c>
      <c r="S69" s="161" t="str">
        <f>K69</f>
        <v>ALCANTARILLAS HORMIGON</v>
      </c>
    </row>
    <row r="70" spans="1:19" x14ac:dyDescent="0.2">
      <c r="A70" s="152"/>
      <c r="B70" s="153"/>
      <c r="C70" s="62"/>
      <c r="D70" s="151"/>
      <c r="G70" s="146"/>
      <c r="H70" s="162"/>
      <c r="I70" s="163" t="s">
        <v>989</v>
      </c>
      <c r="J70" s="166"/>
      <c r="K70" s="161" t="s">
        <v>1085</v>
      </c>
      <c r="L70" s="146"/>
      <c r="M70" s="146"/>
      <c r="N70" s="146"/>
      <c r="O70" s="198"/>
      <c r="P70" s="146"/>
      <c r="Q70" s="146"/>
      <c r="R70" s="146"/>
      <c r="S70" s="146"/>
    </row>
    <row r="71" spans="1:19" x14ac:dyDescent="0.2">
      <c r="A71" s="152">
        <v>1</v>
      </c>
      <c r="B71" s="153" t="s">
        <v>1112</v>
      </c>
      <c r="C71" s="62" t="s">
        <v>1113</v>
      </c>
      <c r="D71" s="151" t="s">
        <v>965</v>
      </c>
      <c r="G71" s="146"/>
      <c r="H71" s="162"/>
      <c r="I71" s="151"/>
      <c r="J71" s="168">
        <v>1</v>
      </c>
      <c r="K71" s="146"/>
      <c r="L71" s="161" t="s">
        <v>1114</v>
      </c>
      <c r="M71" s="146"/>
      <c r="N71" s="146"/>
      <c r="O71" s="198" t="s">
        <v>965</v>
      </c>
      <c r="P71" s="146"/>
      <c r="Q71" s="160">
        <v>1</v>
      </c>
      <c r="R71" s="153" t="str">
        <f>CONCATENATE($R$69,".",TEXT(Q71,"0000"))</f>
        <v>II-0005.0001</v>
      </c>
      <c r="S71" s="146" t="str">
        <f>CONCATENATE($K$70," - TIPO ",L71)</f>
        <v>CIRCULAR - TIPO A-82</v>
      </c>
    </row>
    <row r="72" spans="1:19" x14ac:dyDescent="0.2">
      <c r="A72" s="152">
        <v>2</v>
      </c>
      <c r="B72" s="153" t="s">
        <v>1115</v>
      </c>
      <c r="C72" s="62" t="s">
        <v>1116</v>
      </c>
      <c r="D72" s="151" t="s">
        <v>965</v>
      </c>
      <c r="G72" s="146"/>
      <c r="H72" s="162"/>
      <c r="I72" s="176"/>
      <c r="J72" s="171">
        <v>2</v>
      </c>
      <c r="K72" s="172"/>
      <c r="L72" s="173" t="s">
        <v>1067</v>
      </c>
      <c r="M72" s="172"/>
      <c r="N72" s="172"/>
      <c r="O72" s="216" t="s">
        <v>965</v>
      </c>
      <c r="P72" s="146"/>
      <c r="Q72" s="160">
        <v>2</v>
      </c>
      <c r="R72" s="153" t="str">
        <f>CONCATENATE($R$69,".",TEXT(Q72,"0000"))</f>
        <v>II-0005.0002</v>
      </c>
      <c r="S72" s="146" t="str">
        <f>CONCATENATE($K$70," - TIPO ",L72)</f>
        <v>CIRCULAR - TIPO H-2993</v>
      </c>
    </row>
    <row r="73" spans="1:19" x14ac:dyDescent="0.2">
      <c r="A73" s="152"/>
      <c r="B73" s="145"/>
      <c r="C73" s="62"/>
      <c r="D73" s="151" t="s">
        <v>965</v>
      </c>
      <c r="G73" s="146"/>
      <c r="H73" s="162"/>
      <c r="I73" s="171" t="s">
        <v>1016</v>
      </c>
      <c r="J73" s="151"/>
      <c r="K73" s="161" t="s">
        <v>1117</v>
      </c>
      <c r="L73" s="161"/>
      <c r="M73" s="146"/>
      <c r="N73" s="146"/>
      <c r="O73" s="198" t="s">
        <v>965</v>
      </c>
      <c r="P73" s="146"/>
      <c r="Q73" s="146"/>
      <c r="R73" s="146"/>
      <c r="S73" s="146"/>
    </row>
    <row r="74" spans="1:19" x14ac:dyDescent="0.2">
      <c r="A74" s="152">
        <v>10</v>
      </c>
      <c r="B74" s="145" t="s">
        <v>1118</v>
      </c>
      <c r="C74" s="62" t="s">
        <v>1119</v>
      </c>
      <c r="D74" s="151" t="s">
        <v>965</v>
      </c>
      <c r="G74" s="146"/>
      <c r="H74" s="162"/>
      <c r="I74" s="151"/>
      <c r="J74" s="168">
        <v>1</v>
      </c>
      <c r="K74" s="146"/>
      <c r="L74" s="161" t="s">
        <v>1120</v>
      </c>
      <c r="M74" s="146"/>
      <c r="N74" s="146"/>
      <c r="O74" s="183" t="s">
        <v>965</v>
      </c>
      <c r="P74" s="146"/>
      <c r="Q74" s="160">
        <v>10</v>
      </c>
      <c r="R74" s="153" t="str">
        <f>CONCATENATE($R$69,".",TEXT(Q74,"0000"))</f>
        <v>II-0005.0010</v>
      </c>
      <c r="S74" s="146" t="str">
        <f>CONCATENATE($K$73," - TIPO ",L74)</f>
        <v>RECTANGULAR - TIPO H-1900-BIS-1</v>
      </c>
    </row>
    <row r="75" spans="1:19" x14ac:dyDescent="0.2">
      <c r="A75" s="152">
        <v>11</v>
      </c>
      <c r="B75" s="145" t="s">
        <v>1121</v>
      </c>
      <c r="C75" s="170" t="s">
        <v>1122</v>
      </c>
      <c r="D75" s="151" t="s">
        <v>965</v>
      </c>
      <c r="G75" s="146"/>
      <c r="H75" s="162"/>
      <c r="I75" s="151"/>
      <c r="J75" s="168">
        <v>2</v>
      </c>
      <c r="K75" s="146"/>
      <c r="L75" s="161" t="s">
        <v>1123</v>
      </c>
      <c r="M75" s="146"/>
      <c r="N75" s="146"/>
      <c r="O75" s="183" t="s">
        <v>965</v>
      </c>
      <c r="P75" s="146"/>
      <c r="Q75" s="160">
        <v>11</v>
      </c>
      <c r="R75" s="153" t="str">
        <f t="shared" ref="R75:R90" si="9">CONCATENATE($R$69,".",TEXT(Q75,"0000"))</f>
        <v>II-0005.0011</v>
      </c>
      <c r="S75" s="146" t="str">
        <f t="shared" ref="S75:S85" si="10">CONCATENATE($K$73," - TIPO ",L75)</f>
        <v>RECTANGULAR - TIPO O-41211-I</v>
      </c>
    </row>
    <row r="76" spans="1:19" x14ac:dyDescent="0.2">
      <c r="A76" s="152">
        <v>12</v>
      </c>
      <c r="B76" s="153" t="s">
        <v>1124</v>
      </c>
      <c r="C76" s="62" t="s">
        <v>1125</v>
      </c>
      <c r="D76" s="151" t="s">
        <v>965</v>
      </c>
      <c r="G76" s="146"/>
      <c r="H76" s="162"/>
      <c r="I76" s="151"/>
      <c r="J76" s="168">
        <v>3</v>
      </c>
      <c r="K76" s="146"/>
      <c r="L76" s="161" t="s">
        <v>1126</v>
      </c>
      <c r="M76" s="146"/>
      <c r="N76" s="146"/>
      <c r="O76" s="183" t="s">
        <v>965</v>
      </c>
      <c r="P76" s="146"/>
      <c r="Q76" s="160">
        <v>12</v>
      </c>
      <c r="R76" s="153" t="str">
        <f t="shared" si="9"/>
        <v>II-0005.0012</v>
      </c>
      <c r="S76" s="146" t="str">
        <f t="shared" si="10"/>
        <v>RECTANGULAR - TIPO Z-959</v>
      </c>
    </row>
    <row r="77" spans="1:19" x14ac:dyDescent="0.2">
      <c r="A77" s="152">
        <v>13</v>
      </c>
      <c r="B77" s="153" t="s">
        <v>1127</v>
      </c>
      <c r="C77" s="62" t="s">
        <v>1128</v>
      </c>
      <c r="D77" s="151" t="s">
        <v>965</v>
      </c>
      <c r="G77" s="146"/>
      <c r="H77" s="162"/>
      <c r="I77" s="151"/>
      <c r="J77" s="168">
        <v>4</v>
      </c>
      <c r="K77" s="146"/>
      <c r="L77" s="161" t="s">
        <v>1129</v>
      </c>
      <c r="M77" s="146"/>
      <c r="N77" s="146"/>
      <c r="O77" s="183" t="s">
        <v>965</v>
      </c>
      <c r="P77" s="146"/>
      <c r="Q77" s="160">
        <v>13</v>
      </c>
      <c r="R77" s="153" t="str">
        <f t="shared" si="9"/>
        <v>II-0005.0013</v>
      </c>
      <c r="S77" s="146" t="str">
        <f t="shared" si="10"/>
        <v>RECTANGULAR - TIPO Z-2915-I</v>
      </c>
    </row>
    <row r="78" spans="1:19" x14ac:dyDescent="0.2">
      <c r="A78" s="152">
        <v>14</v>
      </c>
      <c r="B78" s="153" t="s">
        <v>1130</v>
      </c>
      <c r="C78" s="62" t="s">
        <v>1131</v>
      </c>
      <c r="D78" s="151" t="s">
        <v>965</v>
      </c>
      <c r="G78" s="146"/>
      <c r="H78" s="162"/>
      <c r="I78" s="151"/>
      <c r="J78" s="168">
        <v>5</v>
      </c>
      <c r="K78" s="146"/>
      <c r="L78" s="161" t="s">
        <v>1132</v>
      </c>
      <c r="M78" s="146"/>
      <c r="N78" s="146"/>
      <c r="O78" s="183" t="s">
        <v>965</v>
      </c>
      <c r="P78" s="146"/>
      <c r="Q78" s="160">
        <v>14</v>
      </c>
      <c r="R78" s="153" t="str">
        <f t="shared" si="9"/>
        <v>II-0005.0014</v>
      </c>
      <c r="S78" s="146" t="str">
        <f t="shared" si="10"/>
        <v>RECTANGULAR - TIPO Z-2916-I</v>
      </c>
    </row>
    <row r="79" spans="1:19" x14ac:dyDescent="0.2">
      <c r="A79" s="152">
        <v>15</v>
      </c>
      <c r="B79" s="153" t="s">
        <v>1133</v>
      </c>
      <c r="C79" s="62" t="s">
        <v>1134</v>
      </c>
      <c r="D79" s="151" t="s">
        <v>965</v>
      </c>
      <c r="G79" s="146"/>
      <c r="H79" s="162"/>
      <c r="I79" s="151"/>
      <c r="J79" s="168">
        <v>6</v>
      </c>
      <c r="K79" s="146"/>
      <c r="L79" s="161" t="s">
        <v>1135</v>
      </c>
      <c r="M79" s="146"/>
      <c r="N79" s="146"/>
      <c r="O79" s="183" t="s">
        <v>965</v>
      </c>
      <c r="P79" s="146"/>
      <c r="Q79" s="160">
        <v>15</v>
      </c>
      <c r="R79" s="153" t="str">
        <f t="shared" si="9"/>
        <v>II-0005.0015</v>
      </c>
      <c r="S79" s="146" t="str">
        <f t="shared" si="10"/>
        <v>RECTANGULAR - TIPO A-505</v>
      </c>
    </row>
    <row r="80" spans="1:19" x14ac:dyDescent="0.2">
      <c r="A80" s="152">
        <v>16</v>
      </c>
      <c r="B80" s="145" t="s">
        <v>1136</v>
      </c>
      <c r="C80" s="62" t="s">
        <v>1137</v>
      </c>
      <c r="D80" s="151" t="s">
        <v>965</v>
      </c>
      <c r="G80" s="146"/>
      <c r="H80" s="162"/>
      <c r="I80" s="151"/>
      <c r="J80" s="168">
        <v>7</v>
      </c>
      <c r="K80" s="146"/>
      <c r="L80" s="161" t="s">
        <v>1138</v>
      </c>
      <c r="M80" s="146"/>
      <c r="N80" s="146"/>
      <c r="O80" s="183" t="s">
        <v>965</v>
      </c>
      <c r="P80" s="146"/>
      <c r="Q80" s="160">
        <v>16</v>
      </c>
      <c r="R80" s="153" t="str">
        <f t="shared" si="9"/>
        <v>II-0005.0016</v>
      </c>
      <c r="S80" s="146" t="str">
        <f t="shared" si="10"/>
        <v>RECTANGULAR - TIPO A-660</v>
      </c>
    </row>
    <row r="81" spans="1:19" x14ac:dyDescent="0.2">
      <c r="A81" s="152">
        <v>17</v>
      </c>
      <c r="B81" s="145" t="s">
        <v>1139</v>
      </c>
      <c r="C81" s="62" t="s">
        <v>1140</v>
      </c>
      <c r="D81" s="151" t="s">
        <v>965</v>
      </c>
      <c r="G81" s="146"/>
      <c r="H81" s="162"/>
      <c r="I81" s="151"/>
      <c r="J81" s="168">
        <v>8</v>
      </c>
      <c r="K81" s="146"/>
      <c r="L81" s="161" t="s">
        <v>1141</v>
      </c>
      <c r="M81" s="146"/>
      <c r="N81" s="146"/>
      <c r="O81" s="183" t="s">
        <v>965</v>
      </c>
      <c r="P81" s="146"/>
      <c r="Q81" s="160">
        <v>17</v>
      </c>
      <c r="R81" s="153" t="str">
        <f t="shared" si="9"/>
        <v>II-0005.0017</v>
      </c>
      <c r="S81" s="146" t="str">
        <f t="shared" si="10"/>
        <v>RECTANGULAR - TIPO O-41211-MODIFICADA</v>
      </c>
    </row>
    <row r="82" spans="1:19" x14ac:dyDescent="0.2">
      <c r="A82" s="152">
        <v>18</v>
      </c>
      <c r="B82" s="145" t="s">
        <v>1142</v>
      </c>
      <c r="C82" s="170" t="s">
        <v>1143</v>
      </c>
      <c r="D82" s="151" t="s">
        <v>965</v>
      </c>
      <c r="G82" s="146"/>
      <c r="H82" s="162"/>
      <c r="I82" s="151"/>
      <c r="J82" s="168">
        <v>9</v>
      </c>
      <c r="K82" s="146"/>
      <c r="L82" s="161" t="s">
        <v>1144</v>
      </c>
      <c r="M82" s="146"/>
      <c r="N82" s="146"/>
      <c r="O82" s="183" t="s">
        <v>965</v>
      </c>
      <c r="P82" s="146"/>
      <c r="Q82" s="160">
        <v>18</v>
      </c>
      <c r="R82" s="153" t="str">
        <f t="shared" si="9"/>
        <v>II-0005.0018</v>
      </c>
      <c r="S82" s="146" t="str">
        <f t="shared" si="10"/>
        <v>RECTANGULAR - TIPO X-1113</v>
      </c>
    </row>
    <row r="83" spans="1:19" x14ac:dyDescent="0.2">
      <c r="A83" s="152">
        <v>19</v>
      </c>
      <c r="B83" s="153" t="s">
        <v>1145</v>
      </c>
      <c r="C83" s="62" t="s">
        <v>1146</v>
      </c>
      <c r="D83" s="151" t="s">
        <v>965</v>
      </c>
      <c r="G83" s="146"/>
      <c r="H83" s="162"/>
      <c r="I83" s="151"/>
      <c r="J83" s="168">
        <v>10</v>
      </c>
      <c r="K83" s="146"/>
      <c r="L83" s="161" t="s">
        <v>1147</v>
      </c>
      <c r="M83" s="146"/>
      <c r="N83" s="146"/>
      <c r="O83" s="183" t="s">
        <v>965</v>
      </c>
      <c r="P83" s="146"/>
      <c r="Q83" s="160">
        <v>19</v>
      </c>
      <c r="R83" s="153" t="str">
        <f t="shared" si="9"/>
        <v>II-0005.0019</v>
      </c>
      <c r="S83" s="146" t="str">
        <f t="shared" si="10"/>
        <v>RECTANGULAR - TIPO 0-52229</v>
      </c>
    </row>
    <row r="84" spans="1:19" x14ac:dyDescent="0.2">
      <c r="A84" s="152">
        <v>20</v>
      </c>
      <c r="B84" s="153" t="s">
        <v>1148</v>
      </c>
      <c r="C84" s="62" t="s">
        <v>1149</v>
      </c>
      <c r="D84" s="151" t="s">
        <v>965</v>
      </c>
      <c r="G84" s="146"/>
      <c r="H84" s="162"/>
      <c r="I84" s="151"/>
      <c r="J84" s="168">
        <v>11</v>
      </c>
      <c r="K84" s="146"/>
      <c r="L84" s="161" t="s">
        <v>1150</v>
      </c>
      <c r="M84" s="146"/>
      <c r="N84" s="146"/>
      <c r="O84" s="183" t="s">
        <v>965</v>
      </c>
      <c r="P84" s="146"/>
      <c r="Q84" s="160">
        <v>20</v>
      </c>
      <c r="R84" s="153" t="str">
        <f t="shared" si="9"/>
        <v>II-0005.0020</v>
      </c>
      <c r="S84" s="146" t="str">
        <f t="shared" si="10"/>
        <v>RECTANGULAR - TIPO 0-52233</v>
      </c>
    </row>
    <row r="85" spans="1:19" x14ac:dyDescent="0.2">
      <c r="A85" s="152">
        <v>21</v>
      </c>
      <c r="B85" s="145" t="s">
        <v>1151</v>
      </c>
      <c r="C85" s="62" t="s">
        <v>1152</v>
      </c>
      <c r="D85" s="151" t="s">
        <v>965</v>
      </c>
      <c r="G85" s="146"/>
      <c r="H85" s="162"/>
      <c r="I85" s="176"/>
      <c r="J85" s="171">
        <v>12</v>
      </c>
      <c r="K85" s="146"/>
      <c r="L85" s="173" t="s">
        <v>1153</v>
      </c>
      <c r="M85" s="172"/>
      <c r="N85" s="172"/>
      <c r="O85" s="202" t="s">
        <v>965</v>
      </c>
      <c r="P85" s="146"/>
      <c r="Q85" s="160">
        <v>21</v>
      </c>
      <c r="R85" s="153" t="str">
        <f t="shared" si="9"/>
        <v>II-0005.0021</v>
      </c>
      <c r="S85" s="146" t="str">
        <f t="shared" si="10"/>
        <v>RECTANGULAR - TIPO 0-52241</v>
      </c>
    </row>
    <row r="86" spans="1:19" x14ac:dyDescent="0.2">
      <c r="A86" s="152">
        <v>30</v>
      </c>
      <c r="B86" s="145" t="s">
        <v>1154</v>
      </c>
      <c r="C86" s="62" t="s">
        <v>1096</v>
      </c>
      <c r="D86" s="151" t="s">
        <v>965</v>
      </c>
      <c r="G86" s="146"/>
      <c r="H86" s="162"/>
      <c r="I86" s="163" t="s">
        <v>1026</v>
      </c>
      <c r="J86" s="176"/>
      <c r="K86" s="221" t="s">
        <v>1096</v>
      </c>
      <c r="L86" s="173"/>
      <c r="M86" s="172"/>
      <c r="N86" s="172"/>
      <c r="O86" s="202" t="s">
        <v>965</v>
      </c>
      <c r="P86" s="146"/>
      <c r="Q86" s="160">
        <v>30</v>
      </c>
      <c r="R86" s="153" t="str">
        <f t="shared" si="9"/>
        <v>II-0005.0030</v>
      </c>
      <c r="S86" s="146" t="str">
        <f>CONCATENATE(K86)</f>
        <v>COLOCACION</v>
      </c>
    </row>
    <row r="87" spans="1:19" x14ac:dyDescent="0.2">
      <c r="A87" s="152">
        <v>31</v>
      </c>
      <c r="B87" s="145" t="s">
        <v>1155</v>
      </c>
      <c r="C87" s="170" t="s">
        <v>1093</v>
      </c>
      <c r="D87" s="151" t="s">
        <v>965</v>
      </c>
      <c r="G87" s="146"/>
      <c r="H87" s="162"/>
      <c r="I87" s="171" t="s">
        <v>1052</v>
      </c>
      <c r="J87" s="176"/>
      <c r="K87" s="161" t="s">
        <v>1093</v>
      </c>
      <c r="L87" s="173"/>
      <c r="M87" s="172"/>
      <c r="N87" s="172"/>
      <c r="O87" s="202" t="s">
        <v>965</v>
      </c>
      <c r="P87" s="146"/>
      <c r="Q87" s="160">
        <v>31</v>
      </c>
      <c r="R87" s="153" t="str">
        <f t="shared" si="9"/>
        <v>II-0005.0031</v>
      </c>
      <c r="S87" s="146" t="str">
        <f t="shared" ref="S87:S90" si="11">CONCATENATE(K87)</f>
        <v>PINTURA</v>
      </c>
    </row>
    <row r="88" spans="1:19" x14ac:dyDescent="0.2">
      <c r="A88" s="152">
        <v>32</v>
      </c>
      <c r="B88" s="153" t="s">
        <v>1156</v>
      </c>
      <c r="C88" s="62" t="s">
        <v>1157</v>
      </c>
      <c r="D88" s="226" t="s">
        <v>1100</v>
      </c>
      <c r="G88" s="146"/>
      <c r="H88" s="162"/>
      <c r="I88" s="171" t="s">
        <v>1094</v>
      </c>
      <c r="J88" s="176"/>
      <c r="K88" s="221" t="s">
        <v>1157</v>
      </c>
      <c r="L88" s="173"/>
      <c r="M88" s="172"/>
      <c r="N88" s="172"/>
      <c r="O88" s="227" t="s">
        <v>1100</v>
      </c>
      <c r="P88" s="146"/>
      <c r="Q88" s="160">
        <v>32</v>
      </c>
      <c r="R88" s="153" t="str">
        <f t="shared" si="9"/>
        <v>II-0005.0032</v>
      </c>
      <c r="S88" s="146" t="str">
        <f t="shared" si="11"/>
        <v>RELLENO SOCAVACION</v>
      </c>
    </row>
    <row r="89" spans="1:19" x14ac:dyDescent="0.2">
      <c r="A89" s="152">
        <v>33</v>
      </c>
      <c r="B89" s="153" t="s">
        <v>1158</v>
      </c>
      <c r="C89" s="62" t="s">
        <v>1103</v>
      </c>
      <c r="D89" s="151" t="s">
        <v>965</v>
      </c>
      <c r="G89" s="146"/>
      <c r="H89" s="162"/>
      <c r="I89" s="163" t="s">
        <v>1097</v>
      </c>
      <c r="J89" s="204"/>
      <c r="K89" s="221" t="s">
        <v>1103</v>
      </c>
      <c r="L89" s="204"/>
      <c r="M89" s="204"/>
      <c r="N89" s="204"/>
      <c r="O89" s="205" t="s">
        <v>965</v>
      </c>
      <c r="P89" s="146"/>
      <c r="Q89" s="160">
        <v>33</v>
      </c>
      <c r="R89" s="153" t="str">
        <f t="shared" si="9"/>
        <v>II-0005.0033</v>
      </c>
      <c r="S89" s="146" t="str">
        <f t="shared" si="11"/>
        <v>REPARACION</v>
      </c>
    </row>
    <row r="90" spans="1:19" ht="15.75" thickBot="1" x14ac:dyDescent="0.25">
      <c r="A90" s="152">
        <v>34</v>
      </c>
      <c r="B90" s="153" t="s">
        <v>1159</v>
      </c>
      <c r="C90" s="62" t="s">
        <v>1108</v>
      </c>
      <c r="D90" s="151" t="s">
        <v>965</v>
      </c>
      <c r="G90" s="146"/>
      <c r="H90" s="177"/>
      <c r="I90" s="189" t="s">
        <v>1101</v>
      </c>
      <c r="J90" s="180"/>
      <c r="K90" s="181" t="s">
        <v>1108</v>
      </c>
      <c r="L90" s="180"/>
      <c r="M90" s="180"/>
      <c r="N90" s="180"/>
      <c r="O90" s="228" t="s">
        <v>965</v>
      </c>
      <c r="P90" s="146"/>
      <c r="Q90" s="160">
        <v>34</v>
      </c>
      <c r="R90" s="153" t="str">
        <f t="shared" si="9"/>
        <v>II-0005.0034</v>
      </c>
      <c r="S90" s="146" t="str">
        <f t="shared" si="11"/>
        <v xml:space="preserve">RETIRO </v>
      </c>
    </row>
    <row r="91" spans="1:19" ht="16.5" thickTop="1" thickBot="1" x14ac:dyDescent="0.25">
      <c r="A91" s="152"/>
      <c r="B91" s="153"/>
      <c r="C91" s="62"/>
      <c r="D91" s="151"/>
      <c r="G91" s="146"/>
      <c r="H91" s="162"/>
      <c r="I91" s="151"/>
      <c r="J91" s="146"/>
      <c r="K91" s="161"/>
      <c r="L91" s="146"/>
      <c r="M91" s="146"/>
      <c r="N91" s="146"/>
      <c r="O91" s="183"/>
      <c r="P91" s="146"/>
      <c r="Q91" s="160"/>
      <c r="R91" s="153"/>
      <c r="S91" s="146"/>
    </row>
    <row r="92" spans="1:19" ht="15.75" thickTop="1" x14ac:dyDescent="0.2">
      <c r="A92" s="152">
        <v>6</v>
      </c>
      <c r="B92" s="153" t="s">
        <v>1160</v>
      </c>
      <c r="C92" s="62" t="s">
        <v>1161</v>
      </c>
      <c r="D92" s="151"/>
      <c r="G92" s="146"/>
      <c r="H92" s="229">
        <v>6</v>
      </c>
      <c r="I92" s="230"/>
      <c r="J92" s="231"/>
      <c r="K92" s="232" t="s">
        <v>1161</v>
      </c>
      <c r="L92" s="231"/>
      <c r="M92" s="231"/>
      <c r="N92" s="231"/>
      <c r="O92" s="233"/>
      <c r="P92" s="146"/>
      <c r="Q92" s="160">
        <f>H92</f>
        <v>6</v>
      </c>
      <c r="R92" s="151" t="str">
        <f>CONCATENATE("II-",TEXT(Q92,"0000"))</f>
        <v>II-0006</v>
      </c>
      <c r="S92" s="161" t="str">
        <f>K92</f>
        <v>APERTURA DE CAJA P/ ENSANCHE</v>
      </c>
    </row>
    <row r="93" spans="1:19" x14ac:dyDescent="0.2">
      <c r="A93" s="152">
        <v>1</v>
      </c>
      <c r="B93" s="153" t="s">
        <v>1162</v>
      </c>
      <c r="C93" s="62" t="s">
        <v>1058</v>
      </c>
      <c r="D93" s="151" t="s">
        <v>1100</v>
      </c>
      <c r="G93" s="146"/>
      <c r="H93" s="162"/>
      <c r="I93" s="163" t="s">
        <v>989</v>
      </c>
      <c r="J93" s="204"/>
      <c r="K93" s="221" t="s">
        <v>1058</v>
      </c>
      <c r="L93" s="204"/>
      <c r="M93" s="204"/>
      <c r="N93" s="204"/>
      <c r="O93" s="220" t="s">
        <v>1100</v>
      </c>
      <c r="P93" s="146"/>
      <c r="Q93" s="160">
        <v>1</v>
      </c>
      <c r="R93" s="153" t="str">
        <f>CONCATENATE($R$92,".",TEXT(Q93,"0000"))</f>
        <v>II-0006.0001</v>
      </c>
      <c r="S93" s="146" t="str">
        <f>CONCATENATE(K93)</f>
        <v>RETIRO</v>
      </c>
    </row>
    <row r="94" spans="1:19" ht="15.75" thickBot="1" x14ac:dyDescent="0.25">
      <c r="A94" s="152">
        <v>2</v>
      </c>
      <c r="B94" s="153" t="s">
        <v>1163</v>
      </c>
      <c r="C94" s="62" t="s">
        <v>1164</v>
      </c>
      <c r="D94" s="151" t="s">
        <v>1100</v>
      </c>
      <c r="G94" s="146"/>
      <c r="H94" s="162"/>
      <c r="I94" s="189" t="s">
        <v>1016</v>
      </c>
      <c r="J94" s="146"/>
      <c r="K94" s="161" t="s">
        <v>1164</v>
      </c>
      <c r="L94" s="146"/>
      <c r="M94" s="146"/>
      <c r="N94" s="146"/>
      <c r="O94" s="198" t="s">
        <v>1100</v>
      </c>
      <c r="P94" s="146"/>
      <c r="Q94" s="160">
        <v>2</v>
      </c>
      <c r="R94" s="153" t="str">
        <f>CONCATENATE($R$92,".",TEXT(Q94,"0000"))</f>
        <v>II-0006.0002</v>
      </c>
      <c r="S94" s="146" t="str">
        <f>CONCATENATE(K94)</f>
        <v>RETIRO Y COLOCACION</v>
      </c>
    </row>
    <row r="95" spans="1:19" ht="16.5" thickTop="1" thickBot="1" x14ac:dyDescent="0.25">
      <c r="A95" s="152"/>
      <c r="B95" s="145"/>
      <c r="C95" s="62"/>
      <c r="D95" s="151"/>
      <c r="G95" s="146"/>
      <c r="H95" s="162"/>
      <c r="I95" s="151"/>
      <c r="J95" s="146"/>
      <c r="K95" s="161"/>
      <c r="L95" s="146"/>
      <c r="M95" s="146"/>
      <c r="N95" s="146"/>
      <c r="O95" s="198"/>
      <c r="P95" s="146"/>
      <c r="Q95" s="160"/>
      <c r="R95" s="153"/>
      <c r="S95" s="146"/>
    </row>
    <row r="96" spans="1:19" ht="15.75" thickTop="1" x14ac:dyDescent="0.2">
      <c r="A96" s="152">
        <v>7</v>
      </c>
      <c r="B96" s="145" t="s">
        <v>1165</v>
      </c>
      <c r="C96" s="62" t="s">
        <v>1166</v>
      </c>
      <c r="D96" s="151"/>
      <c r="G96" s="146"/>
      <c r="H96" s="229">
        <v>7</v>
      </c>
      <c r="I96" s="185"/>
      <c r="J96" s="234"/>
      <c r="K96" s="235" t="s">
        <v>1166</v>
      </c>
      <c r="L96" s="234"/>
      <c r="M96" s="234"/>
      <c r="N96" s="234"/>
      <c r="O96" s="187"/>
      <c r="P96" s="146"/>
      <c r="Q96" s="160">
        <f>H96</f>
        <v>7</v>
      </c>
      <c r="R96" s="151" t="str">
        <f>CONCATENATE("II-",TEXT(Q96,"0000"))</f>
        <v>II-0007</v>
      </c>
      <c r="S96" s="161" t="str">
        <f>K96</f>
        <v>APOYO DE POLICLOROPENO SHARE 60</v>
      </c>
    </row>
    <row r="97" spans="1:19" x14ac:dyDescent="0.2">
      <c r="A97" s="152">
        <v>1</v>
      </c>
      <c r="B97" s="145" t="s">
        <v>1167</v>
      </c>
      <c r="C97" s="170" t="s">
        <v>1106</v>
      </c>
      <c r="D97" s="151" t="s">
        <v>1168</v>
      </c>
      <c r="G97" s="146"/>
      <c r="H97" s="162"/>
      <c r="I97" s="163" t="s">
        <v>989</v>
      </c>
      <c r="J97" s="204"/>
      <c r="K97" s="221" t="s">
        <v>1106</v>
      </c>
      <c r="L97" s="204"/>
      <c r="M97" s="204"/>
      <c r="N97" s="204"/>
      <c r="O97" s="205" t="s">
        <v>1168</v>
      </c>
      <c r="P97" s="146"/>
      <c r="Q97" s="160">
        <v>1</v>
      </c>
      <c r="R97" s="153" t="str">
        <f>CONCATENATE($R$96,".",TEXT(Q97,"0000"))</f>
        <v>II-0007.0001</v>
      </c>
      <c r="S97" s="146" t="str">
        <f>CONCATENATE(K97)</f>
        <v>RETIRO Y RECOLOCACION</v>
      </c>
    </row>
    <row r="98" spans="1:19" ht="15.75" thickBot="1" x14ac:dyDescent="0.25">
      <c r="A98" s="152">
        <v>2</v>
      </c>
      <c r="B98" s="153" t="s">
        <v>1169</v>
      </c>
      <c r="C98" s="62" t="s">
        <v>1103</v>
      </c>
      <c r="D98" s="151" t="s">
        <v>1168</v>
      </c>
      <c r="G98" s="146"/>
      <c r="H98" s="162"/>
      <c r="I98" s="179" t="s">
        <v>1016</v>
      </c>
      <c r="J98" s="146"/>
      <c r="K98" s="161" t="s">
        <v>1103</v>
      </c>
      <c r="L98" s="146"/>
      <c r="M98" s="146"/>
      <c r="N98" s="146"/>
      <c r="O98" s="228" t="s">
        <v>1168</v>
      </c>
      <c r="P98" s="146"/>
      <c r="Q98" s="160">
        <v>2</v>
      </c>
      <c r="R98" s="153" t="str">
        <f>CONCATENATE($R$96,".",TEXT(Q98,"0000"))</f>
        <v>II-0007.0002</v>
      </c>
      <c r="S98" s="146" t="str">
        <f>CONCATENATE(K98)</f>
        <v>REPARACION</v>
      </c>
    </row>
    <row r="99" spans="1:19" ht="16.5" thickTop="1" thickBot="1" x14ac:dyDescent="0.25">
      <c r="A99" s="152"/>
      <c r="B99" s="153"/>
      <c r="C99" s="62"/>
      <c r="D99" s="151"/>
      <c r="G99" s="146"/>
      <c r="H99" s="162"/>
      <c r="I99" s="151"/>
      <c r="J99" s="146"/>
      <c r="K99" s="161"/>
      <c r="L99" s="146"/>
      <c r="M99" s="146"/>
      <c r="N99" s="146"/>
      <c r="O99" s="183"/>
      <c r="P99" s="146"/>
      <c r="Q99" s="160"/>
      <c r="R99" s="153"/>
      <c r="S99" s="146"/>
    </row>
    <row r="100" spans="1:19" ht="16.5" thickTop="1" thickBot="1" x14ac:dyDescent="0.25">
      <c r="A100" s="152">
        <v>8</v>
      </c>
      <c r="B100" s="153" t="s">
        <v>1170</v>
      </c>
      <c r="C100" s="62" t="s">
        <v>1171</v>
      </c>
      <c r="D100" s="151" t="s">
        <v>1100</v>
      </c>
      <c r="G100" s="146"/>
      <c r="H100" s="236">
        <v>8</v>
      </c>
      <c r="I100" s="237"/>
      <c r="J100" s="238"/>
      <c r="K100" s="239" t="s">
        <v>1171</v>
      </c>
      <c r="L100" s="238"/>
      <c r="M100" s="238"/>
      <c r="N100" s="238"/>
      <c r="O100" s="240" t="s">
        <v>1100</v>
      </c>
      <c r="P100" s="146"/>
      <c r="Q100" s="160">
        <f>H100</f>
        <v>8</v>
      </c>
      <c r="R100" s="151" t="str">
        <f>CONCATENATE("II-",TEXT(Q100,"0000"))</f>
        <v>II-0008</v>
      </c>
      <c r="S100" s="161" t="str">
        <f>K100</f>
        <v>ARIDOS</v>
      </c>
    </row>
    <row r="101" spans="1:19" x14ac:dyDescent="0.2">
      <c r="A101" s="152"/>
      <c r="B101" s="153"/>
      <c r="C101" s="62"/>
      <c r="D101" s="151"/>
      <c r="G101" s="146"/>
      <c r="H101" s="214"/>
      <c r="I101" s="151"/>
      <c r="J101" s="146"/>
      <c r="K101" s="161"/>
      <c r="L101" s="146"/>
      <c r="M101" s="146"/>
      <c r="N101" s="146"/>
      <c r="O101" s="149"/>
      <c r="P101" s="146"/>
      <c r="Q101" s="146"/>
      <c r="R101" s="146"/>
      <c r="S101" s="146"/>
    </row>
    <row r="102" spans="1:19" x14ac:dyDescent="0.2">
      <c r="A102" s="152"/>
      <c r="B102" s="153"/>
      <c r="C102" s="62"/>
      <c r="D102" s="151"/>
      <c r="G102" s="146"/>
      <c r="H102" s="214"/>
      <c r="I102" s="151"/>
      <c r="J102" s="146"/>
      <c r="K102" s="161"/>
      <c r="L102" s="146"/>
      <c r="M102" s="146"/>
      <c r="N102" s="146"/>
      <c r="O102" s="149"/>
      <c r="P102" s="146"/>
      <c r="Q102" s="146"/>
      <c r="R102" s="146"/>
      <c r="S102" s="146"/>
    </row>
    <row r="103" spans="1:19" x14ac:dyDescent="0.2">
      <c r="A103" s="152"/>
      <c r="B103" s="145"/>
      <c r="C103" s="62"/>
      <c r="D103" s="151"/>
      <c r="G103" s="146"/>
      <c r="H103" s="214"/>
      <c r="I103" s="151"/>
      <c r="J103" s="146"/>
      <c r="K103" s="161"/>
      <c r="L103" s="146"/>
      <c r="M103" s="146"/>
      <c r="N103" s="146"/>
      <c r="O103" s="149"/>
      <c r="P103" s="146"/>
      <c r="Q103" s="146"/>
      <c r="R103" s="146"/>
      <c r="S103" s="146"/>
    </row>
    <row r="104" spans="1:19" x14ac:dyDescent="0.2">
      <c r="A104" s="152">
        <v>9</v>
      </c>
      <c r="B104" s="145" t="s">
        <v>1172</v>
      </c>
      <c r="C104" s="62" t="s">
        <v>1173</v>
      </c>
      <c r="D104" s="151"/>
      <c r="G104" s="146"/>
      <c r="H104" s="184">
        <v>9</v>
      </c>
      <c r="I104" s="186"/>
      <c r="J104" s="196"/>
      <c r="K104" s="241" t="s">
        <v>1173</v>
      </c>
      <c r="L104" s="196"/>
      <c r="M104" s="196"/>
      <c r="N104" s="196"/>
      <c r="O104" s="206"/>
      <c r="P104" s="146"/>
      <c r="Q104" s="160">
        <f>H104</f>
        <v>9</v>
      </c>
      <c r="R104" s="151" t="str">
        <f>CONCATENATE("II-",TEXT(Q104,"0000"))</f>
        <v>II-0009</v>
      </c>
      <c r="S104" s="161" t="str">
        <f>K104</f>
        <v>BACHEO DE PAVIMENTO ASFALTICO</v>
      </c>
    </row>
    <row r="105" spans="1:19" x14ac:dyDescent="0.2">
      <c r="A105" s="152"/>
      <c r="B105" s="145"/>
      <c r="C105" s="170"/>
      <c r="D105" s="151"/>
      <c r="G105" s="146"/>
      <c r="H105" s="162"/>
      <c r="I105" s="163" t="s">
        <v>989</v>
      </c>
      <c r="J105" s="146"/>
      <c r="K105" s="161" t="s">
        <v>1174</v>
      </c>
      <c r="L105" s="146"/>
      <c r="M105" s="146"/>
      <c r="N105" s="146"/>
      <c r="O105" s="198"/>
      <c r="P105" s="146"/>
      <c r="Q105" s="146"/>
      <c r="R105" s="146"/>
      <c r="S105" s="146"/>
    </row>
    <row r="106" spans="1:19" x14ac:dyDescent="0.2">
      <c r="A106" s="152">
        <v>1</v>
      </c>
      <c r="B106" s="153" t="s">
        <v>1175</v>
      </c>
      <c r="C106" s="62" t="s">
        <v>1176</v>
      </c>
      <c r="D106" s="151" t="s">
        <v>1100</v>
      </c>
      <c r="G106" s="146"/>
      <c r="H106" s="162"/>
      <c r="I106" s="151"/>
      <c r="J106" s="168">
        <v>1</v>
      </c>
      <c r="K106" s="161"/>
      <c r="L106" s="161" t="s">
        <v>1177</v>
      </c>
      <c r="M106" s="146"/>
      <c r="N106" s="146"/>
      <c r="O106" s="198" t="s">
        <v>1100</v>
      </c>
      <c r="P106" s="146"/>
      <c r="Q106" s="160">
        <v>1</v>
      </c>
      <c r="R106" s="153" t="str">
        <f>CONCATENATE($R$104,".",TEXT(Q106,"0000"))</f>
        <v>II-0009.0001</v>
      </c>
      <c r="S106" s="146" t="str">
        <f>CONCATENATE($K$105," CON ",L106)</f>
        <v>PROFUNDO CON MATERIAL PETREO Y SUELO</v>
      </c>
    </row>
    <row r="107" spans="1:19" x14ac:dyDescent="0.2">
      <c r="A107" s="152">
        <v>2</v>
      </c>
      <c r="B107" s="153" t="s">
        <v>1178</v>
      </c>
      <c r="C107" s="62" t="s">
        <v>1179</v>
      </c>
      <c r="D107" s="151" t="s">
        <v>1100</v>
      </c>
      <c r="G107" s="146"/>
      <c r="H107" s="162"/>
      <c r="I107" s="151"/>
      <c r="J107" s="168">
        <v>2</v>
      </c>
      <c r="K107" s="161"/>
      <c r="L107" s="161" t="s">
        <v>1180</v>
      </c>
      <c r="M107" s="146"/>
      <c r="N107" s="146"/>
      <c r="O107" s="198" t="s">
        <v>1100</v>
      </c>
      <c r="P107" s="146"/>
      <c r="Q107" s="160">
        <v>2</v>
      </c>
      <c r="R107" s="153" t="str">
        <f t="shared" ref="R107:R111" si="12">CONCATENATE($R$104,".",TEXT(Q107,"0000"))</f>
        <v>II-0009.0002</v>
      </c>
      <c r="S107" s="146" t="str">
        <f t="shared" ref="S107:S111" si="13">CONCATENATE($K$105," CON ",L107)</f>
        <v>PROFUNDO CON MEZCLA ASFALTICA</v>
      </c>
    </row>
    <row r="108" spans="1:19" x14ac:dyDescent="0.2">
      <c r="A108" s="152">
        <v>3</v>
      </c>
      <c r="B108" s="153" t="s">
        <v>1181</v>
      </c>
      <c r="C108" s="62" t="s">
        <v>1182</v>
      </c>
      <c r="D108" s="151" t="s">
        <v>1183</v>
      </c>
      <c r="G108" s="146"/>
      <c r="H108" s="162"/>
      <c r="I108" s="151"/>
      <c r="J108" s="168">
        <v>3</v>
      </c>
      <c r="K108" s="161"/>
      <c r="L108" s="161" t="s">
        <v>1184</v>
      </c>
      <c r="M108" s="146"/>
      <c r="N108" s="146"/>
      <c r="O108" s="198" t="s">
        <v>1183</v>
      </c>
      <c r="P108" s="146"/>
      <c r="Q108" s="160">
        <v>3</v>
      </c>
      <c r="R108" s="153" t="str">
        <f t="shared" si="12"/>
        <v>II-0009.0003</v>
      </c>
      <c r="S108" s="146" t="str">
        <f t="shared" si="13"/>
        <v>PROFUNDO CON SUELO CAL</v>
      </c>
    </row>
    <row r="109" spans="1:19" x14ac:dyDescent="0.2">
      <c r="A109" s="152">
        <v>4</v>
      </c>
      <c r="B109" s="153" t="s">
        <v>1185</v>
      </c>
      <c r="C109" s="62" t="s">
        <v>1186</v>
      </c>
      <c r="D109" s="151" t="s">
        <v>1183</v>
      </c>
      <c r="G109" s="146"/>
      <c r="H109" s="162"/>
      <c r="I109" s="151"/>
      <c r="J109" s="168">
        <v>4</v>
      </c>
      <c r="K109" s="161"/>
      <c r="L109" s="161" t="s">
        <v>1187</v>
      </c>
      <c r="M109" s="146"/>
      <c r="N109" s="146"/>
      <c r="O109" s="198" t="s">
        <v>1183</v>
      </c>
      <c r="P109" s="146"/>
      <c r="Q109" s="160">
        <v>4</v>
      </c>
      <c r="R109" s="153" t="str">
        <f t="shared" si="12"/>
        <v>II-0009.0004</v>
      </c>
      <c r="S109" s="146" t="str">
        <f t="shared" si="13"/>
        <v>PROFUNDO CON SUELO CEMENTO</v>
      </c>
    </row>
    <row r="110" spans="1:19" x14ac:dyDescent="0.2">
      <c r="A110" s="152">
        <v>5</v>
      </c>
      <c r="B110" s="153" t="s">
        <v>1188</v>
      </c>
      <c r="C110" s="62" t="s">
        <v>1189</v>
      </c>
      <c r="D110" s="151" t="s">
        <v>1183</v>
      </c>
      <c r="G110" s="146"/>
      <c r="H110" s="162"/>
      <c r="I110" s="151"/>
      <c r="J110" s="168">
        <v>5</v>
      </c>
      <c r="K110" s="161"/>
      <c r="L110" s="161" t="s">
        <v>1190</v>
      </c>
      <c r="M110" s="146"/>
      <c r="N110" s="146"/>
      <c r="O110" s="198" t="s">
        <v>1183</v>
      </c>
      <c r="P110" s="146"/>
      <c r="Q110" s="160">
        <v>5</v>
      </c>
      <c r="R110" s="153" t="str">
        <f t="shared" si="12"/>
        <v>II-0009.0005</v>
      </c>
      <c r="S110" s="146" t="str">
        <f t="shared" si="13"/>
        <v>PROFUNDO CON SUELO SELECCIONADO</v>
      </c>
    </row>
    <row r="111" spans="1:19" x14ac:dyDescent="0.2">
      <c r="A111" s="152">
        <v>6</v>
      </c>
      <c r="B111" s="153" t="s">
        <v>1191</v>
      </c>
      <c r="C111" s="62" t="s">
        <v>1192</v>
      </c>
      <c r="D111" s="151" t="s">
        <v>1183</v>
      </c>
      <c r="G111" s="146"/>
      <c r="H111" s="162"/>
      <c r="I111" s="176"/>
      <c r="J111" s="171">
        <v>6</v>
      </c>
      <c r="K111" s="173"/>
      <c r="L111" s="173" t="s">
        <v>1193</v>
      </c>
      <c r="M111" s="172"/>
      <c r="N111" s="172"/>
      <c r="O111" s="216" t="s">
        <v>1183</v>
      </c>
      <c r="P111" s="146"/>
      <c r="Q111" s="160">
        <v>6</v>
      </c>
      <c r="R111" s="153" t="str">
        <f t="shared" si="12"/>
        <v>II-0009.0006</v>
      </c>
      <c r="S111" s="146" t="str">
        <f t="shared" si="13"/>
        <v>PROFUNDO CON SUELO TRATADO C / CAL</v>
      </c>
    </row>
    <row r="112" spans="1:19" x14ac:dyDescent="0.2">
      <c r="A112" s="152"/>
      <c r="B112" s="62"/>
      <c r="C112" s="62"/>
      <c r="D112" s="151"/>
      <c r="G112" s="146"/>
      <c r="H112" s="162"/>
      <c r="I112" s="163" t="s">
        <v>1016</v>
      </c>
      <c r="J112" s="146"/>
      <c r="K112" s="161" t="s">
        <v>1194</v>
      </c>
      <c r="L112" s="146"/>
      <c r="M112" s="146"/>
      <c r="N112" s="146"/>
      <c r="O112" s="198"/>
      <c r="P112" s="146"/>
      <c r="Q112" s="146"/>
      <c r="R112" s="146"/>
      <c r="S112" s="146"/>
    </row>
    <row r="113" spans="1:19" ht="15.75" thickBot="1" x14ac:dyDescent="0.25">
      <c r="A113" s="152">
        <v>10</v>
      </c>
      <c r="B113" s="145" t="s">
        <v>1195</v>
      </c>
      <c r="C113" s="62" t="s">
        <v>1196</v>
      </c>
      <c r="D113" s="151" t="s">
        <v>1100</v>
      </c>
      <c r="G113" s="146"/>
      <c r="H113" s="177"/>
      <c r="I113" s="178"/>
      <c r="J113" s="179">
        <v>2</v>
      </c>
      <c r="K113" s="181"/>
      <c r="L113" s="181" t="s">
        <v>1180</v>
      </c>
      <c r="M113" s="180"/>
      <c r="N113" s="180"/>
      <c r="O113" s="242" t="s">
        <v>1100</v>
      </c>
      <c r="P113" s="146"/>
      <c r="Q113" s="160">
        <v>10</v>
      </c>
      <c r="R113" s="153" t="str">
        <f>CONCATENATE($R$104,".",TEXT(Q113,"0000"))</f>
        <v>II-0009.0010</v>
      </c>
      <c r="S113" s="146" t="str">
        <f>CONCATENATE($K$112," CON ",L113)</f>
        <v>SUPERFICIAL CON MEZCLA ASFALTICA</v>
      </c>
    </row>
    <row r="114" spans="1:19" ht="15.75" thickTop="1" x14ac:dyDescent="0.2">
      <c r="A114" s="152"/>
      <c r="B114" s="145"/>
      <c r="C114" s="170"/>
      <c r="D114" s="151"/>
      <c r="G114" s="146"/>
      <c r="H114" s="162"/>
      <c r="I114" s="151"/>
      <c r="J114" s="151"/>
      <c r="K114" s="161"/>
      <c r="L114" s="161"/>
      <c r="M114" s="146"/>
      <c r="N114" s="146"/>
      <c r="O114" s="198"/>
      <c r="P114" s="146"/>
      <c r="Q114" s="160"/>
      <c r="R114" s="153"/>
      <c r="S114" s="146"/>
    </row>
    <row r="115" spans="1:19" x14ac:dyDescent="0.2">
      <c r="A115" s="152">
        <v>10</v>
      </c>
      <c r="B115" s="153" t="s">
        <v>1197</v>
      </c>
      <c r="C115" s="62" t="s">
        <v>1198</v>
      </c>
      <c r="D115" s="151"/>
      <c r="G115" s="146"/>
      <c r="H115" s="184">
        <v>10</v>
      </c>
      <c r="I115" s="186"/>
      <c r="J115" s="196"/>
      <c r="K115" s="241" t="s">
        <v>1198</v>
      </c>
      <c r="L115" s="196"/>
      <c r="M115" s="196"/>
      <c r="N115" s="196"/>
      <c r="O115" s="206"/>
      <c r="P115" s="146"/>
      <c r="Q115" s="160">
        <f>H115</f>
        <v>10</v>
      </c>
      <c r="R115" s="151" t="str">
        <f>CONCATENATE("II-",TEXT(Q115,"0000"))</f>
        <v>II-0010</v>
      </c>
      <c r="S115" s="161" t="str">
        <f>K115</f>
        <v>BADEN</v>
      </c>
    </row>
    <row r="116" spans="1:19" x14ac:dyDescent="0.2">
      <c r="A116" s="152"/>
      <c r="B116" s="153"/>
      <c r="C116" s="62"/>
      <c r="D116" s="151"/>
      <c r="G116" s="146"/>
      <c r="H116" s="162"/>
      <c r="I116" s="163" t="s">
        <v>989</v>
      </c>
      <c r="J116" s="146"/>
      <c r="K116" s="161" t="s">
        <v>1199</v>
      </c>
      <c r="L116" s="146"/>
      <c r="M116" s="146"/>
      <c r="N116" s="146"/>
      <c r="O116" s="198"/>
      <c r="P116" s="146"/>
      <c r="Q116" s="146"/>
      <c r="R116" s="146"/>
      <c r="S116" s="146"/>
    </row>
    <row r="117" spans="1:19" x14ac:dyDescent="0.2">
      <c r="A117" s="152">
        <v>1</v>
      </c>
      <c r="B117" s="153" t="s">
        <v>1200</v>
      </c>
      <c r="C117" s="62" t="s">
        <v>1201</v>
      </c>
      <c r="D117" s="151" t="s">
        <v>1100</v>
      </c>
      <c r="G117" s="146"/>
      <c r="H117" s="162"/>
      <c r="I117" s="151"/>
      <c r="J117" s="168">
        <v>1</v>
      </c>
      <c r="K117" s="146"/>
      <c r="L117" s="161" t="s">
        <v>1202</v>
      </c>
      <c r="M117" s="146"/>
      <c r="N117" s="146"/>
      <c r="O117" s="198" t="s">
        <v>1100</v>
      </c>
      <c r="P117" s="146"/>
      <c r="Q117" s="160">
        <v>1</v>
      </c>
      <c r="R117" s="153" t="str">
        <f>CONCATENATE($R$115,".",TEXT(Q117,"0000"))</f>
        <v>II-0010.0001</v>
      </c>
      <c r="S117" s="146" t="str">
        <f>CONCATENATE($K$116," - TIPO ",L117)</f>
        <v>Hº  SIMPLE - TIPO A-2862</v>
      </c>
    </row>
    <row r="118" spans="1:19" x14ac:dyDescent="0.2">
      <c r="A118" s="152">
        <v>2</v>
      </c>
      <c r="B118" s="153" t="s">
        <v>1203</v>
      </c>
      <c r="C118" s="62" t="s">
        <v>1204</v>
      </c>
      <c r="D118" s="151" t="s">
        <v>1100</v>
      </c>
      <c r="G118" s="146"/>
      <c r="H118" s="162"/>
      <c r="I118" s="151"/>
      <c r="J118" s="171">
        <v>2</v>
      </c>
      <c r="K118" s="172"/>
      <c r="L118" s="173" t="s">
        <v>1205</v>
      </c>
      <c r="M118" s="172"/>
      <c r="N118" s="172"/>
      <c r="O118" s="216" t="s">
        <v>1100</v>
      </c>
      <c r="P118" s="146"/>
      <c r="Q118" s="160">
        <v>2</v>
      </c>
      <c r="R118" s="153" t="str">
        <f>CONCATENATE($R$115,".",TEXT(Q118,"0000"))</f>
        <v>II-0010.0002</v>
      </c>
      <c r="S118" s="146" t="str">
        <f>CONCATENATE($K$116," - TIPO ",L118)</f>
        <v>Hº  SIMPLE - TIPO H-8621</v>
      </c>
    </row>
    <row r="119" spans="1:19" x14ac:dyDescent="0.2">
      <c r="A119" s="152"/>
      <c r="B119" s="153"/>
      <c r="C119" s="62"/>
      <c r="D119" s="151"/>
      <c r="G119" s="146"/>
      <c r="H119" s="162"/>
      <c r="I119" s="163" t="s">
        <v>1016</v>
      </c>
      <c r="J119" s="146"/>
      <c r="K119" s="161" t="s">
        <v>1206</v>
      </c>
      <c r="L119" s="146"/>
      <c r="M119" s="146"/>
      <c r="N119" s="146"/>
      <c r="O119" s="198"/>
      <c r="P119" s="146"/>
      <c r="Q119" s="146"/>
      <c r="R119" s="146"/>
      <c r="S119" s="146"/>
    </row>
    <row r="120" spans="1:19" x14ac:dyDescent="0.2">
      <c r="A120" s="152">
        <v>10</v>
      </c>
      <c r="B120" s="153" t="s">
        <v>1207</v>
      </c>
      <c r="C120" s="62" t="s">
        <v>1208</v>
      </c>
      <c r="D120" s="151" t="s">
        <v>1100</v>
      </c>
      <c r="G120" s="146"/>
      <c r="H120" s="162"/>
      <c r="I120" s="176"/>
      <c r="J120" s="171">
        <v>1</v>
      </c>
      <c r="K120" s="172"/>
      <c r="L120" s="173" t="s">
        <v>1209</v>
      </c>
      <c r="M120" s="172"/>
      <c r="N120" s="172"/>
      <c r="O120" s="216" t="s">
        <v>1100</v>
      </c>
      <c r="P120" s="146"/>
      <c r="Q120" s="160">
        <v>10</v>
      </c>
      <c r="R120" s="153" t="str">
        <f>CONCATENATE($R$115,".",TEXT(Q120,"0000"))</f>
        <v>II-0010.0010</v>
      </c>
      <c r="S120" s="146" t="str">
        <f>CONCATENATE($K$119," - TIPO ",L120)</f>
        <v>Hº ARMADO - TIPO V-331</v>
      </c>
    </row>
    <row r="121" spans="1:19" ht="15.75" thickBot="1" x14ac:dyDescent="0.25">
      <c r="A121" s="152"/>
      <c r="B121" s="153"/>
      <c r="C121" s="62"/>
      <c r="D121" s="151" t="s">
        <v>1100</v>
      </c>
      <c r="G121" s="146"/>
      <c r="H121" s="177"/>
      <c r="I121" s="179" t="s">
        <v>1026</v>
      </c>
      <c r="J121" s="180"/>
      <c r="K121" s="181" t="s">
        <v>1017</v>
      </c>
      <c r="L121" s="180"/>
      <c r="M121" s="180"/>
      <c r="N121" s="180"/>
      <c r="O121" s="242" t="s">
        <v>1100</v>
      </c>
      <c r="P121" s="146"/>
      <c r="Q121" s="146"/>
      <c r="R121" s="146"/>
      <c r="S121" s="146"/>
    </row>
    <row r="122" spans="1:19" ht="15.75" thickTop="1" x14ac:dyDescent="0.2">
      <c r="A122" s="152">
        <v>11</v>
      </c>
      <c r="B122" s="153" t="s">
        <v>1210</v>
      </c>
      <c r="C122" s="62" t="s">
        <v>1211</v>
      </c>
      <c r="D122" s="151"/>
      <c r="G122" s="146"/>
      <c r="H122" s="184">
        <v>11</v>
      </c>
      <c r="I122" s="186"/>
      <c r="J122" s="196"/>
      <c r="K122" s="241" t="s">
        <v>1211</v>
      </c>
      <c r="L122" s="196"/>
      <c r="M122" s="196"/>
      <c r="N122" s="196"/>
      <c r="O122" s="206"/>
      <c r="P122" s="146"/>
      <c r="Q122" s="160">
        <f>H122</f>
        <v>11</v>
      </c>
      <c r="R122" s="151" t="str">
        <f>CONCATENATE("II-",TEXT(Q122,"0000"))</f>
        <v>II-0011</v>
      </c>
      <c r="S122" s="161" t="str">
        <f>K122</f>
        <v>BAJADA DE AGUA</v>
      </c>
    </row>
    <row r="123" spans="1:19" x14ac:dyDescent="0.2">
      <c r="A123" s="152">
        <v>1</v>
      </c>
      <c r="B123" s="153" t="s">
        <v>1212</v>
      </c>
      <c r="C123" s="62" t="s">
        <v>1213</v>
      </c>
      <c r="D123" s="151" t="s">
        <v>965</v>
      </c>
      <c r="G123" s="146"/>
      <c r="H123" s="197"/>
      <c r="I123" s="163" t="s">
        <v>989</v>
      </c>
      <c r="J123" s="204"/>
      <c r="K123" s="221" t="s">
        <v>1213</v>
      </c>
      <c r="L123" s="204"/>
      <c r="M123" s="204"/>
      <c r="N123" s="204"/>
      <c r="O123" s="220" t="s">
        <v>965</v>
      </c>
      <c r="P123" s="146"/>
      <c r="Q123" s="160">
        <v>1</v>
      </c>
      <c r="R123" s="153" t="str">
        <f>CONCATENATE($R$122,".",TEXT(Q123,"0000"))</f>
        <v>II-0011.0001</v>
      </c>
      <c r="S123" s="146" t="str">
        <f>CONCATENATE($K$123)</f>
        <v>METALICA</v>
      </c>
    </row>
    <row r="124" spans="1:19" x14ac:dyDescent="0.2">
      <c r="A124" s="152"/>
      <c r="B124" s="153"/>
      <c r="C124" s="62"/>
      <c r="D124" s="151"/>
      <c r="G124" s="146"/>
      <c r="H124" s="162"/>
      <c r="I124" s="163" t="s">
        <v>1016</v>
      </c>
      <c r="J124" s="146"/>
      <c r="K124" s="161" t="s">
        <v>1214</v>
      </c>
      <c r="L124" s="146"/>
      <c r="M124" s="146"/>
      <c r="N124" s="146"/>
      <c r="O124" s="198"/>
      <c r="P124" s="146"/>
      <c r="Q124" s="146"/>
      <c r="R124" s="146"/>
      <c r="S124" s="146"/>
    </row>
    <row r="125" spans="1:19" x14ac:dyDescent="0.2">
      <c r="A125" s="152">
        <v>10</v>
      </c>
      <c r="B125" s="153" t="s">
        <v>1215</v>
      </c>
      <c r="C125" s="62" t="s">
        <v>1216</v>
      </c>
      <c r="D125" s="151" t="s">
        <v>1217</v>
      </c>
      <c r="G125" s="146"/>
      <c r="H125" s="162"/>
      <c r="I125" s="151"/>
      <c r="J125" s="168">
        <v>1</v>
      </c>
      <c r="K125" s="146"/>
      <c r="L125" s="161" t="s">
        <v>1218</v>
      </c>
      <c r="M125" s="146"/>
      <c r="N125" s="146"/>
      <c r="O125" s="198" t="s">
        <v>1217</v>
      </c>
      <c r="P125" s="146"/>
      <c r="Q125" s="160">
        <v>10</v>
      </c>
      <c r="R125" s="153" t="str">
        <f>CONCATENATE($R$122,".",TEXT(Q125,"0000"))</f>
        <v>II-0011.0010</v>
      </c>
      <c r="S125" s="146" t="str">
        <f>CONCATENATE($K$124," - TIPO ",L125)</f>
        <v>HORMIGON - TIPO H-8558</v>
      </c>
    </row>
    <row r="126" spans="1:19" x14ac:dyDescent="0.2">
      <c r="A126" s="152">
        <v>11</v>
      </c>
      <c r="B126" s="153" t="s">
        <v>1219</v>
      </c>
      <c r="C126" s="62" t="s">
        <v>1220</v>
      </c>
      <c r="D126" s="151" t="s">
        <v>1217</v>
      </c>
      <c r="G126" s="146"/>
      <c r="H126" s="162"/>
      <c r="I126" s="151"/>
      <c r="J126" s="168">
        <v>2</v>
      </c>
      <c r="K126" s="146"/>
      <c r="L126" s="161" t="s">
        <v>1221</v>
      </c>
      <c r="M126" s="146"/>
      <c r="N126" s="146"/>
      <c r="O126" s="198" t="s">
        <v>1217</v>
      </c>
      <c r="P126" s="146"/>
      <c r="Q126" s="160">
        <v>11</v>
      </c>
      <c r="R126" s="153" t="str">
        <f>CONCATENATE($R$122,".",TEXT(Q126,"0000"))</f>
        <v>II-0011.0011</v>
      </c>
      <c r="S126" s="146" t="str">
        <f t="shared" ref="S126:S127" si="14">CONCATENATE($K$124," - TIPO ",L126)</f>
        <v>HORMIGON - TIPO H-2350</v>
      </c>
    </row>
    <row r="127" spans="1:19" x14ac:dyDescent="0.2">
      <c r="A127" s="152">
        <v>12</v>
      </c>
      <c r="B127" s="153" t="s">
        <v>1222</v>
      </c>
      <c r="C127" s="62" t="s">
        <v>1223</v>
      </c>
      <c r="D127" s="151" t="s">
        <v>1217</v>
      </c>
      <c r="G127" s="146"/>
      <c r="H127" s="162"/>
      <c r="I127" s="151"/>
      <c r="J127" s="171">
        <v>3</v>
      </c>
      <c r="K127" s="146"/>
      <c r="L127" s="161" t="s">
        <v>1224</v>
      </c>
      <c r="M127" s="146"/>
      <c r="N127" s="146"/>
      <c r="O127" s="198" t="s">
        <v>1217</v>
      </c>
      <c r="P127" s="146"/>
      <c r="Q127" s="160">
        <v>12</v>
      </c>
      <c r="R127" s="153" t="str">
        <f>CONCATENATE($R$122,".",TEXT(Q127,"0000"))</f>
        <v>II-0011.0012</v>
      </c>
      <c r="S127" s="146" t="str">
        <f t="shared" si="14"/>
        <v>HORMIGON - TIPO H-7691</v>
      </c>
    </row>
    <row r="128" spans="1:19" x14ac:dyDescent="0.2">
      <c r="A128" s="152">
        <v>12</v>
      </c>
      <c r="B128" s="145" t="s">
        <v>1222</v>
      </c>
      <c r="C128" s="62" t="s">
        <v>1058</v>
      </c>
      <c r="D128" s="151" t="s">
        <v>1225</v>
      </c>
      <c r="G128" s="146"/>
      <c r="H128" s="162"/>
      <c r="I128" s="163" t="s">
        <v>1026</v>
      </c>
      <c r="J128" s="204"/>
      <c r="K128" s="221" t="s">
        <v>1058</v>
      </c>
      <c r="L128" s="204"/>
      <c r="M128" s="204"/>
      <c r="N128" s="204"/>
      <c r="O128" s="220" t="s">
        <v>1225</v>
      </c>
      <c r="P128" s="146"/>
      <c r="Q128" s="160">
        <v>12</v>
      </c>
      <c r="R128" s="153" t="str">
        <f>CONCATENATE($R$122,".",TEXT(Q128,"0000"))</f>
        <v>II-0011.0012</v>
      </c>
      <c r="S128" s="146" t="str">
        <f>CONCATENATE($K$128)</f>
        <v>RETIRO</v>
      </c>
    </row>
    <row r="129" spans="1:19" ht="15.75" thickBot="1" x14ac:dyDescent="0.25">
      <c r="A129" s="152">
        <v>12</v>
      </c>
      <c r="B129" s="145" t="s">
        <v>1222</v>
      </c>
      <c r="C129" s="62" t="s">
        <v>1226</v>
      </c>
      <c r="D129" s="151" t="s">
        <v>1225</v>
      </c>
      <c r="G129" s="146"/>
      <c r="H129" s="177"/>
      <c r="I129" s="189" t="s">
        <v>1052</v>
      </c>
      <c r="J129" s="192"/>
      <c r="K129" s="223" t="s">
        <v>1226</v>
      </c>
      <c r="L129" s="192"/>
      <c r="M129" s="192"/>
      <c r="N129" s="192"/>
      <c r="O129" s="224" t="s">
        <v>1225</v>
      </c>
      <c r="P129" s="146"/>
      <c r="Q129" s="160">
        <v>12</v>
      </c>
      <c r="R129" s="153" t="str">
        <f>CONCATENATE($R$122,".",TEXT(Q129,"0000"))</f>
        <v>II-0011.0012</v>
      </c>
      <c r="S129" s="146" t="str">
        <f>CONCATENATE($K$129)</f>
        <v>RETIRO,REPARACION, RECOLOCACION</v>
      </c>
    </row>
    <row r="130" spans="1:19" ht="15.75" thickTop="1" x14ac:dyDescent="0.2">
      <c r="A130" s="152"/>
      <c r="B130" s="145"/>
      <c r="C130" s="170"/>
      <c r="D130" s="151"/>
      <c r="G130" s="146"/>
      <c r="H130" s="162"/>
      <c r="I130" s="151"/>
      <c r="J130" s="146"/>
      <c r="K130" s="161"/>
      <c r="L130" s="146"/>
      <c r="M130" s="146"/>
      <c r="N130" s="146"/>
      <c r="O130" s="198"/>
      <c r="P130" s="146"/>
      <c r="Q130" s="146"/>
      <c r="R130" s="146"/>
      <c r="S130" s="146"/>
    </row>
    <row r="131" spans="1:19" x14ac:dyDescent="0.2">
      <c r="A131" s="152">
        <v>12</v>
      </c>
      <c r="B131" s="153" t="s">
        <v>1227</v>
      </c>
      <c r="C131" s="62" t="s">
        <v>1228</v>
      </c>
      <c r="D131" s="151"/>
      <c r="G131" s="146"/>
      <c r="H131" s="184">
        <v>12</v>
      </c>
      <c r="I131" s="186"/>
      <c r="J131" s="196"/>
      <c r="K131" s="241" t="s">
        <v>1228</v>
      </c>
      <c r="L131" s="196"/>
      <c r="M131" s="196"/>
      <c r="N131" s="196"/>
      <c r="O131" s="206"/>
      <c r="P131" s="146"/>
      <c r="Q131" s="160">
        <f>H131</f>
        <v>12</v>
      </c>
      <c r="R131" s="151" t="str">
        <f>CONCATENATE("II-",TEXT(Q131,"0000"))</f>
        <v>II-0012</v>
      </c>
      <c r="S131" s="161" t="str">
        <f>K131</f>
        <v>BANQUINA</v>
      </c>
    </row>
    <row r="132" spans="1:19" x14ac:dyDescent="0.2">
      <c r="A132" s="152">
        <v>1</v>
      </c>
      <c r="B132" s="153" t="str">
        <f>CONCATENATE($B$131,".",TEXT(A132,"0000"))</f>
        <v>II-0012.0001</v>
      </c>
      <c r="C132" s="146" t="str">
        <f>CONCATENATE($K$132)</f>
        <v xml:space="preserve">SUELO </v>
      </c>
      <c r="D132" s="151" t="s">
        <v>1100</v>
      </c>
      <c r="G132" s="146"/>
      <c r="H132" s="162"/>
      <c r="I132" s="163" t="s">
        <v>989</v>
      </c>
      <c r="J132" s="204"/>
      <c r="K132" s="221" t="s">
        <v>1229</v>
      </c>
      <c r="L132" s="204"/>
      <c r="M132" s="204"/>
      <c r="N132" s="204"/>
      <c r="O132" s="220" t="s">
        <v>1100</v>
      </c>
      <c r="P132" s="146"/>
      <c r="Q132" s="160">
        <v>1</v>
      </c>
      <c r="R132" s="153" t="str">
        <f>CONCATENATE($L$131,".",TEXT(Q132,"0000"))</f>
        <v>.0001</v>
      </c>
      <c r="S132" s="146" t="str">
        <f>CONCATENATE($E$132)</f>
        <v/>
      </c>
    </row>
    <row r="133" spans="1:19" x14ac:dyDescent="0.2">
      <c r="A133" s="152">
        <v>2</v>
      </c>
      <c r="B133" s="153" t="str">
        <f>CONCATENATE($B$131,".",TEXT(A133,"0000"))</f>
        <v>II-0012.0002</v>
      </c>
      <c r="C133" s="146" t="str">
        <f>CONCATENATE($K$132)</f>
        <v xml:space="preserve">SUELO </v>
      </c>
      <c r="D133" s="151" t="s">
        <v>1100</v>
      </c>
      <c r="G133" s="146"/>
      <c r="H133" s="162"/>
      <c r="I133" s="163" t="s">
        <v>1016</v>
      </c>
      <c r="J133" s="204"/>
      <c r="K133" s="221" t="s">
        <v>1230</v>
      </c>
      <c r="L133" s="204"/>
      <c r="M133" s="204"/>
      <c r="N133" s="204"/>
      <c r="O133" s="220" t="s">
        <v>1100</v>
      </c>
      <c r="P133" s="146"/>
      <c r="Q133" s="160">
        <v>2</v>
      </c>
      <c r="R133" s="153" t="str">
        <f>CONCATENATE($L$131,".",TEXT(Q133,"0000"))</f>
        <v>.0002</v>
      </c>
      <c r="S133" s="146" t="str">
        <f>CONCATENATE($E$133)</f>
        <v/>
      </c>
    </row>
    <row r="134" spans="1:19" x14ac:dyDescent="0.2">
      <c r="A134" s="152"/>
      <c r="B134" s="62"/>
      <c r="C134" s="62"/>
      <c r="D134" s="151"/>
      <c r="G134" s="146"/>
      <c r="H134" s="162"/>
      <c r="I134" s="163" t="s">
        <v>1026</v>
      </c>
      <c r="J134" s="146"/>
      <c r="K134" s="161" t="s">
        <v>1231</v>
      </c>
      <c r="L134" s="146"/>
      <c r="M134" s="146"/>
      <c r="N134" s="146"/>
      <c r="O134" s="198"/>
      <c r="P134" s="146"/>
      <c r="Q134" s="146"/>
      <c r="R134" s="146"/>
      <c r="S134" s="146"/>
    </row>
    <row r="135" spans="1:19" x14ac:dyDescent="0.2">
      <c r="A135" s="152">
        <v>3</v>
      </c>
      <c r="B135" s="153" t="str">
        <f t="shared" ref="B135:B136" si="15">CONCATENATE($B$131,".",TEXT(A135,"0000"))</f>
        <v>II-0012.0003</v>
      </c>
      <c r="C135" s="146" t="str">
        <f>CONCATENATE($K$134," - TIPO ",L135)</f>
        <v xml:space="preserve">PAVIMENTO - TIPO CARPETA </v>
      </c>
      <c r="D135" s="151" t="s">
        <v>1183</v>
      </c>
      <c r="G135" s="146"/>
      <c r="H135" s="162"/>
      <c r="I135" s="151"/>
      <c r="J135" s="168">
        <v>1</v>
      </c>
      <c r="K135" s="146"/>
      <c r="L135" s="161" t="s">
        <v>1232</v>
      </c>
      <c r="M135" s="146"/>
      <c r="N135" s="146"/>
      <c r="O135" s="198" t="s">
        <v>1183</v>
      </c>
      <c r="P135" s="146"/>
      <c r="Q135" s="160">
        <v>3</v>
      </c>
      <c r="R135" s="153" t="str">
        <f t="shared" ref="R135:R136" si="16">CONCATENATE($L$131,".",TEXT(Q135,"0000"))</f>
        <v>.0003</v>
      </c>
      <c r="S135" s="146" t="str">
        <f>CONCATENATE($E$134," TIPO ",L135)</f>
        <v xml:space="preserve"> TIPO CARPETA </v>
      </c>
    </row>
    <row r="136" spans="1:19" ht="15.75" thickBot="1" x14ac:dyDescent="0.25">
      <c r="A136" s="152">
        <v>4</v>
      </c>
      <c r="B136" s="153" t="str">
        <f t="shared" si="15"/>
        <v>II-0012.0004</v>
      </c>
      <c r="C136" s="146" t="str">
        <f>CONCATENATE($K$134," - TIPO ",L136)</f>
        <v>PAVIMENTO - TIPO TRATAMIENTO</v>
      </c>
      <c r="D136" s="151" t="s">
        <v>1183</v>
      </c>
      <c r="G136" s="146"/>
      <c r="H136" s="177"/>
      <c r="I136" s="178"/>
      <c r="J136" s="179">
        <v>2</v>
      </c>
      <c r="K136" s="180"/>
      <c r="L136" s="181" t="s">
        <v>1233</v>
      </c>
      <c r="M136" s="180"/>
      <c r="N136" s="180"/>
      <c r="O136" s="242" t="s">
        <v>1183</v>
      </c>
      <c r="P136" s="146"/>
      <c r="Q136" s="160">
        <v>4</v>
      </c>
      <c r="R136" s="153" t="str">
        <f t="shared" si="16"/>
        <v>.0004</v>
      </c>
      <c r="S136" s="146" t="str">
        <f>CONCATENATE($E$134," TIPO ",L136)</f>
        <v xml:space="preserve"> TIPO TRATAMIENTO</v>
      </c>
    </row>
    <row r="137" spans="1:19" ht="15.75" thickTop="1" x14ac:dyDescent="0.2">
      <c r="A137" s="152"/>
      <c r="B137" s="153"/>
      <c r="C137" s="62"/>
      <c r="D137" s="151"/>
      <c r="G137" s="146"/>
      <c r="H137" s="162"/>
      <c r="I137" s="151"/>
      <c r="J137" s="151"/>
      <c r="K137" s="146"/>
      <c r="L137" s="161"/>
      <c r="M137" s="146"/>
      <c r="N137" s="146"/>
      <c r="O137" s="198"/>
      <c r="P137" s="146"/>
      <c r="Q137" s="160"/>
      <c r="R137" s="146"/>
      <c r="S137" s="146"/>
    </row>
    <row r="138" spans="1:19" x14ac:dyDescent="0.2">
      <c r="A138" s="152">
        <v>13</v>
      </c>
      <c r="B138" s="153" t="s">
        <v>1234</v>
      </c>
      <c r="C138" s="62" t="s">
        <v>1235</v>
      </c>
      <c r="D138" s="151"/>
      <c r="G138" s="146"/>
      <c r="H138" s="184">
        <v>13</v>
      </c>
      <c r="I138" s="186"/>
      <c r="J138" s="196"/>
      <c r="K138" s="241" t="s">
        <v>1235</v>
      </c>
      <c r="L138" s="196"/>
      <c r="M138" s="196"/>
      <c r="N138" s="196"/>
      <c r="O138" s="206"/>
      <c r="P138" s="146"/>
      <c r="Q138" s="160">
        <f>H138</f>
        <v>13</v>
      </c>
      <c r="R138" s="151" t="str">
        <f>CONCATENATE("II-",TEXT(Q138,"0000"))</f>
        <v>II-0013</v>
      </c>
      <c r="S138" s="161" t="str">
        <f>K138</f>
        <v>BARANDA METALICA DE DEFENSA</v>
      </c>
    </row>
    <row r="139" spans="1:19" x14ac:dyDescent="0.2">
      <c r="A139" s="152"/>
      <c r="B139" s="153"/>
      <c r="C139" s="62"/>
      <c r="D139" s="151"/>
      <c r="G139" s="146"/>
      <c r="H139" s="197"/>
      <c r="I139" s="163" t="s">
        <v>989</v>
      </c>
      <c r="J139" s="146"/>
      <c r="K139" s="161" t="s">
        <v>1236</v>
      </c>
      <c r="L139" s="166"/>
      <c r="M139" s="166"/>
      <c r="N139" s="166"/>
      <c r="O139" s="207"/>
      <c r="P139" s="146"/>
      <c r="Q139" s="146"/>
      <c r="R139" s="146"/>
      <c r="S139" s="146"/>
    </row>
    <row r="140" spans="1:19" x14ac:dyDescent="0.2">
      <c r="A140" s="152">
        <v>1</v>
      </c>
      <c r="B140" s="153" t="str">
        <f>CONCATENATE($B$138,".",TEXT(A140,"0000"))</f>
        <v>II-0013.0001</v>
      </c>
      <c r="C140" s="146" t="str">
        <f>CONCATENATE($K$139," - TIPO ",L140)</f>
        <v>VEHICULAR  H-10237 - TIPO LIVIANA  ( A )</v>
      </c>
      <c r="D140" s="151" t="s">
        <v>965</v>
      </c>
      <c r="G140" s="146"/>
      <c r="H140" s="162"/>
      <c r="I140" s="151"/>
      <c r="J140" s="168">
        <v>1</v>
      </c>
      <c r="K140" s="146"/>
      <c r="L140" s="161" t="s">
        <v>1237</v>
      </c>
      <c r="M140" s="146"/>
      <c r="N140" s="146"/>
      <c r="O140" s="198" t="s">
        <v>965</v>
      </c>
      <c r="P140" s="146"/>
      <c r="Q140" s="160">
        <v>1</v>
      </c>
      <c r="R140" s="153" t="str">
        <f>CONCATENATE($L$138,".",TEXT(Q140,"0000"))</f>
        <v>.0001</v>
      </c>
      <c r="S140" s="146" t="str">
        <f>CONCATENATE($E$139," TIPO ",L140)</f>
        <v xml:space="preserve"> TIPO LIVIANA  ( A )</v>
      </c>
    </row>
    <row r="141" spans="1:19" x14ac:dyDescent="0.2">
      <c r="A141" s="152">
        <v>2</v>
      </c>
      <c r="B141" s="153" t="str">
        <f>CONCATENATE($B$138,".",TEXT(A141,"0000"))</f>
        <v>II-0013.0002</v>
      </c>
      <c r="C141" s="146" t="str">
        <f>CONCATENATE($K$139," - TIPO ",L141)</f>
        <v>VEHICULAR  H-10237 - TIPO PESADA ( B )</v>
      </c>
      <c r="D141" s="151" t="s">
        <v>965</v>
      </c>
      <c r="G141" s="146"/>
      <c r="H141" s="162"/>
      <c r="I141" s="151"/>
      <c r="J141" s="171">
        <v>2</v>
      </c>
      <c r="K141" s="172"/>
      <c r="L141" s="173" t="s">
        <v>1238</v>
      </c>
      <c r="M141" s="172"/>
      <c r="N141" s="172"/>
      <c r="O141" s="216" t="s">
        <v>965</v>
      </c>
      <c r="P141" s="146"/>
      <c r="Q141" s="160">
        <v>2</v>
      </c>
      <c r="R141" s="153" t="str">
        <f>CONCATENATE($L$138,".",TEXT(Q141,"0000"))</f>
        <v>.0002</v>
      </c>
      <c r="S141" s="146" t="str">
        <f>CONCATENATE($E$139," TIPO ",L141)</f>
        <v xml:space="preserve"> TIPO PESADA ( B )</v>
      </c>
    </row>
    <row r="142" spans="1:19" x14ac:dyDescent="0.2">
      <c r="A142" s="152"/>
      <c r="B142" s="153"/>
      <c r="C142" s="62"/>
      <c r="D142" s="151" t="s">
        <v>965</v>
      </c>
      <c r="G142" s="146"/>
      <c r="H142" s="162"/>
      <c r="I142" s="163" t="s">
        <v>1016</v>
      </c>
      <c r="J142" s="146"/>
      <c r="K142" s="161" t="s">
        <v>1239</v>
      </c>
      <c r="L142" s="146"/>
      <c r="M142" s="146"/>
      <c r="N142" s="146"/>
      <c r="O142" s="198" t="s">
        <v>965</v>
      </c>
      <c r="P142" s="146"/>
      <c r="Q142" s="146"/>
      <c r="R142" s="146"/>
      <c r="S142" s="146"/>
    </row>
    <row r="143" spans="1:19" x14ac:dyDescent="0.2">
      <c r="A143" s="152">
        <v>3</v>
      </c>
      <c r="B143" s="153" t="str">
        <f t="shared" ref="B143:B146" si="17">CONCATENATE($B$138,".",TEXT(A143,"0000"))</f>
        <v>II-0013.0003</v>
      </c>
      <c r="C143" s="146" t="str">
        <f>CONCATENATE($K$142," - TIPO ",L143)</f>
        <v>PEATONAL  H-10237 - TIPO LIVIANA  ( A )</v>
      </c>
      <c r="D143" s="151" t="s">
        <v>965</v>
      </c>
      <c r="G143" s="146"/>
      <c r="H143" s="162"/>
      <c r="I143" s="151"/>
      <c r="J143" s="168">
        <v>1</v>
      </c>
      <c r="K143" s="146"/>
      <c r="L143" s="161" t="s">
        <v>1237</v>
      </c>
      <c r="M143" s="146"/>
      <c r="N143" s="146"/>
      <c r="O143" s="198" t="s">
        <v>965</v>
      </c>
      <c r="P143" s="146"/>
      <c r="Q143" s="160">
        <v>3</v>
      </c>
      <c r="R143" s="153" t="str">
        <f>CONCATENATE($L$138,".",TEXT(Q143,"0000"))</f>
        <v>.0003</v>
      </c>
      <c r="S143" s="146" t="str">
        <f>CONCATENATE($E$142," TIPO ",L143)</f>
        <v xml:space="preserve"> TIPO LIVIANA  ( A )</v>
      </c>
    </row>
    <row r="144" spans="1:19" x14ac:dyDescent="0.2">
      <c r="A144" s="152">
        <v>4</v>
      </c>
      <c r="B144" s="153" t="str">
        <f t="shared" si="17"/>
        <v>II-0013.0004</v>
      </c>
      <c r="C144" s="146" t="str">
        <f>CONCATENATE($K$142," - TIPO ",L144)</f>
        <v>PEATONAL  H-10237 - TIPO PESADA ( B )</v>
      </c>
      <c r="D144" s="151" t="s">
        <v>965</v>
      </c>
      <c r="G144" s="146"/>
      <c r="H144" s="162"/>
      <c r="I144" s="151"/>
      <c r="J144" s="171">
        <v>2</v>
      </c>
      <c r="K144" s="146"/>
      <c r="L144" s="161" t="s">
        <v>1238</v>
      </c>
      <c r="M144" s="146"/>
      <c r="N144" s="146"/>
      <c r="O144" s="198" t="s">
        <v>965</v>
      </c>
      <c r="P144" s="146"/>
      <c r="Q144" s="160">
        <v>4</v>
      </c>
      <c r="R144" s="153" t="str">
        <f>CONCATENATE($L$138,".",TEXT(Q144,"0000"))</f>
        <v>.0004</v>
      </c>
      <c r="S144" s="146" t="str">
        <f>CONCATENATE($E$142," TIPO ",L144)</f>
        <v xml:space="preserve"> TIPO PESADA ( B )</v>
      </c>
    </row>
    <row r="145" spans="1:19" x14ac:dyDescent="0.2">
      <c r="A145" s="152">
        <v>10</v>
      </c>
      <c r="B145" s="153" t="str">
        <f t="shared" si="17"/>
        <v>II-0013.0010</v>
      </c>
      <c r="C145" s="146" t="str">
        <f>CONCATENATE($K$145)</f>
        <v xml:space="preserve">RETIRO </v>
      </c>
      <c r="D145" s="151" t="s">
        <v>965</v>
      </c>
      <c r="G145" s="146"/>
      <c r="H145" s="162"/>
      <c r="I145" s="163" t="s">
        <v>1026</v>
      </c>
      <c r="J145" s="204"/>
      <c r="K145" s="221" t="s">
        <v>1108</v>
      </c>
      <c r="L145" s="204"/>
      <c r="M145" s="204"/>
      <c r="N145" s="204"/>
      <c r="O145" s="220" t="s">
        <v>965</v>
      </c>
      <c r="P145" s="146"/>
      <c r="Q145" s="160">
        <v>10</v>
      </c>
      <c r="R145" s="153" t="str">
        <f t="shared" ref="R145:R146" si="18">CONCATENATE($L$138,".",TEXT(Q145,"0000"))</f>
        <v>.0010</v>
      </c>
      <c r="S145" s="146" t="str">
        <f>CONCATENATE($E$145)</f>
        <v/>
      </c>
    </row>
    <row r="146" spans="1:19" ht="15.75" thickBot="1" x14ac:dyDescent="0.25">
      <c r="A146" s="152">
        <v>11</v>
      </c>
      <c r="B146" s="153" t="str">
        <f t="shared" si="17"/>
        <v>II-0013.0011</v>
      </c>
      <c r="C146" s="146" t="str">
        <f>CONCATENATE(K146)</f>
        <v>RETIRO Y REPARACION</v>
      </c>
      <c r="D146" s="151" t="s">
        <v>965</v>
      </c>
      <c r="G146" s="146"/>
      <c r="H146" s="208"/>
      <c r="I146" s="243" t="s">
        <v>1052</v>
      </c>
      <c r="J146" s="211"/>
      <c r="K146" s="212" t="s">
        <v>1240</v>
      </c>
      <c r="L146" s="211"/>
      <c r="M146" s="211"/>
      <c r="N146" s="211"/>
      <c r="O146" s="244" t="s">
        <v>965</v>
      </c>
      <c r="P146" s="146"/>
      <c r="Q146" s="160">
        <v>11</v>
      </c>
      <c r="R146" s="153" t="str">
        <f t="shared" si="18"/>
        <v>.0011</v>
      </c>
      <c r="S146" s="146" t="str">
        <f>CONCATENATE($E$146)</f>
        <v/>
      </c>
    </row>
    <row r="147" spans="1:19" x14ac:dyDescent="0.2">
      <c r="A147" s="152"/>
      <c r="B147" s="153"/>
      <c r="C147" s="62"/>
      <c r="D147" s="151"/>
      <c r="G147" s="146"/>
      <c r="H147" s="162"/>
      <c r="I147" s="151"/>
      <c r="J147" s="146"/>
      <c r="K147" s="161"/>
      <c r="L147" s="146"/>
      <c r="M147" s="146"/>
      <c r="N147" s="146"/>
      <c r="O147" s="198"/>
      <c r="P147" s="146"/>
      <c r="Q147" s="160"/>
      <c r="R147" s="153"/>
      <c r="S147" s="146"/>
    </row>
    <row r="148" spans="1:19" x14ac:dyDescent="0.2">
      <c r="A148" s="152">
        <v>14</v>
      </c>
      <c r="B148" s="145" t="s">
        <v>1241</v>
      </c>
      <c r="C148" s="62" t="s">
        <v>1242</v>
      </c>
      <c r="D148" s="151"/>
      <c r="G148" s="146"/>
      <c r="H148" s="184">
        <v>14</v>
      </c>
      <c r="I148" s="245"/>
      <c r="J148" s="246"/>
      <c r="K148" s="232" t="s">
        <v>1242</v>
      </c>
      <c r="L148" s="246"/>
      <c r="M148" s="246"/>
      <c r="N148" s="246"/>
      <c r="O148" s="247"/>
      <c r="P148" s="146"/>
      <c r="Q148" s="160">
        <f>H148</f>
        <v>14</v>
      </c>
      <c r="R148" s="151" t="str">
        <f>CONCATENATE("II-",TEXT(Q148,"0000"))</f>
        <v>II-0014</v>
      </c>
      <c r="S148" s="161" t="str">
        <f>K148</f>
        <v>BASE</v>
      </c>
    </row>
    <row r="149" spans="1:19" x14ac:dyDescent="0.2">
      <c r="A149" s="152">
        <v>1</v>
      </c>
      <c r="B149" s="153" t="str">
        <f>CONCATENATE($B$148,".",TEXT(A149,"0000"))</f>
        <v>II-0014.0001</v>
      </c>
      <c r="C149" s="62" t="s">
        <v>1243</v>
      </c>
      <c r="D149" s="151" t="s">
        <v>1100</v>
      </c>
      <c r="G149" s="146"/>
      <c r="H149" s="162"/>
      <c r="I149" s="163" t="s">
        <v>989</v>
      </c>
      <c r="J149" s="204"/>
      <c r="K149" s="221" t="s">
        <v>1243</v>
      </c>
      <c r="L149" s="204"/>
      <c r="M149" s="204"/>
      <c r="N149" s="204"/>
      <c r="O149" s="220" t="s">
        <v>1100</v>
      </c>
      <c r="P149" s="146"/>
      <c r="Q149" s="160">
        <v>1</v>
      </c>
      <c r="R149" s="153" t="str">
        <f>CONCATENATE($L$148,".",TEXT(Q149,"0000"))</f>
        <v>.0001</v>
      </c>
      <c r="S149" s="146" t="str">
        <f>CONCATENATE(K149)</f>
        <v>ARENA ASFALTO</v>
      </c>
    </row>
    <row r="150" spans="1:19" x14ac:dyDescent="0.2">
      <c r="A150" s="152">
        <v>2</v>
      </c>
      <c r="B150" s="153" t="str">
        <f>CONCATENATE($B$148,".",TEXT(A150,"0000"))</f>
        <v>II-0014.0002</v>
      </c>
      <c r="C150" s="170" t="s">
        <v>1244</v>
      </c>
      <c r="D150" s="151" t="s">
        <v>1100</v>
      </c>
      <c r="G150" s="146"/>
      <c r="H150" s="162"/>
      <c r="I150" s="163" t="s">
        <v>1016</v>
      </c>
      <c r="J150" s="204"/>
      <c r="K150" s="221" t="s">
        <v>1244</v>
      </c>
      <c r="L150" s="204"/>
      <c r="M150" s="204"/>
      <c r="N150" s="204"/>
      <c r="O150" s="220" t="s">
        <v>1100</v>
      </c>
      <c r="P150" s="146"/>
      <c r="Q150" s="160">
        <v>2</v>
      </c>
      <c r="R150" s="153" t="str">
        <f>CONCATENATE($L$148,".",TEXT(Q150,"0000"))</f>
        <v>.0002</v>
      </c>
      <c r="S150" s="146" t="str">
        <f>CONCATENATE(K150)</f>
        <v>CONCRETO ASFALTICO BITUMINOSO</v>
      </c>
    </row>
    <row r="151" spans="1:19" x14ac:dyDescent="0.2">
      <c r="A151" s="152"/>
      <c r="B151" s="153"/>
      <c r="C151" s="62"/>
      <c r="D151" s="151"/>
      <c r="G151" s="146"/>
      <c r="H151" s="162"/>
      <c r="I151" s="171" t="s">
        <v>1026</v>
      </c>
      <c r="J151" s="146"/>
      <c r="K151" s="161" t="s">
        <v>1245</v>
      </c>
      <c r="L151" s="146"/>
      <c r="M151" s="146"/>
      <c r="N151" s="146"/>
      <c r="O151" s="198"/>
      <c r="P151" s="146"/>
      <c r="Q151" s="146"/>
      <c r="R151" s="146"/>
      <c r="S151" s="146"/>
    </row>
    <row r="152" spans="1:19" x14ac:dyDescent="0.2">
      <c r="A152" s="152">
        <v>3</v>
      </c>
      <c r="B152" s="153" t="str">
        <f t="shared" ref="B152:B154" si="19">CONCATENATE($B$148,".",TEXT(A152,"0000"))</f>
        <v>II-0014.0003</v>
      </c>
      <c r="C152" s="146" t="str">
        <f>CONCATENATE($K$151," - TIPO ",L152)</f>
        <v>GRANULAR - TIPO ANTICOGELANTES</v>
      </c>
      <c r="D152" s="151" t="s">
        <v>1100</v>
      </c>
      <c r="G152" s="146"/>
      <c r="H152" s="162"/>
      <c r="I152" s="151"/>
      <c r="J152" s="168">
        <v>1</v>
      </c>
      <c r="K152" s="146"/>
      <c r="L152" s="161" t="s">
        <v>1246</v>
      </c>
      <c r="M152" s="146"/>
      <c r="N152" s="146"/>
      <c r="O152" s="198" t="s">
        <v>1100</v>
      </c>
      <c r="P152" s="146"/>
      <c r="Q152" s="160">
        <v>3</v>
      </c>
      <c r="R152" s="153" t="str">
        <f>CONCATENATE($L$148,".",TEXT(Q152,"0000"))</f>
        <v>.0003</v>
      </c>
      <c r="S152" s="146" t="str">
        <f>CONCATENATE($E$151," ",L152)</f>
        <v xml:space="preserve"> ANTICOGELANTES</v>
      </c>
    </row>
    <row r="153" spans="1:19" x14ac:dyDescent="0.2">
      <c r="A153" s="152">
        <v>4</v>
      </c>
      <c r="B153" s="153" t="str">
        <f t="shared" si="19"/>
        <v>II-0014.0004</v>
      </c>
      <c r="C153" s="146" t="str">
        <f t="shared" ref="C153:C154" si="20">CONCATENATE($K$151," - TIPO ",L153)</f>
        <v>GRANULAR - TIPO DRENANTES</v>
      </c>
      <c r="D153" s="151" t="s">
        <v>1100</v>
      </c>
      <c r="G153" s="146"/>
      <c r="H153" s="162"/>
      <c r="I153" s="151"/>
      <c r="J153" s="168">
        <v>2</v>
      </c>
      <c r="K153" s="161"/>
      <c r="L153" s="161" t="s">
        <v>1247</v>
      </c>
      <c r="M153" s="146"/>
      <c r="N153" s="146"/>
      <c r="O153" s="198" t="s">
        <v>1100</v>
      </c>
      <c r="P153" s="146"/>
      <c r="Q153" s="160">
        <v>4</v>
      </c>
      <c r="R153" s="153" t="str">
        <f t="shared" ref="R153:R154" si="21">CONCATENATE($L$148,".",TEXT(Q153,"0000"))</f>
        <v>.0004</v>
      </c>
      <c r="S153" s="146" t="str">
        <f t="shared" ref="S153" si="22">CONCATENATE($E$151," ",L153)</f>
        <v xml:space="preserve"> DRENANTES</v>
      </c>
    </row>
    <row r="154" spans="1:19" ht="15.75" thickBot="1" x14ac:dyDescent="0.25">
      <c r="A154" s="152">
        <v>5</v>
      </c>
      <c r="B154" s="153" t="str">
        <f t="shared" si="19"/>
        <v>II-0014.0005</v>
      </c>
      <c r="C154" s="146" t="str">
        <f t="shared" si="20"/>
        <v>GRANULAR - TIPO GRANULAR</v>
      </c>
      <c r="D154" s="151" t="s">
        <v>1100</v>
      </c>
      <c r="G154" s="146"/>
      <c r="H154" s="208"/>
      <c r="I154" s="248"/>
      <c r="J154" s="210">
        <v>3</v>
      </c>
      <c r="K154" s="212"/>
      <c r="L154" s="212" t="s">
        <v>1245</v>
      </c>
      <c r="M154" s="211"/>
      <c r="N154" s="211"/>
      <c r="O154" s="244" t="s">
        <v>1100</v>
      </c>
      <c r="P154" s="146"/>
      <c r="Q154" s="160">
        <v>5</v>
      </c>
      <c r="R154" s="153" t="str">
        <f t="shared" si="21"/>
        <v>.0005</v>
      </c>
      <c r="S154" s="146" t="str">
        <f>CONCATENATE($E$151)</f>
        <v/>
      </c>
    </row>
    <row r="155" spans="1:19" x14ac:dyDescent="0.2">
      <c r="A155" s="152"/>
      <c r="B155" s="153"/>
      <c r="C155" s="62"/>
      <c r="D155" s="151"/>
      <c r="G155" s="146"/>
      <c r="H155" s="214"/>
      <c r="I155" s="151"/>
      <c r="J155" s="151"/>
      <c r="K155" s="161"/>
      <c r="L155" s="161"/>
      <c r="M155" s="146"/>
      <c r="N155" s="146"/>
      <c r="O155" s="149"/>
      <c r="P155" s="146"/>
      <c r="Q155" s="160"/>
      <c r="R155" s="146"/>
      <c r="S155" s="146"/>
    </row>
    <row r="156" spans="1:19" x14ac:dyDescent="0.2">
      <c r="A156" s="152"/>
      <c r="B156" s="153"/>
      <c r="C156" s="62"/>
      <c r="D156" s="151"/>
      <c r="G156" s="146"/>
      <c r="H156" s="184">
        <v>14</v>
      </c>
      <c r="I156" s="186"/>
      <c r="J156" s="196"/>
      <c r="K156" s="241" t="s">
        <v>1242</v>
      </c>
      <c r="L156" s="196"/>
      <c r="M156" s="196"/>
      <c r="N156" s="196"/>
      <c r="O156" s="206"/>
      <c r="P156" s="146"/>
      <c r="Q156" s="160"/>
      <c r="R156" s="146"/>
      <c r="S156" s="146"/>
    </row>
    <row r="157" spans="1:19" x14ac:dyDescent="0.2">
      <c r="A157" s="152">
        <v>6</v>
      </c>
      <c r="B157" s="153" t="str">
        <f t="shared" ref="B157" si="23">CONCATENATE($B$148,".",TEXT(A157,"0000"))</f>
        <v>II-0014.0006</v>
      </c>
      <c r="C157" s="146" t="str">
        <f>CONCATENATE(K157)</f>
        <v>AGREGADO PETREO Y SUELO</v>
      </c>
      <c r="D157" s="151" t="s">
        <v>1100</v>
      </c>
      <c r="G157" s="146"/>
      <c r="H157" s="162"/>
      <c r="I157" s="163" t="s">
        <v>1052</v>
      </c>
      <c r="J157" s="204"/>
      <c r="K157" s="221" t="s">
        <v>1248</v>
      </c>
      <c r="L157" s="204"/>
      <c r="M157" s="204"/>
      <c r="N157" s="204"/>
      <c r="O157" s="220" t="s">
        <v>1100</v>
      </c>
      <c r="P157" s="146"/>
      <c r="Q157" s="160">
        <v>6</v>
      </c>
      <c r="R157" s="153" t="str">
        <f t="shared" ref="R157" si="24">CONCATENATE($L$148,".",TEXT(Q157,"0000"))</f>
        <v>.0006</v>
      </c>
      <c r="S157" s="146" t="str">
        <f>CONCATENATE($E$157)</f>
        <v/>
      </c>
    </row>
    <row r="158" spans="1:19" x14ac:dyDescent="0.2">
      <c r="A158" s="152"/>
      <c r="B158" s="153"/>
      <c r="C158" s="62"/>
      <c r="D158" s="151"/>
      <c r="G158" s="146"/>
      <c r="H158" s="162"/>
      <c r="I158" s="163" t="s">
        <v>1094</v>
      </c>
      <c r="J158" s="146"/>
      <c r="K158" s="161" t="s">
        <v>1103</v>
      </c>
      <c r="L158" s="146"/>
      <c r="M158" s="146"/>
      <c r="N158" s="146"/>
      <c r="O158" s="198"/>
      <c r="P158" s="146"/>
      <c r="Q158" s="146"/>
      <c r="R158" s="146"/>
      <c r="S158" s="146"/>
    </row>
    <row r="159" spans="1:19" x14ac:dyDescent="0.2">
      <c r="A159" s="152">
        <v>10</v>
      </c>
      <c r="B159" s="153" t="str">
        <f t="shared" ref="B159:B167" si="25">CONCATENATE($B$148,".",TEXT(A159,"0000"))</f>
        <v>II-0014.0010</v>
      </c>
      <c r="C159" s="146" t="str">
        <f>CONCATENATE($K$158," ",L159)</f>
        <v>REPARACION AGREGADO PETREO Y SUELO</v>
      </c>
      <c r="D159" s="151" t="s">
        <v>1100</v>
      </c>
      <c r="G159" s="146"/>
      <c r="H159" s="162"/>
      <c r="I159" s="151"/>
      <c r="J159" s="168">
        <v>1</v>
      </c>
      <c r="K159" s="161"/>
      <c r="L159" s="161" t="s">
        <v>1248</v>
      </c>
      <c r="M159" s="146"/>
      <c r="N159" s="146"/>
      <c r="O159" s="198" t="s">
        <v>1100</v>
      </c>
      <c r="P159" s="146"/>
      <c r="Q159" s="160">
        <v>10</v>
      </c>
      <c r="R159" s="153" t="str">
        <f>CONCATENATE($L$148,".",TEXT(Q159,"0000"))</f>
        <v>.0010</v>
      </c>
      <c r="S159" s="146" t="str">
        <f>CONCATENATE($E$158," ",L159)</f>
        <v xml:space="preserve"> AGREGADO PETREO Y SUELO</v>
      </c>
    </row>
    <row r="160" spans="1:19" x14ac:dyDescent="0.2">
      <c r="A160" s="152">
        <v>11</v>
      </c>
      <c r="B160" s="153" t="str">
        <f t="shared" si="25"/>
        <v>II-0014.0011</v>
      </c>
      <c r="C160" s="146" t="str">
        <f t="shared" ref="C160:C163" si="26">CONCATENATE($K$158," ",L160)</f>
        <v>REPARACION SUELO CAL</v>
      </c>
      <c r="D160" s="151" t="s">
        <v>1100</v>
      </c>
      <c r="G160" s="146"/>
      <c r="H160" s="162"/>
      <c r="I160" s="151"/>
      <c r="J160" s="168">
        <v>2</v>
      </c>
      <c r="K160" s="161"/>
      <c r="L160" s="161" t="s">
        <v>1184</v>
      </c>
      <c r="M160" s="146"/>
      <c r="N160" s="146"/>
      <c r="O160" s="198" t="s">
        <v>1100</v>
      </c>
      <c r="P160" s="146"/>
      <c r="Q160" s="160">
        <v>11</v>
      </c>
      <c r="R160" s="153" t="str">
        <f t="shared" ref="R160:R167" si="27">CONCATENATE($L$148,".",TEXT(Q160,"0000"))</f>
        <v>.0011</v>
      </c>
      <c r="S160" s="146" t="str">
        <f t="shared" ref="S160:S163" si="28">CONCATENATE($E$158," ",L160)</f>
        <v xml:space="preserve"> SUELO CAL</v>
      </c>
    </row>
    <row r="161" spans="1:19" x14ac:dyDescent="0.2">
      <c r="A161" s="152">
        <v>12</v>
      </c>
      <c r="B161" s="153" t="str">
        <f t="shared" si="25"/>
        <v>II-0014.0012</v>
      </c>
      <c r="C161" s="146" t="str">
        <f t="shared" si="26"/>
        <v>REPARACION SUELO CEMENTO</v>
      </c>
      <c r="D161" s="151" t="s">
        <v>1100</v>
      </c>
      <c r="G161" s="146"/>
      <c r="H161" s="162"/>
      <c r="I161" s="151"/>
      <c r="J161" s="168">
        <v>3</v>
      </c>
      <c r="K161" s="161"/>
      <c r="L161" s="161" t="s">
        <v>1187</v>
      </c>
      <c r="M161" s="146"/>
      <c r="N161" s="146"/>
      <c r="O161" s="198" t="s">
        <v>1100</v>
      </c>
      <c r="P161" s="146"/>
      <c r="Q161" s="160">
        <v>12</v>
      </c>
      <c r="R161" s="153" t="str">
        <f t="shared" si="27"/>
        <v>.0012</v>
      </c>
      <c r="S161" s="146" t="str">
        <f t="shared" si="28"/>
        <v xml:space="preserve"> SUELO CEMENTO</v>
      </c>
    </row>
    <row r="162" spans="1:19" x14ac:dyDescent="0.2">
      <c r="A162" s="152">
        <v>13</v>
      </c>
      <c r="B162" s="153" t="str">
        <f t="shared" si="25"/>
        <v>II-0014.0013</v>
      </c>
      <c r="C162" s="146" t="str">
        <f t="shared" si="26"/>
        <v>REPARACION SUELO ESCORIA</v>
      </c>
      <c r="D162" s="151" t="s">
        <v>1100</v>
      </c>
      <c r="G162" s="146"/>
      <c r="H162" s="162"/>
      <c r="I162" s="151"/>
      <c r="J162" s="168">
        <v>4</v>
      </c>
      <c r="K162" s="161"/>
      <c r="L162" s="161" t="s">
        <v>1249</v>
      </c>
      <c r="M162" s="146"/>
      <c r="N162" s="146"/>
      <c r="O162" s="198" t="s">
        <v>1100</v>
      </c>
      <c r="P162" s="146"/>
      <c r="Q162" s="160">
        <v>13</v>
      </c>
      <c r="R162" s="153" t="str">
        <f t="shared" si="27"/>
        <v>.0013</v>
      </c>
      <c r="S162" s="146" t="str">
        <f t="shared" si="28"/>
        <v xml:space="preserve"> SUELO ESCORIA</v>
      </c>
    </row>
    <row r="163" spans="1:19" x14ac:dyDescent="0.2">
      <c r="A163" s="152">
        <v>14</v>
      </c>
      <c r="B163" s="153" t="str">
        <f t="shared" si="25"/>
        <v>II-0014.0014</v>
      </c>
      <c r="C163" s="146" t="str">
        <f t="shared" si="26"/>
        <v>REPARACION SUELO SELECCIONADO</v>
      </c>
      <c r="D163" s="151" t="s">
        <v>1100</v>
      </c>
      <c r="G163" s="146"/>
      <c r="H163" s="162"/>
      <c r="I163" s="176"/>
      <c r="J163" s="171">
        <v>5</v>
      </c>
      <c r="K163" s="161"/>
      <c r="L163" s="161" t="s">
        <v>1190</v>
      </c>
      <c r="M163" s="146"/>
      <c r="N163" s="146"/>
      <c r="O163" s="198" t="s">
        <v>1100</v>
      </c>
      <c r="P163" s="146"/>
      <c r="Q163" s="160">
        <v>14</v>
      </c>
      <c r="R163" s="153" t="str">
        <f t="shared" si="27"/>
        <v>.0014</v>
      </c>
      <c r="S163" s="146" t="str">
        <f t="shared" si="28"/>
        <v xml:space="preserve"> SUELO SELECCIONADO</v>
      </c>
    </row>
    <row r="164" spans="1:19" x14ac:dyDescent="0.2">
      <c r="A164" s="152">
        <v>20</v>
      </c>
      <c r="B164" s="153" t="str">
        <f t="shared" si="25"/>
        <v>II-0014.0020</v>
      </c>
      <c r="C164" s="146" t="str">
        <f t="shared" ref="C164:C167" si="29">CONCATENATE(K164)</f>
        <v>SUELO CAL</v>
      </c>
      <c r="D164" s="151" t="s">
        <v>1100</v>
      </c>
      <c r="G164" s="146"/>
      <c r="H164" s="162"/>
      <c r="I164" s="171" t="s">
        <v>1097</v>
      </c>
      <c r="J164" s="204"/>
      <c r="K164" s="221" t="s">
        <v>1184</v>
      </c>
      <c r="L164" s="204"/>
      <c r="M164" s="204"/>
      <c r="N164" s="204"/>
      <c r="O164" s="220" t="s">
        <v>1100</v>
      </c>
      <c r="P164" s="146"/>
      <c r="Q164" s="160">
        <v>20</v>
      </c>
      <c r="R164" s="153" t="str">
        <f t="shared" si="27"/>
        <v>.0020</v>
      </c>
      <c r="S164" s="146" t="str">
        <f>CONCATENATE(K164)</f>
        <v>SUELO CAL</v>
      </c>
    </row>
    <row r="165" spans="1:19" x14ac:dyDescent="0.2">
      <c r="A165" s="152">
        <v>21</v>
      </c>
      <c r="B165" s="153" t="str">
        <f t="shared" si="25"/>
        <v>II-0014.0021</v>
      </c>
      <c r="C165" s="146" t="str">
        <f t="shared" si="29"/>
        <v>SUELO CEMENTO</v>
      </c>
      <c r="D165" s="151" t="s">
        <v>1100</v>
      </c>
      <c r="G165" s="146"/>
      <c r="H165" s="162"/>
      <c r="I165" s="168" t="s">
        <v>1101</v>
      </c>
      <c r="J165" s="146"/>
      <c r="K165" s="161" t="s">
        <v>1187</v>
      </c>
      <c r="L165" s="146"/>
      <c r="M165" s="146"/>
      <c r="N165" s="146"/>
      <c r="O165" s="198" t="s">
        <v>1100</v>
      </c>
      <c r="P165" s="146"/>
      <c r="Q165" s="160">
        <v>21</v>
      </c>
      <c r="R165" s="153" t="str">
        <f t="shared" si="27"/>
        <v>.0021</v>
      </c>
      <c r="S165" s="146" t="str">
        <f t="shared" ref="S165:S167" si="30">CONCATENATE(K165)</f>
        <v>SUELO CEMENTO</v>
      </c>
    </row>
    <row r="166" spans="1:19" x14ac:dyDescent="0.2">
      <c r="A166" s="152">
        <v>22</v>
      </c>
      <c r="B166" s="153" t="str">
        <f t="shared" si="25"/>
        <v>II-0014.0022</v>
      </c>
      <c r="C166" s="146" t="str">
        <f t="shared" si="29"/>
        <v>SUELO ESCORIA</v>
      </c>
      <c r="D166" s="151" t="s">
        <v>1100</v>
      </c>
      <c r="G166" s="146"/>
      <c r="H166" s="162"/>
      <c r="I166" s="163" t="s">
        <v>1104</v>
      </c>
      <c r="J166" s="204"/>
      <c r="K166" s="221" t="s">
        <v>1249</v>
      </c>
      <c r="L166" s="204"/>
      <c r="M166" s="204"/>
      <c r="N166" s="204"/>
      <c r="O166" s="220" t="s">
        <v>1100</v>
      </c>
      <c r="P166" s="146"/>
      <c r="Q166" s="160">
        <v>22</v>
      </c>
      <c r="R166" s="153" t="str">
        <f t="shared" si="27"/>
        <v>.0022</v>
      </c>
      <c r="S166" s="146" t="str">
        <f t="shared" si="30"/>
        <v>SUELO ESCORIA</v>
      </c>
    </row>
    <row r="167" spans="1:19" x14ac:dyDescent="0.2">
      <c r="A167" s="152">
        <v>23</v>
      </c>
      <c r="B167" s="153" t="str">
        <f t="shared" si="25"/>
        <v>II-0014.0023</v>
      </c>
      <c r="C167" s="146" t="str">
        <f t="shared" si="29"/>
        <v>SUELO SELECCIONADO</v>
      </c>
      <c r="D167" s="151" t="s">
        <v>1100</v>
      </c>
      <c r="G167" s="146"/>
      <c r="H167" s="162"/>
      <c r="I167" s="168" t="s">
        <v>889</v>
      </c>
      <c r="J167" s="146"/>
      <c r="K167" s="161" t="s">
        <v>1190</v>
      </c>
      <c r="L167" s="146"/>
      <c r="M167" s="146"/>
      <c r="N167" s="146"/>
      <c r="O167" s="198" t="s">
        <v>1100</v>
      </c>
      <c r="P167" s="146"/>
      <c r="Q167" s="160">
        <v>23</v>
      </c>
      <c r="R167" s="153" t="str">
        <f t="shared" si="27"/>
        <v>.0023</v>
      </c>
      <c r="S167" s="146" t="str">
        <f t="shared" si="30"/>
        <v>SUELO SELECCIONADO</v>
      </c>
    </row>
    <row r="168" spans="1:19" ht="15.75" thickBot="1" x14ac:dyDescent="0.25">
      <c r="A168" s="152"/>
      <c r="B168" s="153"/>
      <c r="C168" s="62"/>
      <c r="D168" s="151"/>
      <c r="G168" s="146"/>
      <c r="H168" s="162"/>
      <c r="I168" s="151"/>
      <c r="J168" s="146"/>
      <c r="K168" s="161"/>
      <c r="L168" s="146"/>
      <c r="M168" s="146"/>
      <c r="N168" s="146"/>
      <c r="O168" s="198"/>
      <c r="P168" s="146"/>
      <c r="Q168" s="160"/>
      <c r="R168" s="153"/>
      <c r="S168" s="146"/>
    </row>
    <row r="169" spans="1:19" ht="15.75" thickTop="1" x14ac:dyDescent="0.2">
      <c r="A169" s="152">
        <v>15</v>
      </c>
      <c r="B169" s="153" t="s">
        <v>1250</v>
      </c>
      <c r="C169" s="62" t="s">
        <v>1251</v>
      </c>
      <c r="D169" s="151"/>
      <c r="G169" s="146"/>
      <c r="H169" s="229">
        <v>15</v>
      </c>
      <c r="I169" s="185"/>
      <c r="J169" s="234"/>
      <c r="K169" s="235" t="s">
        <v>1251</v>
      </c>
      <c r="L169" s="234"/>
      <c r="M169" s="234"/>
      <c r="N169" s="234"/>
      <c r="O169" s="187"/>
      <c r="P169" s="146"/>
      <c r="Q169" s="160">
        <f>H169</f>
        <v>15</v>
      </c>
      <c r="R169" s="151" t="str">
        <f>CONCATENATE("II-",TEXT(Q169,"0000"))</f>
        <v>II-0015</v>
      </c>
      <c r="S169" s="161" t="str">
        <f>K169</f>
        <v>CALZADA</v>
      </c>
    </row>
    <row r="170" spans="1:19" x14ac:dyDescent="0.2">
      <c r="A170" s="152"/>
      <c r="B170" s="153"/>
      <c r="C170" s="62"/>
      <c r="D170" s="151"/>
      <c r="G170" s="146"/>
      <c r="H170" s="162"/>
      <c r="I170" s="163" t="s">
        <v>989</v>
      </c>
      <c r="J170" s="146"/>
      <c r="K170" s="161" t="s">
        <v>1252</v>
      </c>
      <c r="L170" s="166"/>
      <c r="M170" s="166"/>
      <c r="N170" s="166"/>
      <c r="O170" s="207"/>
      <c r="P170" s="146"/>
      <c r="Q170" s="160"/>
      <c r="R170" s="146"/>
      <c r="S170" s="146"/>
    </row>
    <row r="171" spans="1:19" x14ac:dyDescent="0.2">
      <c r="A171" s="152">
        <v>1</v>
      </c>
      <c r="B171" s="153" t="str">
        <f>CONCATENATE($B$169,".",TEXT(A171,"0000"))</f>
        <v>II-0015.0001</v>
      </c>
      <c r="C171" s="146" t="str">
        <f>CONCATENATE($K$170," ",L171)</f>
        <v>CORRECCION DE AHUELLAMIENTO AGREGADO PETREO Y SUELO</v>
      </c>
      <c r="D171" s="151" t="s">
        <v>1183</v>
      </c>
      <c r="G171" s="146"/>
      <c r="H171" s="162"/>
      <c r="I171" s="151"/>
      <c r="J171" s="168">
        <v>1</v>
      </c>
      <c r="K171" s="146"/>
      <c r="L171" s="161" t="s">
        <v>1248</v>
      </c>
      <c r="M171" s="146"/>
      <c r="N171" s="146"/>
      <c r="O171" s="198" t="s">
        <v>1183</v>
      </c>
      <c r="P171" s="146"/>
      <c r="Q171" s="160"/>
      <c r="R171" s="146"/>
      <c r="S171" s="146"/>
    </row>
    <row r="172" spans="1:19" x14ac:dyDescent="0.2">
      <c r="A172" s="152">
        <v>2</v>
      </c>
      <c r="B172" s="153" t="str">
        <f t="shared" ref="B172:B181" si="31">CONCATENATE($B$169,".",TEXT(A172,"0000"))</f>
        <v>II-0015.0002</v>
      </c>
      <c r="C172" s="146" t="str">
        <f t="shared" ref="C172:C175" si="32">CONCATENATE($K$170," ",L172)</f>
        <v>CORRECCION DE AHUELLAMIENTO FRESADO</v>
      </c>
      <c r="D172" s="151" t="s">
        <v>1183</v>
      </c>
      <c r="G172" s="146"/>
      <c r="H172" s="162"/>
      <c r="I172" s="151"/>
      <c r="J172" s="168">
        <v>2</v>
      </c>
      <c r="K172" s="161"/>
      <c r="L172" s="161" t="s">
        <v>1253</v>
      </c>
      <c r="M172" s="146"/>
      <c r="N172" s="146"/>
      <c r="O172" s="198" t="s">
        <v>1183</v>
      </c>
      <c r="P172" s="146"/>
      <c r="Q172" s="160"/>
      <c r="R172" s="146"/>
      <c r="S172" s="146"/>
    </row>
    <row r="173" spans="1:19" x14ac:dyDescent="0.2">
      <c r="A173" s="152">
        <v>3</v>
      </c>
      <c r="B173" s="153" t="str">
        <f t="shared" si="31"/>
        <v>II-0015.0003</v>
      </c>
      <c r="C173" s="146" t="str">
        <f t="shared" si="32"/>
        <v>CORRECCION DE AHUELLAMIENTO MEZCLA ASFALTICA</v>
      </c>
      <c r="D173" s="151" t="s">
        <v>1183</v>
      </c>
      <c r="G173" s="146"/>
      <c r="H173" s="162"/>
      <c r="I173" s="151"/>
      <c r="J173" s="168">
        <v>3</v>
      </c>
      <c r="K173" s="161"/>
      <c r="L173" s="161" t="s">
        <v>1180</v>
      </c>
      <c r="M173" s="146"/>
      <c r="N173" s="146"/>
      <c r="O173" s="198" t="s">
        <v>1183</v>
      </c>
      <c r="P173" s="146"/>
      <c r="Q173" s="146"/>
      <c r="R173" s="146"/>
      <c r="S173" s="146"/>
    </row>
    <row r="174" spans="1:19" x14ac:dyDescent="0.2">
      <c r="A174" s="152">
        <v>4</v>
      </c>
      <c r="B174" s="153" t="str">
        <f t="shared" si="31"/>
        <v>II-0015.0004</v>
      </c>
      <c r="C174" s="146" t="str">
        <f t="shared" si="32"/>
        <v>CORRECCION DE AHUELLAMIENTO MICROAGLOMERADO</v>
      </c>
      <c r="D174" s="151" t="s">
        <v>1183</v>
      </c>
      <c r="G174" s="146"/>
      <c r="H174" s="162"/>
      <c r="I174" s="151"/>
      <c r="J174" s="168">
        <v>4</v>
      </c>
      <c r="K174" s="161"/>
      <c r="L174" s="161" t="s">
        <v>1254</v>
      </c>
      <c r="M174" s="146"/>
      <c r="N174" s="146"/>
      <c r="O174" s="198" t="s">
        <v>1183</v>
      </c>
      <c r="P174" s="146"/>
      <c r="Q174" s="146"/>
      <c r="R174" s="146"/>
      <c r="S174" s="146"/>
    </row>
    <row r="175" spans="1:19" x14ac:dyDescent="0.2">
      <c r="A175" s="152">
        <v>5</v>
      </c>
      <c r="B175" s="153" t="str">
        <f t="shared" si="31"/>
        <v>II-0015.0005</v>
      </c>
      <c r="C175" s="146" t="str">
        <f t="shared" si="32"/>
        <v>CORRECCION DE AHUELLAMIENTO SUELO CEMENTO</v>
      </c>
      <c r="D175" s="151" t="s">
        <v>1183</v>
      </c>
      <c r="G175" s="146"/>
      <c r="H175" s="162"/>
      <c r="I175" s="176"/>
      <c r="J175" s="171">
        <v>5</v>
      </c>
      <c r="K175" s="173"/>
      <c r="L175" s="173" t="s">
        <v>1187</v>
      </c>
      <c r="M175" s="172"/>
      <c r="N175" s="172"/>
      <c r="O175" s="216" t="s">
        <v>1183</v>
      </c>
      <c r="P175" s="146"/>
      <c r="Q175" s="146"/>
      <c r="R175" s="146"/>
      <c r="S175" s="146"/>
    </row>
    <row r="176" spans="1:19" x14ac:dyDescent="0.2">
      <c r="A176" s="152"/>
      <c r="B176" s="153"/>
      <c r="C176" s="62"/>
      <c r="D176" s="151"/>
      <c r="G176" s="146"/>
      <c r="H176" s="162"/>
      <c r="I176" s="163" t="s">
        <v>1016</v>
      </c>
      <c r="J176" s="151"/>
      <c r="K176" s="161" t="s">
        <v>1255</v>
      </c>
      <c r="L176" s="161"/>
      <c r="M176" s="146"/>
      <c r="N176" s="146"/>
      <c r="O176" s="198"/>
      <c r="P176" s="146"/>
      <c r="Q176" s="146"/>
      <c r="R176" s="146"/>
      <c r="S176" s="146"/>
    </row>
    <row r="177" spans="1:19" x14ac:dyDescent="0.2">
      <c r="A177" s="152">
        <v>11</v>
      </c>
      <c r="B177" s="153" t="str">
        <f t="shared" si="31"/>
        <v>II-0015.0011</v>
      </c>
      <c r="C177" s="146" t="str">
        <f>CONCATENATE($K$176," ",L177)</f>
        <v>CORRECCION DE DEPRESIONES Y DEFORMACIONES AGREGADO PETREO Y SUELO</v>
      </c>
      <c r="D177" s="151" t="s">
        <v>1100</v>
      </c>
      <c r="G177" s="146"/>
      <c r="H177" s="162"/>
      <c r="I177" s="151"/>
      <c r="J177" s="168">
        <v>1</v>
      </c>
      <c r="K177" s="161"/>
      <c r="L177" s="161" t="s">
        <v>1248</v>
      </c>
      <c r="M177" s="146"/>
      <c r="N177" s="146"/>
      <c r="O177" s="198" t="s">
        <v>1100</v>
      </c>
      <c r="P177" s="146"/>
      <c r="Q177" s="146"/>
      <c r="R177" s="146"/>
      <c r="S177" s="146"/>
    </row>
    <row r="178" spans="1:19" x14ac:dyDescent="0.2">
      <c r="A178" s="152">
        <v>12</v>
      </c>
      <c r="B178" s="153" t="str">
        <f t="shared" si="31"/>
        <v>II-0015.0012</v>
      </c>
      <c r="C178" s="146" t="str">
        <f t="shared" ref="C178:C181" si="33">CONCATENATE($K$176," ",L178)</f>
        <v>CORRECCION DE DEPRESIONES Y DEFORMACIONES SUELO CAL</v>
      </c>
      <c r="D178" s="151" t="s">
        <v>1100</v>
      </c>
      <c r="G178" s="146"/>
      <c r="H178" s="162"/>
      <c r="I178" s="151"/>
      <c r="J178" s="168">
        <v>2</v>
      </c>
      <c r="K178" s="161"/>
      <c r="L178" s="161" t="s">
        <v>1184</v>
      </c>
      <c r="M178" s="146"/>
      <c r="N178" s="146"/>
      <c r="O178" s="198" t="s">
        <v>1100</v>
      </c>
      <c r="P178" s="146"/>
      <c r="Q178" s="146"/>
      <c r="R178" s="146"/>
      <c r="S178" s="146"/>
    </row>
    <row r="179" spans="1:19" x14ac:dyDescent="0.2">
      <c r="A179" s="152">
        <v>13</v>
      </c>
      <c r="B179" s="153" t="str">
        <f t="shared" si="31"/>
        <v>II-0015.0013</v>
      </c>
      <c r="C179" s="146" t="str">
        <f t="shared" si="33"/>
        <v>CORRECCION DE DEPRESIONES Y DEFORMACIONES SUELO CEMENTO</v>
      </c>
      <c r="D179" s="151" t="s">
        <v>1100</v>
      </c>
      <c r="G179" s="146"/>
      <c r="H179" s="162"/>
      <c r="I179" s="151"/>
      <c r="J179" s="168">
        <v>3</v>
      </c>
      <c r="K179" s="161"/>
      <c r="L179" s="161" t="s">
        <v>1187</v>
      </c>
      <c r="M179" s="146"/>
      <c r="N179" s="146"/>
      <c r="O179" s="198" t="s">
        <v>1100</v>
      </c>
      <c r="P179" s="146"/>
      <c r="Q179" s="146"/>
      <c r="R179" s="146"/>
      <c r="S179" s="146"/>
    </row>
    <row r="180" spans="1:19" x14ac:dyDescent="0.2">
      <c r="A180" s="152">
        <v>14</v>
      </c>
      <c r="B180" s="153" t="str">
        <f t="shared" si="31"/>
        <v>II-0015.0014</v>
      </c>
      <c r="C180" s="146" t="str">
        <f t="shared" si="33"/>
        <v>CORRECCION DE DEPRESIONES Y DEFORMACIONES SUELO ESCORIA</v>
      </c>
      <c r="D180" s="151" t="s">
        <v>1100</v>
      </c>
      <c r="G180" s="146"/>
      <c r="H180" s="162"/>
      <c r="I180" s="151"/>
      <c r="J180" s="168">
        <v>4</v>
      </c>
      <c r="K180" s="161"/>
      <c r="L180" s="161" t="s">
        <v>1249</v>
      </c>
      <c r="M180" s="146"/>
      <c r="N180" s="146"/>
      <c r="O180" s="198" t="s">
        <v>1100</v>
      </c>
      <c r="P180" s="146"/>
      <c r="Q180" s="146"/>
      <c r="R180" s="146"/>
      <c r="S180" s="146"/>
    </row>
    <row r="181" spans="1:19" x14ac:dyDescent="0.2">
      <c r="A181" s="152">
        <v>15</v>
      </c>
      <c r="B181" s="153" t="str">
        <f t="shared" si="31"/>
        <v>II-0015.0015</v>
      </c>
      <c r="C181" s="146" t="str">
        <f t="shared" si="33"/>
        <v>CORRECCION DE DEPRESIONES Y DEFORMACIONES SUELO SELECCIONADO</v>
      </c>
      <c r="D181" s="151" t="s">
        <v>1100</v>
      </c>
      <c r="G181" s="146"/>
      <c r="H181" s="162"/>
      <c r="I181" s="176"/>
      <c r="J181" s="171">
        <v>5</v>
      </c>
      <c r="K181" s="173"/>
      <c r="L181" s="173" t="s">
        <v>1190</v>
      </c>
      <c r="M181" s="172"/>
      <c r="N181" s="172"/>
      <c r="O181" s="216" t="s">
        <v>1100</v>
      </c>
      <c r="P181" s="146"/>
      <c r="Q181" s="146"/>
      <c r="R181" s="146"/>
      <c r="S181" s="146"/>
    </row>
    <row r="182" spans="1:19" ht="15.75" thickBot="1" x14ac:dyDescent="0.25">
      <c r="A182" s="152"/>
      <c r="B182" s="145"/>
      <c r="C182" s="170"/>
      <c r="D182" s="151" t="s">
        <v>965</v>
      </c>
      <c r="G182" s="146"/>
      <c r="H182" s="177"/>
      <c r="I182" s="189" t="s">
        <v>1052</v>
      </c>
      <c r="J182" s="178"/>
      <c r="K182" s="181" t="s">
        <v>1256</v>
      </c>
      <c r="L182" s="181"/>
      <c r="M182" s="180"/>
      <c r="N182" s="180"/>
      <c r="O182" s="242" t="s">
        <v>965</v>
      </c>
      <c r="P182" s="146"/>
      <c r="Q182" s="146"/>
      <c r="R182" s="146"/>
      <c r="S182" s="146"/>
    </row>
    <row r="183" spans="1:19" ht="15.75" thickTop="1" x14ac:dyDescent="0.2">
      <c r="A183" s="152">
        <v>16</v>
      </c>
      <c r="B183" s="153" t="s">
        <v>1257</v>
      </c>
      <c r="C183" s="62" t="s">
        <v>1258</v>
      </c>
      <c r="D183" s="151"/>
      <c r="G183" s="146"/>
      <c r="H183" s="184">
        <v>16</v>
      </c>
      <c r="I183" s="186"/>
      <c r="J183" s="196"/>
      <c r="K183" s="241" t="s">
        <v>1258</v>
      </c>
      <c r="L183" s="196"/>
      <c r="M183" s="196"/>
      <c r="N183" s="196"/>
      <c r="O183" s="206"/>
      <c r="P183" s="146"/>
      <c r="Q183" s="160">
        <f>H183</f>
        <v>16</v>
      </c>
      <c r="R183" s="151" t="str">
        <f>CONCATENATE("II-",TEXT(Q183,"0000"))</f>
        <v>II-0016</v>
      </c>
      <c r="S183" s="161" t="str">
        <f>K183</f>
        <v>CAMARA DE INSPECCION</v>
      </c>
    </row>
    <row r="184" spans="1:19" ht="15.75" thickBot="1" x14ac:dyDescent="0.25">
      <c r="A184" s="152">
        <v>1</v>
      </c>
      <c r="B184" s="153" t="str">
        <f>CONCATENATE($B$183,".",TEXT(A184,"0000"))</f>
        <v>II-0016.0001</v>
      </c>
      <c r="C184" s="146" t="str">
        <f>CONCATENATE("S/PLANO ",K184)</f>
        <v>S/PLANO H-2465</v>
      </c>
      <c r="D184" s="151" t="s">
        <v>5</v>
      </c>
      <c r="G184" s="146"/>
      <c r="H184" s="188"/>
      <c r="I184" s="189" t="s">
        <v>989</v>
      </c>
      <c r="J184" s="192"/>
      <c r="K184" s="223" t="s">
        <v>1259</v>
      </c>
      <c r="L184" s="192"/>
      <c r="M184" s="192"/>
      <c r="N184" s="192"/>
      <c r="O184" s="224" t="s">
        <v>5</v>
      </c>
      <c r="P184" s="146"/>
      <c r="Q184" s="146"/>
      <c r="R184" s="146"/>
      <c r="S184" s="146"/>
    </row>
    <row r="185" spans="1:19" ht="15.75" thickTop="1" x14ac:dyDescent="0.2">
      <c r="A185" s="152">
        <v>17</v>
      </c>
      <c r="B185" s="153" t="s">
        <v>1260</v>
      </c>
      <c r="C185" s="62" t="s">
        <v>1261</v>
      </c>
      <c r="D185" s="151"/>
      <c r="G185" s="146"/>
      <c r="H185" s="184">
        <v>17</v>
      </c>
      <c r="I185" s="186"/>
      <c r="J185" s="196"/>
      <c r="K185" s="241" t="s">
        <v>1261</v>
      </c>
      <c r="L185" s="196"/>
      <c r="M185" s="196"/>
      <c r="N185" s="196"/>
      <c r="O185" s="206"/>
      <c r="P185" s="146"/>
      <c r="Q185" s="160">
        <f>H185</f>
        <v>17</v>
      </c>
      <c r="R185" s="151" t="str">
        <f>CONCATENATE("II-",TEXT(Q185,"0000"))</f>
        <v>II-0017</v>
      </c>
      <c r="S185" s="161" t="str">
        <f>K185</f>
        <v>CARPETA</v>
      </c>
    </row>
    <row r="186" spans="1:19" x14ac:dyDescent="0.2">
      <c r="A186" s="152"/>
      <c r="B186" s="153"/>
      <c r="C186" s="62"/>
      <c r="D186" s="151"/>
      <c r="G186" s="146"/>
      <c r="H186" s="162"/>
      <c r="I186" s="163" t="s">
        <v>989</v>
      </c>
      <c r="J186" s="151"/>
      <c r="K186" s="161" t="s">
        <v>1262</v>
      </c>
      <c r="L186" s="161"/>
      <c r="M186" s="146"/>
      <c r="N186" s="146"/>
      <c r="O186" s="198"/>
      <c r="P186" s="146"/>
      <c r="Q186" s="146"/>
      <c r="R186" s="146"/>
      <c r="S186" s="146"/>
    </row>
    <row r="187" spans="1:19" x14ac:dyDescent="0.2">
      <c r="A187" s="152">
        <v>1</v>
      </c>
      <c r="B187" s="153" t="str">
        <f>CONCATENATE($B$185,".",TEXT(A187,"0000"))</f>
        <v>II-0017.0001</v>
      </c>
      <c r="C187" s="146" t="str">
        <f>CONCATENATE($K$186," ",L187)</f>
        <v>MEZCLA BITUMINOSA DE CONCRETO ASFALTICO MEZCLA EN CALIENTE</v>
      </c>
      <c r="D187" s="151" t="s">
        <v>1183</v>
      </c>
      <c r="G187" s="146"/>
      <c r="H187" s="162"/>
      <c r="I187" s="151"/>
      <c r="J187" s="168">
        <v>1</v>
      </c>
      <c r="K187" s="161"/>
      <c r="L187" s="161" t="s">
        <v>1263</v>
      </c>
      <c r="M187" s="146"/>
      <c r="N187" s="146"/>
      <c r="O187" s="198" t="s">
        <v>1183</v>
      </c>
      <c r="P187" s="146"/>
      <c r="Q187" s="146"/>
      <c r="R187" s="146"/>
      <c r="S187" s="146"/>
    </row>
    <row r="188" spans="1:19" x14ac:dyDescent="0.2">
      <c r="A188" s="152">
        <v>2</v>
      </c>
      <c r="B188" s="153" t="str">
        <f t="shared" ref="B188:B192" si="34">CONCATENATE($B$185,".",TEXT(A188,"0000"))</f>
        <v>II-0017.0002</v>
      </c>
      <c r="C188" s="146" t="str">
        <f>CONCATENATE($K$186," ",L188)</f>
        <v>MEZCLA BITUMINOSA DE CONCRETO ASFALTICO MEZCLA EN FRIO</v>
      </c>
      <c r="D188" s="151" t="s">
        <v>1183</v>
      </c>
      <c r="G188" s="146"/>
      <c r="H188" s="162"/>
      <c r="I188" s="151"/>
      <c r="J188" s="171">
        <v>2</v>
      </c>
      <c r="K188" s="173"/>
      <c r="L188" s="173" t="s">
        <v>1264</v>
      </c>
      <c r="M188" s="172"/>
      <c r="N188" s="172"/>
      <c r="O188" s="216" t="s">
        <v>1183</v>
      </c>
      <c r="P188" s="146"/>
      <c r="Q188" s="146"/>
      <c r="R188" s="146"/>
      <c r="S188" s="146"/>
    </row>
    <row r="189" spans="1:19" x14ac:dyDescent="0.2">
      <c r="A189" s="152"/>
      <c r="B189" s="153"/>
      <c r="C189" s="62"/>
      <c r="D189" s="151"/>
      <c r="G189" s="146"/>
      <c r="H189" s="162"/>
      <c r="I189" s="163" t="s">
        <v>1016</v>
      </c>
      <c r="J189" s="151"/>
      <c r="K189" s="161" t="s">
        <v>1265</v>
      </c>
      <c r="L189" s="161"/>
      <c r="M189" s="146"/>
      <c r="N189" s="146"/>
      <c r="O189" s="198"/>
      <c r="P189" s="146"/>
      <c r="Q189" s="146"/>
      <c r="R189" s="146"/>
      <c r="S189" s="146"/>
    </row>
    <row r="190" spans="1:19" x14ac:dyDescent="0.2">
      <c r="A190" s="152">
        <v>11</v>
      </c>
      <c r="B190" s="153" t="str">
        <f t="shared" si="34"/>
        <v>II-0017.0011</v>
      </c>
      <c r="C190" s="146" t="str">
        <f>CONCATENATE($K$189," ",L190)</f>
        <v>CARPETA DE BAJO ESPESOR MEZCLA EN CALIENTE</v>
      </c>
      <c r="D190" s="151" t="s">
        <v>1183</v>
      </c>
      <c r="G190" s="146"/>
      <c r="H190" s="162"/>
      <c r="I190" s="151"/>
      <c r="J190" s="168">
        <v>1</v>
      </c>
      <c r="K190" s="161"/>
      <c r="L190" s="161" t="s">
        <v>1263</v>
      </c>
      <c r="M190" s="146"/>
      <c r="N190" s="146"/>
      <c r="O190" s="198" t="s">
        <v>1183</v>
      </c>
      <c r="P190" s="146"/>
      <c r="Q190" s="146"/>
      <c r="R190" s="146"/>
      <c r="S190" s="146"/>
    </row>
    <row r="191" spans="1:19" x14ac:dyDescent="0.2">
      <c r="A191" s="152">
        <v>12</v>
      </c>
      <c r="B191" s="153" t="str">
        <f t="shared" si="34"/>
        <v>II-0017.0012</v>
      </c>
      <c r="C191" s="146" t="str">
        <f t="shared" ref="C191:C192" si="35">CONCATENATE($K$189," ",L191)</f>
        <v>CARPETA DE BAJO ESPESOR MEZCLA EN FRIO</v>
      </c>
      <c r="D191" s="151" t="s">
        <v>1183</v>
      </c>
      <c r="G191" s="146"/>
      <c r="H191" s="162"/>
      <c r="I191" s="151"/>
      <c r="J191" s="168">
        <v>2</v>
      </c>
      <c r="K191" s="161"/>
      <c r="L191" s="161" t="s">
        <v>1264</v>
      </c>
      <c r="M191" s="146"/>
      <c r="N191" s="146"/>
      <c r="O191" s="198" t="s">
        <v>1183</v>
      </c>
      <c r="P191" s="146"/>
      <c r="Q191" s="146"/>
      <c r="R191" s="146"/>
      <c r="S191" s="146"/>
    </row>
    <row r="192" spans="1:19" ht="15.75" thickBot="1" x14ac:dyDescent="0.25">
      <c r="A192" s="152">
        <v>13</v>
      </c>
      <c r="B192" s="153" t="str">
        <f t="shared" si="34"/>
        <v>II-0017.0013</v>
      </c>
      <c r="C192" s="146" t="str">
        <f t="shared" si="35"/>
        <v>CARPETA DE BAJO ESPESOR MICROAGLOMERADO</v>
      </c>
      <c r="D192" s="151" t="s">
        <v>1183</v>
      </c>
      <c r="G192" s="146"/>
      <c r="H192" s="162"/>
      <c r="I192" s="151"/>
      <c r="J192" s="168">
        <v>3</v>
      </c>
      <c r="K192" s="161"/>
      <c r="L192" s="161" t="s">
        <v>1254</v>
      </c>
      <c r="M192" s="146"/>
      <c r="N192" s="146"/>
      <c r="O192" s="198" t="s">
        <v>1183</v>
      </c>
      <c r="P192" s="146"/>
      <c r="Q192" s="146"/>
      <c r="R192" s="146"/>
      <c r="S192" s="146"/>
    </row>
    <row r="193" spans="1:19" ht="15.75" thickTop="1" x14ac:dyDescent="0.2">
      <c r="A193" s="152">
        <v>18</v>
      </c>
      <c r="B193" s="153" t="s">
        <v>1266</v>
      </c>
      <c r="C193" s="62" t="s">
        <v>1267</v>
      </c>
      <c r="D193" s="151"/>
      <c r="G193" s="146"/>
      <c r="H193" s="229">
        <v>18</v>
      </c>
      <c r="I193" s="185"/>
      <c r="J193" s="234"/>
      <c r="K193" s="235" t="s">
        <v>1267</v>
      </c>
      <c r="L193" s="234"/>
      <c r="M193" s="234"/>
      <c r="N193" s="234"/>
      <c r="O193" s="187"/>
      <c r="P193" s="146"/>
      <c r="Q193" s="160">
        <f>H193</f>
        <v>18</v>
      </c>
      <c r="R193" s="151" t="str">
        <f>CONCATENATE("II-",TEXT(Q193,"0000"))</f>
        <v>II-0018</v>
      </c>
      <c r="S193" s="161" t="str">
        <f>K193</f>
        <v>COLCHONETA ( PIEDRA EMBOLSADA)</v>
      </c>
    </row>
    <row r="194" spans="1:19" x14ac:dyDescent="0.2">
      <c r="A194" s="152">
        <v>1</v>
      </c>
      <c r="B194" s="153" t="str">
        <f>CONCATENATE($B$193,".",TEXT(A194,"0000"))</f>
        <v>II-0018.0001</v>
      </c>
      <c r="C194" s="146" t="str">
        <f>CONCATENATE(K194," ",L194)</f>
        <v xml:space="preserve">ELECTROSOLDADA </v>
      </c>
      <c r="D194" s="151" t="s">
        <v>1100</v>
      </c>
      <c r="G194" s="146"/>
      <c r="H194" s="249"/>
      <c r="I194" s="163" t="s">
        <v>989</v>
      </c>
      <c r="J194" s="204"/>
      <c r="K194" s="221" t="s">
        <v>1268</v>
      </c>
      <c r="L194" s="204"/>
      <c r="M194" s="204"/>
      <c r="N194" s="204"/>
      <c r="O194" s="220" t="s">
        <v>1100</v>
      </c>
      <c r="P194" s="146"/>
      <c r="Q194" s="146"/>
      <c r="R194" s="146"/>
      <c r="S194" s="146"/>
    </row>
    <row r="195" spans="1:19" x14ac:dyDescent="0.2">
      <c r="A195" s="152">
        <v>2</v>
      </c>
      <c r="B195" s="153" t="str">
        <f t="shared" ref="B195:B197" si="36">CONCATENATE($B$193,".",TEXT(A195,"0000"))</f>
        <v>II-0018.0002</v>
      </c>
      <c r="C195" s="146" t="str">
        <f t="shared" ref="C195:C197" si="37">CONCATENATE(K195," ",L195)</f>
        <v xml:space="preserve">MALLA HEXAGONAL </v>
      </c>
      <c r="D195" s="151" t="s">
        <v>1100</v>
      </c>
      <c r="G195" s="146"/>
      <c r="H195" s="217"/>
      <c r="I195" s="163" t="s">
        <v>1016</v>
      </c>
      <c r="J195" s="204"/>
      <c r="K195" s="221" t="s">
        <v>1269</v>
      </c>
      <c r="L195" s="204"/>
      <c r="M195" s="204"/>
      <c r="N195" s="204"/>
      <c r="O195" s="220" t="s">
        <v>1100</v>
      </c>
      <c r="P195" s="146"/>
      <c r="Q195" s="146"/>
      <c r="R195" s="146"/>
      <c r="S195" s="146"/>
    </row>
    <row r="196" spans="1:19" x14ac:dyDescent="0.2">
      <c r="A196" s="152">
        <v>3</v>
      </c>
      <c r="B196" s="153" t="str">
        <f t="shared" si="36"/>
        <v>II-0018.0003</v>
      </c>
      <c r="C196" s="146" t="str">
        <f t="shared" si="37"/>
        <v xml:space="preserve">REPARACION </v>
      </c>
      <c r="D196" s="151" t="s">
        <v>1100</v>
      </c>
      <c r="G196" s="146"/>
      <c r="H196" s="217"/>
      <c r="I196" s="163" t="s">
        <v>1026</v>
      </c>
      <c r="J196" s="204"/>
      <c r="K196" s="221" t="s">
        <v>1103</v>
      </c>
      <c r="L196" s="204"/>
      <c r="M196" s="204"/>
      <c r="N196" s="204"/>
      <c r="O196" s="220" t="s">
        <v>1100</v>
      </c>
      <c r="P196" s="146"/>
      <c r="Q196" s="146"/>
      <c r="R196" s="146"/>
      <c r="S196" s="146"/>
    </row>
    <row r="197" spans="1:19" x14ac:dyDescent="0.2">
      <c r="A197" s="152">
        <v>4</v>
      </c>
      <c r="B197" s="153" t="str">
        <f t="shared" si="36"/>
        <v>II-0018.0004</v>
      </c>
      <c r="C197" s="146" t="str">
        <f t="shared" si="37"/>
        <v xml:space="preserve">RETIRO  </v>
      </c>
      <c r="D197" s="151" t="s">
        <v>1100</v>
      </c>
      <c r="G197" s="146"/>
      <c r="H197" s="217"/>
      <c r="I197" s="163" t="s">
        <v>1052</v>
      </c>
      <c r="J197" s="204"/>
      <c r="K197" s="221" t="s">
        <v>1108</v>
      </c>
      <c r="L197" s="204"/>
      <c r="M197" s="204"/>
      <c r="N197" s="204"/>
      <c r="O197" s="220" t="s">
        <v>1100</v>
      </c>
      <c r="P197" s="146"/>
      <c r="Q197" s="146"/>
      <c r="R197" s="146"/>
      <c r="S197" s="146"/>
    </row>
    <row r="198" spans="1:19" ht="15.75" thickBot="1" x14ac:dyDescent="0.25">
      <c r="A198" s="152"/>
      <c r="B198" s="153"/>
      <c r="C198" s="62"/>
      <c r="D198" s="151" t="s">
        <v>1100</v>
      </c>
      <c r="G198" s="146"/>
      <c r="H198" s="222"/>
      <c r="I198" s="189" t="s">
        <v>1094</v>
      </c>
      <c r="J198" s="192"/>
      <c r="K198" s="223" t="s">
        <v>1226</v>
      </c>
      <c r="L198" s="192"/>
      <c r="M198" s="192"/>
      <c r="N198" s="192"/>
      <c r="O198" s="224" t="s">
        <v>1100</v>
      </c>
      <c r="P198" s="146"/>
      <c r="Q198" s="146"/>
      <c r="R198" s="146"/>
      <c r="S198" s="146"/>
    </row>
    <row r="199" spans="1:19" ht="15.75" thickTop="1" x14ac:dyDescent="0.2">
      <c r="A199" s="152">
        <v>19</v>
      </c>
      <c r="B199" s="153" t="s">
        <v>1270</v>
      </c>
      <c r="C199" s="62" t="s">
        <v>1271</v>
      </c>
      <c r="D199" s="151"/>
      <c r="G199" s="146"/>
      <c r="H199" s="184">
        <v>19</v>
      </c>
      <c r="I199" s="186"/>
      <c r="J199" s="196"/>
      <c r="K199" s="241" t="s">
        <v>1271</v>
      </c>
      <c r="L199" s="196"/>
      <c r="M199" s="196"/>
      <c r="N199" s="196"/>
      <c r="O199" s="206"/>
      <c r="P199" s="146"/>
      <c r="Q199" s="160">
        <f>H199</f>
        <v>19</v>
      </c>
      <c r="R199" s="151" t="str">
        <f>CONCATENATE("II-",TEXT(Q199,"0000"))</f>
        <v>II-0019</v>
      </c>
      <c r="S199" s="161" t="str">
        <f>K199</f>
        <v>CORDONES</v>
      </c>
    </row>
    <row r="200" spans="1:19" x14ac:dyDescent="0.2">
      <c r="A200" s="152"/>
      <c r="B200" s="153"/>
      <c r="C200" s="62"/>
      <c r="D200" s="151"/>
      <c r="G200" s="146"/>
      <c r="H200" s="197"/>
      <c r="I200" s="163" t="s">
        <v>989</v>
      </c>
      <c r="J200" s="151"/>
      <c r="K200" s="161" t="s">
        <v>1272</v>
      </c>
      <c r="L200" s="146"/>
      <c r="M200" s="146"/>
      <c r="N200" s="146"/>
      <c r="O200" s="198"/>
      <c r="P200" s="146"/>
      <c r="Q200" s="146"/>
      <c r="R200" s="146"/>
      <c r="S200" s="146"/>
    </row>
    <row r="201" spans="1:19" x14ac:dyDescent="0.2">
      <c r="A201" s="152">
        <v>1</v>
      </c>
      <c r="B201" s="62"/>
      <c r="C201" s="146" t="str">
        <f>CONCATENATE("S/PLANO ",$K$200," - TIPO ",L201 )</f>
        <v>S/PLANO H-8431 - TIPO A</v>
      </c>
      <c r="D201" s="151" t="s">
        <v>1225</v>
      </c>
      <c r="G201" s="146"/>
      <c r="H201" s="162"/>
      <c r="I201" s="151"/>
      <c r="J201" s="168">
        <v>1</v>
      </c>
      <c r="K201" s="146"/>
      <c r="L201" s="161" t="s">
        <v>989</v>
      </c>
      <c r="M201" s="146"/>
      <c r="N201" s="146"/>
      <c r="O201" s="198" t="s">
        <v>1225</v>
      </c>
      <c r="P201" s="146"/>
      <c r="Q201" s="146"/>
      <c r="R201" s="146"/>
      <c r="S201" s="146"/>
    </row>
    <row r="202" spans="1:19" x14ac:dyDescent="0.2">
      <c r="A202" s="152">
        <v>2</v>
      </c>
      <c r="B202" s="153"/>
      <c r="C202" s="146" t="str">
        <f t="shared" ref="C202:C203" si="38">CONCATENATE("S/PLANO ",$K$200," - TIPO ",L202 )</f>
        <v>S/PLANO H-8431 - TIPO B</v>
      </c>
      <c r="D202" s="151" t="s">
        <v>1225</v>
      </c>
      <c r="G202" s="146"/>
      <c r="H202" s="162"/>
      <c r="I202" s="151"/>
      <c r="J202" s="168">
        <v>2</v>
      </c>
      <c r="K202" s="146"/>
      <c r="L202" s="161" t="s">
        <v>1016</v>
      </c>
      <c r="M202" s="146"/>
      <c r="N202" s="146"/>
      <c r="O202" s="198" t="s">
        <v>1225</v>
      </c>
      <c r="P202" s="146"/>
      <c r="Q202" s="146"/>
      <c r="R202" s="146"/>
      <c r="S202" s="146"/>
    </row>
    <row r="203" spans="1:19" ht="15.75" thickBot="1" x14ac:dyDescent="0.25">
      <c r="A203" s="152">
        <v>3</v>
      </c>
      <c r="B203" s="62"/>
      <c r="C203" s="146" t="str">
        <f t="shared" si="38"/>
        <v>S/PLANO H-8431 - TIPO C</v>
      </c>
      <c r="D203" s="151" t="s">
        <v>1225</v>
      </c>
      <c r="G203" s="146"/>
      <c r="H203" s="208"/>
      <c r="I203" s="209"/>
      <c r="J203" s="210">
        <v>3</v>
      </c>
      <c r="K203" s="211"/>
      <c r="L203" s="212" t="s">
        <v>1026</v>
      </c>
      <c r="M203" s="211"/>
      <c r="N203" s="211"/>
      <c r="O203" s="244" t="s">
        <v>1225</v>
      </c>
      <c r="P203" s="146"/>
      <c r="Q203" s="146"/>
      <c r="R203" s="146"/>
      <c r="S203" s="146"/>
    </row>
    <row r="204" spans="1:19" x14ac:dyDescent="0.2">
      <c r="A204" s="152"/>
      <c r="B204" s="153"/>
      <c r="C204" s="62"/>
      <c r="D204" s="151"/>
      <c r="G204" s="146"/>
      <c r="H204" s="150"/>
      <c r="I204" s="151"/>
      <c r="J204" s="146"/>
      <c r="K204" s="146"/>
      <c r="L204" s="146"/>
      <c r="M204" s="146"/>
      <c r="N204" s="146"/>
      <c r="O204" s="149"/>
      <c r="P204" s="146"/>
      <c r="Q204" s="146"/>
      <c r="R204" s="146"/>
      <c r="S204" s="146"/>
    </row>
    <row r="205" spans="1:19" x14ac:dyDescent="0.2">
      <c r="A205" s="152"/>
      <c r="B205" s="145"/>
      <c r="C205" s="62"/>
      <c r="D205" s="151"/>
      <c r="G205" s="146"/>
      <c r="H205" s="184">
        <v>19</v>
      </c>
      <c r="I205" s="186"/>
      <c r="J205" s="196"/>
      <c r="K205" s="241" t="s">
        <v>1271</v>
      </c>
      <c r="L205" s="196"/>
      <c r="M205" s="196"/>
      <c r="N205" s="196"/>
      <c r="O205" s="206"/>
      <c r="P205" s="146"/>
      <c r="Q205" s="146"/>
      <c r="R205" s="146"/>
      <c r="S205" s="146"/>
    </row>
    <row r="206" spans="1:19" x14ac:dyDescent="0.2">
      <c r="A206" s="152"/>
      <c r="B206" s="153"/>
      <c r="C206" s="62"/>
      <c r="D206" s="151"/>
      <c r="G206" s="146"/>
      <c r="H206" s="162"/>
      <c r="I206" s="163" t="s">
        <v>989</v>
      </c>
      <c r="J206" s="151"/>
      <c r="K206" s="161" t="s">
        <v>1272</v>
      </c>
      <c r="L206" s="146"/>
      <c r="M206" s="146"/>
      <c r="N206" s="146"/>
      <c r="O206" s="198"/>
      <c r="P206" s="146"/>
      <c r="Q206" s="146"/>
      <c r="R206" s="146"/>
      <c r="S206" s="146"/>
    </row>
    <row r="207" spans="1:19" x14ac:dyDescent="0.2">
      <c r="A207" s="152"/>
      <c r="B207" s="145"/>
      <c r="C207" s="62"/>
      <c r="D207" s="151" t="s">
        <v>1225</v>
      </c>
      <c r="G207" s="146"/>
      <c r="H207" s="162"/>
      <c r="I207" s="151"/>
      <c r="J207" s="168">
        <v>4</v>
      </c>
      <c r="K207" s="146"/>
      <c r="L207" s="161" t="s">
        <v>1052</v>
      </c>
      <c r="M207" s="146"/>
      <c r="N207" s="146"/>
      <c r="O207" s="198" t="s">
        <v>1225</v>
      </c>
      <c r="P207" s="146"/>
      <c r="Q207" s="146"/>
      <c r="R207" s="146"/>
      <c r="S207" s="146"/>
    </row>
    <row r="208" spans="1:19" x14ac:dyDescent="0.2">
      <c r="A208" s="152"/>
      <c r="B208" s="153"/>
      <c r="C208" s="62"/>
      <c r="D208" s="151" t="s">
        <v>1225</v>
      </c>
      <c r="G208" s="146"/>
      <c r="H208" s="162"/>
      <c r="I208" s="151"/>
      <c r="J208" s="168">
        <v>5</v>
      </c>
      <c r="K208" s="146"/>
      <c r="L208" s="161" t="s">
        <v>1094</v>
      </c>
      <c r="M208" s="146"/>
      <c r="N208" s="146"/>
      <c r="O208" s="198" t="s">
        <v>1225</v>
      </c>
      <c r="P208" s="146"/>
      <c r="Q208" s="146"/>
      <c r="R208" s="146"/>
      <c r="S208" s="146"/>
    </row>
    <row r="209" spans="1:19" x14ac:dyDescent="0.2">
      <c r="A209" s="152"/>
      <c r="B209" s="145"/>
      <c r="C209" s="62"/>
      <c r="D209" s="151" t="s">
        <v>1225</v>
      </c>
      <c r="G209" s="146"/>
      <c r="H209" s="162"/>
      <c r="I209" s="151"/>
      <c r="J209" s="168">
        <v>6</v>
      </c>
      <c r="K209" s="146"/>
      <c r="L209" s="161" t="s">
        <v>1097</v>
      </c>
      <c r="M209" s="146"/>
      <c r="N209" s="146"/>
      <c r="O209" s="198" t="s">
        <v>1225</v>
      </c>
      <c r="P209" s="146"/>
      <c r="Q209" s="146"/>
      <c r="R209" s="146"/>
      <c r="S209" s="146"/>
    </row>
    <row r="210" spans="1:19" x14ac:dyDescent="0.2">
      <c r="A210" s="152"/>
      <c r="B210" s="145"/>
      <c r="C210" s="62"/>
      <c r="D210" s="151" t="s">
        <v>1225</v>
      </c>
      <c r="G210" s="146"/>
      <c r="H210" s="162"/>
      <c r="I210" s="151"/>
      <c r="J210" s="168">
        <v>7</v>
      </c>
      <c r="K210" s="146"/>
      <c r="L210" s="161" t="s">
        <v>1101</v>
      </c>
      <c r="M210" s="146"/>
      <c r="N210" s="146"/>
      <c r="O210" s="198" t="s">
        <v>1225</v>
      </c>
      <c r="P210" s="146"/>
      <c r="Q210" s="146"/>
      <c r="R210" s="146"/>
      <c r="S210" s="146"/>
    </row>
    <row r="211" spans="1:19" x14ac:dyDescent="0.2">
      <c r="A211" s="152"/>
      <c r="B211" s="145"/>
      <c r="C211" s="170"/>
      <c r="D211" s="151" t="s">
        <v>1225</v>
      </c>
      <c r="G211" s="146"/>
      <c r="H211" s="162"/>
      <c r="I211" s="151"/>
      <c r="J211" s="168">
        <v>8</v>
      </c>
      <c r="K211" s="146"/>
      <c r="L211" s="161" t="s">
        <v>1104</v>
      </c>
      <c r="M211" s="146"/>
      <c r="N211" s="146"/>
      <c r="O211" s="198" t="s">
        <v>1225</v>
      </c>
      <c r="P211" s="146"/>
      <c r="Q211" s="146"/>
      <c r="R211" s="146"/>
      <c r="S211" s="146"/>
    </row>
    <row r="212" spans="1:19" x14ac:dyDescent="0.2">
      <c r="A212" s="152"/>
      <c r="B212" s="153"/>
      <c r="C212" s="62"/>
      <c r="D212" s="151" t="s">
        <v>1225</v>
      </c>
      <c r="G212" s="146"/>
      <c r="H212" s="162"/>
      <c r="I212" s="151"/>
      <c r="J212" s="168">
        <v>9</v>
      </c>
      <c r="K212" s="146"/>
      <c r="L212" s="161" t="s">
        <v>889</v>
      </c>
      <c r="M212" s="146"/>
      <c r="N212" s="146"/>
      <c r="O212" s="198" t="s">
        <v>1225</v>
      </c>
      <c r="P212" s="146"/>
      <c r="Q212" s="146"/>
      <c r="R212" s="146"/>
      <c r="S212" s="146"/>
    </row>
    <row r="213" spans="1:19" x14ac:dyDescent="0.2">
      <c r="A213" s="152"/>
      <c r="B213" s="153"/>
      <c r="C213" s="62"/>
      <c r="D213" s="151" t="s">
        <v>1225</v>
      </c>
      <c r="G213" s="146"/>
      <c r="H213" s="162"/>
      <c r="I213" s="176"/>
      <c r="J213" s="171">
        <v>10</v>
      </c>
      <c r="K213" s="172"/>
      <c r="L213" s="173" t="s">
        <v>1109</v>
      </c>
      <c r="M213" s="172"/>
      <c r="N213" s="172"/>
      <c r="O213" s="216" t="s">
        <v>1225</v>
      </c>
      <c r="P213" s="146"/>
      <c r="Q213" s="146"/>
      <c r="R213" s="146"/>
      <c r="S213" s="146"/>
    </row>
    <row r="214" spans="1:19" x14ac:dyDescent="0.2">
      <c r="A214" s="152"/>
      <c r="B214" s="153"/>
      <c r="C214" s="62"/>
      <c r="D214" s="151" t="s">
        <v>1225</v>
      </c>
      <c r="G214" s="146"/>
      <c r="H214" s="162"/>
      <c r="I214" s="171" t="s">
        <v>1016</v>
      </c>
      <c r="J214" s="151"/>
      <c r="K214" s="161" t="s">
        <v>1273</v>
      </c>
      <c r="L214" s="146"/>
      <c r="M214" s="146"/>
      <c r="N214" s="146"/>
      <c r="O214" s="198" t="s">
        <v>1225</v>
      </c>
      <c r="P214" s="146"/>
      <c r="Q214" s="146"/>
      <c r="R214" s="146"/>
      <c r="S214" s="146"/>
    </row>
    <row r="215" spans="1:19" x14ac:dyDescent="0.2">
      <c r="A215" s="152"/>
      <c r="B215" s="153"/>
      <c r="C215" s="62"/>
      <c r="D215" s="151" t="s">
        <v>1225</v>
      </c>
      <c r="G215" s="146"/>
      <c r="H215" s="162"/>
      <c r="I215" s="151"/>
      <c r="J215" s="168">
        <v>1</v>
      </c>
      <c r="K215" s="146"/>
      <c r="L215" s="161" t="s">
        <v>989</v>
      </c>
      <c r="M215" s="146"/>
      <c r="N215" s="146"/>
      <c r="O215" s="198" t="s">
        <v>1225</v>
      </c>
      <c r="P215" s="146"/>
      <c r="Q215" s="146"/>
      <c r="R215" s="146"/>
      <c r="S215" s="146"/>
    </row>
    <row r="216" spans="1:19" x14ac:dyDescent="0.2">
      <c r="A216" s="152"/>
      <c r="B216" s="153"/>
      <c r="C216" s="62"/>
      <c r="D216" s="151" t="s">
        <v>1225</v>
      </c>
      <c r="G216" s="146"/>
      <c r="H216" s="162"/>
      <c r="I216" s="151"/>
      <c r="J216" s="168">
        <v>2</v>
      </c>
      <c r="K216" s="146"/>
      <c r="L216" s="161" t="s">
        <v>1016</v>
      </c>
      <c r="M216" s="146"/>
      <c r="N216" s="146"/>
      <c r="O216" s="198" t="s">
        <v>1225</v>
      </c>
      <c r="P216" s="146"/>
      <c r="Q216" s="146"/>
      <c r="R216" s="146"/>
      <c r="S216" s="146"/>
    </row>
    <row r="217" spans="1:19" x14ac:dyDescent="0.2">
      <c r="A217" s="152"/>
      <c r="B217" s="145"/>
      <c r="C217" s="62"/>
      <c r="D217" s="151" t="s">
        <v>1225</v>
      </c>
      <c r="G217" s="146"/>
      <c r="H217" s="162"/>
      <c r="I217" s="151"/>
      <c r="J217" s="168">
        <v>3</v>
      </c>
      <c r="K217" s="146"/>
      <c r="L217" s="161" t="s">
        <v>1026</v>
      </c>
      <c r="M217" s="146"/>
      <c r="N217" s="146"/>
      <c r="O217" s="198" t="s">
        <v>1225</v>
      </c>
      <c r="P217" s="146"/>
      <c r="Q217" s="146"/>
      <c r="R217" s="146"/>
      <c r="S217" s="146"/>
    </row>
    <row r="218" spans="1:19" x14ac:dyDescent="0.2">
      <c r="A218" s="152"/>
      <c r="B218" s="145"/>
      <c r="C218" s="170"/>
      <c r="D218" s="151" t="s">
        <v>1225</v>
      </c>
      <c r="G218" s="146"/>
      <c r="H218" s="162"/>
      <c r="I218" s="151"/>
      <c r="J218" s="168">
        <v>4</v>
      </c>
      <c r="K218" s="146"/>
      <c r="L218" s="161" t="s">
        <v>1052</v>
      </c>
      <c r="M218" s="146"/>
      <c r="N218" s="146"/>
      <c r="O218" s="198" t="s">
        <v>1225</v>
      </c>
      <c r="P218" s="146"/>
      <c r="Q218" s="146"/>
      <c r="R218" s="146"/>
      <c r="S218" s="146"/>
    </row>
    <row r="219" spans="1:19" x14ac:dyDescent="0.2">
      <c r="A219" s="152"/>
      <c r="B219" s="153"/>
      <c r="C219" s="62"/>
      <c r="D219" s="151" t="s">
        <v>1225</v>
      </c>
      <c r="G219" s="146"/>
      <c r="H219" s="162"/>
      <c r="I219" s="146"/>
      <c r="J219" s="168">
        <v>5</v>
      </c>
      <c r="K219" s="146"/>
      <c r="L219" s="161" t="s">
        <v>1094</v>
      </c>
      <c r="M219" s="146"/>
      <c r="N219" s="146"/>
      <c r="O219" s="198" t="s">
        <v>1225</v>
      </c>
      <c r="P219" s="146"/>
      <c r="Q219" s="146"/>
      <c r="R219" s="146"/>
      <c r="S219" s="146"/>
    </row>
    <row r="220" spans="1:19" x14ac:dyDescent="0.2">
      <c r="A220" s="152"/>
      <c r="B220" s="153"/>
      <c r="C220" s="62"/>
      <c r="D220" s="151" t="s">
        <v>1225</v>
      </c>
      <c r="G220" s="146"/>
      <c r="H220" s="162"/>
      <c r="I220" s="146"/>
      <c r="J220" s="168">
        <v>6</v>
      </c>
      <c r="K220" s="146"/>
      <c r="L220" s="161" t="s">
        <v>1097</v>
      </c>
      <c r="M220" s="146"/>
      <c r="N220" s="146"/>
      <c r="O220" s="198" t="s">
        <v>1225</v>
      </c>
      <c r="P220" s="146"/>
      <c r="Q220" s="146"/>
      <c r="R220" s="146"/>
      <c r="S220" s="146"/>
    </row>
    <row r="221" spans="1:19" x14ac:dyDescent="0.2">
      <c r="A221" s="152"/>
      <c r="B221" s="145"/>
      <c r="C221" s="62"/>
      <c r="D221" s="151" t="s">
        <v>1225</v>
      </c>
      <c r="G221" s="146"/>
      <c r="H221" s="162"/>
      <c r="I221" s="151"/>
      <c r="J221" s="168">
        <v>7</v>
      </c>
      <c r="K221" s="146"/>
      <c r="L221" s="161" t="s">
        <v>1101</v>
      </c>
      <c r="M221" s="146"/>
      <c r="N221" s="146"/>
      <c r="O221" s="198" t="s">
        <v>1225</v>
      </c>
      <c r="P221" s="146"/>
      <c r="Q221" s="146"/>
      <c r="R221" s="146"/>
      <c r="S221" s="146"/>
    </row>
    <row r="222" spans="1:19" x14ac:dyDescent="0.2">
      <c r="A222" s="152"/>
      <c r="B222" s="145"/>
      <c r="C222" s="62"/>
      <c r="D222" s="151" t="s">
        <v>1225</v>
      </c>
      <c r="G222" s="146"/>
      <c r="H222" s="162"/>
      <c r="I222" s="151"/>
      <c r="J222" s="168">
        <v>8</v>
      </c>
      <c r="K222" s="146"/>
      <c r="L222" s="161" t="s">
        <v>1104</v>
      </c>
      <c r="M222" s="146"/>
      <c r="N222" s="146"/>
      <c r="O222" s="198" t="s">
        <v>1225</v>
      </c>
      <c r="P222" s="146"/>
      <c r="Q222" s="146"/>
      <c r="R222" s="146"/>
      <c r="S222" s="146"/>
    </row>
    <row r="223" spans="1:19" x14ac:dyDescent="0.2">
      <c r="A223" s="152"/>
      <c r="B223" s="145"/>
      <c r="C223" s="62"/>
      <c r="D223" s="151" t="s">
        <v>1225</v>
      </c>
      <c r="G223" s="146"/>
      <c r="H223" s="162"/>
      <c r="I223" s="151"/>
      <c r="J223" s="168">
        <v>9</v>
      </c>
      <c r="K223" s="146"/>
      <c r="L223" s="161" t="s">
        <v>889</v>
      </c>
      <c r="M223" s="146"/>
      <c r="N223" s="146"/>
      <c r="O223" s="198" t="s">
        <v>1225</v>
      </c>
      <c r="P223" s="146"/>
      <c r="Q223" s="146"/>
      <c r="R223" s="146"/>
      <c r="S223" s="146"/>
    </row>
    <row r="224" spans="1:19" x14ac:dyDescent="0.2">
      <c r="A224" s="152"/>
      <c r="B224" s="145"/>
      <c r="C224" s="170"/>
      <c r="D224" s="151" t="s">
        <v>1225</v>
      </c>
      <c r="G224" s="146"/>
      <c r="H224" s="162"/>
      <c r="I224" s="151"/>
      <c r="J224" s="171">
        <v>10</v>
      </c>
      <c r="K224" s="172"/>
      <c r="L224" s="161" t="s">
        <v>1109</v>
      </c>
      <c r="M224" s="146"/>
      <c r="N224" s="146"/>
      <c r="O224" s="198" t="s">
        <v>1225</v>
      </c>
      <c r="P224" s="146"/>
      <c r="Q224" s="146"/>
      <c r="R224" s="146"/>
      <c r="S224" s="146"/>
    </row>
    <row r="225" spans="1:19" x14ac:dyDescent="0.2">
      <c r="A225" s="152"/>
      <c r="B225" s="153"/>
      <c r="C225" s="62"/>
      <c r="D225" s="151" t="s">
        <v>1225</v>
      </c>
      <c r="G225" s="146"/>
      <c r="H225" s="162"/>
      <c r="I225" s="163" t="s">
        <v>1026</v>
      </c>
      <c r="J225" s="204"/>
      <c r="K225" s="173" t="s">
        <v>1274</v>
      </c>
      <c r="L225" s="204"/>
      <c r="M225" s="204"/>
      <c r="N225" s="204"/>
      <c r="O225" s="220" t="s">
        <v>1225</v>
      </c>
      <c r="P225" s="146"/>
      <c r="Q225" s="146"/>
      <c r="R225" s="146"/>
      <c r="S225" s="146"/>
    </row>
    <row r="226" spans="1:19" x14ac:dyDescent="0.2">
      <c r="A226" s="152"/>
      <c r="B226" s="153"/>
      <c r="C226" s="62"/>
      <c r="D226" s="151" t="s">
        <v>1225</v>
      </c>
      <c r="G226" s="146"/>
      <c r="H226" s="162"/>
      <c r="I226" s="163" t="s">
        <v>1052</v>
      </c>
      <c r="J226" s="204"/>
      <c r="K226" s="221" t="s">
        <v>1108</v>
      </c>
      <c r="L226" s="204"/>
      <c r="M226" s="204"/>
      <c r="N226" s="204"/>
      <c r="O226" s="198" t="s">
        <v>1225</v>
      </c>
      <c r="P226" s="146"/>
      <c r="Q226" s="146"/>
      <c r="R226" s="146"/>
      <c r="S226" s="146"/>
    </row>
    <row r="227" spans="1:19" ht="15.75" thickBot="1" x14ac:dyDescent="0.25">
      <c r="A227" s="152"/>
      <c r="B227" s="153"/>
      <c r="C227" s="62"/>
      <c r="D227" s="151" t="s">
        <v>1225</v>
      </c>
      <c r="G227" s="146"/>
      <c r="H227" s="177"/>
      <c r="I227" s="179" t="s">
        <v>1094</v>
      </c>
      <c r="J227" s="180"/>
      <c r="K227" s="181" t="s">
        <v>1275</v>
      </c>
      <c r="L227" s="180"/>
      <c r="M227" s="180"/>
      <c r="N227" s="180"/>
      <c r="O227" s="224" t="s">
        <v>1225</v>
      </c>
      <c r="P227" s="146"/>
      <c r="Q227" s="146"/>
      <c r="R227" s="146"/>
      <c r="S227" s="146"/>
    </row>
    <row r="228" spans="1:19" ht="16.5" thickTop="1" thickBot="1" x14ac:dyDescent="0.25">
      <c r="A228" s="152">
        <v>20</v>
      </c>
      <c r="B228" s="153" t="s">
        <v>1276</v>
      </c>
      <c r="C228" s="62" t="s">
        <v>1277</v>
      </c>
      <c r="D228" s="151" t="s">
        <v>966</v>
      </c>
      <c r="G228" s="146"/>
      <c r="H228" s="250">
        <v>20</v>
      </c>
      <c r="I228" s="251"/>
      <c r="J228" s="252"/>
      <c r="K228" s="253" t="s">
        <v>1277</v>
      </c>
      <c r="L228" s="252"/>
      <c r="M228" s="252"/>
      <c r="N228" s="252"/>
      <c r="O228" s="254" t="s">
        <v>966</v>
      </c>
      <c r="P228" s="146"/>
      <c r="Q228" s="160">
        <f>H228</f>
        <v>20</v>
      </c>
      <c r="R228" s="151" t="str">
        <f>CONCATENATE("II-",TEXT(Q228,"0000"))</f>
        <v>II-0020</v>
      </c>
      <c r="S228" s="161" t="str">
        <f>K228</f>
        <v>CORTE DE PASTO</v>
      </c>
    </row>
    <row r="229" spans="1:19" ht="15.75" thickTop="1" x14ac:dyDescent="0.2">
      <c r="A229" s="152">
        <v>21</v>
      </c>
      <c r="B229" s="153" t="s">
        <v>1278</v>
      </c>
      <c r="C229" s="62" t="s">
        <v>1279</v>
      </c>
      <c r="D229" s="151"/>
      <c r="G229" s="146"/>
      <c r="H229" s="229">
        <v>21</v>
      </c>
      <c r="I229" s="186"/>
      <c r="J229" s="196"/>
      <c r="K229" s="241" t="s">
        <v>1279</v>
      </c>
      <c r="L229" s="196"/>
      <c r="M229" s="196"/>
      <c r="N229" s="196"/>
      <c r="O229" s="206"/>
      <c r="P229" s="146"/>
      <c r="Q229" s="160">
        <f>H229</f>
        <v>21</v>
      </c>
      <c r="R229" s="151" t="str">
        <f>CONCATENATE("II-",TEXT(Q229,"0000"))</f>
        <v>II-0021</v>
      </c>
      <c r="S229" s="161" t="str">
        <f>K229</f>
        <v xml:space="preserve">CUNETA </v>
      </c>
    </row>
    <row r="230" spans="1:19" x14ac:dyDescent="0.2">
      <c r="A230" s="152"/>
      <c r="B230" s="153"/>
      <c r="C230" s="62"/>
      <c r="D230" s="151" t="s">
        <v>1100</v>
      </c>
      <c r="G230" s="146"/>
      <c r="H230" s="217"/>
      <c r="I230" s="176" t="s">
        <v>989</v>
      </c>
      <c r="J230" s="172"/>
      <c r="K230" s="173" t="s">
        <v>1280</v>
      </c>
      <c r="L230" s="172"/>
      <c r="M230" s="172"/>
      <c r="N230" s="172"/>
      <c r="O230" s="216" t="s">
        <v>1100</v>
      </c>
      <c r="P230" s="146"/>
      <c r="Q230" s="146"/>
      <c r="R230" s="146"/>
      <c r="S230" s="146"/>
    </row>
    <row r="231" spans="1:19" x14ac:dyDescent="0.2">
      <c r="A231" s="152"/>
      <c r="B231" s="153"/>
      <c r="C231" s="62"/>
      <c r="D231" s="151" t="s">
        <v>1183</v>
      </c>
      <c r="G231" s="146"/>
      <c r="H231" s="217"/>
      <c r="I231" s="163" t="s">
        <v>1016</v>
      </c>
      <c r="J231" s="204"/>
      <c r="K231" s="221" t="s">
        <v>1103</v>
      </c>
      <c r="L231" s="204"/>
      <c r="M231" s="204"/>
      <c r="N231" s="204"/>
      <c r="O231" s="220" t="s">
        <v>1183</v>
      </c>
      <c r="P231" s="146"/>
      <c r="Q231" s="146"/>
      <c r="R231" s="146"/>
      <c r="S231" s="146"/>
    </row>
    <row r="232" spans="1:19" x14ac:dyDescent="0.2">
      <c r="A232" s="152"/>
      <c r="B232" s="153"/>
      <c r="C232" s="62"/>
      <c r="D232" s="151" t="s">
        <v>1225</v>
      </c>
      <c r="G232" s="146"/>
      <c r="H232" s="217"/>
      <c r="I232" s="163" t="s">
        <v>1026</v>
      </c>
      <c r="J232" s="204"/>
      <c r="K232" s="221" t="s">
        <v>1108</v>
      </c>
      <c r="L232" s="204"/>
      <c r="M232" s="204"/>
      <c r="N232" s="204"/>
      <c r="O232" s="220" t="s">
        <v>1225</v>
      </c>
      <c r="P232" s="146"/>
      <c r="Q232" s="146"/>
      <c r="R232" s="146"/>
      <c r="S232" s="146"/>
    </row>
    <row r="233" spans="1:19" x14ac:dyDescent="0.2">
      <c r="A233" s="152"/>
      <c r="B233" s="145"/>
      <c r="C233" s="62"/>
      <c r="D233" s="151" t="s">
        <v>965</v>
      </c>
      <c r="G233" s="146"/>
      <c r="H233" s="217"/>
      <c r="I233" s="163" t="s">
        <v>1052</v>
      </c>
      <c r="J233" s="204"/>
      <c r="K233" s="221" t="s">
        <v>1164</v>
      </c>
      <c r="L233" s="204"/>
      <c r="M233" s="204"/>
      <c r="N233" s="204"/>
      <c r="O233" s="220" t="s">
        <v>965</v>
      </c>
      <c r="P233" s="146"/>
      <c r="Q233" s="146"/>
      <c r="R233" s="146"/>
      <c r="S233" s="146"/>
    </row>
    <row r="234" spans="1:19" x14ac:dyDescent="0.2">
      <c r="A234" s="152"/>
      <c r="B234" s="145"/>
      <c r="C234" s="62"/>
      <c r="D234" s="151" t="s">
        <v>1100</v>
      </c>
      <c r="G234" s="146"/>
      <c r="H234" s="217"/>
      <c r="I234" s="163" t="s">
        <v>1094</v>
      </c>
      <c r="J234" s="204"/>
      <c r="K234" s="221" t="s">
        <v>1281</v>
      </c>
      <c r="L234" s="204"/>
      <c r="M234" s="204"/>
      <c r="N234" s="204"/>
      <c r="O234" s="220" t="s">
        <v>1100</v>
      </c>
      <c r="P234" s="146"/>
      <c r="Q234" s="146"/>
      <c r="R234" s="146"/>
      <c r="S234" s="146"/>
    </row>
    <row r="235" spans="1:19" ht="15.75" thickBot="1" x14ac:dyDescent="0.25">
      <c r="A235" s="152"/>
      <c r="B235" s="145"/>
      <c r="C235" s="170"/>
      <c r="D235" s="151" t="s">
        <v>965</v>
      </c>
      <c r="G235" s="146"/>
      <c r="H235" s="222"/>
      <c r="I235" s="189" t="s">
        <v>1097</v>
      </c>
      <c r="J235" s="192"/>
      <c r="K235" s="223" t="s">
        <v>1282</v>
      </c>
      <c r="L235" s="192"/>
      <c r="M235" s="192"/>
      <c r="N235" s="192"/>
      <c r="O235" s="224" t="s">
        <v>965</v>
      </c>
      <c r="P235" s="146"/>
      <c r="Q235" s="146"/>
      <c r="R235" s="146"/>
      <c r="S235" s="146"/>
    </row>
    <row r="236" spans="1:19" ht="16.5" thickTop="1" thickBot="1" x14ac:dyDescent="0.25">
      <c r="A236" s="152">
        <v>22</v>
      </c>
      <c r="B236" s="153" t="s">
        <v>1283</v>
      </c>
      <c r="C236" s="62" t="s">
        <v>1284</v>
      </c>
      <c r="D236" s="151" t="s">
        <v>5</v>
      </c>
      <c r="G236" s="146"/>
      <c r="H236" s="255">
        <v>22</v>
      </c>
      <c r="I236" s="256"/>
      <c r="J236" s="257"/>
      <c r="K236" s="258" t="s">
        <v>1284</v>
      </c>
      <c r="L236" s="257"/>
      <c r="M236" s="257"/>
      <c r="N236" s="257"/>
      <c r="O236" s="259" t="s">
        <v>5</v>
      </c>
      <c r="P236" s="146"/>
      <c r="Q236" s="160">
        <f>H236</f>
        <v>22</v>
      </c>
      <c r="R236" s="151" t="str">
        <f>CONCATENATE("II-",TEXT(Q236,"0000"))</f>
        <v>II-0022</v>
      </c>
      <c r="S236" s="161" t="str">
        <f>K236</f>
        <v>DARSENA DE DETENCION DE VEHICULOS</v>
      </c>
    </row>
    <row r="237" spans="1:19" ht="15.75" thickTop="1" x14ac:dyDescent="0.2">
      <c r="A237" s="152">
        <v>23</v>
      </c>
      <c r="B237" s="142" t="s">
        <v>1285</v>
      </c>
      <c r="C237" s="142" t="s">
        <v>1286</v>
      </c>
      <c r="D237" s="151"/>
      <c r="G237" s="146"/>
      <c r="H237" s="229">
        <v>23</v>
      </c>
      <c r="I237" s="185"/>
      <c r="J237" s="234"/>
      <c r="K237" s="235" t="s">
        <v>1286</v>
      </c>
      <c r="L237" s="234"/>
      <c r="M237" s="234"/>
      <c r="N237" s="234"/>
      <c r="O237" s="187"/>
      <c r="P237" s="146"/>
      <c r="Q237" s="160">
        <f>H237</f>
        <v>23</v>
      </c>
      <c r="R237" s="151" t="str">
        <f>CONCATENATE("II-",TEXT(Q237,"0000"))</f>
        <v>II-0023</v>
      </c>
      <c r="S237" s="161" t="str">
        <f>K237</f>
        <v>DEFENSA CAMINOS</v>
      </c>
    </row>
    <row r="238" spans="1:19" x14ac:dyDescent="0.2">
      <c r="A238" s="152"/>
      <c r="B238" s="142"/>
      <c r="C238" s="142"/>
      <c r="D238" s="151" t="s">
        <v>1183</v>
      </c>
      <c r="G238" s="146"/>
      <c r="H238" s="162"/>
      <c r="I238" s="163" t="s">
        <v>989</v>
      </c>
      <c r="J238" s="204"/>
      <c r="K238" s="221" t="s">
        <v>1287</v>
      </c>
      <c r="L238" s="204"/>
      <c r="M238" s="204"/>
      <c r="N238" s="204"/>
      <c r="O238" s="220" t="s">
        <v>1183</v>
      </c>
      <c r="P238" s="146"/>
      <c r="Q238" s="146"/>
      <c r="R238" s="146"/>
      <c r="S238" s="146"/>
    </row>
    <row r="239" spans="1:19" x14ac:dyDescent="0.2">
      <c r="A239" s="152"/>
      <c r="B239" s="142"/>
      <c r="C239" s="142"/>
      <c r="D239" s="151" t="s">
        <v>1183</v>
      </c>
      <c r="G239" s="146"/>
      <c r="H239" s="162"/>
      <c r="I239" s="163" t="s">
        <v>1016</v>
      </c>
      <c r="J239" s="204"/>
      <c r="K239" s="221" t="s">
        <v>1288</v>
      </c>
      <c r="L239" s="204"/>
      <c r="M239" s="204"/>
      <c r="N239" s="204"/>
      <c r="O239" s="220" t="s">
        <v>1183</v>
      </c>
      <c r="P239" s="146"/>
      <c r="Q239" s="146"/>
      <c r="R239" s="146"/>
      <c r="S239" s="146"/>
    </row>
    <row r="240" spans="1:19" x14ac:dyDescent="0.2">
      <c r="A240" s="152"/>
      <c r="B240" s="142"/>
      <c r="C240" s="142"/>
      <c r="D240" s="151" t="s">
        <v>1183</v>
      </c>
      <c r="G240" s="146"/>
      <c r="H240" s="162"/>
      <c r="I240" s="163" t="s">
        <v>1026</v>
      </c>
      <c r="J240" s="204"/>
      <c r="K240" s="221" t="s">
        <v>1289</v>
      </c>
      <c r="L240" s="204"/>
      <c r="M240" s="204"/>
      <c r="N240" s="204"/>
      <c r="O240" s="220" t="s">
        <v>1183</v>
      </c>
      <c r="P240" s="146"/>
      <c r="Q240" s="146"/>
      <c r="R240" s="146"/>
      <c r="S240" s="146"/>
    </row>
    <row r="241" spans="1:19" x14ac:dyDescent="0.2">
      <c r="A241" s="152"/>
      <c r="B241" s="145"/>
      <c r="C241" s="170"/>
      <c r="D241" s="151" t="s">
        <v>1100</v>
      </c>
      <c r="G241" s="146"/>
      <c r="H241" s="162"/>
      <c r="I241" s="163" t="s">
        <v>1052</v>
      </c>
      <c r="J241" s="204"/>
      <c r="K241" s="221" t="s">
        <v>1290</v>
      </c>
      <c r="L241" s="204"/>
      <c r="M241" s="204"/>
      <c r="N241" s="204"/>
      <c r="O241" s="220" t="s">
        <v>1100</v>
      </c>
      <c r="P241" s="146"/>
      <c r="Q241" s="146"/>
      <c r="R241" s="146"/>
      <c r="S241" s="146"/>
    </row>
    <row r="242" spans="1:19" x14ac:dyDescent="0.2">
      <c r="A242" s="152"/>
      <c r="B242" s="153"/>
      <c r="C242" s="62"/>
      <c r="D242" s="151" t="s">
        <v>1100</v>
      </c>
      <c r="G242" s="146"/>
      <c r="H242" s="162"/>
      <c r="I242" s="163" t="s">
        <v>1094</v>
      </c>
      <c r="J242" s="204"/>
      <c r="K242" s="221" t="s">
        <v>1103</v>
      </c>
      <c r="L242" s="204"/>
      <c r="M242" s="204"/>
      <c r="N242" s="204"/>
      <c r="O242" s="220" t="s">
        <v>1100</v>
      </c>
      <c r="P242" s="146"/>
      <c r="Q242" s="146"/>
      <c r="R242" s="146"/>
      <c r="S242" s="146"/>
    </row>
    <row r="243" spans="1:19" x14ac:dyDescent="0.2">
      <c r="A243" s="152"/>
      <c r="B243" s="153"/>
      <c r="C243" s="62"/>
      <c r="D243" s="151" t="s">
        <v>1100</v>
      </c>
      <c r="G243" s="146"/>
      <c r="H243" s="162"/>
      <c r="I243" s="163" t="s">
        <v>1097</v>
      </c>
      <c r="J243" s="204"/>
      <c r="K243" s="221" t="s">
        <v>1058</v>
      </c>
      <c r="L243" s="204"/>
      <c r="M243" s="204"/>
      <c r="N243" s="204"/>
      <c r="O243" s="220" t="s">
        <v>1100</v>
      </c>
      <c r="P243" s="146"/>
      <c r="Q243" s="146"/>
      <c r="R243" s="146"/>
      <c r="S243" s="146"/>
    </row>
    <row r="244" spans="1:19" x14ac:dyDescent="0.2">
      <c r="A244" s="152"/>
      <c r="B244" s="153"/>
      <c r="C244" s="62"/>
      <c r="D244" s="151" t="s">
        <v>1100</v>
      </c>
      <c r="G244" s="146"/>
      <c r="H244" s="162"/>
      <c r="I244" s="163" t="s">
        <v>1101</v>
      </c>
      <c r="J244" s="204"/>
      <c r="K244" s="221" t="s">
        <v>1106</v>
      </c>
      <c r="L244" s="204"/>
      <c r="M244" s="204"/>
      <c r="N244" s="204"/>
      <c r="O244" s="220" t="s">
        <v>1100</v>
      </c>
      <c r="P244" s="146"/>
      <c r="Q244" s="146"/>
      <c r="R244" s="146"/>
      <c r="S244" s="146"/>
    </row>
    <row r="245" spans="1:19" ht="15.75" thickBot="1" x14ac:dyDescent="0.25">
      <c r="A245" s="152"/>
      <c r="B245" s="153"/>
      <c r="C245" s="62"/>
      <c r="D245" s="151" t="s">
        <v>1100</v>
      </c>
      <c r="G245" s="146"/>
      <c r="H245" s="177"/>
      <c r="I245" s="189" t="s">
        <v>1104</v>
      </c>
      <c r="J245" s="192"/>
      <c r="K245" s="223" t="s">
        <v>1291</v>
      </c>
      <c r="L245" s="192"/>
      <c r="M245" s="192"/>
      <c r="N245" s="192"/>
      <c r="O245" s="224" t="s">
        <v>1100</v>
      </c>
      <c r="P245" s="146"/>
      <c r="Q245" s="146"/>
      <c r="R245" s="146"/>
      <c r="S245" s="146"/>
    </row>
    <row r="246" spans="1:19" ht="15.75" thickTop="1" x14ac:dyDescent="0.2">
      <c r="A246" s="152">
        <v>24</v>
      </c>
      <c r="B246" s="145" t="s">
        <v>1292</v>
      </c>
      <c r="C246" s="62" t="s">
        <v>1293</v>
      </c>
      <c r="D246" s="151"/>
      <c r="G246" s="146"/>
      <c r="H246" s="229">
        <v>24</v>
      </c>
      <c r="I246" s="185"/>
      <c r="J246" s="234"/>
      <c r="K246" s="235" t="s">
        <v>1293</v>
      </c>
      <c r="L246" s="234"/>
      <c r="M246" s="234"/>
      <c r="N246" s="234"/>
      <c r="O246" s="187"/>
      <c r="P246" s="146"/>
      <c r="Q246" s="160">
        <f>H246</f>
        <v>24</v>
      </c>
      <c r="R246" s="151" t="str">
        <f>CONCATENATE("II-",TEXT(Q246,"0000"))</f>
        <v>II-0024</v>
      </c>
      <c r="S246" s="161" t="str">
        <f>K246</f>
        <v>DEFENSA DE MARGENES</v>
      </c>
    </row>
    <row r="247" spans="1:19" x14ac:dyDescent="0.2">
      <c r="A247" s="152"/>
      <c r="B247" s="145"/>
      <c r="C247" s="62"/>
      <c r="D247" s="151" t="s">
        <v>1183</v>
      </c>
      <c r="G247" s="146"/>
      <c r="H247" s="162"/>
      <c r="I247" s="163" t="s">
        <v>989</v>
      </c>
      <c r="J247" s="204"/>
      <c r="K247" s="221" t="s">
        <v>1294</v>
      </c>
      <c r="L247" s="204"/>
      <c r="M247" s="204"/>
      <c r="N247" s="204"/>
      <c r="O247" s="220" t="s">
        <v>1183</v>
      </c>
      <c r="P247" s="146"/>
      <c r="Q247" s="146"/>
      <c r="R247" s="146"/>
      <c r="S247" s="146"/>
    </row>
    <row r="248" spans="1:19" x14ac:dyDescent="0.2">
      <c r="A248" s="152"/>
      <c r="B248" s="145"/>
      <c r="C248" s="170"/>
      <c r="D248" s="151" t="s">
        <v>1100</v>
      </c>
      <c r="G248" s="146"/>
      <c r="H248" s="162"/>
      <c r="I248" s="163" t="s">
        <v>1016</v>
      </c>
      <c r="J248" s="204"/>
      <c r="K248" s="221" t="s">
        <v>1295</v>
      </c>
      <c r="L248" s="204"/>
      <c r="M248" s="204"/>
      <c r="N248" s="204"/>
      <c r="O248" s="220" t="s">
        <v>1100</v>
      </c>
      <c r="P248" s="146"/>
      <c r="Q248" s="146"/>
      <c r="R248" s="146"/>
      <c r="S248" s="146"/>
    </row>
    <row r="249" spans="1:19" x14ac:dyDescent="0.2">
      <c r="A249" s="152"/>
      <c r="B249" s="153"/>
      <c r="C249" s="62"/>
      <c r="D249" s="151" t="s">
        <v>1100</v>
      </c>
      <c r="G249" s="146"/>
      <c r="H249" s="162"/>
      <c r="I249" s="171" t="s">
        <v>1026</v>
      </c>
      <c r="J249" s="172"/>
      <c r="K249" s="173" t="s">
        <v>1296</v>
      </c>
      <c r="L249" s="172"/>
      <c r="M249" s="172"/>
      <c r="N249" s="172"/>
      <c r="O249" s="216" t="s">
        <v>1100</v>
      </c>
      <c r="P249" s="146"/>
      <c r="Q249" s="146"/>
      <c r="R249" s="146"/>
      <c r="S249" s="146"/>
    </row>
    <row r="250" spans="1:19" x14ac:dyDescent="0.2">
      <c r="A250" s="152"/>
      <c r="B250" s="153"/>
      <c r="C250" s="62"/>
      <c r="D250" s="151" t="s">
        <v>1100</v>
      </c>
      <c r="G250" s="146"/>
      <c r="H250" s="162"/>
      <c r="I250" s="163" t="s">
        <v>1052</v>
      </c>
      <c r="J250" s="204"/>
      <c r="K250" s="221" t="s">
        <v>1297</v>
      </c>
      <c r="L250" s="204"/>
      <c r="M250" s="204"/>
      <c r="N250" s="204"/>
      <c r="O250" s="220" t="s">
        <v>1100</v>
      </c>
      <c r="P250" s="146"/>
      <c r="Q250" s="146"/>
      <c r="R250" s="146"/>
      <c r="S250" s="146"/>
    </row>
    <row r="251" spans="1:19" ht="15.75" thickBot="1" x14ac:dyDescent="0.25">
      <c r="A251" s="152"/>
      <c r="B251" s="153"/>
      <c r="C251" s="62"/>
      <c r="D251" s="151" t="s">
        <v>965</v>
      </c>
      <c r="G251" s="146"/>
      <c r="H251" s="208"/>
      <c r="I251" s="243" t="s">
        <v>1094</v>
      </c>
      <c r="J251" s="260"/>
      <c r="K251" s="261" t="s">
        <v>1298</v>
      </c>
      <c r="L251" s="260"/>
      <c r="M251" s="260"/>
      <c r="N251" s="260"/>
      <c r="O251" s="262" t="s">
        <v>965</v>
      </c>
      <c r="P251" s="146"/>
      <c r="Q251" s="146"/>
      <c r="R251" s="146"/>
      <c r="S251" s="146"/>
    </row>
    <row r="252" spans="1:19" x14ac:dyDescent="0.2">
      <c r="A252" s="152"/>
      <c r="B252" s="153"/>
      <c r="C252" s="62"/>
      <c r="D252" s="151"/>
      <c r="G252" s="146"/>
      <c r="H252" s="214"/>
      <c r="I252" s="151"/>
      <c r="J252" s="146"/>
      <c r="K252" s="161"/>
      <c r="L252" s="146"/>
      <c r="M252" s="146"/>
      <c r="N252" s="146"/>
      <c r="O252" s="149"/>
      <c r="P252" s="146"/>
      <c r="Q252" s="146"/>
      <c r="R252" s="146"/>
      <c r="S252" s="146"/>
    </row>
    <row r="253" spans="1:19" s="27" customFormat="1" x14ac:dyDescent="0.2">
      <c r="A253" s="152">
        <v>25</v>
      </c>
      <c r="B253" s="142" t="s">
        <v>1299</v>
      </c>
      <c r="C253" s="142" t="s">
        <v>1300</v>
      </c>
      <c r="D253" s="151"/>
      <c r="G253" s="146"/>
      <c r="H253" s="184">
        <v>25</v>
      </c>
      <c r="I253" s="186"/>
      <c r="J253" s="196"/>
      <c r="K253" s="241" t="s">
        <v>1300</v>
      </c>
      <c r="L253" s="196"/>
      <c r="M253" s="196"/>
      <c r="N253" s="196"/>
      <c r="O253" s="206"/>
      <c r="P253" s="146"/>
      <c r="Q253" s="160">
        <f>H253</f>
        <v>25</v>
      </c>
      <c r="R253" s="151" t="str">
        <f>CONCATENATE("II-",TEXT(Q253,"0000"))</f>
        <v>II-0025</v>
      </c>
      <c r="S253" s="161" t="str">
        <f>K253</f>
        <v>DEFENSA VEHICULAR</v>
      </c>
    </row>
    <row r="254" spans="1:19" x14ac:dyDescent="0.2">
      <c r="A254" s="152"/>
      <c r="B254" s="142"/>
      <c r="C254" s="142"/>
      <c r="D254" s="151"/>
      <c r="G254" s="146"/>
      <c r="H254" s="197"/>
      <c r="I254" s="163" t="s">
        <v>989</v>
      </c>
      <c r="J254" s="166"/>
      <c r="K254" s="175" t="s">
        <v>1213</v>
      </c>
      <c r="L254" s="166"/>
      <c r="M254" s="166"/>
      <c r="N254" s="166"/>
      <c r="O254" s="207"/>
      <c r="P254" s="146"/>
      <c r="Q254" s="146"/>
      <c r="R254" s="146"/>
      <c r="S254" s="146"/>
    </row>
    <row r="255" spans="1:19" x14ac:dyDescent="0.2">
      <c r="A255" s="152"/>
      <c r="B255" s="142"/>
      <c r="C255" s="142"/>
      <c r="D255" s="151" t="s">
        <v>1225</v>
      </c>
      <c r="G255" s="146"/>
      <c r="H255" s="162"/>
      <c r="I255" s="151"/>
      <c r="J255" s="168">
        <v>1</v>
      </c>
      <c r="K255" s="146"/>
      <c r="L255" s="161" t="s">
        <v>1301</v>
      </c>
      <c r="M255" s="146"/>
      <c r="N255" s="146"/>
      <c r="O255" s="198" t="s">
        <v>1225</v>
      </c>
      <c r="P255" s="146"/>
      <c r="Q255" s="146"/>
      <c r="R255" s="146"/>
      <c r="S255" s="146"/>
    </row>
    <row r="256" spans="1:19" x14ac:dyDescent="0.2">
      <c r="A256" s="152"/>
      <c r="B256" s="142"/>
      <c r="C256" s="142"/>
      <c r="D256" s="151" t="s">
        <v>1225</v>
      </c>
      <c r="G256" s="146"/>
      <c r="H256" s="162"/>
      <c r="I256" s="151"/>
      <c r="J256" s="171">
        <v>2</v>
      </c>
      <c r="K256" s="172"/>
      <c r="L256" s="173" t="s">
        <v>1302</v>
      </c>
      <c r="M256" s="172"/>
      <c r="N256" s="172"/>
      <c r="O256" s="216" t="s">
        <v>1225</v>
      </c>
      <c r="P256" s="146"/>
      <c r="Q256" s="146"/>
      <c r="R256" s="146"/>
      <c r="S256" s="146"/>
    </row>
    <row r="257" spans="1:19" x14ac:dyDescent="0.2">
      <c r="A257" s="152"/>
      <c r="B257" s="142"/>
      <c r="C257" s="142"/>
      <c r="D257" s="151"/>
      <c r="G257" s="146"/>
      <c r="H257" s="162"/>
      <c r="I257" s="163" t="s">
        <v>1016</v>
      </c>
      <c r="J257" s="146"/>
      <c r="K257" s="161" t="s">
        <v>1214</v>
      </c>
      <c r="L257" s="146"/>
      <c r="M257" s="146"/>
      <c r="N257" s="146"/>
      <c r="O257" s="198"/>
      <c r="P257" s="146"/>
      <c r="Q257" s="146"/>
      <c r="R257" s="146"/>
      <c r="S257" s="146"/>
    </row>
    <row r="258" spans="1:19" x14ac:dyDescent="0.2">
      <c r="A258" s="152"/>
      <c r="B258" s="142"/>
      <c r="C258" s="142"/>
      <c r="D258" s="151" t="s">
        <v>1225</v>
      </c>
      <c r="G258" s="146"/>
      <c r="H258" s="162"/>
      <c r="I258" s="151"/>
      <c r="J258" s="168">
        <v>1</v>
      </c>
      <c r="K258" s="146"/>
      <c r="L258" s="161" t="s">
        <v>1303</v>
      </c>
      <c r="M258" s="146"/>
      <c r="N258" s="146"/>
      <c r="O258" s="198" t="s">
        <v>1225</v>
      </c>
      <c r="P258" s="146"/>
      <c r="Q258" s="146"/>
      <c r="R258" s="146"/>
      <c r="S258" s="146"/>
    </row>
    <row r="259" spans="1:19" x14ac:dyDescent="0.2">
      <c r="A259" s="152"/>
      <c r="B259" s="142"/>
      <c r="C259" s="142"/>
      <c r="D259" s="151" t="s">
        <v>1225</v>
      </c>
      <c r="G259" s="146"/>
      <c r="H259" s="162"/>
      <c r="I259" s="151"/>
      <c r="J259" s="168">
        <v>2</v>
      </c>
      <c r="K259" s="146"/>
      <c r="L259" s="161" t="s">
        <v>1304</v>
      </c>
      <c r="M259" s="146"/>
      <c r="N259" s="146"/>
      <c r="O259" s="198" t="s">
        <v>1225</v>
      </c>
      <c r="P259" s="146"/>
      <c r="Q259" s="146"/>
      <c r="R259" s="146"/>
      <c r="S259" s="146"/>
    </row>
    <row r="260" spans="1:19" x14ac:dyDescent="0.2">
      <c r="A260" s="152"/>
      <c r="B260" s="142"/>
      <c r="C260" s="142"/>
      <c r="D260" s="151" t="s">
        <v>965</v>
      </c>
      <c r="G260" s="146"/>
      <c r="H260" s="162"/>
      <c r="I260" s="163" t="s">
        <v>1026</v>
      </c>
      <c r="J260" s="204"/>
      <c r="K260" s="221" t="s">
        <v>1108</v>
      </c>
      <c r="L260" s="204"/>
      <c r="M260" s="204"/>
      <c r="N260" s="204"/>
      <c r="O260" s="220" t="s">
        <v>965</v>
      </c>
      <c r="P260" s="146"/>
      <c r="Q260" s="146"/>
      <c r="R260" s="146"/>
      <c r="S260" s="146"/>
    </row>
    <row r="261" spans="1:19" ht="15.75" thickBot="1" x14ac:dyDescent="0.25">
      <c r="A261" s="152"/>
      <c r="B261" s="142"/>
      <c r="C261" s="142"/>
      <c r="D261" s="151" t="s">
        <v>965</v>
      </c>
      <c r="G261" s="146"/>
      <c r="H261" s="177"/>
      <c r="I261" s="189" t="s">
        <v>1052</v>
      </c>
      <c r="J261" s="192"/>
      <c r="K261" s="223" t="s">
        <v>1106</v>
      </c>
      <c r="L261" s="192"/>
      <c r="M261" s="192"/>
      <c r="N261" s="192"/>
      <c r="O261" s="224" t="s">
        <v>965</v>
      </c>
      <c r="P261" s="146"/>
      <c r="Q261" s="146"/>
      <c r="R261" s="146"/>
      <c r="S261" s="146"/>
    </row>
    <row r="262" spans="1:19" ht="15.75" thickTop="1" x14ac:dyDescent="0.2">
      <c r="A262" s="152">
        <v>26</v>
      </c>
      <c r="B262" s="142" t="s">
        <v>1305</v>
      </c>
      <c r="C262" s="142" t="s">
        <v>1306</v>
      </c>
      <c r="D262" s="151"/>
      <c r="G262" s="146"/>
      <c r="H262" s="229">
        <v>26</v>
      </c>
      <c r="I262" s="185"/>
      <c r="J262" s="234"/>
      <c r="K262" s="235" t="s">
        <v>1306</v>
      </c>
      <c r="L262" s="234"/>
      <c r="M262" s="234"/>
      <c r="N262" s="234"/>
      <c r="O262" s="187"/>
      <c r="P262" s="146"/>
      <c r="Q262" s="160">
        <f>H262</f>
        <v>26</v>
      </c>
      <c r="R262" s="151" t="str">
        <f>CONCATENATE("II-",TEXT(Q262,"0000"))</f>
        <v>II-0026</v>
      </c>
      <c r="S262" s="161" t="str">
        <f>K262</f>
        <v xml:space="preserve">DEMOLICION </v>
      </c>
    </row>
    <row r="263" spans="1:19" x14ac:dyDescent="0.2">
      <c r="A263" s="152"/>
      <c r="B263" s="142"/>
      <c r="C263" s="142"/>
      <c r="D263" s="151" t="s">
        <v>1183</v>
      </c>
      <c r="G263" s="146"/>
      <c r="H263" s="162"/>
      <c r="I263" s="163" t="s">
        <v>989</v>
      </c>
      <c r="J263" s="204"/>
      <c r="K263" s="221" t="s">
        <v>1231</v>
      </c>
      <c r="L263" s="204"/>
      <c r="M263" s="204"/>
      <c r="N263" s="204"/>
      <c r="O263" s="220" t="s">
        <v>1183</v>
      </c>
      <c r="P263" s="146"/>
      <c r="Q263" s="146"/>
      <c r="R263" s="146"/>
      <c r="S263" s="146"/>
    </row>
    <row r="264" spans="1:19" ht="15.75" thickBot="1" x14ac:dyDescent="0.25">
      <c r="A264" s="152"/>
      <c r="B264" s="142"/>
      <c r="C264" s="142"/>
      <c r="D264" s="151" t="s">
        <v>5</v>
      </c>
      <c r="G264" s="146"/>
      <c r="H264" s="177"/>
      <c r="I264" s="189" t="s">
        <v>1016</v>
      </c>
      <c r="J264" s="192"/>
      <c r="K264" s="223" t="s">
        <v>1307</v>
      </c>
      <c r="L264" s="192"/>
      <c r="M264" s="192"/>
      <c r="N264" s="192"/>
      <c r="O264" s="224" t="s">
        <v>5</v>
      </c>
      <c r="P264" s="146"/>
      <c r="Q264" s="146"/>
      <c r="R264" s="146"/>
      <c r="S264" s="146"/>
    </row>
    <row r="265" spans="1:19" ht="15.75" thickTop="1" x14ac:dyDescent="0.2">
      <c r="A265" s="152">
        <v>27</v>
      </c>
      <c r="B265" s="142" t="s">
        <v>1308</v>
      </c>
      <c r="C265" s="142" t="s">
        <v>1309</v>
      </c>
      <c r="D265" s="151"/>
      <c r="G265" s="146"/>
      <c r="H265" s="184">
        <v>27</v>
      </c>
      <c r="I265" s="186"/>
      <c r="J265" s="196"/>
      <c r="K265" s="241" t="s">
        <v>1309</v>
      </c>
      <c r="L265" s="196"/>
      <c r="M265" s="196"/>
      <c r="N265" s="196"/>
      <c r="O265" s="206"/>
      <c r="P265" s="146"/>
      <c r="Q265" s="160">
        <f>H265</f>
        <v>27</v>
      </c>
      <c r="R265" s="151" t="str">
        <f>CONCATENATE("II-",TEXT(Q265,"0000"))</f>
        <v>II-0027</v>
      </c>
      <c r="S265" s="161" t="str">
        <f>K265</f>
        <v>DESAGUES</v>
      </c>
    </row>
    <row r="266" spans="1:19" x14ac:dyDescent="0.2">
      <c r="A266" s="152"/>
      <c r="B266" s="142"/>
      <c r="C266" s="142"/>
      <c r="D266" s="151" t="s">
        <v>1217</v>
      </c>
      <c r="G266" s="146"/>
      <c r="H266" s="162"/>
      <c r="I266" s="163" t="s">
        <v>989</v>
      </c>
      <c r="J266" s="204"/>
      <c r="K266" s="221" t="s">
        <v>1310</v>
      </c>
      <c r="L266" s="204"/>
      <c r="M266" s="204"/>
      <c r="N266" s="204"/>
      <c r="O266" s="220" t="s">
        <v>1217</v>
      </c>
      <c r="P266" s="146"/>
      <c r="Q266" s="146"/>
      <c r="R266" s="146"/>
      <c r="S266" s="146"/>
    </row>
    <row r="267" spans="1:19" x14ac:dyDescent="0.2">
      <c r="A267" s="152"/>
      <c r="B267" s="142"/>
      <c r="C267" s="142"/>
      <c r="D267" s="151" t="s">
        <v>1217</v>
      </c>
      <c r="G267" s="146"/>
      <c r="H267" s="162"/>
      <c r="I267" s="163" t="s">
        <v>1016</v>
      </c>
      <c r="J267" s="204"/>
      <c r="K267" s="221" t="s">
        <v>1311</v>
      </c>
      <c r="L267" s="204"/>
      <c r="M267" s="204"/>
      <c r="N267" s="204"/>
      <c r="O267" s="220" t="s">
        <v>1217</v>
      </c>
      <c r="P267" s="146"/>
      <c r="Q267" s="146"/>
      <c r="R267" s="146"/>
      <c r="S267" s="146"/>
    </row>
    <row r="268" spans="1:19" x14ac:dyDescent="0.2">
      <c r="A268" s="152"/>
      <c r="B268" s="142"/>
      <c r="C268" s="142"/>
      <c r="D268" s="151"/>
      <c r="G268" s="146"/>
      <c r="H268" s="162"/>
      <c r="I268" s="163" t="s">
        <v>1026</v>
      </c>
      <c r="J268" s="146"/>
      <c r="K268" s="161" t="s">
        <v>1312</v>
      </c>
      <c r="L268" s="146"/>
      <c r="M268" s="146"/>
      <c r="N268" s="146"/>
      <c r="O268" s="198"/>
      <c r="P268" s="146"/>
      <c r="Q268" s="146"/>
      <c r="R268" s="146"/>
      <c r="S268" s="146"/>
    </row>
    <row r="269" spans="1:19" x14ac:dyDescent="0.2">
      <c r="A269" s="152"/>
      <c r="B269" s="142"/>
      <c r="C269" s="142"/>
      <c r="D269" s="151" t="s">
        <v>1217</v>
      </c>
      <c r="G269" s="146"/>
      <c r="H269" s="162"/>
      <c r="I269" s="151"/>
      <c r="J269" s="168">
        <v>1</v>
      </c>
      <c r="K269" s="146"/>
      <c r="L269" s="161" t="s">
        <v>1218</v>
      </c>
      <c r="M269" s="146"/>
      <c r="N269" s="146"/>
      <c r="O269" s="198" t="s">
        <v>1217</v>
      </c>
      <c r="P269" s="146"/>
      <c r="Q269" s="146"/>
      <c r="R269" s="146"/>
      <c r="S269" s="146"/>
    </row>
    <row r="270" spans="1:19" x14ac:dyDescent="0.2">
      <c r="A270" s="152"/>
      <c r="B270" s="142"/>
      <c r="C270" s="142"/>
      <c r="D270" s="151" t="s">
        <v>1217</v>
      </c>
      <c r="G270" s="146"/>
      <c r="H270" s="162"/>
      <c r="I270" s="151"/>
      <c r="J270" s="171">
        <v>2</v>
      </c>
      <c r="K270" s="146"/>
      <c r="L270" s="161" t="s">
        <v>1221</v>
      </c>
      <c r="M270" s="146"/>
      <c r="N270" s="146"/>
      <c r="O270" s="198" t="s">
        <v>1217</v>
      </c>
      <c r="P270" s="146"/>
      <c r="Q270" s="146"/>
      <c r="R270" s="146"/>
      <c r="S270" s="146"/>
    </row>
    <row r="271" spans="1:19" x14ac:dyDescent="0.2">
      <c r="A271" s="152"/>
      <c r="B271" s="142"/>
      <c r="C271" s="142"/>
      <c r="D271" s="151" t="s">
        <v>1217</v>
      </c>
      <c r="G271" s="146"/>
      <c r="H271" s="162"/>
      <c r="I271" s="163" t="s">
        <v>1052</v>
      </c>
      <c r="J271" s="204"/>
      <c r="K271" s="221" t="s">
        <v>1108</v>
      </c>
      <c r="L271" s="204"/>
      <c r="M271" s="204"/>
      <c r="N271" s="204"/>
      <c r="O271" s="220" t="s">
        <v>1217</v>
      </c>
      <c r="P271" s="146"/>
      <c r="Q271" s="146"/>
      <c r="R271" s="146"/>
      <c r="S271" s="146"/>
    </row>
    <row r="272" spans="1:19" x14ac:dyDescent="0.2">
      <c r="A272" s="152"/>
      <c r="B272" s="142"/>
      <c r="C272" s="142"/>
      <c r="D272" s="151" t="s">
        <v>1217</v>
      </c>
      <c r="G272" s="146"/>
      <c r="H272" s="162"/>
      <c r="I272" s="171" t="s">
        <v>1094</v>
      </c>
      <c r="J272" s="172"/>
      <c r="K272" s="173" t="s">
        <v>1106</v>
      </c>
      <c r="L272" s="172"/>
      <c r="M272" s="172"/>
      <c r="N272" s="172"/>
      <c r="O272" s="216" t="s">
        <v>1217</v>
      </c>
      <c r="P272" s="146"/>
      <c r="Q272" s="146"/>
      <c r="R272" s="146"/>
      <c r="S272" s="146"/>
    </row>
    <row r="273" spans="1:19" ht="15.75" thickBot="1" x14ac:dyDescent="0.25">
      <c r="A273" s="152"/>
      <c r="B273" s="142"/>
      <c r="C273" s="142"/>
      <c r="D273" s="151" t="s">
        <v>1217</v>
      </c>
      <c r="G273" s="146"/>
      <c r="H273" s="162"/>
      <c r="I273" s="163" t="s">
        <v>1097</v>
      </c>
      <c r="J273" s="204"/>
      <c r="K273" s="221" t="s">
        <v>1103</v>
      </c>
      <c r="L273" s="204"/>
      <c r="M273" s="204"/>
      <c r="N273" s="204"/>
      <c r="O273" s="220" t="s">
        <v>1217</v>
      </c>
      <c r="P273" s="146"/>
      <c r="Q273" s="146"/>
      <c r="R273" s="146"/>
      <c r="S273" s="146"/>
    </row>
    <row r="274" spans="1:19" ht="16.5" thickTop="1" thickBot="1" x14ac:dyDescent="0.25">
      <c r="A274" s="152">
        <v>28</v>
      </c>
      <c r="B274" s="142" t="s">
        <v>1313</v>
      </c>
      <c r="C274" s="142" t="s">
        <v>1314</v>
      </c>
      <c r="D274" s="151" t="s">
        <v>966</v>
      </c>
      <c r="G274" s="146"/>
      <c r="H274" s="229">
        <v>28</v>
      </c>
      <c r="I274" s="185"/>
      <c r="J274" s="234"/>
      <c r="K274" s="235" t="s">
        <v>1314</v>
      </c>
      <c r="L274" s="234"/>
      <c r="M274" s="234"/>
      <c r="N274" s="234"/>
      <c r="O274" s="187" t="s">
        <v>966</v>
      </c>
      <c r="P274" s="146"/>
      <c r="Q274" s="160">
        <f t="shared" ref="Q274:Q279" si="39">H274</f>
        <v>28</v>
      </c>
      <c r="R274" s="151" t="str">
        <f t="shared" ref="R274:R279" si="40">CONCATENATE("II-",TEXT(Q274,"0000"))</f>
        <v>II-0028</v>
      </c>
      <c r="S274" s="161" t="str">
        <f t="shared" ref="S274:S279" si="41">K274</f>
        <v>DESBOSQUE / DESTRONQUE LIMPIEZA</v>
      </c>
    </row>
    <row r="275" spans="1:19" ht="16.5" thickTop="1" thickBot="1" x14ac:dyDescent="0.25">
      <c r="A275" s="152">
        <v>29</v>
      </c>
      <c r="B275" s="142" t="s">
        <v>1315</v>
      </c>
      <c r="C275" s="142" t="s">
        <v>1316</v>
      </c>
      <c r="D275" s="151" t="s">
        <v>1100</v>
      </c>
      <c r="G275" s="146"/>
      <c r="H275" s="229">
        <v>29</v>
      </c>
      <c r="I275" s="185"/>
      <c r="J275" s="234"/>
      <c r="K275" s="235" t="s">
        <v>1316</v>
      </c>
      <c r="L275" s="234"/>
      <c r="M275" s="234"/>
      <c r="N275" s="234"/>
      <c r="O275" s="187" t="s">
        <v>1100</v>
      </c>
      <c r="P275" s="146"/>
      <c r="Q275" s="160">
        <f t="shared" si="39"/>
        <v>29</v>
      </c>
      <c r="R275" s="151" t="str">
        <f t="shared" si="40"/>
        <v>II-0029</v>
      </c>
      <c r="S275" s="161" t="str">
        <f t="shared" si="41"/>
        <v>DESCARGA</v>
      </c>
    </row>
    <row r="276" spans="1:19" ht="16.5" thickTop="1" thickBot="1" x14ac:dyDescent="0.25">
      <c r="A276" s="152">
        <v>30</v>
      </c>
      <c r="B276" s="142" t="s">
        <v>1317</v>
      </c>
      <c r="C276" s="142" t="s">
        <v>1318</v>
      </c>
      <c r="D276" s="151" t="s">
        <v>1100</v>
      </c>
      <c r="G276" s="146"/>
      <c r="H276" s="255">
        <v>30</v>
      </c>
      <c r="I276" s="256"/>
      <c r="J276" s="257"/>
      <c r="K276" s="258" t="s">
        <v>1318</v>
      </c>
      <c r="L276" s="257"/>
      <c r="M276" s="257"/>
      <c r="N276" s="257"/>
      <c r="O276" s="259" t="s">
        <v>1100</v>
      </c>
      <c r="P276" s="146"/>
      <c r="Q276" s="160">
        <f t="shared" si="39"/>
        <v>30</v>
      </c>
      <c r="R276" s="151" t="str">
        <f t="shared" si="40"/>
        <v>II-0030</v>
      </c>
      <c r="S276" s="161" t="str">
        <f t="shared" si="41"/>
        <v>DESEMBARRO P/ SANEAMIENTO</v>
      </c>
    </row>
    <row r="277" spans="1:19" ht="16.5" thickTop="1" thickBot="1" x14ac:dyDescent="0.25">
      <c r="A277" s="152">
        <v>31</v>
      </c>
      <c r="B277" s="142" t="s">
        <v>1319</v>
      </c>
      <c r="C277" s="142" t="s">
        <v>1320</v>
      </c>
      <c r="D277" s="151" t="s">
        <v>966</v>
      </c>
      <c r="G277" s="146"/>
      <c r="H277" s="255">
        <v>31</v>
      </c>
      <c r="I277" s="256"/>
      <c r="J277" s="257"/>
      <c r="K277" s="258" t="s">
        <v>1320</v>
      </c>
      <c r="L277" s="257"/>
      <c r="M277" s="257"/>
      <c r="N277" s="257"/>
      <c r="O277" s="259" t="s">
        <v>966</v>
      </c>
      <c r="P277" s="146"/>
      <c r="Q277" s="160">
        <f t="shared" si="39"/>
        <v>31</v>
      </c>
      <c r="R277" s="151" t="str">
        <f t="shared" si="40"/>
        <v>II-0031</v>
      </c>
      <c r="S277" s="161" t="str">
        <f t="shared" si="41"/>
        <v>DESPEDRADO DE LADERAS</v>
      </c>
    </row>
    <row r="278" spans="1:19" ht="16.5" thickTop="1" thickBot="1" x14ac:dyDescent="0.25">
      <c r="A278" s="152">
        <v>32</v>
      </c>
      <c r="B278" s="142" t="s">
        <v>1321</v>
      </c>
      <c r="C278" s="142" t="s">
        <v>1322</v>
      </c>
      <c r="D278" s="151" t="s">
        <v>5</v>
      </c>
      <c r="G278" s="146"/>
      <c r="H278" s="255">
        <v>32</v>
      </c>
      <c r="I278" s="256"/>
      <c r="J278" s="257"/>
      <c r="K278" s="258" t="s">
        <v>1322</v>
      </c>
      <c r="L278" s="257"/>
      <c r="M278" s="257"/>
      <c r="N278" s="257"/>
      <c r="O278" s="259" t="s">
        <v>5</v>
      </c>
      <c r="P278" s="146"/>
      <c r="Q278" s="160">
        <f t="shared" si="39"/>
        <v>32</v>
      </c>
      <c r="R278" s="151" t="str">
        <f t="shared" si="40"/>
        <v>II-0032</v>
      </c>
      <c r="S278" s="161" t="str">
        <f t="shared" si="41"/>
        <v>DESVIO</v>
      </c>
    </row>
    <row r="279" spans="1:19" ht="15.75" thickTop="1" x14ac:dyDescent="0.2">
      <c r="A279" s="152">
        <v>33</v>
      </c>
      <c r="B279" s="142" t="s">
        <v>1323</v>
      </c>
      <c r="C279" s="142" t="s">
        <v>1324</v>
      </c>
      <c r="D279" s="151"/>
      <c r="G279" s="146"/>
      <c r="H279" s="184">
        <v>33</v>
      </c>
      <c r="I279" s="186"/>
      <c r="J279" s="196"/>
      <c r="K279" s="241" t="s">
        <v>1324</v>
      </c>
      <c r="L279" s="196"/>
      <c r="M279" s="196"/>
      <c r="N279" s="196"/>
      <c r="O279" s="206"/>
      <c r="P279" s="146"/>
      <c r="Q279" s="160">
        <f t="shared" si="39"/>
        <v>33</v>
      </c>
      <c r="R279" s="151" t="str">
        <f t="shared" si="40"/>
        <v>II-0033</v>
      </c>
      <c r="S279" s="161" t="str">
        <f t="shared" si="41"/>
        <v>DRENES</v>
      </c>
    </row>
    <row r="280" spans="1:19" x14ac:dyDescent="0.2">
      <c r="A280" s="152"/>
      <c r="B280" s="142"/>
      <c r="C280" s="142"/>
      <c r="D280" s="151"/>
      <c r="G280" s="146"/>
      <c r="H280" s="162"/>
      <c r="I280" s="163" t="s">
        <v>989</v>
      </c>
      <c r="J280" s="151"/>
      <c r="K280" s="161" t="s">
        <v>1325</v>
      </c>
      <c r="L280" s="146"/>
      <c r="M280" s="146"/>
      <c r="N280" s="146"/>
      <c r="O280" s="198"/>
      <c r="P280" s="146"/>
      <c r="Q280" s="146"/>
      <c r="R280" s="146"/>
      <c r="S280" s="146"/>
    </row>
    <row r="281" spans="1:19" x14ac:dyDescent="0.2">
      <c r="A281" s="152"/>
      <c r="B281" s="142"/>
      <c r="C281" s="142"/>
      <c r="D281" s="151" t="s">
        <v>1183</v>
      </c>
      <c r="G281" s="146"/>
      <c r="H281" s="162"/>
      <c r="I281" s="151"/>
      <c r="J281" s="168">
        <v>1</v>
      </c>
      <c r="K281" s="146"/>
      <c r="L281" s="161" t="s">
        <v>1326</v>
      </c>
      <c r="M281" s="146"/>
      <c r="N281" s="146"/>
      <c r="O281" s="198" t="s">
        <v>1183</v>
      </c>
      <c r="P281" s="146"/>
      <c r="Q281" s="146"/>
      <c r="R281" s="146"/>
      <c r="S281" s="146"/>
    </row>
    <row r="282" spans="1:19" x14ac:dyDescent="0.2">
      <c r="A282" s="152"/>
      <c r="B282" s="142"/>
      <c r="C282" s="142"/>
      <c r="D282" s="151" t="s">
        <v>1100</v>
      </c>
      <c r="G282" s="146"/>
      <c r="H282" s="162"/>
      <c r="I282" s="151"/>
      <c r="J282" s="168">
        <v>2</v>
      </c>
      <c r="K282" s="146"/>
      <c r="L282" s="161" t="s">
        <v>1327</v>
      </c>
      <c r="M282" s="146"/>
      <c r="N282" s="146"/>
      <c r="O282" s="198" t="s">
        <v>1100</v>
      </c>
      <c r="P282" s="146"/>
      <c r="Q282" s="146"/>
      <c r="R282" s="146"/>
      <c r="S282" s="146"/>
    </row>
    <row r="283" spans="1:19" x14ac:dyDescent="0.2">
      <c r="A283" s="152"/>
      <c r="B283" s="142"/>
      <c r="C283" s="142"/>
      <c r="D283" s="151" t="s">
        <v>965</v>
      </c>
      <c r="G283" s="146"/>
      <c r="H283" s="162"/>
      <c r="I283" s="176"/>
      <c r="J283" s="171">
        <v>3</v>
      </c>
      <c r="K283" s="172"/>
      <c r="L283" s="173" t="s">
        <v>1328</v>
      </c>
      <c r="M283" s="172"/>
      <c r="N283" s="172"/>
      <c r="O283" s="216" t="s">
        <v>965</v>
      </c>
      <c r="P283" s="146"/>
      <c r="Q283" s="146"/>
      <c r="R283" s="146"/>
      <c r="S283" s="146"/>
    </row>
    <row r="284" spans="1:19" x14ac:dyDescent="0.2">
      <c r="A284" s="152"/>
      <c r="B284" s="142"/>
      <c r="C284" s="142"/>
      <c r="D284" s="151"/>
      <c r="G284" s="146"/>
      <c r="H284" s="162"/>
      <c r="I284" s="171" t="s">
        <v>1016</v>
      </c>
      <c r="J284" s="151"/>
      <c r="K284" s="161" t="s">
        <v>1329</v>
      </c>
      <c r="L284" s="146"/>
      <c r="M284" s="146"/>
      <c r="N284" s="146"/>
      <c r="O284" s="198"/>
      <c r="P284" s="146"/>
      <c r="Q284" s="146"/>
      <c r="R284" s="146"/>
      <c r="S284" s="146"/>
    </row>
    <row r="285" spans="1:19" x14ac:dyDescent="0.2">
      <c r="A285" s="152"/>
      <c r="B285" s="142"/>
      <c r="C285" s="142"/>
      <c r="D285" s="151" t="s">
        <v>1183</v>
      </c>
      <c r="G285" s="146"/>
      <c r="H285" s="162"/>
      <c r="I285" s="151"/>
      <c r="J285" s="168">
        <v>1</v>
      </c>
      <c r="K285" s="146"/>
      <c r="L285" s="161" t="s">
        <v>1326</v>
      </c>
      <c r="M285" s="146"/>
      <c r="N285" s="146"/>
      <c r="O285" s="198" t="s">
        <v>1183</v>
      </c>
      <c r="P285" s="146"/>
      <c r="Q285" s="146"/>
      <c r="R285" s="146"/>
      <c r="S285" s="146"/>
    </row>
    <row r="286" spans="1:19" x14ac:dyDescent="0.2">
      <c r="A286" s="152"/>
      <c r="B286" s="142"/>
      <c r="C286" s="142"/>
      <c r="D286" s="151" t="s">
        <v>1100</v>
      </c>
      <c r="G286" s="146"/>
      <c r="H286" s="162"/>
      <c r="I286" s="151"/>
      <c r="J286" s="168">
        <v>2</v>
      </c>
      <c r="K286" s="146"/>
      <c r="L286" s="161" t="s">
        <v>1327</v>
      </c>
      <c r="M286" s="146"/>
      <c r="N286" s="146"/>
      <c r="O286" s="198" t="s">
        <v>1100</v>
      </c>
      <c r="P286" s="146"/>
      <c r="Q286" s="146"/>
      <c r="R286" s="146"/>
      <c r="S286" s="146"/>
    </row>
    <row r="287" spans="1:19" x14ac:dyDescent="0.2">
      <c r="A287" s="152"/>
      <c r="B287" s="142"/>
      <c r="C287" s="142"/>
      <c r="D287" s="151" t="s">
        <v>965</v>
      </c>
      <c r="G287" s="146"/>
      <c r="H287" s="162"/>
      <c r="I287" s="176"/>
      <c r="J287" s="171">
        <v>3</v>
      </c>
      <c r="K287" s="172"/>
      <c r="L287" s="173" t="s">
        <v>1328</v>
      </c>
      <c r="M287" s="172"/>
      <c r="N287" s="172"/>
      <c r="O287" s="216" t="s">
        <v>965</v>
      </c>
      <c r="P287" s="146"/>
      <c r="Q287" s="146"/>
      <c r="R287" s="146"/>
      <c r="S287" s="146"/>
    </row>
    <row r="288" spans="1:19" x14ac:dyDescent="0.2">
      <c r="A288" s="152"/>
      <c r="B288" s="142"/>
      <c r="C288" s="142"/>
      <c r="D288" s="151"/>
      <c r="G288" s="146"/>
      <c r="H288" s="162"/>
      <c r="I288" s="171" t="s">
        <v>1026</v>
      </c>
      <c r="J288" s="151"/>
      <c r="K288" s="161" t="s">
        <v>1330</v>
      </c>
      <c r="L288" s="146"/>
      <c r="M288" s="146"/>
      <c r="N288" s="146"/>
      <c r="O288" s="198"/>
      <c r="P288" s="146"/>
      <c r="Q288" s="146"/>
      <c r="R288" s="146"/>
      <c r="S288" s="146"/>
    </row>
    <row r="289" spans="1:19" x14ac:dyDescent="0.2">
      <c r="A289" s="152"/>
      <c r="B289" s="142"/>
      <c r="C289" s="142"/>
      <c r="D289" s="151" t="s">
        <v>1225</v>
      </c>
      <c r="G289" s="146"/>
      <c r="H289" s="162"/>
      <c r="I289" s="151"/>
      <c r="J289" s="168">
        <v>1</v>
      </c>
      <c r="K289" s="146"/>
      <c r="L289" s="161" t="s">
        <v>1331</v>
      </c>
      <c r="M289" s="146"/>
      <c r="N289" s="146"/>
      <c r="O289" s="198" t="s">
        <v>1225</v>
      </c>
      <c r="P289" s="146"/>
      <c r="Q289" s="146"/>
      <c r="R289" s="146"/>
      <c r="S289" s="146"/>
    </row>
    <row r="290" spans="1:19" x14ac:dyDescent="0.2">
      <c r="A290" s="152"/>
      <c r="B290" s="142"/>
      <c r="C290" s="142"/>
      <c r="D290" s="151" t="s">
        <v>1225</v>
      </c>
      <c r="G290" s="146"/>
      <c r="H290" s="162"/>
      <c r="I290" s="163" t="s">
        <v>1052</v>
      </c>
      <c r="J290" s="204"/>
      <c r="K290" s="221" t="s">
        <v>1058</v>
      </c>
      <c r="L290" s="204"/>
      <c r="M290" s="204"/>
      <c r="N290" s="204"/>
      <c r="O290" s="220" t="s">
        <v>1225</v>
      </c>
      <c r="P290" s="146"/>
      <c r="Q290" s="146"/>
      <c r="R290" s="146"/>
      <c r="S290" s="146"/>
    </row>
    <row r="291" spans="1:19" ht="15.75" thickBot="1" x14ac:dyDescent="0.25">
      <c r="A291" s="152"/>
      <c r="B291" s="142"/>
      <c r="C291" s="142"/>
      <c r="D291" s="151" t="s">
        <v>1225</v>
      </c>
      <c r="G291" s="146"/>
      <c r="H291" s="162"/>
      <c r="I291" s="189" t="s">
        <v>1094</v>
      </c>
      <c r="J291" s="146"/>
      <c r="K291" s="161" t="s">
        <v>1106</v>
      </c>
      <c r="L291" s="146"/>
      <c r="M291" s="146"/>
      <c r="N291" s="146"/>
      <c r="O291" s="198" t="s">
        <v>1225</v>
      </c>
      <c r="P291" s="146"/>
      <c r="Q291" s="146"/>
      <c r="R291" s="146"/>
      <c r="S291" s="146"/>
    </row>
    <row r="292" spans="1:19" ht="15.75" thickTop="1" x14ac:dyDescent="0.2">
      <c r="A292" s="152">
        <v>34</v>
      </c>
      <c r="B292" s="142" t="s">
        <v>1332</v>
      </c>
      <c r="C292" s="142" t="s">
        <v>1333</v>
      </c>
      <c r="D292" s="151"/>
      <c r="G292" s="146"/>
      <c r="H292" s="229">
        <v>34</v>
      </c>
      <c r="I292" s="185"/>
      <c r="J292" s="234"/>
      <c r="K292" s="235" t="s">
        <v>1333</v>
      </c>
      <c r="L292" s="234"/>
      <c r="M292" s="234"/>
      <c r="N292" s="234"/>
      <c r="O292" s="187"/>
      <c r="P292" s="146"/>
      <c r="Q292" s="160">
        <f>H292</f>
        <v>34</v>
      </c>
      <c r="R292" s="151" t="str">
        <f>CONCATENATE("II-",TEXT(Q292,"0000"))</f>
        <v>II-0034</v>
      </c>
      <c r="S292" s="161" t="str">
        <f>K292</f>
        <v>ELEVACION DE GUARDARUEDAS</v>
      </c>
    </row>
    <row r="293" spans="1:19" ht="15.75" thickBot="1" x14ac:dyDescent="0.25">
      <c r="A293" s="152"/>
      <c r="B293" s="142"/>
      <c r="C293" s="142"/>
      <c r="D293" s="151" t="s">
        <v>1183</v>
      </c>
      <c r="G293" s="146"/>
      <c r="H293" s="263"/>
      <c r="I293" s="243" t="s">
        <v>989</v>
      </c>
      <c r="J293" s="260"/>
      <c r="K293" s="261" t="s">
        <v>1334</v>
      </c>
      <c r="L293" s="260"/>
      <c r="M293" s="260"/>
      <c r="N293" s="260"/>
      <c r="O293" s="262" t="s">
        <v>1183</v>
      </c>
      <c r="P293" s="146"/>
      <c r="Q293" s="146"/>
      <c r="R293" s="146"/>
      <c r="S293" s="146"/>
    </row>
    <row r="294" spans="1:19" x14ac:dyDescent="0.2">
      <c r="A294" s="152">
        <v>35</v>
      </c>
      <c r="B294" s="142" t="s">
        <v>1335</v>
      </c>
      <c r="C294" s="142" t="s">
        <v>1336</v>
      </c>
      <c r="D294" s="151"/>
      <c r="G294" s="146"/>
      <c r="H294" s="184">
        <v>35</v>
      </c>
      <c r="I294" s="186"/>
      <c r="J294" s="196"/>
      <c r="K294" s="241" t="s">
        <v>1336</v>
      </c>
      <c r="L294" s="196"/>
      <c r="M294" s="196"/>
      <c r="N294" s="196"/>
      <c r="O294" s="206"/>
      <c r="P294" s="146"/>
      <c r="Q294" s="160">
        <f>H294</f>
        <v>35</v>
      </c>
      <c r="R294" s="151" t="str">
        <f>CONCATENATE("II-",TEXT(Q294,"0000"))</f>
        <v>II-0035</v>
      </c>
      <c r="S294" s="161" t="str">
        <f>K294</f>
        <v>ENCAUZAMIENTO</v>
      </c>
    </row>
    <row r="295" spans="1:19" x14ac:dyDescent="0.2">
      <c r="A295" s="152"/>
      <c r="B295" s="142"/>
      <c r="C295" s="142"/>
      <c r="D295" s="151" t="s">
        <v>1100</v>
      </c>
      <c r="G295" s="146"/>
      <c r="H295" s="162"/>
      <c r="I295" s="163" t="s">
        <v>989</v>
      </c>
      <c r="J295" s="204"/>
      <c r="K295" s="221" t="s">
        <v>1282</v>
      </c>
      <c r="L295" s="204"/>
      <c r="M295" s="204"/>
      <c r="N295" s="204"/>
      <c r="O295" s="220" t="s">
        <v>1100</v>
      </c>
      <c r="P295" s="146"/>
      <c r="Q295" s="146"/>
      <c r="R295" s="146"/>
      <c r="S295" s="146"/>
    </row>
    <row r="296" spans="1:19" x14ac:dyDescent="0.2">
      <c r="A296" s="152"/>
      <c r="B296" s="142"/>
      <c r="C296" s="142"/>
      <c r="D296" s="151"/>
      <c r="G296" s="146"/>
      <c r="H296" s="162"/>
      <c r="I296" s="163" t="s">
        <v>1016</v>
      </c>
      <c r="J296" s="151"/>
      <c r="K296" s="161" t="s">
        <v>1337</v>
      </c>
      <c r="L296" s="146"/>
      <c r="M296" s="146"/>
      <c r="N296" s="146"/>
      <c r="O296" s="198"/>
      <c r="P296" s="146"/>
      <c r="Q296" s="146"/>
      <c r="R296" s="146"/>
      <c r="S296" s="146"/>
    </row>
    <row r="297" spans="1:19" x14ac:dyDescent="0.2">
      <c r="A297" s="152"/>
      <c r="B297" s="142"/>
      <c r="C297" s="142"/>
      <c r="D297" s="151" t="s">
        <v>1100</v>
      </c>
      <c r="G297" s="146"/>
      <c r="H297" s="162"/>
      <c r="I297" s="151"/>
      <c r="J297" s="168">
        <v>1</v>
      </c>
      <c r="K297" s="146"/>
      <c r="L297" s="161" t="s">
        <v>1338</v>
      </c>
      <c r="M297" s="146"/>
      <c r="N297" s="146"/>
      <c r="O297" s="198" t="s">
        <v>1100</v>
      </c>
      <c r="P297" s="146"/>
      <c r="Q297" s="146"/>
      <c r="R297" s="146"/>
      <c r="S297" s="146"/>
    </row>
    <row r="298" spans="1:19" ht="15.75" thickBot="1" x14ac:dyDescent="0.25">
      <c r="A298" s="152"/>
      <c r="B298" s="142"/>
      <c r="C298" s="142"/>
      <c r="D298" s="151" t="s">
        <v>1100</v>
      </c>
      <c r="G298" s="146"/>
      <c r="H298" s="208"/>
      <c r="I298" s="209"/>
      <c r="J298" s="210">
        <v>2</v>
      </c>
      <c r="K298" s="211"/>
      <c r="L298" s="212" t="s">
        <v>1214</v>
      </c>
      <c r="M298" s="211"/>
      <c r="N298" s="211"/>
      <c r="O298" s="244" t="s">
        <v>1100</v>
      </c>
      <c r="P298" s="146"/>
      <c r="Q298" s="146"/>
      <c r="R298" s="146"/>
      <c r="S298" s="146"/>
    </row>
    <row r="299" spans="1:19" x14ac:dyDescent="0.2">
      <c r="A299" s="152"/>
      <c r="B299" s="142"/>
      <c r="C299" s="142"/>
      <c r="D299" s="151"/>
      <c r="G299" s="146"/>
      <c r="H299" s="214"/>
      <c r="I299" s="151"/>
      <c r="J299" s="151"/>
      <c r="K299" s="146"/>
      <c r="L299" s="161"/>
      <c r="M299" s="146"/>
      <c r="N299" s="146"/>
      <c r="O299" s="149"/>
      <c r="P299" s="146"/>
      <c r="Q299" s="146"/>
      <c r="R299" s="146"/>
      <c r="S299" s="146"/>
    </row>
    <row r="300" spans="1:19" ht="15.75" thickBot="1" x14ac:dyDescent="0.25">
      <c r="A300" s="152">
        <v>36</v>
      </c>
      <c r="B300" s="142" t="s">
        <v>1339</v>
      </c>
      <c r="C300" s="142" t="s">
        <v>1340</v>
      </c>
      <c r="D300" s="151" t="s">
        <v>1100</v>
      </c>
      <c r="G300" s="146"/>
      <c r="H300" s="184">
        <v>36</v>
      </c>
      <c r="I300" s="186"/>
      <c r="J300" s="196"/>
      <c r="K300" s="241" t="s">
        <v>1340</v>
      </c>
      <c r="L300" s="196"/>
      <c r="M300" s="196"/>
      <c r="N300" s="196"/>
      <c r="O300" s="206" t="s">
        <v>1100</v>
      </c>
      <c r="P300" s="146"/>
      <c r="Q300" s="160">
        <f t="shared" ref="Q300:Q303" si="42">H300</f>
        <v>36</v>
      </c>
      <c r="R300" s="151" t="str">
        <f t="shared" ref="R300:R303" si="43">CONCATENATE("II-",TEXT(Q300,"0000"))</f>
        <v>II-0036</v>
      </c>
      <c r="S300" s="161" t="str">
        <f t="shared" ref="S300:S303" si="44">K300</f>
        <v>ENROCADOS</v>
      </c>
    </row>
    <row r="301" spans="1:19" ht="16.5" thickTop="1" thickBot="1" x14ac:dyDescent="0.25">
      <c r="A301" s="152">
        <v>37</v>
      </c>
      <c r="B301" s="142" t="s">
        <v>1341</v>
      </c>
      <c r="C301" s="142" t="s">
        <v>1342</v>
      </c>
      <c r="D301" s="151" t="s">
        <v>1183</v>
      </c>
      <c r="G301" s="146"/>
      <c r="H301" s="229">
        <v>37</v>
      </c>
      <c r="I301" s="185"/>
      <c r="J301" s="234"/>
      <c r="K301" s="235" t="s">
        <v>1342</v>
      </c>
      <c r="L301" s="234"/>
      <c r="M301" s="234"/>
      <c r="N301" s="234"/>
      <c r="O301" s="187" t="s">
        <v>1183</v>
      </c>
      <c r="P301" s="146"/>
      <c r="Q301" s="160">
        <f t="shared" si="42"/>
        <v>37</v>
      </c>
      <c r="R301" s="151" t="str">
        <f t="shared" si="43"/>
        <v>II-0037</v>
      </c>
      <c r="S301" s="161" t="str">
        <f t="shared" si="44"/>
        <v>ENRIPIADO</v>
      </c>
    </row>
    <row r="302" spans="1:19" ht="16.5" thickTop="1" thickBot="1" x14ac:dyDescent="0.25">
      <c r="A302" s="152">
        <v>38</v>
      </c>
      <c r="B302" s="142" t="s">
        <v>1343</v>
      </c>
      <c r="C302" s="142" t="s">
        <v>1344</v>
      </c>
      <c r="D302" s="151" t="s">
        <v>1183</v>
      </c>
      <c r="G302" s="146"/>
      <c r="H302" s="229">
        <v>38</v>
      </c>
      <c r="I302" s="185"/>
      <c r="J302" s="234"/>
      <c r="K302" s="235" t="s">
        <v>1344</v>
      </c>
      <c r="L302" s="234"/>
      <c r="M302" s="234"/>
      <c r="N302" s="234"/>
      <c r="O302" s="187" t="s">
        <v>1183</v>
      </c>
      <c r="P302" s="146"/>
      <c r="Q302" s="160">
        <f t="shared" si="42"/>
        <v>38</v>
      </c>
      <c r="R302" s="151" t="str">
        <f t="shared" si="43"/>
        <v>II-0038</v>
      </c>
      <c r="S302" s="161" t="str">
        <f t="shared" si="44"/>
        <v>ESCARIFICADO</v>
      </c>
    </row>
    <row r="303" spans="1:19" ht="15.75" thickTop="1" x14ac:dyDescent="0.2">
      <c r="A303" s="152">
        <v>39</v>
      </c>
      <c r="B303" s="142" t="s">
        <v>1345</v>
      </c>
      <c r="C303" s="142" t="s">
        <v>1346</v>
      </c>
      <c r="D303" s="151"/>
      <c r="G303" s="146"/>
      <c r="H303" s="229">
        <v>39</v>
      </c>
      <c r="I303" s="185"/>
      <c r="J303" s="234"/>
      <c r="K303" s="235" t="s">
        <v>1346</v>
      </c>
      <c r="L303" s="234"/>
      <c r="M303" s="234"/>
      <c r="N303" s="234"/>
      <c r="O303" s="187"/>
      <c r="P303" s="146"/>
      <c r="Q303" s="160">
        <f t="shared" si="42"/>
        <v>39</v>
      </c>
      <c r="R303" s="151" t="str">
        <f t="shared" si="43"/>
        <v>II-0039</v>
      </c>
      <c r="S303" s="161" t="str">
        <f t="shared" si="44"/>
        <v>EXCAVACIONES</v>
      </c>
    </row>
    <row r="304" spans="1:19" x14ac:dyDescent="0.2">
      <c r="A304" s="152"/>
      <c r="B304" s="142"/>
      <c r="C304" s="142"/>
      <c r="D304" s="151" t="s">
        <v>1100</v>
      </c>
      <c r="G304" s="146"/>
      <c r="H304" s="162"/>
      <c r="I304" s="163" t="s">
        <v>989</v>
      </c>
      <c r="J304" s="204"/>
      <c r="K304" s="221" t="s">
        <v>1347</v>
      </c>
      <c r="L304" s="221"/>
      <c r="M304" s="221"/>
      <c r="N304" s="221"/>
      <c r="O304" s="220" t="s">
        <v>1100</v>
      </c>
      <c r="P304" s="146"/>
      <c r="Q304" s="146"/>
      <c r="R304" s="146"/>
      <c r="S304" s="146"/>
    </row>
    <row r="305" spans="1:19" x14ac:dyDescent="0.2">
      <c r="A305" s="152"/>
      <c r="B305" s="142"/>
      <c r="C305" s="142"/>
      <c r="D305" s="151" t="s">
        <v>1100</v>
      </c>
      <c r="G305" s="146"/>
      <c r="H305" s="162"/>
      <c r="I305" s="163" t="s">
        <v>1016</v>
      </c>
      <c r="J305" s="204"/>
      <c r="K305" s="221" t="s">
        <v>1348</v>
      </c>
      <c r="L305" s="221"/>
      <c r="M305" s="221"/>
      <c r="N305" s="221"/>
      <c r="O305" s="220" t="s">
        <v>1100</v>
      </c>
      <c r="P305" s="146"/>
      <c r="Q305" s="146"/>
      <c r="R305" s="146"/>
      <c r="S305" s="146"/>
    </row>
    <row r="306" spans="1:19" x14ac:dyDescent="0.2">
      <c r="A306" s="152"/>
      <c r="B306" s="142"/>
      <c r="C306" s="142"/>
      <c r="D306" s="151" t="s">
        <v>1100</v>
      </c>
      <c r="G306" s="146"/>
      <c r="H306" s="162"/>
      <c r="I306" s="163" t="s">
        <v>1026</v>
      </c>
      <c r="J306" s="204"/>
      <c r="K306" s="221" t="s">
        <v>1349</v>
      </c>
      <c r="L306" s="221"/>
      <c r="M306" s="221"/>
      <c r="N306" s="221"/>
      <c r="O306" s="220" t="s">
        <v>1100</v>
      </c>
      <c r="P306" s="146"/>
      <c r="Q306" s="146"/>
      <c r="R306" s="146"/>
      <c r="S306" s="146"/>
    </row>
    <row r="307" spans="1:19" x14ac:dyDescent="0.2">
      <c r="A307" s="152"/>
      <c r="B307" s="142"/>
      <c r="C307" s="142"/>
      <c r="D307" s="151" t="s">
        <v>1100</v>
      </c>
      <c r="G307" s="146"/>
      <c r="H307" s="162"/>
      <c r="I307" s="163" t="s">
        <v>1052</v>
      </c>
      <c r="J307" s="204"/>
      <c r="K307" s="221" t="s">
        <v>1350</v>
      </c>
      <c r="L307" s="221"/>
      <c r="M307" s="221"/>
      <c r="N307" s="221"/>
      <c r="O307" s="220" t="s">
        <v>1100</v>
      </c>
      <c r="P307" s="146"/>
      <c r="Q307" s="146"/>
      <c r="R307" s="146"/>
      <c r="S307" s="146"/>
    </row>
    <row r="308" spans="1:19" x14ac:dyDescent="0.2">
      <c r="A308" s="152"/>
      <c r="B308" s="142"/>
      <c r="C308" s="142"/>
      <c r="D308" s="151" t="s">
        <v>1100</v>
      </c>
      <c r="G308" s="146"/>
      <c r="H308" s="162"/>
      <c r="I308" s="163" t="s">
        <v>1094</v>
      </c>
      <c r="J308" s="204"/>
      <c r="K308" s="221" t="s">
        <v>1351</v>
      </c>
      <c r="L308" s="221"/>
      <c r="M308" s="221"/>
      <c r="N308" s="221"/>
      <c r="O308" s="220" t="s">
        <v>1100</v>
      </c>
      <c r="P308" s="146"/>
      <c r="Q308" s="146"/>
      <c r="R308" s="146"/>
      <c r="S308" s="146"/>
    </row>
    <row r="309" spans="1:19" x14ac:dyDescent="0.2">
      <c r="A309" s="152"/>
      <c r="B309" s="142"/>
      <c r="C309" s="142"/>
      <c r="D309" s="151" t="s">
        <v>1100</v>
      </c>
      <c r="G309" s="146"/>
      <c r="H309" s="162"/>
      <c r="I309" s="163" t="s">
        <v>1097</v>
      </c>
      <c r="J309" s="204"/>
      <c r="K309" s="221" t="s">
        <v>1352</v>
      </c>
      <c r="L309" s="221"/>
      <c r="M309" s="221"/>
      <c r="N309" s="221"/>
      <c r="O309" s="220" t="s">
        <v>1100</v>
      </c>
      <c r="P309" s="146"/>
      <c r="Q309" s="146"/>
      <c r="R309" s="146"/>
      <c r="S309" s="146"/>
    </row>
    <row r="310" spans="1:19" x14ac:dyDescent="0.2">
      <c r="A310" s="152"/>
      <c r="B310" s="142"/>
      <c r="C310" s="142"/>
      <c r="D310" s="151" t="s">
        <v>1100</v>
      </c>
      <c r="G310" s="146"/>
      <c r="H310" s="162"/>
      <c r="I310" s="163" t="s">
        <v>1101</v>
      </c>
      <c r="J310" s="204"/>
      <c r="K310" s="221" t="s">
        <v>1353</v>
      </c>
      <c r="L310" s="221"/>
      <c r="M310" s="221"/>
      <c r="N310" s="221"/>
      <c r="O310" s="220" t="s">
        <v>1100</v>
      </c>
      <c r="P310" s="146"/>
      <c r="Q310" s="146"/>
      <c r="R310" s="146"/>
      <c r="S310" s="146"/>
    </row>
    <row r="311" spans="1:19" x14ac:dyDescent="0.2">
      <c r="A311" s="152"/>
      <c r="B311" s="142"/>
      <c r="C311" s="142"/>
      <c r="D311" s="151" t="s">
        <v>1100</v>
      </c>
      <c r="G311" s="146"/>
      <c r="H311" s="162"/>
      <c r="I311" s="163" t="s">
        <v>1104</v>
      </c>
      <c r="J311" s="204"/>
      <c r="K311" s="221" t="s">
        <v>1354</v>
      </c>
      <c r="L311" s="221"/>
      <c r="M311" s="221"/>
      <c r="N311" s="221"/>
      <c r="O311" s="220" t="s">
        <v>1100</v>
      </c>
      <c r="P311" s="146"/>
      <c r="Q311" s="146"/>
      <c r="R311" s="146"/>
      <c r="S311" s="146"/>
    </row>
    <row r="312" spans="1:19" x14ac:dyDescent="0.2">
      <c r="A312" s="152"/>
      <c r="B312" s="142"/>
      <c r="C312" s="142"/>
      <c r="D312" s="151" t="s">
        <v>1100</v>
      </c>
      <c r="G312" s="146"/>
      <c r="H312" s="162"/>
      <c r="I312" s="163" t="s">
        <v>889</v>
      </c>
      <c r="J312" s="204"/>
      <c r="K312" s="221" t="s">
        <v>1355</v>
      </c>
      <c r="L312" s="221"/>
      <c r="M312" s="221"/>
      <c r="N312" s="221"/>
      <c r="O312" s="220" t="s">
        <v>1100</v>
      </c>
      <c r="P312" s="146"/>
      <c r="Q312" s="146"/>
      <c r="R312" s="146"/>
      <c r="S312" s="146"/>
    </row>
    <row r="313" spans="1:19" ht="15.75" thickBot="1" x14ac:dyDescent="0.25">
      <c r="A313" s="152"/>
      <c r="B313" s="142"/>
      <c r="C313" s="142"/>
      <c r="D313" s="151" t="s">
        <v>1100</v>
      </c>
      <c r="G313" s="146"/>
      <c r="H313" s="177"/>
      <c r="I313" s="189" t="s">
        <v>1109</v>
      </c>
      <c r="J313" s="192"/>
      <c r="K313" s="223" t="s">
        <v>1356</v>
      </c>
      <c r="L313" s="223"/>
      <c r="M313" s="223"/>
      <c r="N313" s="223"/>
      <c r="O313" s="224" t="s">
        <v>1100</v>
      </c>
      <c r="P313" s="146"/>
      <c r="Q313" s="146"/>
      <c r="R313" s="146"/>
      <c r="S313" s="146"/>
    </row>
    <row r="314" spans="1:19" ht="15.75" thickTop="1" x14ac:dyDescent="0.2">
      <c r="A314" s="152">
        <v>40</v>
      </c>
      <c r="B314" s="142" t="s">
        <v>1357</v>
      </c>
      <c r="C314" s="142" t="s">
        <v>1253</v>
      </c>
      <c r="D314" s="151"/>
      <c r="G314" s="146"/>
      <c r="H314" s="184">
        <v>40</v>
      </c>
      <c r="I314" s="186"/>
      <c r="J314" s="196"/>
      <c r="K314" s="241" t="s">
        <v>1253</v>
      </c>
      <c r="L314" s="196"/>
      <c r="M314" s="196"/>
      <c r="N314" s="196"/>
      <c r="O314" s="206"/>
      <c r="P314" s="146"/>
      <c r="Q314" s="160">
        <f>H314</f>
        <v>40</v>
      </c>
      <c r="R314" s="151" t="str">
        <f>CONCATENATE("II-",TEXT(Q314,"0000"))</f>
        <v>II-0040</v>
      </c>
      <c r="S314" s="161" t="str">
        <f>K314</f>
        <v>FRESADO</v>
      </c>
    </row>
    <row r="315" spans="1:19" ht="15.75" thickBot="1" x14ac:dyDescent="0.25">
      <c r="A315" s="152"/>
      <c r="B315" s="142"/>
      <c r="C315" s="142"/>
      <c r="D315" s="151" t="s">
        <v>1183</v>
      </c>
      <c r="G315" s="146"/>
      <c r="H315" s="162"/>
      <c r="I315" s="189" t="s">
        <v>989</v>
      </c>
      <c r="J315" s="146"/>
      <c r="K315" s="161" t="s">
        <v>1358</v>
      </c>
      <c r="L315" s="146"/>
      <c r="M315" s="146"/>
      <c r="N315" s="146"/>
      <c r="O315" s="198" t="s">
        <v>1183</v>
      </c>
      <c r="P315" s="146"/>
      <c r="Q315" s="146"/>
      <c r="R315" s="146"/>
      <c r="S315" s="146"/>
    </row>
    <row r="316" spans="1:19" ht="15.75" thickTop="1" x14ac:dyDescent="0.2">
      <c r="A316" s="152">
        <v>41</v>
      </c>
      <c r="B316" s="142" t="s">
        <v>1359</v>
      </c>
      <c r="C316" s="142" t="s">
        <v>1360</v>
      </c>
      <c r="D316" s="151"/>
      <c r="G316" s="146"/>
      <c r="H316" s="229">
        <v>41</v>
      </c>
      <c r="I316" s="185"/>
      <c r="J316" s="234"/>
      <c r="K316" s="235" t="s">
        <v>1360</v>
      </c>
      <c r="L316" s="235"/>
      <c r="M316" s="234"/>
      <c r="N316" s="234"/>
      <c r="O316" s="187"/>
      <c r="P316" s="146"/>
      <c r="Q316" s="160">
        <f>H316</f>
        <v>41</v>
      </c>
      <c r="R316" s="151" t="str">
        <f>CONCATENATE("II-",TEXT(Q316,"0000"))</f>
        <v>II-0041</v>
      </c>
      <c r="S316" s="161" t="str">
        <f>K316</f>
        <v>GAVIONES (PIEDRA EMBOLSADA)</v>
      </c>
    </row>
    <row r="317" spans="1:19" x14ac:dyDescent="0.2">
      <c r="A317" s="152"/>
      <c r="B317" s="142"/>
      <c r="C317" s="142"/>
      <c r="D317" s="151"/>
      <c r="G317" s="146"/>
      <c r="H317" s="162"/>
      <c r="I317" s="163" t="s">
        <v>989</v>
      </c>
      <c r="J317" s="151"/>
      <c r="K317" s="161" t="s">
        <v>1269</v>
      </c>
      <c r="L317" s="146"/>
      <c r="M317" s="146"/>
      <c r="N317" s="146"/>
      <c r="O317" s="198"/>
      <c r="P317" s="146"/>
      <c r="Q317" s="146"/>
      <c r="R317" s="146"/>
      <c r="S317" s="146"/>
    </row>
    <row r="318" spans="1:19" x14ac:dyDescent="0.2">
      <c r="A318" s="152"/>
      <c r="B318" s="142"/>
      <c r="C318" s="142"/>
      <c r="D318" s="151" t="s">
        <v>1100</v>
      </c>
      <c r="G318" s="146"/>
      <c r="H318" s="162"/>
      <c r="I318" s="151"/>
      <c r="J318" s="168">
        <v>1</v>
      </c>
      <c r="K318" s="146"/>
      <c r="L318" s="161" t="s">
        <v>1361</v>
      </c>
      <c r="M318" s="146"/>
      <c r="N318" s="146"/>
      <c r="O318" s="198" t="s">
        <v>1100</v>
      </c>
      <c r="P318" s="146"/>
      <c r="Q318" s="146"/>
      <c r="R318" s="146"/>
      <c r="S318" s="146"/>
    </row>
    <row r="319" spans="1:19" x14ac:dyDescent="0.2">
      <c r="A319" s="152"/>
      <c r="B319" s="142"/>
      <c r="C319" s="142"/>
      <c r="D319" s="151" t="s">
        <v>1100</v>
      </c>
      <c r="G319" s="146"/>
      <c r="H319" s="162"/>
      <c r="I319" s="215"/>
      <c r="J319" s="171">
        <v>2</v>
      </c>
      <c r="K319" s="172"/>
      <c r="L319" s="173" t="s">
        <v>1362</v>
      </c>
      <c r="M319" s="172"/>
      <c r="N319" s="172"/>
      <c r="O319" s="216" t="s">
        <v>1100</v>
      </c>
      <c r="P319" s="146"/>
      <c r="Q319" s="146"/>
      <c r="R319" s="146"/>
      <c r="S319" s="146"/>
    </row>
    <row r="320" spans="1:19" x14ac:dyDescent="0.2">
      <c r="A320" s="152"/>
      <c r="B320" s="142"/>
      <c r="C320" s="142"/>
      <c r="D320" s="151"/>
      <c r="G320" s="146"/>
      <c r="H320" s="162"/>
      <c r="I320" s="171" t="s">
        <v>1016</v>
      </c>
      <c r="J320" s="151"/>
      <c r="K320" s="161" t="s">
        <v>1268</v>
      </c>
      <c r="L320" s="146"/>
      <c r="M320" s="146"/>
      <c r="N320" s="146"/>
      <c r="O320" s="198"/>
      <c r="P320" s="146"/>
      <c r="Q320" s="146"/>
      <c r="R320" s="146"/>
      <c r="S320" s="146"/>
    </row>
    <row r="321" spans="1:19" x14ac:dyDescent="0.2">
      <c r="A321" s="152"/>
      <c r="B321" s="142"/>
      <c r="C321" s="142"/>
      <c r="D321" s="151" t="s">
        <v>1100</v>
      </c>
      <c r="G321" s="146"/>
      <c r="H321" s="162"/>
      <c r="I321" s="151"/>
      <c r="J321" s="168">
        <v>1</v>
      </c>
      <c r="K321" s="146"/>
      <c r="L321" s="161" t="s">
        <v>1361</v>
      </c>
      <c r="M321" s="146"/>
      <c r="N321" s="146"/>
      <c r="O321" s="198" t="s">
        <v>1100</v>
      </c>
      <c r="P321" s="146"/>
      <c r="Q321" s="146"/>
      <c r="R321" s="146"/>
      <c r="S321" s="146"/>
    </row>
    <row r="322" spans="1:19" x14ac:dyDescent="0.2">
      <c r="A322" s="152"/>
      <c r="B322" s="142"/>
      <c r="C322" s="142"/>
      <c r="D322" s="151" t="s">
        <v>1100</v>
      </c>
      <c r="G322" s="146"/>
      <c r="H322" s="162"/>
      <c r="I322" s="176"/>
      <c r="J322" s="171">
        <v>2</v>
      </c>
      <c r="K322" s="172"/>
      <c r="L322" s="173" t="s">
        <v>1362</v>
      </c>
      <c r="M322" s="172"/>
      <c r="N322" s="172"/>
      <c r="O322" s="216" t="s">
        <v>1100</v>
      </c>
      <c r="P322" s="146"/>
      <c r="Q322" s="146"/>
      <c r="R322" s="146"/>
      <c r="S322" s="146"/>
    </row>
    <row r="323" spans="1:19" x14ac:dyDescent="0.2">
      <c r="A323" s="152"/>
      <c r="B323" s="142"/>
      <c r="C323" s="142"/>
      <c r="D323" s="151" t="s">
        <v>1100</v>
      </c>
      <c r="G323" s="146"/>
      <c r="H323" s="162"/>
      <c r="I323" s="163" t="s">
        <v>1026</v>
      </c>
      <c r="J323" s="204"/>
      <c r="K323" s="221" t="s">
        <v>1058</v>
      </c>
      <c r="L323" s="221"/>
      <c r="M323" s="204"/>
      <c r="N323" s="204"/>
      <c r="O323" s="220" t="s">
        <v>1100</v>
      </c>
      <c r="P323" s="146"/>
      <c r="Q323" s="146"/>
      <c r="R323" s="146"/>
      <c r="S323" s="146"/>
    </row>
    <row r="324" spans="1:19" ht="15.75" thickBot="1" x14ac:dyDescent="0.25">
      <c r="A324" s="152"/>
      <c r="B324" s="142"/>
      <c r="C324" s="142"/>
      <c r="D324" s="151" t="s">
        <v>1100</v>
      </c>
      <c r="G324" s="146"/>
      <c r="H324" s="162"/>
      <c r="I324" s="168" t="s">
        <v>1052</v>
      </c>
      <c r="J324" s="146"/>
      <c r="K324" s="161" t="s">
        <v>1106</v>
      </c>
      <c r="L324" s="161"/>
      <c r="M324" s="146"/>
      <c r="N324" s="146"/>
      <c r="O324" s="198" t="s">
        <v>1100</v>
      </c>
      <c r="P324" s="146"/>
      <c r="Q324" s="146"/>
      <c r="R324" s="146"/>
      <c r="S324" s="146"/>
    </row>
    <row r="325" spans="1:19" ht="16.5" thickTop="1" thickBot="1" x14ac:dyDescent="0.25">
      <c r="A325" s="152">
        <v>42</v>
      </c>
      <c r="B325" s="142" t="s">
        <v>1363</v>
      </c>
      <c r="C325" s="142" t="s">
        <v>1364</v>
      </c>
      <c r="D325" s="151" t="s">
        <v>5</v>
      </c>
      <c r="G325" s="146"/>
      <c r="H325" s="255">
        <v>42</v>
      </c>
      <c r="I325" s="256"/>
      <c r="J325" s="257"/>
      <c r="K325" s="258" t="s">
        <v>1364</v>
      </c>
      <c r="L325" s="258"/>
      <c r="M325" s="257"/>
      <c r="N325" s="257"/>
      <c r="O325" s="259" t="s">
        <v>5</v>
      </c>
      <c r="P325" s="146"/>
      <c r="Q325" s="160">
        <f t="shared" ref="Q325:Q326" si="45">H325</f>
        <v>42</v>
      </c>
      <c r="R325" s="151" t="str">
        <f t="shared" ref="R325:R326" si="46">CONCATENATE("II-",TEXT(Q325,"0000"))</f>
        <v>II-0042</v>
      </c>
      <c r="S325" s="161" t="str">
        <f t="shared" ref="S325:S326" si="47">K325</f>
        <v>GUARDAGANADO</v>
      </c>
    </row>
    <row r="326" spans="1:19" ht="15.75" thickTop="1" x14ac:dyDescent="0.2">
      <c r="A326" s="152">
        <v>43</v>
      </c>
      <c r="B326" s="142" t="s">
        <v>1365</v>
      </c>
      <c r="C326" s="142" t="s">
        <v>1366</v>
      </c>
      <c r="D326" s="151"/>
      <c r="G326" s="146"/>
      <c r="H326" s="184">
        <v>43</v>
      </c>
      <c r="I326" s="186"/>
      <c r="J326" s="196"/>
      <c r="K326" s="241" t="s">
        <v>1366</v>
      </c>
      <c r="L326" s="196"/>
      <c r="M326" s="196"/>
      <c r="N326" s="196"/>
      <c r="O326" s="206"/>
      <c r="P326" s="146"/>
      <c r="Q326" s="160">
        <f t="shared" si="45"/>
        <v>43</v>
      </c>
      <c r="R326" s="151" t="str">
        <f t="shared" si="46"/>
        <v>II-0043</v>
      </c>
      <c r="S326" s="161" t="str">
        <f t="shared" si="47"/>
        <v>HORMIGON CEMENTO PORTLAND EXCLUIDA LA ARAMDURA</v>
      </c>
    </row>
    <row r="327" spans="1:19" x14ac:dyDescent="0.2">
      <c r="A327" s="152"/>
      <c r="B327" s="142"/>
      <c r="C327" s="142"/>
      <c r="D327" s="151"/>
      <c r="G327" s="146"/>
      <c r="H327" s="162"/>
      <c r="I327" s="163" t="s">
        <v>989</v>
      </c>
      <c r="J327" s="151"/>
      <c r="K327" s="161" t="s">
        <v>1367</v>
      </c>
      <c r="L327" s="146"/>
      <c r="M327" s="146"/>
      <c r="N327" s="146"/>
      <c r="O327" s="198"/>
      <c r="P327" s="146"/>
      <c r="Q327" s="146"/>
      <c r="R327" s="146"/>
      <c r="S327" s="146"/>
    </row>
    <row r="328" spans="1:19" x14ac:dyDescent="0.2">
      <c r="A328" s="152"/>
      <c r="B328" s="142"/>
      <c r="C328" s="142"/>
      <c r="D328" s="151" t="s">
        <v>1100</v>
      </c>
      <c r="G328" s="146"/>
      <c r="H328" s="162"/>
      <c r="I328" s="151"/>
      <c r="J328" s="168">
        <v>1</v>
      </c>
      <c r="K328" s="146"/>
      <c r="L328" s="161" t="s">
        <v>1368</v>
      </c>
      <c r="M328" s="146"/>
      <c r="N328" s="146"/>
      <c r="O328" s="198" t="s">
        <v>1100</v>
      </c>
      <c r="P328" s="146"/>
      <c r="Q328" s="146"/>
      <c r="R328" s="146"/>
      <c r="S328" s="146"/>
    </row>
    <row r="329" spans="1:19" x14ac:dyDescent="0.2">
      <c r="A329" s="152"/>
      <c r="B329" s="142"/>
      <c r="C329" s="142"/>
      <c r="D329" s="151" t="s">
        <v>1100</v>
      </c>
      <c r="G329" s="146"/>
      <c r="H329" s="162"/>
      <c r="I329" s="151"/>
      <c r="J329" s="168">
        <v>2</v>
      </c>
      <c r="K329" s="146"/>
      <c r="L329" s="161" t="s">
        <v>1198</v>
      </c>
      <c r="M329" s="146"/>
      <c r="N329" s="146"/>
      <c r="O329" s="198" t="s">
        <v>1100</v>
      </c>
      <c r="P329" s="146"/>
      <c r="Q329" s="146"/>
      <c r="R329" s="146"/>
      <c r="S329" s="146"/>
    </row>
    <row r="330" spans="1:19" x14ac:dyDescent="0.2">
      <c r="A330" s="152"/>
      <c r="B330" s="142"/>
      <c r="C330" s="142"/>
      <c r="D330" s="151" t="s">
        <v>1100</v>
      </c>
      <c r="G330" s="146"/>
      <c r="H330" s="162"/>
      <c r="I330" s="151"/>
      <c r="J330" s="168">
        <v>3</v>
      </c>
      <c r="K330" s="146"/>
      <c r="L330" s="161" t="s">
        <v>1369</v>
      </c>
      <c r="M330" s="146"/>
      <c r="N330" s="146"/>
      <c r="O330" s="198" t="s">
        <v>1100</v>
      </c>
      <c r="P330" s="146"/>
      <c r="Q330" s="146"/>
      <c r="R330" s="146"/>
      <c r="S330" s="146"/>
    </row>
    <row r="331" spans="1:19" x14ac:dyDescent="0.2">
      <c r="A331" s="152"/>
      <c r="B331" s="142"/>
      <c r="C331" s="142"/>
      <c r="D331" s="151" t="s">
        <v>1100</v>
      </c>
      <c r="G331" s="146"/>
      <c r="H331" s="162"/>
      <c r="I331" s="151"/>
      <c r="J331" s="168">
        <v>4</v>
      </c>
      <c r="K331" s="146"/>
      <c r="L331" s="161" t="s">
        <v>1349</v>
      </c>
      <c r="M331" s="146"/>
      <c r="N331" s="146"/>
      <c r="O331" s="198" t="s">
        <v>1100</v>
      </c>
      <c r="P331" s="146"/>
      <c r="Q331" s="146"/>
      <c r="R331" s="146"/>
      <c r="S331" s="146"/>
    </row>
    <row r="332" spans="1:19" x14ac:dyDescent="0.2">
      <c r="A332" s="152"/>
      <c r="B332" s="142"/>
      <c r="C332" s="142"/>
      <c r="D332" s="151" t="s">
        <v>1100</v>
      </c>
      <c r="G332" s="146"/>
      <c r="H332" s="162"/>
      <c r="I332" s="176"/>
      <c r="J332" s="171">
        <v>5</v>
      </c>
      <c r="K332" s="172"/>
      <c r="L332" s="173" t="s">
        <v>1370</v>
      </c>
      <c r="M332" s="172"/>
      <c r="N332" s="172"/>
      <c r="O332" s="216" t="s">
        <v>1100</v>
      </c>
      <c r="P332" s="146"/>
      <c r="Q332" s="146"/>
      <c r="R332" s="146"/>
      <c r="S332" s="146"/>
    </row>
    <row r="333" spans="1:19" x14ac:dyDescent="0.2">
      <c r="A333" s="152"/>
      <c r="B333" s="142"/>
      <c r="C333" s="142"/>
      <c r="D333" s="151"/>
      <c r="G333" s="146"/>
      <c r="H333" s="162"/>
      <c r="I333" s="163" t="s">
        <v>1016</v>
      </c>
      <c r="J333" s="151"/>
      <c r="K333" s="161" t="s">
        <v>1371</v>
      </c>
      <c r="L333" s="146"/>
      <c r="M333" s="146"/>
      <c r="N333" s="146"/>
      <c r="O333" s="198"/>
      <c r="P333" s="146"/>
      <c r="Q333" s="146"/>
      <c r="R333" s="146"/>
      <c r="S333" s="146"/>
    </row>
    <row r="334" spans="1:19" x14ac:dyDescent="0.2">
      <c r="A334" s="152"/>
      <c r="B334" s="142"/>
      <c r="C334" s="142"/>
      <c r="D334" s="151" t="s">
        <v>1100</v>
      </c>
      <c r="G334" s="146"/>
      <c r="H334" s="162"/>
      <c r="I334" s="151"/>
      <c r="J334" s="168">
        <v>1</v>
      </c>
      <c r="K334" s="146"/>
      <c r="L334" s="161" t="s">
        <v>1198</v>
      </c>
      <c r="M334" s="146"/>
      <c r="N334" s="146"/>
      <c r="O334" s="198" t="s">
        <v>1100</v>
      </c>
      <c r="P334" s="146"/>
      <c r="Q334" s="146"/>
      <c r="R334" s="146"/>
      <c r="S334" s="146"/>
    </row>
    <row r="335" spans="1:19" x14ac:dyDescent="0.2">
      <c r="A335" s="152"/>
      <c r="B335" s="142"/>
      <c r="C335" s="142"/>
      <c r="D335" s="151" t="s">
        <v>1100</v>
      </c>
      <c r="G335" s="146"/>
      <c r="H335" s="162"/>
      <c r="I335" s="151"/>
      <c r="J335" s="168">
        <v>2</v>
      </c>
      <c r="K335" s="146"/>
      <c r="L335" s="161" t="s">
        <v>1372</v>
      </c>
      <c r="M335" s="146"/>
      <c r="N335" s="146"/>
      <c r="O335" s="198" t="s">
        <v>1100</v>
      </c>
      <c r="P335" s="146"/>
      <c r="Q335" s="146"/>
      <c r="R335" s="146"/>
      <c r="S335" s="146"/>
    </row>
    <row r="336" spans="1:19" x14ac:dyDescent="0.2">
      <c r="A336" s="152"/>
      <c r="B336" s="142"/>
      <c r="C336" s="142"/>
      <c r="D336" s="151" t="s">
        <v>1100</v>
      </c>
      <c r="G336" s="146"/>
      <c r="H336" s="162"/>
      <c r="I336" s="151"/>
      <c r="J336" s="168">
        <v>3</v>
      </c>
      <c r="K336" s="146"/>
      <c r="L336" s="161" t="s">
        <v>1373</v>
      </c>
      <c r="M336" s="146"/>
      <c r="N336" s="146"/>
      <c r="O336" s="198" t="s">
        <v>1100</v>
      </c>
      <c r="P336" s="146"/>
      <c r="Q336" s="146"/>
      <c r="R336" s="146"/>
      <c r="S336" s="146"/>
    </row>
    <row r="337" spans="1:19" x14ac:dyDescent="0.2">
      <c r="A337" s="152"/>
      <c r="B337" s="142"/>
      <c r="C337" s="142"/>
      <c r="D337" s="151" t="s">
        <v>1100</v>
      </c>
      <c r="G337" s="146"/>
      <c r="H337" s="162"/>
      <c r="I337" s="151"/>
      <c r="J337" s="168">
        <v>4</v>
      </c>
      <c r="K337" s="146"/>
      <c r="L337" s="161" t="s">
        <v>1374</v>
      </c>
      <c r="M337" s="146"/>
      <c r="N337" s="146"/>
      <c r="O337" s="198" t="s">
        <v>1100</v>
      </c>
      <c r="P337" s="146"/>
      <c r="Q337" s="146"/>
      <c r="R337" s="146"/>
      <c r="S337" s="146"/>
    </row>
    <row r="338" spans="1:19" x14ac:dyDescent="0.2">
      <c r="A338" s="152"/>
      <c r="B338" s="142"/>
      <c r="C338" s="142"/>
      <c r="D338" s="151" t="s">
        <v>1100</v>
      </c>
      <c r="G338" s="146"/>
      <c r="H338" s="162"/>
      <c r="I338" s="151"/>
      <c r="J338" s="168">
        <v>5</v>
      </c>
      <c r="K338" s="146"/>
      <c r="L338" s="161" t="s">
        <v>1375</v>
      </c>
      <c r="M338" s="146"/>
      <c r="N338" s="146"/>
      <c r="O338" s="198" t="s">
        <v>1100</v>
      </c>
      <c r="P338" s="146"/>
      <c r="Q338" s="146"/>
      <c r="R338" s="146"/>
      <c r="S338" s="146"/>
    </row>
    <row r="339" spans="1:19" x14ac:dyDescent="0.2">
      <c r="A339" s="152"/>
      <c r="B339" s="142"/>
      <c r="C339" s="142"/>
      <c r="D339" s="151" t="s">
        <v>1100</v>
      </c>
      <c r="G339" s="146"/>
      <c r="H339" s="162"/>
      <c r="I339" s="215"/>
      <c r="J339" s="151">
        <v>6</v>
      </c>
      <c r="K339" s="161"/>
      <c r="L339" s="146" t="s">
        <v>1370</v>
      </c>
      <c r="M339" s="146"/>
      <c r="N339" s="146"/>
      <c r="O339" s="198" t="s">
        <v>1100</v>
      </c>
      <c r="P339" s="146"/>
      <c r="Q339" s="146"/>
      <c r="R339" s="146"/>
      <c r="S339" s="146"/>
    </row>
    <row r="340" spans="1:19" x14ac:dyDescent="0.2">
      <c r="A340" s="152"/>
      <c r="B340" s="142"/>
      <c r="C340" s="142"/>
      <c r="D340" s="151"/>
      <c r="G340" s="146"/>
      <c r="H340" s="162"/>
      <c r="I340" s="171" t="s">
        <v>1026</v>
      </c>
      <c r="J340" s="151"/>
      <c r="K340" s="161" t="s">
        <v>1376</v>
      </c>
      <c r="L340" s="146"/>
      <c r="M340" s="146"/>
      <c r="N340" s="146"/>
      <c r="O340" s="198"/>
      <c r="P340" s="146"/>
      <c r="Q340" s="146"/>
      <c r="R340" s="146"/>
      <c r="S340" s="146"/>
    </row>
    <row r="341" spans="1:19" x14ac:dyDescent="0.2">
      <c r="A341" s="152"/>
      <c r="B341" s="142"/>
      <c r="C341" s="142"/>
      <c r="D341" s="151" t="s">
        <v>1100</v>
      </c>
      <c r="G341" s="146"/>
      <c r="H341" s="162"/>
      <c r="I341" s="151"/>
      <c r="J341" s="168">
        <v>1</v>
      </c>
      <c r="K341" s="146"/>
      <c r="L341" s="161" t="s">
        <v>1377</v>
      </c>
      <c r="M341" s="146"/>
      <c r="N341" s="146"/>
      <c r="O341" s="198" t="s">
        <v>1100</v>
      </c>
      <c r="P341" s="146"/>
      <c r="Q341" s="146"/>
      <c r="R341" s="146"/>
      <c r="S341" s="146"/>
    </row>
    <row r="342" spans="1:19" x14ac:dyDescent="0.2">
      <c r="A342" s="152"/>
      <c r="B342" s="142"/>
      <c r="C342" s="142"/>
      <c r="D342" s="151" t="s">
        <v>1100</v>
      </c>
      <c r="G342" s="146"/>
      <c r="H342" s="162"/>
      <c r="I342" s="151"/>
      <c r="J342" s="168">
        <v>2</v>
      </c>
      <c r="K342" s="146"/>
      <c r="L342" s="161" t="s">
        <v>1198</v>
      </c>
      <c r="M342" s="146"/>
      <c r="N342" s="146"/>
      <c r="O342" s="198" t="s">
        <v>1100</v>
      </c>
      <c r="P342" s="146"/>
      <c r="Q342" s="146"/>
      <c r="R342" s="146"/>
      <c r="S342" s="146"/>
    </row>
    <row r="343" spans="1:19" x14ac:dyDescent="0.2">
      <c r="A343" s="152"/>
      <c r="B343" s="142"/>
      <c r="C343" s="142"/>
      <c r="D343" s="151" t="s">
        <v>1100</v>
      </c>
      <c r="G343" s="146"/>
      <c r="H343" s="162"/>
      <c r="I343" s="151"/>
      <c r="J343" s="168">
        <v>3</v>
      </c>
      <c r="K343" s="146"/>
      <c r="L343" s="161" t="s">
        <v>1378</v>
      </c>
      <c r="M343" s="146"/>
      <c r="N343" s="146"/>
      <c r="O343" s="198" t="s">
        <v>1100</v>
      </c>
      <c r="P343" s="146"/>
      <c r="Q343" s="146"/>
      <c r="R343" s="146"/>
      <c r="S343" s="146"/>
    </row>
    <row r="344" spans="1:19" x14ac:dyDescent="0.2">
      <c r="A344" s="152"/>
      <c r="B344" s="142"/>
      <c r="C344" s="142"/>
      <c r="D344" s="151" t="s">
        <v>1100</v>
      </c>
      <c r="G344" s="146"/>
      <c r="H344" s="162"/>
      <c r="I344" s="151"/>
      <c r="J344" s="168">
        <v>4</v>
      </c>
      <c r="K344" s="146"/>
      <c r="L344" s="161" t="s">
        <v>1372</v>
      </c>
      <c r="M344" s="146"/>
      <c r="N344" s="146"/>
      <c r="O344" s="198" t="s">
        <v>1100</v>
      </c>
      <c r="P344" s="146"/>
      <c r="Q344" s="146"/>
      <c r="R344" s="146"/>
      <c r="S344" s="146"/>
    </row>
    <row r="345" spans="1:19" x14ac:dyDescent="0.2">
      <c r="A345" s="152"/>
      <c r="B345" s="142"/>
      <c r="C345" s="142"/>
      <c r="D345" s="151" t="s">
        <v>1100</v>
      </c>
      <c r="G345" s="146"/>
      <c r="H345" s="162"/>
      <c r="I345" s="151"/>
      <c r="J345" s="168">
        <v>5</v>
      </c>
      <c r="K345" s="146"/>
      <c r="L345" s="161" t="s">
        <v>1309</v>
      </c>
      <c r="M345" s="146"/>
      <c r="N345" s="146"/>
      <c r="O345" s="198" t="s">
        <v>1100</v>
      </c>
      <c r="P345" s="146"/>
      <c r="Q345" s="146"/>
      <c r="R345" s="146"/>
      <c r="S345" s="146"/>
    </row>
    <row r="346" spans="1:19" x14ac:dyDescent="0.2">
      <c r="A346" s="152"/>
      <c r="B346" s="142"/>
      <c r="C346" s="142"/>
      <c r="D346" s="151" t="s">
        <v>1100</v>
      </c>
      <c r="G346" s="146"/>
      <c r="H346" s="162"/>
      <c r="I346" s="151"/>
      <c r="J346" s="168">
        <v>6</v>
      </c>
      <c r="K346" s="146"/>
      <c r="L346" s="161" t="s">
        <v>1374</v>
      </c>
      <c r="M346" s="146"/>
      <c r="N346" s="146"/>
      <c r="O346" s="198" t="s">
        <v>1100</v>
      </c>
      <c r="P346" s="146"/>
      <c r="Q346" s="146"/>
      <c r="R346" s="146"/>
      <c r="S346" s="146"/>
    </row>
    <row r="347" spans="1:19" x14ac:dyDescent="0.2">
      <c r="A347" s="152"/>
      <c r="B347" s="142"/>
      <c r="C347" s="142"/>
      <c r="D347" s="151" t="s">
        <v>1100</v>
      </c>
      <c r="G347" s="146"/>
      <c r="H347" s="162"/>
      <c r="I347" s="151"/>
      <c r="J347" s="168">
        <v>7</v>
      </c>
      <c r="K347" s="146"/>
      <c r="L347" s="161" t="s">
        <v>1375</v>
      </c>
      <c r="M347" s="146"/>
      <c r="N347" s="146"/>
      <c r="O347" s="198" t="s">
        <v>1100</v>
      </c>
      <c r="P347" s="146"/>
      <c r="Q347" s="146"/>
      <c r="R347" s="146"/>
      <c r="S347" s="146"/>
    </row>
    <row r="348" spans="1:19" x14ac:dyDescent="0.2">
      <c r="A348" s="152"/>
      <c r="B348" s="142"/>
      <c r="C348" s="142"/>
      <c r="D348" s="151" t="s">
        <v>1100</v>
      </c>
      <c r="G348" s="146"/>
      <c r="H348" s="162"/>
      <c r="I348" s="215"/>
      <c r="J348" s="171">
        <v>8</v>
      </c>
      <c r="K348" s="172"/>
      <c r="L348" s="173" t="s">
        <v>1370</v>
      </c>
      <c r="M348" s="172"/>
      <c r="N348" s="172"/>
      <c r="O348" s="216" t="s">
        <v>1100</v>
      </c>
      <c r="P348" s="146"/>
      <c r="Q348" s="146"/>
      <c r="R348" s="146"/>
      <c r="S348" s="146"/>
    </row>
    <row r="349" spans="1:19" x14ac:dyDescent="0.2">
      <c r="A349" s="152"/>
      <c r="B349" s="142"/>
      <c r="C349" s="142"/>
      <c r="D349" s="151"/>
      <c r="G349" s="146"/>
      <c r="H349" s="162"/>
      <c r="I349" s="171" t="s">
        <v>1052</v>
      </c>
      <c r="J349" s="151"/>
      <c r="K349" s="161" t="s">
        <v>1379</v>
      </c>
      <c r="L349" s="146"/>
      <c r="M349" s="146"/>
      <c r="N349" s="146"/>
      <c r="O349" s="198"/>
      <c r="P349" s="146"/>
      <c r="Q349" s="146"/>
      <c r="R349" s="146"/>
      <c r="S349" s="146"/>
    </row>
    <row r="350" spans="1:19" x14ac:dyDescent="0.2">
      <c r="A350" s="152"/>
      <c r="B350" s="142"/>
      <c r="C350" s="142"/>
      <c r="D350" s="151" t="s">
        <v>1100</v>
      </c>
      <c r="G350" s="146"/>
      <c r="H350" s="162"/>
      <c r="I350" s="151"/>
      <c r="J350" s="168">
        <v>1</v>
      </c>
      <c r="K350" s="146"/>
      <c r="L350" s="161" t="s">
        <v>1377</v>
      </c>
      <c r="M350" s="146"/>
      <c r="N350" s="146"/>
      <c r="O350" s="198" t="s">
        <v>1100</v>
      </c>
      <c r="P350" s="146"/>
      <c r="Q350" s="146"/>
      <c r="R350" s="146"/>
      <c r="S350" s="146"/>
    </row>
    <row r="351" spans="1:19" x14ac:dyDescent="0.2">
      <c r="A351" s="152"/>
      <c r="B351" s="142"/>
      <c r="C351" s="142"/>
      <c r="D351" s="151" t="s">
        <v>1100</v>
      </c>
      <c r="G351" s="146"/>
      <c r="H351" s="162"/>
      <c r="I351" s="151"/>
      <c r="J351" s="168">
        <v>2</v>
      </c>
      <c r="K351" s="146"/>
      <c r="L351" s="161" t="s">
        <v>1198</v>
      </c>
      <c r="M351" s="146"/>
      <c r="N351" s="146"/>
      <c r="O351" s="198" t="s">
        <v>1100</v>
      </c>
      <c r="P351" s="146"/>
      <c r="Q351" s="146"/>
      <c r="R351" s="146"/>
      <c r="S351" s="146"/>
    </row>
    <row r="352" spans="1:19" x14ac:dyDescent="0.2">
      <c r="A352" s="152"/>
      <c r="B352" s="142"/>
      <c r="C352" s="142"/>
      <c r="D352" s="151" t="s">
        <v>1100</v>
      </c>
      <c r="G352" s="146"/>
      <c r="H352" s="162"/>
      <c r="I352" s="151"/>
      <c r="J352" s="168">
        <v>3</v>
      </c>
      <c r="K352" s="146"/>
      <c r="L352" s="161" t="s">
        <v>1380</v>
      </c>
      <c r="M352" s="146"/>
      <c r="N352" s="146"/>
      <c r="O352" s="198" t="s">
        <v>1100</v>
      </c>
      <c r="P352" s="146"/>
      <c r="Q352" s="146"/>
      <c r="R352" s="146"/>
      <c r="S352" s="146"/>
    </row>
    <row r="353" spans="1:19" x14ac:dyDescent="0.2">
      <c r="A353" s="152"/>
      <c r="B353" s="142"/>
      <c r="C353" s="142"/>
      <c r="D353" s="151" t="s">
        <v>1100</v>
      </c>
      <c r="G353" s="146"/>
      <c r="H353" s="162"/>
      <c r="I353" s="151"/>
      <c r="J353" s="168">
        <v>4</v>
      </c>
      <c r="K353" s="146"/>
      <c r="L353" s="161" t="s">
        <v>1378</v>
      </c>
      <c r="M353" s="146"/>
      <c r="N353" s="146"/>
      <c r="O353" s="198" t="s">
        <v>1100</v>
      </c>
      <c r="P353" s="146"/>
      <c r="Q353" s="146"/>
      <c r="R353" s="146"/>
      <c r="S353" s="146"/>
    </row>
    <row r="354" spans="1:19" x14ac:dyDescent="0.2">
      <c r="A354" s="152"/>
      <c r="B354" s="142"/>
      <c r="C354" s="142"/>
      <c r="D354" s="151" t="s">
        <v>1100</v>
      </c>
      <c r="G354" s="146"/>
      <c r="H354" s="162"/>
      <c r="I354" s="151"/>
      <c r="J354" s="168">
        <v>5</v>
      </c>
      <c r="K354" s="146"/>
      <c r="L354" s="161" t="s">
        <v>1309</v>
      </c>
      <c r="M354" s="146"/>
      <c r="N354" s="146"/>
      <c r="O354" s="198" t="s">
        <v>1100</v>
      </c>
      <c r="P354" s="146"/>
      <c r="Q354" s="146"/>
      <c r="R354" s="146"/>
      <c r="S354" s="146"/>
    </row>
    <row r="355" spans="1:19" x14ac:dyDescent="0.2">
      <c r="A355" s="152"/>
      <c r="B355" s="142"/>
      <c r="C355" s="142"/>
      <c r="D355" s="151" t="s">
        <v>1100</v>
      </c>
      <c r="G355" s="146"/>
      <c r="H355" s="162"/>
      <c r="I355" s="151"/>
      <c r="J355" s="168">
        <v>6</v>
      </c>
      <c r="K355" s="146"/>
      <c r="L355" s="161" t="s">
        <v>1381</v>
      </c>
      <c r="M355" s="146"/>
      <c r="N355" s="146"/>
      <c r="O355" s="198" t="s">
        <v>1100</v>
      </c>
      <c r="P355" s="146"/>
      <c r="Q355" s="146"/>
      <c r="R355" s="146"/>
      <c r="S355" s="146"/>
    </row>
    <row r="356" spans="1:19" x14ac:dyDescent="0.2">
      <c r="A356" s="152"/>
      <c r="B356" s="142"/>
      <c r="C356" s="142"/>
      <c r="D356" s="151" t="s">
        <v>1100</v>
      </c>
      <c r="G356" s="146"/>
      <c r="H356" s="162"/>
      <c r="I356" s="151"/>
      <c r="J356" s="168">
        <v>7</v>
      </c>
      <c r="K356" s="146"/>
      <c r="L356" s="161" t="s">
        <v>1382</v>
      </c>
      <c r="M356" s="146"/>
      <c r="N356" s="146"/>
      <c r="O356" s="198" t="s">
        <v>1100</v>
      </c>
      <c r="P356" s="146"/>
      <c r="Q356" s="146"/>
      <c r="R356" s="146"/>
      <c r="S356" s="146"/>
    </row>
    <row r="357" spans="1:19" x14ac:dyDescent="0.2">
      <c r="A357" s="152"/>
      <c r="B357" s="142"/>
      <c r="C357" s="142"/>
      <c r="D357" s="151" t="s">
        <v>1100</v>
      </c>
      <c r="G357" s="146"/>
      <c r="H357" s="162"/>
      <c r="I357" s="151"/>
      <c r="J357" s="168">
        <v>8</v>
      </c>
      <c r="K357" s="146"/>
      <c r="L357" s="161" t="s">
        <v>1383</v>
      </c>
      <c r="M357" s="146"/>
      <c r="N357" s="146"/>
      <c r="O357" s="198" t="s">
        <v>1100</v>
      </c>
      <c r="P357" s="146"/>
      <c r="Q357" s="146"/>
      <c r="R357" s="146"/>
      <c r="S357" s="146"/>
    </row>
    <row r="358" spans="1:19" x14ac:dyDescent="0.2">
      <c r="A358" s="152"/>
      <c r="B358" s="142"/>
      <c r="C358" s="142"/>
      <c r="D358" s="151" t="s">
        <v>1100</v>
      </c>
      <c r="G358" s="146"/>
      <c r="H358" s="162"/>
      <c r="I358" s="176"/>
      <c r="J358" s="171">
        <v>9</v>
      </c>
      <c r="K358" s="172"/>
      <c r="L358" s="173" t="s">
        <v>1370</v>
      </c>
      <c r="M358" s="172"/>
      <c r="N358" s="172"/>
      <c r="O358" s="216" t="s">
        <v>1100</v>
      </c>
      <c r="P358" s="146"/>
      <c r="Q358" s="146"/>
      <c r="R358" s="146"/>
      <c r="S358" s="146"/>
    </row>
    <row r="359" spans="1:19" x14ac:dyDescent="0.2">
      <c r="A359" s="152"/>
      <c r="B359" s="142"/>
      <c r="C359" s="142"/>
      <c r="D359" s="151"/>
      <c r="G359" s="146"/>
      <c r="H359" s="162"/>
      <c r="I359" s="171" t="s">
        <v>1094</v>
      </c>
      <c r="J359" s="151"/>
      <c r="K359" s="161" t="s">
        <v>1384</v>
      </c>
      <c r="L359" s="146"/>
      <c r="M359" s="146"/>
      <c r="N359" s="146"/>
      <c r="O359" s="198"/>
      <c r="P359" s="146"/>
      <c r="Q359" s="146"/>
      <c r="R359" s="146"/>
      <c r="S359" s="146"/>
    </row>
    <row r="360" spans="1:19" x14ac:dyDescent="0.2">
      <c r="A360" s="152"/>
      <c r="B360" s="142"/>
      <c r="C360" s="142"/>
      <c r="D360" s="151" t="s">
        <v>1100</v>
      </c>
      <c r="G360" s="146"/>
      <c r="H360" s="162"/>
      <c r="I360" s="151"/>
      <c r="J360" s="168">
        <v>1</v>
      </c>
      <c r="K360" s="146"/>
      <c r="L360" s="161" t="s">
        <v>1198</v>
      </c>
      <c r="M360" s="146"/>
      <c r="N360" s="146"/>
      <c r="O360" s="198" t="s">
        <v>1100</v>
      </c>
      <c r="P360" s="146"/>
      <c r="Q360" s="146"/>
      <c r="R360" s="146"/>
      <c r="S360" s="146"/>
    </row>
    <row r="361" spans="1:19" x14ac:dyDescent="0.2">
      <c r="A361" s="152"/>
      <c r="B361" s="142"/>
      <c r="C361" s="142"/>
      <c r="D361" s="151" t="s">
        <v>1100</v>
      </c>
      <c r="G361" s="146"/>
      <c r="H361" s="162"/>
      <c r="I361" s="151"/>
      <c r="J361" s="168">
        <v>2</v>
      </c>
      <c r="K361" s="146"/>
      <c r="L361" s="161" t="s">
        <v>1385</v>
      </c>
      <c r="M361" s="146"/>
      <c r="N361" s="146"/>
      <c r="O361" s="198" t="s">
        <v>1100</v>
      </c>
      <c r="P361" s="146"/>
      <c r="Q361" s="146"/>
      <c r="R361" s="146"/>
      <c r="S361" s="146"/>
    </row>
    <row r="362" spans="1:19" x14ac:dyDescent="0.2">
      <c r="A362" s="152"/>
      <c r="B362" s="142"/>
      <c r="C362" s="142"/>
      <c r="D362" s="151" t="s">
        <v>1100</v>
      </c>
      <c r="G362" s="146"/>
      <c r="H362" s="162"/>
      <c r="I362" s="151"/>
      <c r="J362" s="168">
        <v>3</v>
      </c>
      <c r="K362" s="146"/>
      <c r="L362" s="161" t="s">
        <v>1386</v>
      </c>
      <c r="M362" s="146"/>
      <c r="N362" s="146"/>
      <c r="O362" s="198" t="s">
        <v>1100</v>
      </c>
      <c r="P362" s="146"/>
      <c r="Q362" s="146"/>
      <c r="R362" s="146"/>
      <c r="S362" s="146"/>
    </row>
    <row r="363" spans="1:19" x14ac:dyDescent="0.2">
      <c r="A363" s="152"/>
      <c r="B363" s="142"/>
      <c r="C363" s="142"/>
      <c r="D363" s="151" t="s">
        <v>1100</v>
      </c>
      <c r="G363" s="146"/>
      <c r="H363" s="162"/>
      <c r="I363" s="151"/>
      <c r="J363" s="168">
        <v>4</v>
      </c>
      <c r="K363" s="146"/>
      <c r="L363" s="161" t="s">
        <v>1387</v>
      </c>
      <c r="M363" s="146"/>
      <c r="N363" s="146"/>
      <c r="O363" s="198" t="s">
        <v>1100</v>
      </c>
      <c r="P363" s="146"/>
      <c r="Q363" s="146"/>
      <c r="R363" s="146"/>
      <c r="S363" s="146"/>
    </row>
    <row r="364" spans="1:19" x14ac:dyDescent="0.2">
      <c r="A364" s="152"/>
      <c r="B364" s="142"/>
      <c r="C364" s="142"/>
      <c r="D364" s="151" t="s">
        <v>1100</v>
      </c>
      <c r="G364" s="146"/>
      <c r="H364" s="162"/>
      <c r="I364" s="151"/>
      <c r="J364" s="168">
        <v>5</v>
      </c>
      <c r="K364" s="146"/>
      <c r="L364" s="161" t="s">
        <v>1251</v>
      </c>
      <c r="M364" s="146"/>
      <c r="N364" s="146"/>
      <c r="O364" s="198" t="s">
        <v>1100</v>
      </c>
      <c r="P364" s="146"/>
      <c r="Q364" s="146"/>
      <c r="R364" s="146"/>
      <c r="S364" s="146"/>
    </row>
    <row r="365" spans="1:19" x14ac:dyDescent="0.2">
      <c r="A365" s="152"/>
      <c r="B365" s="142"/>
      <c r="C365" s="142"/>
      <c r="D365" s="151" t="s">
        <v>1100</v>
      </c>
      <c r="G365" s="146"/>
      <c r="H365" s="162"/>
      <c r="I365" s="151"/>
      <c r="J365" s="168">
        <v>6</v>
      </c>
      <c r="K365" s="146"/>
      <c r="L365" s="161" t="s">
        <v>1388</v>
      </c>
      <c r="M365" s="146"/>
      <c r="N365" s="146"/>
      <c r="O365" s="198" t="s">
        <v>1100</v>
      </c>
      <c r="P365" s="146"/>
      <c r="Q365" s="146"/>
      <c r="R365" s="146"/>
      <c r="S365" s="146"/>
    </row>
    <row r="366" spans="1:19" x14ac:dyDescent="0.2">
      <c r="A366" s="152"/>
      <c r="B366" s="142"/>
      <c r="C366" s="142"/>
      <c r="D366" s="151" t="s">
        <v>1100</v>
      </c>
      <c r="G366" s="146"/>
      <c r="H366" s="162"/>
      <c r="I366" s="151"/>
      <c r="J366" s="168">
        <v>7</v>
      </c>
      <c r="K366" s="146"/>
      <c r="L366" s="161" t="s">
        <v>1389</v>
      </c>
      <c r="M366" s="146"/>
      <c r="N366" s="146"/>
      <c r="O366" s="198" t="s">
        <v>1100</v>
      </c>
      <c r="P366" s="146"/>
      <c r="Q366" s="146"/>
      <c r="R366" s="146"/>
      <c r="S366" s="146"/>
    </row>
    <row r="367" spans="1:19" x14ac:dyDescent="0.2">
      <c r="A367" s="152"/>
      <c r="B367" s="142"/>
      <c r="C367" s="142"/>
      <c r="D367" s="151" t="s">
        <v>1100</v>
      </c>
      <c r="G367" s="146"/>
      <c r="H367" s="162"/>
      <c r="I367" s="176"/>
      <c r="J367" s="171">
        <v>8</v>
      </c>
      <c r="K367" s="172"/>
      <c r="L367" s="173" t="s">
        <v>1381</v>
      </c>
      <c r="M367" s="172"/>
      <c r="N367" s="172"/>
      <c r="O367" s="216" t="s">
        <v>1100</v>
      </c>
      <c r="P367" s="146"/>
      <c r="Q367" s="146"/>
      <c r="R367" s="146"/>
      <c r="S367" s="146"/>
    </row>
    <row r="368" spans="1:19" x14ac:dyDescent="0.2">
      <c r="A368" s="152"/>
      <c r="B368" s="142"/>
      <c r="C368" s="142"/>
      <c r="D368" s="151"/>
      <c r="G368" s="146"/>
      <c r="H368" s="162"/>
      <c r="I368" s="171" t="s">
        <v>1097</v>
      </c>
      <c r="J368" s="151"/>
      <c r="K368" s="161" t="s">
        <v>1384</v>
      </c>
      <c r="L368" s="146"/>
      <c r="M368" s="146"/>
      <c r="N368" s="146"/>
      <c r="O368" s="198"/>
      <c r="P368" s="146"/>
      <c r="Q368" s="146"/>
      <c r="R368" s="146"/>
      <c r="S368" s="146"/>
    </row>
    <row r="369" spans="1:19" x14ac:dyDescent="0.2">
      <c r="A369" s="152"/>
      <c r="B369" s="142"/>
      <c r="C369" s="142"/>
      <c r="D369" s="151" t="s">
        <v>1100</v>
      </c>
      <c r="G369" s="146"/>
      <c r="H369" s="162"/>
      <c r="I369" s="151"/>
      <c r="J369" s="168">
        <v>9</v>
      </c>
      <c r="K369" s="146"/>
      <c r="L369" s="161" t="s">
        <v>1373</v>
      </c>
      <c r="M369" s="146"/>
      <c r="N369" s="146"/>
      <c r="O369" s="198" t="s">
        <v>1100</v>
      </c>
      <c r="P369" s="146"/>
      <c r="Q369" s="146"/>
      <c r="R369" s="146"/>
      <c r="S369" s="146"/>
    </row>
    <row r="370" spans="1:19" x14ac:dyDescent="0.2">
      <c r="A370" s="152"/>
      <c r="B370" s="142"/>
      <c r="C370" s="142"/>
      <c r="D370" s="151" t="s">
        <v>1100</v>
      </c>
      <c r="G370" s="146"/>
      <c r="H370" s="162"/>
      <c r="I370" s="151"/>
      <c r="J370" s="168">
        <v>10</v>
      </c>
      <c r="K370" s="146"/>
      <c r="L370" s="161" t="s">
        <v>1390</v>
      </c>
      <c r="M370" s="146"/>
      <c r="N370" s="146"/>
      <c r="O370" s="198" t="s">
        <v>1100</v>
      </c>
      <c r="P370" s="146"/>
      <c r="Q370" s="146"/>
      <c r="R370" s="146"/>
      <c r="S370" s="146"/>
    </row>
    <row r="371" spans="1:19" x14ac:dyDescent="0.2">
      <c r="A371" s="152"/>
      <c r="B371" s="142"/>
      <c r="C371" s="142"/>
      <c r="D371" s="151" t="s">
        <v>1100</v>
      </c>
      <c r="G371" s="146"/>
      <c r="H371" s="162"/>
      <c r="I371" s="151"/>
      <c r="J371" s="168">
        <v>11</v>
      </c>
      <c r="K371" s="146"/>
      <c r="L371" s="161" t="s">
        <v>1382</v>
      </c>
      <c r="M371" s="146"/>
      <c r="N371" s="146"/>
      <c r="O371" s="198" t="s">
        <v>1100</v>
      </c>
      <c r="P371" s="146"/>
      <c r="Q371" s="146"/>
      <c r="R371" s="146"/>
      <c r="S371" s="146"/>
    </row>
    <row r="372" spans="1:19" x14ac:dyDescent="0.2">
      <c r="A372" s="152"/>
      <c r="B372" s="142"/>
      <c r="C372" s="142"/>
      <c r="D372" s="151" t="s">
        <v>1100</v>
      </c>
      <c r="G372" s="146"/>
      <c r="H372" s="162"/>
      <c r="I372" s="151"/>
      <c r="J372" s="168">
        <v>12</v>
      </c>
      <c r="K372" s="146"/>
      <c r="L372" s="161" t="s">
        <v>1391</v>
      </c>
      <c r="M372" s="146"/>
      <c r="N372" s="146"/>
      <c r="O372" s="198" t="s">
        <v>1100</v>
      </c>
      <c r="P372" s="146"/>
      <c r="Q372" s="146"/>
      <c r="R372" s="146"/>
      <c r="S372" s="146"/>
    </row>
    <row r="373" spans="1:19" x14ac:dyDescent="0.2">
      <c r="A373" s="152"/>
      <c r="B373" s="142"/>
      <c r="C373" s="142"/>
      <c r="D373" s="151" t="s">
        <v>1100</v>
      </c>
      <c r="G373" s="146"/>
      <c r="H373" s="162"/>
      <c r="I373" s="151"/>
      <c r="J373" s="168">
        <v>13</v>
      </c>
      <c r="K373" s="146"/>
      <c r="L373" s="161" t="s">
        <v>1383</v>
      </c>
      <c r="M373" s="146"/>
      <c r="N373" s="146"/>
      <c r="O373" s="198" t="s">
        <v>1100</v>
      </c>
      <c r="P373" s="146"/>
      <c r="Q373" s="146"/>
      <c r="R373" s="146"/>
      <c r="S373" s="146"/>
    </row>
    <row r="374" spans="1:19" x14ac:dyDescent="0.2">
      <c r="A374" s="152"/>
      <c r="B374" s="142"/>
      <c r="C374" s="142"/>
      <c r="D374" s="151" t="s">
        <v>1100</v>
      </c>
      <c r="G374" s="146"/>
      <c r="H374" s="162"/>
      <c r="I374" s="176"/>
      <c r="J374" s="171">
        <v>14</v>
      </c>
      <c r="K374" s="172"/>
      <c r="L374" s="173" t="s">
        <v>1392</v>
      </c>
      <c r="M374" s="172"/>
      <c r="N374" s="172"/>
      <c r="O374" s="216" t="s">
        <v>1100</v>
      </c>
      <c r="P374" s="146"/>
      <c r="Q374" s="146"/>
      <c r="R374" s="146"/>
      <c r="S374" s="146"/>
    </row>
    <row r="375" spans="1:19" x14ac:dyDescent="0.2">
      <c r="A375" s="152"/>
      <c r="B375" s="142"/>
      <c r="C375" s="142"/>
      <c r="D375" s="151"/>
      <c r="G375" s="146"/>
      <c r="H375" s="162"/>
      <c r="I375" s="171" t="s">
        <v>1101</v>
      </c>
      <c r="J375" s="151"/>
      <c r="K375" s="161" t="s">
        <v>1393</v>
      </c>
      <c r="L375" s="146"/>
      <c r="M375" s="146"/>
      <c r="N375" s="146"/>
      <c r="O375" s="198"/>
      <c r="P375" s="146"/>
      <c r="Q375" s="146"/>
      <c r="R375" s="146"/>
      <c r="S375" s="146"/>
    </row>
    <row r="376" spans="1:19" x14ac:dyDescent="0.2">
      <c r="A376" s="152"/>
      <c r="B376" s="142"/>
      <c r="C376" s="142"/>
      <c r="D376" s="151" t="s">
        <v>1100</v>
      </c>
      <c r="G376" s="146"/>
      <c r="H376" s="162"/>
      <c r="I376" s="151"/>
      <c r="J376" s="168">
        <v>1</v>
      </c>
      <c r="K376" s="146"/>
      <c r="L376" s="161" t="s">
        <v>1198</v>
      </c>
      <c r="M376" s="146"/>
      <c r="N376" s="146"/>
      <c r="O376" s="198" t="s">
        <v>1100</v>
      </c>
      <c r="P376" s="146"/>
      <c r="Q376" s="146"/>
      <c r="R376" s="146"/>
      <c r="S376" s="146"/>
    </row>
    <row r="377" spans="1:19" x14ac:dyDescent="0.2">
      <c r="A377" s="152"/>
      <c r="B377" s="142"/>
      <c r="C377" s="142"/>
      <c r="D377" s="151" t="s">
        <v>1100</v>
      </c>
      <c r="G377" s="146"/>
      <c r="H377" s="162"/>
      <c r="I377" s="151"/>
      <c r="J377" s="168">
        <v>2</v>
      </c>
      <c r="K377" s="146"/>
      <c r="L377" s="161" t="s">
        <v>1385</v>
      </c>
      <c r="M377" s="146"/>
      <c r="N377" s="146"/>
      <c r="O377" s="198" t="s">
        <v>1100</v>
      </c>
      <c r="P377" s="146"/>
      <c r="Q377" s="146"/>
      <c r="R377" s="146"/>
      <c r="S377" s="146"/>
    </row>
    <row r="378" spans="1:19" x14ac:dyDescent="0.2">
      <c r="A378" s="152"/>
      <c r="B378" s="142"/>
      <c r="C378" s="142"/>
      <c r="D378" s="151" t="s">
        <v>1100</v>
      </c>
      <c r="G378" s="146"/>
      <c r="H378" s="162"/>
      <c r="I378" s="151"/>
      <c r="J378" s="168">
        <v>3</v>
      </c>
      <c r="K378" s="146"/>
      <c r="L378" s="161" t="s">
        <v>1386</v>
      </c>
      <c r="M378" s="146"/>
      <c r="N378" s="146"/>
      <c r="O378" s="198" t="s">
        <v>1100</v>
      </c>
      <c r="P378" s="146"/>
      <c r="Q378" s="146"/>
      <c r="R378" s="146"/>
      <c r="S378" s="146"/>
    </row>
    <row r="379" spans="1:19" x14ac:dyDescent="0.2">
      <c r="A379" s="152"/>
      <c r="B379" s="142"/>
      <c r="C379" s="142"/>
      <c r="D379" s="151" t="s">
        <v>1100</v>
      </c>
      <c r="G379" s="146"/>
      <c r="H379" s="162"/>
      <c r="I379" s="151"/>
      <c r="J379" s="168">
        <v>4</v>
      </c>
      <c r="K379" s="146"/>
      <c r="L379" s="161" t="s">
        <v>1387</v>
      </c>
      <c r="M379" s="146"/>
      <c r="N379" s="146"/>
      <c r="O379" s="198" t="s">
        <v>1100</v>
      </c>
      <c r="P379" s="146"/>
      <c r="Q379" s="146"/>
      <c r="R379" s="146"/>
      <c r="S379" s="146"/>
    </row>
    <row r="380" spans="1:19" x14ac:dyDescent="0.2">
      <c r="A380" s="152"/>
      <c r="B380" s="142"/>
      <c r="C380" s="142"/>
      <c r="D380" s="151" t="s">
        <v>1100</v>
      </c>
      <c r="G380" s="146"/>
      <c r="H380" s="162"/>
      <c r="I380" s="151"/>
      <c r="J380" s="168">
        <v>5</v>
      </c>
      <c r="K380" s="146"/>
      <c r="L380" s="161" t="s">
        <v>1251</v>
      </c>
      <c r="M380" s="146"/>
      <c r="N380" s="146"/>
      <c r="O380" s="198" t="s">
        <v>1100</v>
      </c>
      <c r="P380" s="146"/>
      <c r="Q380" s="146"/>
      <c r="R380" s="146"/>
      <c r="S380" s="146"/>
    </row>
    <row r="381" spans="1:19" x14ac:dyDescent="0.2">
      <c r="A381" s="152"/>
      <c r="B381" s="142"/>
      <c r="C381" s="142"/>
      <c r="D381" s="151" t="s">
        <v>1100</v>
      </c>
      <c r="G381" s="146"/>
      <c r="H381" s="162"/>
      <c r="I381" s="151"/>
      <c r="J381" s="168">
        <v>6</v>
      </c>
      <c r="K381" s="146"/>
      <c r="L381" s="161" t="s">
        <v>1388</v>
      </c>
      <c r="M381" s="146"/>
      <c r="N381" s="146"/>
      <c r="O381" s="198" t="s">
        <v>1100</v>
      </c>
      <c r="P381" s="146"/>
      <c r="Q381" s="146"/>
      <c r="R381" s="146"/>
      <c r="S381" s="146"/>
    </row>
    <row r="382" spans="1:19" x14ac:dyDescent="0.2">
      <c r="A382" s="152"/>
      <c r="B382" s="142"/>
      <c r="C382" s="142"/>
      <c r="D382" s="151" t="s">
        <v>1100</v>
      </c>
      <c r="G382" s="146"/>
      <c r="H382" s="162"/>
      <c r="I382" s="151"/>
      <c r="J382" s="168">
        <v>7</v>
      </c>
      <c r="K382" s="146"/>
      <c r="L382" s="161" t="s">
        <v>1394</v>
      </c>
      <c r="M382" s="146"/>
      <c r="N382" s="146"/>
      <c r="O382" s="198" t="s">
        <v>1100</v>
      </c>
      <c r="P382" s="146"/>
      <c r="Q382" s="146"/>
      <c r="R382" s="146"/>
      <c r="S382" s="146"/>
    </row>
    <row r="383" spans="1:19" x14ac:dyDescent="0.2">
      <c r="A383" s="152"/>
      <c r="B383" s="142"/>
      <c r="C383" s="142"/>
      <c r="D383" s="151" t="s">
        <v>1100</v>
      </c>
      <c r="G383" s="146"/>
      <c r="H383" s="162"/>
      <c r="I383" s="151"/>
      <c r="J383" s="168">
        <v>8</v>
      </c>
      <c r="K383" s="146"/>
      <c r="L383" s="161" t="s">
        <v>1381</v>
      </c>
      <c r="M383" s="146"/>
      <c r="N383" s="146"/>
      <c r="O383" s="198" t="s">
        <v>1100</v>
      </c>
      <c r="P383" s="146"/>
      <c r="Q383" s="146"/>
      <c r="R383" s="146"/>
      <c r="S383" s="146"/>
    </row>
    <row r="384" spans="1:19" ht="15.75" thickBot="1" x14ac:dyDescent="0.25">
      <c r="A384" s="152"/>
      <c r="B384" s="142"/>
      <c r="C384" s="142"/>
      <c r="D384" s="151" t="s">
        <v>1100</v>
      </c>
      <c r="G384" s="146"/>
      <c r="H384" s="208"/>
      <c r="I384" s="209"/>
      <c r="J384" s="210">
        <v>9</v>
      </c>
      <c r="K384" s="211"/>
      <c r="L384" s="212" t="s">
        <v>1373</v>
      </c>
      <c r="M384" s="211"/>
      <c r="N384" s="211"/>
      <c r="O384" s="244" t="s">
        <v>1100</v>
      </c>
      <c r="P384" s="146"/>
      <c r="Q384" s="146"/>
      <c r="R384" s="146"/>
      <c r="S384" s="146"/>
    </row>
    <row r="385" spans="1:19" x14ac:dyDescent="0.2">
      <c r="A385" s="152"/>
      <c r="B385" s="142"/>
      <c r="C385" s="142"/>
      <c r="D385" s="151"/>
      <c r="G385" s="146"/>
      <c r="H385" s="214"/>
      <c r="I385" s="151"/>
      <c r="J385" s="151"/>
      <c r="K385" s="146"/>
      <c r="L385" s="161"/>
      <c r="M385" s="146"/>
      <c r="N385" s="146"/>
      <c r="O385" s="149"/>
      <c r="P385" s="146"/>
      <c r="Q385" s="146"/>
      <c r="R385" s="146"/>
      <c r="S385" s="146"/>
    </row>
    <row r="386" spans="1:19" x14ac:dyDescent="0.2">
      <c r="A386" s="152"/>
      <c r="B386" s="142"/>
      <c r="C386" s="142"/>
      <c r="D386" s="151"/>
      <c r="G386" s="146"/>
      <c r="H386" s="214"/>
      <c r="I386" s="151"/>
      <c r="J386" s="151"/>
      <c r="K386" s="146"/>
      <c r="L386" s="161"/>
      <c r="M386" s="146"/>
      <c r="N386" s="146"/>
      <c r="O386" s="149"/>
      <c r="P386" s="146"/>
      <c r="Q386" s="146"/>
      <c r="R386" s="146"/>
      <c r="S386" s="146"/>
    </row>
    <row r="387" spans="1:19" x14ac:dyDescent="0.2">
      <c r="A387" s="152">
        <v>43</v>
      </c>
      <c r="B387" s="142" t="s">
        <v>1365</v>
      </c>
      <c r="C387" s="142" t="s">
        <v>1366</v>
      </c>
      <c r="D387" s="151"/>
      <c r="G387" s="146"/>
      <c r="H387" s="184">
        <v>43</v>
      </c>
      <c r="I387" s="186"/>
      <c r="J387" s="196"/>
      <c r="K387" s="241" t="s">
        <v>1366</v>
      </c>
      <c r="L387" s="196"/>
      <c r="M387" s="196"/>
      <c r="N387" s="196"/>
      <c r="O387" s="206"/>
      <c r="P387" s="146"/>
      <c r="Q387" s="160">
        <f>H387</f>
        <v>43</v>
      </c>
      <c r="R387" s="151" t="str">
        <f>CONCATENATE("II-",TEXT(Q387,"0000"))</f>
        <v>II-0043</v>
      </c>
      <c r="S387" s="161" t="str">
        <f>K387</f>
        <v>HORMIGON CEMENTO PORTLAND EXCLUIDA LA ARAMDURA</v>
      </c>
    </row>
    <row r="388" spans="1:19" x14ac:dyDescent="0.2">
      <c r="A388" s="152"/>
      <c r="B388" s="142"/>
      <c r="C388" s="142"/>
      <c r="D388" s="151"/>
      <c r="G388" s="146"/>
      <c r="H388" s="162"/>
      <c r="I388" s="171" t="s">
        <v>1101</v>
      </c>
      <c r="J388" s="151"/>
      <c r="K388" s="161" t="s">
        <v>1393</v>
      </c>
      <c r="L388" s="146"/>
      <c r="M388" s="146"/>
      <c r="N388" s="146"/>
      <c r="O388" s="198"/>
      <c r="P388" s="146"/>
      <c r="Q388" s="146"/>
      <c r="R388" s="146"/>
      <c r="S388" s="146"/>
    </row>
    <row r="389" spans="1:19" x14ac:dyDescent="0.2">
      <c r="A389" s="152"/>
      <c r="B389" s="142"/>
      <c r="C389" s="142"/>
      <c r="D389" s="151" t="s">
        <v>1100</v>
      </c>
      <c r="G389" s="146"/>
      <c r="H389" s="162"/>
      <c r="I389" s="151"/>
      <c r="J389" s="168">
        <v>10</v>
      </c>
      <c r="K389" s="146"/>
      <c r="L389" s="161" t="s">
        <v>1390</v>
      </c>
      <c r="M389" s="146"/>
      <c r="N389" s="146"/>
      <c r="O389" s="198" t="s">
        <v>1100</v>
      </c>
      <c r="P389" s="146"/>
      <c r="Q389" s="146"/>
      <c r="R389" s="146"/>
      <c r="S389" s="146"/>
    </row>
    <row r="390" spans="1:19" x14ac:dyDescent="0.2">
      <c r="A390" s="152"/>
      <c r="B390" s="142"/>
      <c r="C390" s="142"/>
      <c r="D390" s="151" t="s">
        <v>1100</v>
      </c>
      <c r="G390" s="146"/>
      <c r="H390" s="162"/>
      <c r="I390" s="151"/>
      <c r="J390" s="168">
        <v>11</v>
      </c>
      <c r="K390" s="146"/>
      <c r="L390" s="161" t="s">
        <v>1382</v>
      </c>
      <c r="M390" s="146"/>
      <c r="N390" s="146"/>
      <c r="O390" s="198" t="s">
        <v>1100</v>
      </c>
      <c r="P390" s="146"/>
      <c r="Q390" s="146"/>
      <c r="R390" s="146"/>
      <c r="S390" s="146"/>
    </row>
    <row r="391" spans="1:19" x14ac:dyDescent="0.2">
      <c r="A391" s="152"/>
      <c r="B391" s="142"/>
      <c r="C391" s="142"/>
      <c r="D391" s="151" t="s">
        <v>1100</v>
      </c>
      <c r="G391" s="146"/>
      <c r="H391" s="162"/>
      <c r="I391" s="151"/>
      <c r="J391" s="168">
        <v>12</v>
      </c>
      <c r="K391" s="146"/>
      <c r="L391" s="161" t="s">
        <v>1391</v>
      </c>
      <c r="M391" s="146"/>
      <c r="N391" s="146"/>
      <c r="O391" s="198" t="s">
        <v>1100</v>
      </c>
      <c r="P391" s="146"/>
      <c r="Q391" s="146"/>
      <c r="R391" s="146"/>
      <c r="S391" s="146"/>
    </row>
    <row r="392" spans="1:19" x14ac:dyDescent="0.2">
      <c r="A392" s="152"/>
      <c r="B392" s="142"/>
      <c r="C392" s="142"/>
      <c r="D392" s="151" t="s">
        <v>1100</v>
      </c>
      <c r="G392" s="146"/>
      <c r="H392" s="162"/>
      <c r="I392" s="151"/>
      <c r="J392" s="168">
        <v>13</v>
      </c>
      <c r="K392" s="146"/>
      <c r="L392" s="161" t="s">
        <v>1383</v>
      </c>
      <c r="M392" s="146"/>
      <c r="N392" s="146"/>
      <c r="O392" s="198" t="s">
        <v>1100</v>
      </c>
      <c r="P392" s="146"/>
      <c r="Q392" s="146"/>
      <c r="R392" s="146"/>
      <c r="S392" s="146"/>
    </row>
    <row r="393" spans="1:19" x14ac:dyDescent="0.2">
      <c r="A393" s="152"/>
      <c r="B393" s="142"/>
      <c r="C393" s="142"/>
      <c r="D393" s="151" t="s">
        <v>1100</v>
      </c>
      <c r="G393" s="146"/>
      <c r="H393" s="162"/>
      <c r="I393" s="176"/>
      <c r="J393" s="171">
        <v>14</v>
      </c>
      <c r="K393" s="172"/>
      <c r="L393" s="173" t="s">
        <v>1392</v>
      </c>
      <c r="M393" s="172"/>
      <c r="N393" s="172"/>
      <c r="O393" s="216" t="s">
        <v>1100</v>
      </c>
      <c r="P393" s="146"/>
      <c r="Q393" s="146"/>
      <c r="R393" s="146"/>
      <c r="S393" s="146"/>
    </row>
    <row r="394" spans="1:19" x14ac:dyDescent="0.2">
      <c r="A394" s="152"/>
      <c r="B394" s="142"/>
      <c r="C394" s="142"/>
      <c r="D394" s="151"/>
      <c r="G394" s="146"/>
      <c r="H394" s="162"/>
      <c r="I394" s="171" t="s">
        <v>1104</v>
      </c>
      <c r="J394" s="151"/>
      <c r="K394" s="161" t="s">
        <v>1395</v>
      </c>
      <c r="L394" s="146"/>
      <c r="M394" s="146"/>
      <c r="N394" s="146"/>
      <c r="O394" s="198"/>
      <c r="P394" s="146"/>
      <c r="Q394" s="146"/>
      <c r="R394" s="146"/>
      <c r="S394" s="146"/>
    </row>
    <row r="395" spans="1:19" x14ac:dyDescent="0.2">
      <c r="A395" s="152"/>
      <c r="B395" s="142"/>
      <c r="C395" s="142"/>
      <c r="D395" s="151" t="s">
        <v>1100</v>
      </c>
      <c r="G395" s="146"/>
      <c r="H395" s="162"/>
      <c r="I395" s="151"/>
      <c r="J395" s="168">
        <v>1</v>
      </c>
      <c r="K395" s="146"/>
      <c r="L395" s="161" t="s">
        <v>1386</v>
      </c>
      <c r="M395" s="146"/>
      <c r="N395" s="146"/>
      <c r="O395" s="198" t="s">
        <v>1100</v>
      </c>
      <c r="P395" s="146"/>
      <c r="Q395" s="146"/>
      <c r="R395" s="146"/>
      <c r="S395" s="146"/>
    </row>
    <row r="396" spans="1:19" x14ac:dyDescent="0.2">
      <c r="A396" s="152"/>
      <c r="B396" s="142"/>
      <c r="C396" s="142"/>
      <c r="D396" s="151" t="s">
        <v>1100</v>
      </c>
      <c r="G396" s="146"/>
      <c r="H396" s="162"/>
      <c r="I396" s="151"/>
      <c r="J396" s="168">
        <v>2</v>
      </c>
      <c r="K396" s="146"/>
      <c r="L396" s="161" t="s">
        <v>1387</v>
      </c>
      <c r="M396" s="146"/>
      <c r="N396" s="146"/>
      <c r="O396" s="198" t="s">
        <v>1100</v>
      </c>
      <c r="P396" s="146"/>
      <c r="Q396" s="146"/>
      <c r="R396" s="146"/>
      <c r="S396" s="146"/>
    </row>
    <row r="397" spans="1:19" x14ac:dyDescent="0.2">
      <c r="A397" s="152"/>
      <c r="B397" s="142"/>
      <c r="C397" s="142"/>
      <c r="D397" s="151" t="s">
        <v>1100</v>
      </c>
      <c r="G397" s="146"/>
      <c r="H397" s="162"/>
      <c r="I397" s="151"/>
      <c r="J397" s="168">
        <v>3</v>
      </c>
      <c r="K397" s="146"/>
      <c r="L397" s="161" t="s">
        <v>1251</v>
      </c>
      <c r="M397" s="146"/>
      <c r="N397" s="146"/>
      <c r="O397" s="198" t="s">
        <v>1100</v>
      </c>
      <c r="P397" s="146"/>
      <c r="Q397" s="146"/>
      <c r="R397" s="146"/>
      <c r="S397" s="146"/>
    </row>
    <row r="398" spans="1:19" x14ac:dyDescent="0.2">
      <c r="A398" s="152"/>
      <c r="B398" s="142"/>
      <c r="C398" s="142"/>
      <c r="D398" s="151" t="s">
        <v>1100</v>
      </c>
      <c r="G398" s="146"/>
      <c r="H398" s="162"/>
      <c r="I398" s="151"/>
      <c r="J398" s="168">
        <v>4</v>
      </c>
      <c r="K398" s="146"/>
      <c r="L398" s="161" t="s">
        <v>1388</v>
      </c>
      <c r="M398" s="146"/>
      <c r="N398" s="146"/>
      <c r="O398" s="198" t="s">
        <v>1100</v>
      </c>
      <c r="P398" s="146"/>
      <c r="Q398" s="146"/>
      <c r="R398" s="146"/>
      <c r="S398" s="146"/>
    </row>
    <row r="399" spans="1:19" x14ac:dyDescent="0.2">
      <c r="A399" s="152"/>
      <c r="B399" s="142"/>
      <c r="C399" s="142"/>
      <c r="D399" s="151" t="s">
        <v>1100</v>
      </c>
      <c r="G399" s="146"/>
      <c r="H399" s="162"/>
      <c r="I399" s="151"/>
      <c r="J399" s="168">
        <v>5</v>
      </c>
      <c r="K399" s="146"/>
      <c r="L399" s="161" t="s">
        <v>1394</v>
      </c>
      <c r="M399" s="146"/>
      <c r="N399" s="146"/>
      <c r="O399" s="198" t="s">
        <v>1100</v>
      </c>
      <c r="P399" s="146"/>
      <c r="Q399" s="146"/>
      <c r="R399" s="146"/>
      <c r="S399" s="146"/>
    </row>
    <row r="400" spans="1:19" x14ac:dyDescent="0.2">
      <c r="A400" s="152"/>
      <c r="B400" s="142"/>
      <c r="C400" s="142"/>
      <c r="D400" s="151" t="s">
        <v>1100</v>
      </c>
      <c r="G400" s="146"/>
      <c r="H400" s="162"/>
      <c r="I400" s="151"/>
      <c r="J400" s="168">
        <v>6</v>
      </c>
      <c r="K400" s="146"/>
      <c r="L400" s="161" t="s">
        <v>1373</v>
      </c>
      <c r="M400" s="146"/>
      <c r="N400" s="146"/>
      <c r="O400" s="198" t="s">
        <v>1100</v>
      </c>
      <c r="P400" s="146"/>
      <c r="Q400" s="146"/>
      <c r="R400" s="146"/>
      <c r="S400" s="146"/>
    </row>
    <row r="401" spans="1:19" x14ac:dyDescent="0.2">
      <c r="A401" s="152"/>
      <c r="B401" s="142"/>
      <c r="C401" s="142"/>
      <c r="D401" s="151" t="s">
        <v>1100</v>
      </c>
      <c r="G401" s="146"/>
      <c r="H401" s="162"/>
      <c r="I401" s="151"/>
      <c r="J401" s="168">
        <v>7</v>
      </c>
      <c r="K401" s="146"/>
      <c r="L401" s="161" t="s">
        <v>1390</v>
      </c>
      <c r="M401" s="146"/>
      <c r="N401" s="146"/>
      <c r="O401" s="198" t="s">
        <v>1100</v>
      </c>
      <c r="P401" s="146"/>
      <c r="Q401" s="146"/>
      <c r="R401" s="146"/>
      <c r="S401" s="146"/>
    </row>
    <row r="402" spans="1:19" x14ac:dyDescent="0.2">
      <c r="A402" s="152"/>
      <c r="B402" s="142"/>
      <c r="C402" s="142"/>
      <c r="D402" s="151" t="s">
        <v>1100</v>
      </c>
      <c r="G402" s="146"/>
      <c r="H402" s="162"/>
      <c r="I402" s="151"/>
      <c r="J402" s="168">
        <v>8</v>
      </c>
      <c r="K402" s="146"/>
      <c r="L402" s="161" t="s">
        <v>1382</v>
      </c>
      <c r="M402" s="146"/>
      <c r="N402" s="146"/>
      <c r="O402" s="198" t="s">
        <v>1100</v>
      </c>
      <c r="P402" s="146"/>
      <c r="Q402" s="146"/>
      <c r="R402" s="146"/>
      <c r="S402" s="146"/>
    </row>
    <row r="403" spans="1:19" x14ac:dyDescent="0.2">
      <c r="A403" s="152"/>
      <c r="B403" s="142"/>
      <c r="C403" s="142"/>
      <c r="D403" s="151" t="s">
        <v>1100</v>
      </c>
      <c r="G403" s="146"/>
      <c r="H403" s="162"/>
      <c r="I403" s="151"/>
      <c r="J403" s="168">
        <v>9</v>
      </c>
      <c r="K403" s="146"/>
      <c r="L403" s="161" t="s">
        <v>1391</v>
      </c>
      <c r="M403" s="146"/>
      <c r="N403" s="146"/>
      <c r="O403" s="198" t="s">
        <v>1100</v>
      </c>
      <c r="P403" s="146"/>
      <c r="Q403" s="146"/>
      <c r="R403" s="146"/>
      <c r="S403" s="146"/>
    </row>
    <row r="404" spans="1:19" ht="15.75" thickBot="1" x14ac:dyDescent="0.25">
      <c r="A404" s="152"/>
      <c r="B404" s="142"/>
      <c r="C404" s="142"/>
      <c r="D404" s="151" t="s">
        <v>1100</v>
      </c>
      <c r="G404" s="146"/>
      <c r="H404" s="177"/>
      <c r="I404" s="178"/>
      <c r="J404" s="179">
        <v>10</v>
      </c>
      <c r="K404" s="180"/>
      <c r="L404" s="181" t="s">
        <v>1392</v>
      </c>
      <c r="M404" s="180"/>
      <c r="N404" s="180"/>
      <c r="O404" s="242" t="s">
        <v>1100</v>
      </c>
      <c r="P404" s="146"/>
      <c r="Q404" s="146"/>
      <c r="R404" s="146"/>
      <c r="S404" s="146"/>
    </row>
    <row r="405" spans="1:19" ht="15.75" thickTop="1" x14ac:dyDescent="0.2">
      <c r="A405" s="152">
        <v>44</v>
      </c>
      <c r="B405" s="142" t="s">
        <v>1396</v>
      </c>
      <c r="C405" s="142" t="s">
        <v>1397</v>
      </c>
      <c r="D405" s="151"/>
      <c r="G405" s="146"/>
      <c r="H405" s="184">
        <v>44</v>
      </c>
      <c r="I405" s="186"/>
      <c r="J405" s="196"/>
      <c r="K405" s="241" t="s">
        <v>1397</v>
      </c>
      <c r="L405" s="196"/>
      <c r="M405" s="196"/>
      <c r="N405" s="196"/>
      <c r="O405" s="206"/>
      <c r="P405" s="146"/>
      <c r="Q405" s="160">
        <f>H405</f>
        <v>44</v>
      </c>
      <c r="R405" s="151" t="str">
        <f>CONCATENATE("II-",TEXT(Q405,"0000"))</f>
        <v>II-0044</v>
      </c>
      <c r="S405" s="161" t="str">
        <f>K405</f>
        <v>HORMIGON  ARS EXCLUIDA LA ARAMDURA</v>
      </c>
    </row>
    <row r="406" spans="1:19" x14ac:dyDescent="0.2">
      <c r="A406" s="152"/>
      <c r="B406" s="142"/>
      <c r="C406" s="142"/>
      <c r="D406" s="151"/>
      <c r="G406" s="146"/>
      <c r="H406" s="162"/>
      <c r="I406" s="171" t="s">
        <v>989</v>
      </c>
      <c r="J406" s="151"/>
      <c r="K406" s="161" t="s">
        <v>1367</v>
      </c>
      <c r="L406" s="146"/>
      <c r="M406" s="146"/>
      <c r="N406" s="146"/>
      <c r="O406" s="198"/>
      <c r="P406" s="146"/>
      <c r="Q406" s="146"/>
      <c r="R406" s="146"/>
      <c r="S406" s="146"/>
    </row>
    <row r="407" spans="1:19" x14ac:dyDescent="0.2">
      <c r="A407" s="152"/>
      <c r="B407" s="142"/>
      <c r="C407" s="142"/>
      <c r="D407" s="151" t="s">
        <v>1100</v>
      </c>
      <c r="G407" s="146"/>
      <c r="H407" s="162"/>
      <c r="I407" s="151"/>
      <c r="J407" s="168">
        <v>1</v>
      </c>
      <c r="K407" s="146"/>
      <c r="L407" s="161" t="s">
        <v>1198</v>
      </c>
      <c r="M407" s="146"/>
      <c r="N407" s="146"/>
      <c r="O407" s="198" t="s">
        <v>1100</v>
      </c>
      <c r="P407" s="146"/>
      <c r="Q407" s="146"/>
      <c r="R407" s="146"/>
      <c r="S407" s="146"/>
    </row>
    <row r="408" spans="1:19" x14ac:dyDescent="0.2">
      <c r="A408" s="152"/>
      <c r="B408" s="142"/>
      <c r="C408" s="142"/>
      <c r="D408" s="151" t="s">
        <v>1100</v>
      </c>
      <c r="G408" s="146"/>
      <c r="H408" s="162"/>
      <c r="I408" s="151"/>
      <c r="J408" s="168">
        <v>2</v>
      </c>
      <c r="K408" s="146"/>
      <c r="L408" s="161" t="s">
        <v>1369</v>
      </c>
      <c r="M408" s="146"/>
      <c r="N408" s="146"/>
      <c r="O408" s="198" t="s">
        <v>1100</v>
      </c>
      <c r="P408" s="146"/>
      <c r="Q408" s="146"/>
      <c r="R408" s="146"/>
      <c r="S408" s="146"/>
    </row>
    <row r="409" spans="1:19" x14ac:dyDescent="0.2">
      <c r="A409" s="152"/>
      <c r="B409" s="142"/>
      <c r="C409" s="142"/>
      <c r="D409" s="151" t="s">
        <v>1100</v>
      </c>
      <c r="G409" s="146"/>
      <c r="H409" s="162"/>
      <c r="I409" s="151"/>
      <c r="J409" s="168">
        <v>3</v>
      </c>
      <c r="K409" s="146"/>
      <c r="L409" s="161" t="s">
        <v>1398</v>
      </c>
      <c r="M409" s="146"/>
      <c r="N409" s="146"/>
      <c r="O409" s="198" t="s">
        <v>1100</v>
      </c>
      <c r="P409" s="146"/>
      <c r="Q409" s="146"/>
      <c r="R409" s="146"/>
      <c r="S409" s="146"/>
    </row>
    <row r="410" spans="1:19" x14ac:dyDescent="0.2">
      <c r="A410" s="152"/>
      <c r="B410" s="142"/>
      <c r="C410" s="142"/>
      <c r="D410" s="151" t="s">
        <v>1100</v>
      </c>
      <c r="G410" s="146"/>
      <c r="H410" s="162"/>
      <c r="I410" s="151"/>
      <c r="J410" s="168">
        <v>4</v>
      </c>
      <c r="K410" s="146"/>
      <c r="L410" s="161" t="s">
        <v>1349</v>
      </c>
      <c r="M410" s="146"/>
      <c r="N410" s="146"/>
      <c r="O410" s="198" t="s">
        <v>1100</v>
      </c>
      <c r="P410" s="146"/>
      <c r="Q410" s="146"/>
      <c r="R410" s="146"/>
      <c r="S410" s="146"/>
    </row>
    <row r="411" spans="1:19" x14ac:dyDescent="0.2">
      <c r="A411" s="152"/>
      <c r="B411" s="142"/>
      <c r="C411" s="142"/>
      <c r="D411" s="151" t="s">
        <v>1100</v>
      </c>
      <c r="G411" s="146"/>
      <c r="H411" s="162"/>
      <c r="I411" s="176"/>
      <c r="J411" s="171">
        <v>5</v>
      </c>
      <c r="K411" s="172"/>
      <c r="L411" s="173" t="s">
        <v>1370</v>
      </c>
      <c r="M411" s="172"/>
      <c r="N411" s="172"/>
      <c r="O411" s="216" t="s">
        <v>1100</v>
      </c>
      <c r="P411" s="146"/>
      <c r="Q411" s="146"/>
      <c r="R411" s="146"/>
      <c r="S411" s="146"/>
    </row>
    <row r="412" spans="1:19" x14ac:dyDescent="0.2">
      <c r="A412" s="152"/>
      <c r="B412" s="142"/>
      <c r="C412" s="142"/>
      <c r="D412" s="151"/>
      <c r="G412" s="146"/>
      <c r="H412" s="162"/>
      <c r="I412" s="171" t="s">
        <v>1016</v>
      </c>
      <c r="J412" s="151"/>
      <c r="K412" s="161" t="s">
        <v>1371</v>
      </c>
      <c r="L412" s="146"/>
      <c r="M412" s="146"/>
      <c r="N412" s="146"/>
      <c r="O412" s="198"/>
      <c r="P412" s="146"/>
      <c r="Q412" s="146"/>
      <c r="R412" s="146"/>
      <c r="S412" s="146"/>
    </row>
    <row r="413" spans="1:19" x14ac:dyDescent="0.2">
      <c r="A413" s="152"/>
      <c r="B413" s="142"/>
      <c r="C413" s="142"/>
      <c r="D413" s="151" t="s">
        <v>1100</v>
      </c>
      <c r="G413" s="146"/>
      <c r="H413" s="162"/>
      <c r="I413" s="151"/>
      <c r="J413" s="168">
        <v>1</v>
      </c>
      <c r="K413" s="146"/>
      <c r="L413" s="161" t="s">
        <v>1198</v>
      </c>
      <c r="M413" s="146"/>
      <c r="N413" s="146"/>
      <c r="O413" s="198" t="s">
        <v>1100</v>
      </c>
      <c r="P413" s="146"/>
      <c r="Q413" s="146"/>
      <c r="R413" s="146"/>
      <c r="S413" s="146"/>
    </row>
    <row r="414" spans="1:19" x14ac:dyDescent="0.2">
      <c r="A414" s="152"/>
      <c r="B414" s="142"/>
      <c r="C414" s="142"/>
      <c r="D414" s="151" t="s">
        <v>1100</v>
      </c>
      <c r="G414" s="146"/>
      <c r="H414" s="162"/>
      <c r="I414" s="151"/>
      <c r="J414" s="168">
        <v>2</v>
      </c>
      <c r="K414" s="146"/>
      <c r="L414" s="161" t="s">
        <v>1372</v>
      </c>
      <c r="M414" s="146"/>
      <c r="N414" s="146"/>
      <c r="O414" s="198" t="s">
        <v>1100</v>
      </c>
      <c r="P414" s="146"/>
      <c r="Q414" s="146"/>
      <c r="R414" s="146"/>
      <c r="S414" s="146"/>
    </row>
    <row r="415" spans="1:19" x14ac:dyDescent="0.2">
      <c r="A415" s="152"/>
      <c r="B415" s="142"/>
      <c r="C415" s="142"/>
      <c r="D415" s="151" t="s">
        <v>1100</v>
      </c>
      <c r="G415" s="146"/>
      <c r="H415" s="162"/>
      <c r="I415" s="151"/>
      <c r="J415" s="168">
        <v>3</v>
      </c>
      <c r="K415" s="146"/>
      <c r="L415" s="161" t="s">
        <v>1373</v>
      </c>
      <c r="M415" s="146"/>
      <c r="N415" s="146"/>
      <c r="O415" s="198" t="s">
        <v>1100</v>
      </c>
      <c r="P415" s="146"/>
      <c r="Q415" s="146"/>
      <c r="R415" s="146"/>
      <c r="S415" s="146"/>
    </row>
    <row r="416" spans="1:19" x14ac:dyDescent="0.2">
      <c r="A416" s="152"/>
      <c r="B416" s="142"/>
      <c r="C416" s="142"/>
      <c r="D416" s="151" t="s">
        <v>1100</v>
      </c>
      <c r="G416" s="146"/>
      <c r="H416" s="162"/>
      <c r="I416" s="264"/>
      <c r="J416" s="168">
        <v>4</v>
      </c>
      <c r="K416" s="146"/>
      <c r="L416" s="161" t="s">
        <v>1374</v>
      </c>
      <c r="M416" s="146"/>
      <c r="N416" s="146"/>
      <c r="O416" s="198" t="s">
        <v>1100</v>
      </c>
      <c r="P416" s="146"/>
      <c r="Q416" s="146"/>
      <c r="R416" s="146"/>
      <c r="S416" s="146"/>
    </row>
    <row r="417" spans="1:19" x14ac:dyDescent="0.2">
      <c r="A417" s="152"/>
      <c r="B417" s="142"/>
      <c r="C417" s="142"/>
      <c r="D417" s="151" t="s">
        <v>1100</v>
      </c>
      <c r="G417" s="146"/>
      <c r="H417" s="162"/>
      <c r="I417" s="151"/>
      <c r="J417" s="168">
        <v>5</v>
      </c>
      <c r="K417" s="146"/>
      <c r="L417" s="161" t="s">
        <v>1375</v>
      </c>
      <c r="M417" s="146"/>
      <c r="N417" s="146"/>
      <c r="O417" s="198" t="s">
        <v>1100</v>
      </c>
      <c r="P417" s="146"/>
      <c r="Q417" s="146"/>
      <c r="R417" s="146"/>
      <c r="S417" s="146"/>
    </row>
    <row r="418" spans="1:19" x14ac:dyDescent="0.2">
      <c r="A418" s="152"/>
      <c r="B418" s="142"/>
      <c r="C418" s="142"/>
      <c r="D418" s="151" t="s">
        <v>1100</v>
      </c>
      <c r="G418" s="146"/>
      <c r="H418" s="162"/>
      <c r="I418" s="176"/>
      <c r="J418" s="171">
        <v>6</v>
      </c>
      <c r="K418" s="172"/>
      <c r="L418" s="173" t="s">
        <v>1370</v>
      </c>
      <c r="M418" s="172"/>
      <c r="N418" s="172"/>
      <c r="O418" s="216" t="s">
        <v>1100</v>
      </c>
      <c r="P418" s="146"/>
      <c r="Q418" s="146"/>
      <c r="R418" s="146"/>
      <c r="S418" s="146"/>
    </row>
    <row r="419" spans="1:19" x14ac:dyDescent="0.2">
      <c r="A419" s="152"/>
      <c r="B419" s="142"/>
      <c r="C419" s="142"/>
      <c r="D419" s="151"/>
      <c r="G419" s="146"/>
      <c r="H419" s="162"/>
      <c r="I419" s="171" t="s">
        <v>1026</v>
      </c>
      <c r="J419" s="151"/>
      <c r="K419" s="161" t="s">
        <v>1376</v>
      </c>
      <c r="L419" s="146"/>
      <c r="M419" s="146"/>
      <c r="N419" s="146"/>
      <c r="O419" s="198"/>
      <c r="P419" s="146"/>
      <c r="Q419" s="146"/>
      <c r="R419" s="146"/>
      <c r="S419" s="146"/>
    </row>
    <row r="420" spans="1:19" x14ac:dyDescent="0.2">
      <c r="A420" s="152"/>
      <c r="B420" s="142"/>
      <c r="C420" s="142"/>
      <c r="D420" s="151" t="s">
        <v>1100</v>
      </c>
      <c r="G420" s="146"/>
      <c r="H420" s="162"/>
      <c r="I420" s="151"/>
      <c r="J420" s="168">
        <v>1</v>
      </c>
      <c r="K420" s="146"/>
      <c r="L420" s="161" t="s">
        <v>1377</v>
      </c>
      <c r="M420" s="146"/>
      <c r="N420" s="146"/>
      <c r="O420" s="198" t="s">
        <v>1100</v>
      </c>
      <c r="P420" s="146"/>
      <c r="Q420" s="146"/>
      <c r="R420" s="146"/>
      <c r="S420" s="146"/>
    </row>
    <row r="421" spans="1:19" x14ac:dyDescent="0.2">
      <c r="A421" s="152"/>
      <c r="B421" s="142"/>
      <c r="C421" s="142"/>
      <c r="D421" s="151" t="s">
        <v>1100</v>
      </c>
      <c r="G421" s="146"/>
      <c r="H421" s="162"/>
      <c r="I421" s="151"/>
      <c r="J421" s="168">
        <v>2</v>
      </c>
      <c r="K421" s="146"/>
      <c r="L421" s="161" t="s">
        <v>1198</v>
      </c>
      <c r="M421" s="146"/>
      <c r="N421" s="146"/>
      <c r="O421" s="198" t="s">
        <v>1100</v>
      </c>
      <c r="P421" s="146"/>
      <c r="Q421" s="146"/>
      <c r="R421" s="146"/>
      <c r="S421" s="146"/>
    </row>
    <row r="422" spans="1:19" x14ac:dyDescent="0.2">
      <c r="A422" s="152"/>
      <c r="B422" s="142"/>
      <c r="C422" s="142"/>
      <c r="D422" s="151" t="s">
        <v>1100</v>
      </c>
      <c r="G422" s="146"/>
      <c r="H422" s="162"/>
      <c r="I422" s="151"/>
      <c r="J422" s="168">
        <v>3</v>
      </c>
      <c r="K422" s="146"/>
      <c r="L422" s="161" t="s">
        <v>1378</v>
      </c>
      <c r="M422" s="146"/>
      <c r="N422" s="146"/>
      <c r="O422" s="198" t="s">
        <v>1100</v>
      </c>
      <c r="P422" s="146"/>
      <c r="Q422" s="146"/>
      <c r="R422" s="146"/>
      <c r="S422" s="146"/>
    </row>
    <row r="423" spans="1:19" x14ac:dyDescent="0.2">
      <c r="A423" s="152"/>
      <c r="B423" s="142"/>
      <c r="C423" s="142"/>
      <c r="D423" s="151" t="s">
        <v>1100</v>
      </c>
      <c r="G423" s="146"/>
      <c r="H423" s="162"/>
      <c r="I423" s="151"/>
      <c r="J423" s="168">
        <v>4</v>
      </c>
      <c r="K423" s="146"/>
      <c r="L423" s="161" t="s">
        <v>1309</v>
      </c>
      <c r="M423" s="146"/>
      <c r="N423" s="146"/>
      <c r="O423" s="198" t="s">
        <v>1100</v>
      </c>
      <c r="P423" s="146"/>
      <c r="Q423" s="146"/>
      <c r="R423" s="146"/>
      <c r="S423" s="146"/>
    </row>
    <row r="424" spans="1:19" x14ac:dyDescent="0.2">
      <c r="A424" s="152"/>
      <c r="B424" s="142"/>
      <c r="C424" s="142"/>
      <c r="D424" s="151" t="s">
        <v>1100</v>
      </c>
      <c r="G424" s="146"/>
      <c r="H424" s="162"/>
      <c r="I424" s="176"/>
      <c r="J424" s="171">
        <v>5</v>
      </c>
      <c r="K424" s="172"/>
      <c r="L424" s="173" t="s">
        <v>1370</v>
      </c>
      <c r="M424" s="172"/>
      <c r="N424" s="172"/>
      <c r="O424" s="216" t="s">
        <v>1100</v>
      </c>
      <c r="P424" s="146"/>
      <c r="Q424" s="146"/>
      <c r="R424" s="146"/>
      <c r="S424" s="146"/>
    </row>
    <row r="425" spans="1:19" x14ac:dyDescent="0.2">
      <c r="A425" s="152"/>
      <c r="B425" s="142"/>
      <c r="C425" s="142"/>
      <c r="D425" s="151"/>
      <c r="G425" s="146"/>
      <c r="H425" s="162"/>
      <c r="I425" s="171" t="s">
        <v>1052</v>
      </c>
      <c r="J425" s="151"/>
      <c r="K425" s="161" t="s">
        <v>1379</v>
      </c>
      <c r="L425" s="146"/>
      <c r="M425" s="146"/>
      <c r="N425" s="146"/>
      <c r="O425" s="198"/>
      <c r="P425" s="146"/>
      <c r="Q425" s="146"/>
      <c r="R425" s="146"/>
      <c r="S425" s="146"/>
    </row>
    <row r="426" spans="1:19" x14ac:dyDescent="0.2">
      <c r="A426" s="152"/>
      <c r="B426" s="142"/>
      <c r="C426" s="142"/>
      <c r="D426" s="151" t="s">
        <v>1100</v>
      </c>
      <c r="G426" s="146"/>
      <c r="H426" s="162"/>
      <c r="I426" s="151"/>
      <c r="J426" s="168">
        <v>1</v>
      </c>
      <c r="K426" s="146"/>
      <c r="L426" s="161" t="s">
        <v>1377</v>
      </c>
      <c r="M426" s="146"/>
      <c r="N426" s="146"/>
      <c r="O426" s="198" t="s">
        <v>1100</v>
      </c>
      <c r="P426" s="146"/>
      <c r="Q426" s="146"/>
      <c r="R426" s="146"/>
      <c r="S426" s="146"/>
    </row>
    <row r="427" spans="1:19" x14ac:dyDescent="0.2">
      <c r="A427" s="152"/>
      <c r="B427" s="142"/>
      <c r="C427" s="142"/>
      <c r="D427" s="151" t="s">
        <v>1100</v>
      </c>
      <c r="G427" s="146"/>
      <c r="H427" s="162"/>
      <c r="I427" s="151"/>
      <c r="J427" s="168">
        <v>2</v>
      </c>
      <c r="K427" s="146"/>
      <c r="L427" s="161" t="s">
        <v>1198</v>
      </c>
      <c r="M427" s="146"/>
      <c r="N427" s="146"/>
      <c r="O427" s="198" t="s">
        <v>1100</v>
      </c>
      <c r="P427" s="146"/>
      <c r="Q427" s="146"/>
      <c r="R427" s="146"/>
      <c r="S427" s="146"/>
    </row>
    <row r="428" spans="1:19" x14ac:dyDescent="0.2">
      <c r="A428" s="152"/>
      <c r="B428" s="142"/>
      <c r="C428" s="142"/>
      <c r="D428" s="151" t="s">
        <v>1100</v>
      </c>
      <c r="G428" s="146"/>
      <c r="H428" s="162"/>
      <c r="I428" s="151"/>
      <c r="J428" s="168">
        <v>3</v>
      </c>
      <c r="K428" s="146"/>
      <c r="L428" s="161" t="s">
        <v>1380</v>
      </c>
      <c r="M428" s="146"/>
      <c r="N428" s="146"/>
      <c r="O428" s="198" t="s">
        <v>1100</v>
      </c>
      <c r="P428" s="146"/>
      <c r="Q428" s="146"/>
      <c r="R428" s="146"/>
      <c r="S428" s="146"/>
    </row>
    <row r="429" spans="1:19" x14ac:dyDescent="0.2">
      <c r="A429" s="152"/>
      <c r="B429" s="142"/>
      <c r="C429" s="142"/>
      <c r="D429" s="151" t="s">
        <v>1100</v>
      </c>
      <c r="G429" s="146"/>
      <c r="H429" s="162"/>
      <c r="I429" s="151"/>
      <c r="J429" s="168">
        <v>4</v>
      </c>
      <c r="K429" s="146"/>
      <c r="L429" s="161" t="s">
        <v>1378</v>
      </c>
      <c r="M429" s="146"/>
      <c r="N429" s="146"/>
      <c r="O429" s="198" t="s">
        <v>1100</v>
      </c>
      <c r="P429" s="146"/>
      <c r="Q429" s="146"/>
      <c r="R429" s="146"/>
      <c r="S429" s="146"/>
    </row>
    <row r="430" spans="1:19" x14ac:dyDescent="0.2">
      <c r="A430" s="152"/>
      <c r="B430" s="142"/>
      <c r="C430" s="142"/>
      <c r="D430" s="151" t="s">
        <v>1100</v>
      </c>
      <c r="G430" s="146"/>
      <c r="H430" s="162"/>
      <c r="I430" s="151"/>
      <c r="J430" s="168">
        <v>5</v>
      </c>
      <c r="K430" s="146"/>
      <c r="L430" s="161" t="s">
        <v>1309</v>
      </c>
      <c r="M430" s="146"/>
      <c r="N430" s="146"/>
      <c r="O430" s="198" t="s">
        <v>1100</v>
      </c>
      <c r="P430" s="146"/>
      <c r="Q430" s="146"/>
      <c r="R430" s="146"/>
      <c r="S430" s="146"/>
    </row>
    <row r="431" spans="1:19" x14ac:dyDescent="0.2">
      <c r="A431" s="152"/>
      <c r="B431" s="142"/>
      <c r="C431" s="142"/>
      <c r="D431" s="151" t="s">
        <v>1100</v>
      </c>
      <c r="G431" s="146"/>
      <c r="H431" s="162"/>
      <c r="I431" s="151"/>
      <c r="J431" s="168">
        <v>6</v>
      </c>
      <c r="K431" s="146"/>
      <c r="L431" s="161" t="s">
        <v>1381</v>
      </c>
      <c r="M431" s="146"/>
      <c r="N431" s="146"/>
      <c r="O431" s="198" t="s">
        <v>1100</v>
      </c>
      <c r="P431" s="146"/>
      <c r="Q431" s="146"/>
      <c r="R431" s="146"/>
      <c r="S431" s="146"/>
    </row>
    <row r="432" spans="1:19" ht="15.75" thickBot="1" x14ac:dyDescent="0.25">
      <c r="A432" s="152"/>
      <c r="B432" s="142"/>
      <c r="C432" s="142"/>
      <c r="D432" s="151" t="s">
        <v>1100</v>
      </c>
      <c r="G432" s="146"/>
      <c r="H432" s="208"/>
      <c r="I432" s="209"/>
      <c r="J432" s="210">
        <v>7</v>
      </c>
      <c r="K432" s="211"/>
      <c r="L432" s="212" t="s">
        <v>1382</v>
      </c>
      <c r="M432" s="211"/>
      <c r="N432" s="211"/>
      <c r="O432" s="244" t="s">
        <v>1100</v>
      </c>
      <c r="P432" s="146"/>
      <c r="Q432" s="146"/>
      <c r="R432" s="146"/>
      <c r="S432" s="146"/>
    </row>
    <row r="433" spans="1:19" x14ac:dyDescent="0.2">
      <c r="A433" s="152"/>
      <c r="B433" s="142"/>
      <c r="C433" s="142"/>
      <c r="D433" s="151"/>
      <c r="G433" s="146"/>
      <c r="H433" s="214"/>
      <c r="I433" s="151"/>
      <c r="J433" s="151"/>
      <c r="K433" s="146"/>
      <c r="L433" s="161"/>
      <c r="M433" s="146"/>
      <c r="N433" s="146"/>
      <c r="O433" s="149"/>
      <c r="P433" s="146"/>
      <c r="Q433" s="146"/>
      <c r="R433" s="146"/>
      <c r="S433" s="146"/>
    </row>
    <row r="434" spans="1:19" x14ac:dyDescent="0.2">
      <c r="A434" s="152"/>
      <c r="B434" s="142"/>
      <c r="C434" s="142"/>
      <c r="D434" s="151"/>
      <c r="G434" s="146"/>
      <c r="H434" s="214"/>
      <c r="I434" s="151"/>
      <c r="J434" s="151"/>
      <c r="K434" s="146"/>
      <c r="L434" s="161"/>
      <c r="M434" s="146"/>
      <c r="N434" s="146"/>
      <c r="O434" s="149"/>
      <c r="P434" s="146"/>
      <c r="Q434" s="146"/>
      <c r="R434" s="146"/>
      <c r="S434" s="146"/>
    </row>
    <row r="435" spans="1:19" x14ac:dyDescent="0.2">
      <c r="A435" s="152">
        <v>44</v>
      </c>
      <c r="B435" s="142" t="s">
        <v>1396</v>
      </c>
      <c r="C435" s="142" t="s">
        <v>1397</v>
      </c>
      <c r="D435" s="151"/>
      <c r="G435" s="146"/>
      <c r="H435" s="184">
        <v>44</v>
      </c>
      <c r="I435" s="186"/>
      <c r="J435" s="196"/>
      <c r="K435" s="241" t="s">
        <v>1397</v>
      </c>
      <c r="L435" s="196"/>
      <c r="M435" s="196"/>
      <c r="N435" s="196"/>
      <c r="O435" s="206"/>
      <c r="P435" s="146"/>
      <c r="Q435" s="160">
        <f>H435</f>
        <v>44</v>
      </c>
      <c r="R435" s="151" t="str">
        <f>CONCATENATE("II-",TEXT(Q435,"0000"))</f>
        <v>II-0044</v>
      </c>
      <c r="S435" s="161" t="str">
        <f>K435</f>
        <v>HORMIGON  ARS EXCLUIDA LA ARAMDURA</v>
      </c>
    </row>
    <row r="436" spans="1:19" x14ac:dyDescent="0.2">
      <c r="A436" s="152"/>
      <c r="B436" s="142"/>
      <c r="C436" s="142"/>
      <c r="D436" s="151"/>
      <c r="G436" s="146"/>
      <c r="H436" s="162"/>
      <c r="I436" s="171" t="s">
        <v>1052</v>
      </c>
      <c r="J436" s="151"/>
      <c r="K436" s="161" t="s">
        <v>1379</v>
      </c>
      <c r="L436" s="161"/>
      <c r="M436" s="146"/>
      <c r="N436" s="146"/>
      <c r="O436" s="149"/>
      <c r="P436" s="146"/>
      <c r="Q436" s="146"/>
      <c r="R436" s="146"/>
      <c r="S436" s="146"/>
    </row>
    <row r="437" spans="1:19" x14ac:dyDescent="0.2">
      <c r="A437" s="152"/>
      <c r="B437" s="142"/>
      <c r="C437" s="142"/>
      <c r="D437" s="151" t="s">
        <v>1100</v>
      </c>
      <c r="G437" s="146"/>
      <c r="H437" s="162"/>
      <c r="I437" s="151"/>
      <c r="J437" s="168">
        <v>8</v>
      </c>
      <c r="K437" s="146"/>
      <c r="L437" s="161" t="s">
        <v>1383</v>
      </c>
      <c r="M437" s="146"/>
      <c r="N437" s="146"/>
      <c r="O437" s="198" t="s">
        <v>1100</v>
      </c>
      <c r="P437" s="146"/>
      <c r="Q437" s="146"/>
      <c r="R437" s="146"/>
      <c r="S437" s="146"/>
    </row>
    <row r="438" spans="1:19" x14ac:dyDescent="0.2">
      <c r="A438" s="152"/>
      <c r="B438" s="142"/>
      <c r="C438" s="142"/>
      <c r="D438" s="151" t="s">
        <v>1100</v>
      </c>
      <c r="G438" s="146"/>
      <c r="H438" s="162"/>
      <c r="I438" s="176"/>
      <c r="J438" s="171">
        <v>9</v>
      </c>
      <c r="K438" s="172"/>
      <c r="L438" s="173" t="s">
        <v>1370</v>
      </c>
      <c r="M438" s="172"/>
      <c r="N438" s="172"/>
      <c r="O438" s="216" t="s">
        <v>1100</v>
      </c>
      <c r="P438" s="146"/>
      <c r="Q438" s="146"/>
      <c r="R438" s="146"/>
      <c r="S438" s="146"/>
    </row>
    <row r="439" spans="1:19" x14ac:dyDescent="0.2">
      <c r="A439" s="152"/>
      <c r="B439" s="142"/>
      <c r="C439" s="142"/>
      <c r="D439" s="151"/>
      <c r="G439" s="146"/>
      <c r="H439" s="162"/>
      <c r="I439" s="171" t="s">
        <v>1094</v>
      </c>
      <c r="J439" s="151"/>
      <c r="K439" s="161" t="s">
        <v>1384</v>
      </c>
      <c r="L439" s="146"/>
      <c r="M439" s="146"/>
      <c r="N439" s="146"/>
      <c r="O439" s="198"/>
      <c r="P439" s="146"/>
      <c r="Q439" s="146"/>
      <c r="R439" s="146"/>
      <c r="S439" s="146"/>
    </row>
    <row r="440" spans="1:19" x14ac:dyDescent="0.2">
      <c r="A440" s="152"/>
      <c r="B440" s="142"/>
      <c r="C440" s="142"/>
      <c r="D440" s="151" t="s">
        <v>1100</v>
      </c>
      <c r="G440" s="146"/>
      <c r="H440" s="162"/>
      <c r="I440" s="151"/>
      <c r="J440" s="168">
        <v>1</v>
      </c>
      <c r="K440" s="146"/>
      <c r="L440" s="161" t="s">
        <v>1198</v>
      </c>
      <c r="M440" s="146"/>
      <c r="N440" s="146"/>
      <c r="O440" s="198" t="s">
        <v>1100</v>
      </c>
      <c r="P440" s="146"/>
      <c r="Q440" s="146"/>
      <c r="R440" s="146"/>
      <c r="S440" s="146"/>
    </row>
    <row r="441" spans="1:19" x14ac:dyDescent="0.2">
      <c r="A441" s="152"/>
      <c r="B441" s="142"/>
      <c r="C441" s="142"/>
      <c r="D441" s="151" t="s">
        <v>1100</v>
      </c>
      <c r="G441" s="146"/>
      <c r="H441" s="162"/>
      <c r="I441" s="151"/>
      <c r="J441" s="168">
        <v>2</v>
      </c>
      <c r="K441" s="146"/>
      <c r="L441" s="161" t="s">
        <v>1385</v>
      </c>
      <c r="M441" s="146"/>
      <c r="N441" s="146"/>
      <c r="O441" s="198" t="s">
        <v>1100</v>
      </c>
      <c r="P441" s="146"/>
      <c r="Q441" s="146"/>
      <c r="R441" s="146"/>
      <c r="S441" s="146"/>
    </row>
    <row r="442" spans="1:19" x14ac:dyDescent="0.2">
      <c r="A442" s="152"/>
      <c r="B442" s="142"/>
      <c r="C442" s="142"/>
      <c r="D442" s="151" t="s">
        <v>1100</v>
      </c>
      <c r="G442" s="146"/>
      <c r="H442" s="162"/>
      <c r="I442" s="151"/>
      <c r="J442" s="168">
        <v>3</v>
      </c>
      <c r="K442" s="146"/>
      <c r="L442" s="161" t="s">
        <v>1386</v>
      </c>
      <c r="M442" s="146"/>
      <c r="N442" s="146"/>
      <c r="O442" s="198" t="s">
        <v>1100</v>
      </c>
      <c r="P442" s="146"/>
      <c r="Q442" s="146"/>
      <c r="R442" s="146"/>
      <c r="S442" s="146"/>
    </row>
    <row r="443" spans="1:19" x14ac:dyDescent="0.2">
      <c r="A443" s="152"/>
      <c r="B443" s="142"/>
      <c r="C443" s="142"/>
      <c r="D443" s="151" t="s">
        <v>1100</v>
      </c>
      <c r="G443" s="146"/>
      <c r="H443" s="162"/>
      <c r="I443" s="151"/>
      <c r="J443" s="168">
        <v>4</v>
      </c>
      <c r="K443" s="146"/>
      <c r="L443" s="161" t="s">
        <v>1387</v>
      </c>
      <c r="M443" s="146"/>
      <c r="N443" s="146"/>
      <c r="O443" s="198" t="s">
        <v>1100</v>
      </c>
      <c r="P443" s="146"/>
      <c r="Q443" s="146"/>
      <c r="R443" s="146"/>
      <c r="S443" s="146"/>
    </row>
    <row r="444" spans="1:19" x14ac:dyDescent="0.2">
      <c r="A444" s="152"/>
      <c r="B444" s="142"/>
      <c r="C444" s="142"/>
      <c r="D444" s="151" t="s">
        <v>1100</v>
      </c>
      <c r="G444" s="146"/>
      <c r="H444" s="162"/>
      <c r="I444" s="151"/>
      <c r="J444" s="168">
        <v>5</v>
      </c>
      <c r="K444" s="146"/>
      <c r="L444" s="161" t="s">
        <v>1251</v>
      </c>
      <c r="M444" s="146"/>
      <c r="N444" s="146"/>
      <c r="O444" s="198" t="s">
        <v>1100</v>
      </c>
      <c r="P444" s="146"/>
      <c r="Q444" s="146"/>
      <c r="R444" s="146"/>
      <c r="S444" s="146"/>
    </row>
    <row r="445" spans="1:19" x14ac:dyDescent="0.2">
      <c r="A445" s="152"/>
      <c r="B445" s="142"/>
      <c r="C445" s="142"/>
      <c r="D445" s="151" t="s">
        <v>1100</v>
      </c>
      <c r="G445" s="146"/>
      <c r="H445" s="162"/>
      <c r="I445" s="151"/>
      <c r="J445" s="168">
        <v>6</v>
      </c>
      <c r="K445" s="146"/>
      <c r="L445" s="161" t="s">
        <v>1388</v>
      </c>
      <c r="M445" s="146"/>
      <c r="N445" s="146"/>
      <c r="O445" s="198" t="s">
        <v>1100</v>
      </c>
      <c r="P445" s="146"/>
      <c r="Q445" s="146"/>
      <c r="R445" s="146"/>
      <c r="S445" s="146"/>
    </row>
    <row r="446" spans="1:19" x14ac:dyDescent="0.2">
      <c r="A446" s="152"/>
      <c r="B446" s="142"/>
      <c r="C446" s="142"/>
      <c r="D446" s="151" t="s">
        <v>1100</v>
      </c>
      <c r="G446" s="146"/>
      <c r="H446" s="162"/>
      <c r="I446" s="151"/>
      <c r="J446" s="168">
        <v>7</v>
      </c>
      <c r="K446" s="146"/>
      <c r="L446" s="161" t="s">
        <v>1389</v>
      </c>
      <c r="M446" s="146"/>
      <c r="N446" s="146"/>
      <c r="O446" s="198" t="s">
        <v>1100</v>
      </c>
      <c r="P446" s="146"/>
      <c r="Q446" s="146"/>
      <c r="R446" s="146"/>
      <c r="S446" s="146"/>
    </row>
    <row r="447" spans="1:19" x14ac:dyDescent="0.2">
      <c r="A447" s="152"/>
      <c r="B447" s="142"/>
      <c r="C447" s="142"/>
      <c r="D447" s="151" t="s">
        <v>1100</v>
      </c>
      <c r="G447" s="146"/>
      <c r="H447" s="162"/>
      <c r="I447" s="151"/>
      <c r="J447" s="168">
        <v>8</v>
      </c>
      <c r="K447" s="146"/>
      <c r="L447" s="161" t="s">
        <v>1381</v>
      </c>
      <c r="M447" s="146"/>
      <c r="N447" s="146"/>
      <c r="O447" s="198" t="s">
        <v>1100</v>
      </c>
      <c r="P447" s="146"/>
      <c r="Q447" s="146"/>
      <c r="R447" s="146"/>
      <c r="S447" s="146"/>
    </row>
    <row r="448" spans="1:19" x14ac:dyDescent="0.2">
      <c r="A448" s="152"/>
      <c r="B448" s="142"/>
      <c r="C448" s="142"/>
      <c r="D448" s="151" t="s">
        <v>1100</v>
      </c>
      <c r="G448" s="146"/>
      <c r="H448" s="162"/>
      <c r="I448" s="151"/>
      <c r="J448" s="168">
        <v>9</v>
      </c>
      <c r="K448" s="146"/>
      <c r="L448" s="161" t="s">
        <v>1373</v>
      </c>
      <c r="M448" s="146"/>
      <c r="N448" s="146"/>
      <c r="O448" s="198" t="s">
        <v>1100</v>
      </c>
      <c r="P448" s="146"/>
      <c r="Q448" s="146"/>
      <c r="R448" s="146"/>
      <c r="S448" s="146"/>
    </row>
    <row r="449" spans="1:19" x14ac:dyDescent="0.2">
      <c r="A449" s="152"/>
      <c r="B449" s="142"/>
      <c r="C449" s="142"/>
      <c r="D449" s="151" t="s">
        <v>1100</v>
      </c>
      <c r="G449" s="146"/>
      <c r="H449" s="162"/>
      <c r="I449" s="151"/>
      <c r="J449" s="168">
        <v>10</v>
      </c>
      <c r="K449" s="146"/>
      <c r="L449" s="161" t="s">
        <v>1390</v>
      </c>
      <c r="M449" s="146"/>
      <c r="N449" s="146"/>
      <c r="O449" s="198" t="s">
        <v>1100</v>
      </c>
      <c r="P449" s="146"/>
      <c r="Q449" s="146"/>
      <c r="R449" s="146"/>
      <c r="S449" s="146"/>
    </row>
    <row r="450" spans="1:19" x14ac:dyDescent="0.2">
      <c r="A450" s="152"/>
      <c r="B450" s="142"/>
      <c r="C450" s="142"/>
      <c r="D450" s="151" t="s">
        <v>1100</v>
      </c>
      <c r="G450" s="146"/>
      <c r="H450" s="162"/>
      <c r="I450" s="151"/>
      <c r="J450" s="168">
        <v>11</v>
      </c>
      <c r="K450" s="146"/>
      <c r="L450" s="161" t="s">
        <v>1382</v>
      </c>
      <c r="M450" s="146"/>
      <c r="N450" s="146"/>
      <c r="O450" s="198" t="s">
        <v>1100</v>
      </c>
      <c r="P450" s="146"/>
      <c r="Q450" s="146"/>
      <c r="R450" s="146"/>
      <c r="S450" s="146"/>
    </row>
    <row r="451" spans="1:19" x14ac:dyDescent="0.2">
      <c r="A451" s="152"/>
      <c r="B451" s="142"/>
      <c r="C451" s="142"/>
      <c r="D451" s="151" t="s">
        <v>1100</v>
      </c>
      <c r="G451" s="146"/>
      <c r="H451" s="162"/>
      <c r="I451" s="151"/>
      <c r="J451" s="168">
        <v>12</v>
      </c>
      <c r="K451" s="146"/>
      <c r="L451" s="161" t="s">
        <v>1391</v>
      </c>
      <c r="M451" s="146"/>
      <c r="N451" s="146"/>
      <c r="O451" s="198" t="s">
        <v>1100</v>
      </c>
      <c r="P451" s="146"/>
      <c r="Q451" s="146"/>
      <c r="R451" s="146"/>
      <c r="S451" s="146"/>
    </row>
    <row r="452" spans="1:19" x14ac:dyDescent="0.2">
      <c r="A452" s="152"/>
      <c r="B452" s="142"/>
      <c r="C452" s="142"/>
      <c r="D452" s="151" t="s">
        <v>1100</v>
      </c>
      <c r="G452" s="146"/>
      <c r="H452" s="162"/>
      <c r="I452" s="151"/>
      <c r="J452" s="168">
        <v>13</v>
      </c>
      <c r="K452" s="146"/>
      <c r="L452" s="161" t="s">
        <v>1383</v>
      </c>
      <c r="M452" s="146"/>
      <c r="N452" s="146"/>
      <c r="O452" s="198" t="s">
        <v>1100</v>
      </c>
      <c r="P452" s="146"/>
      <c r="Q452" s="146"/>
      <c r="R452" s="146"/>
      <c r="S452" s="146"/>
    </row>
    <row r="453" spans="1:19" x14ac:dyDescent="0.2">
      <c r="A453" s="152"/>
      <c r="B453" s="142"/>
      <c r="C453" s="142"/>
      <c r="D453" s="151" t="s">
        <v>1100</v>
      </c>
      <c r="G453" s="146"/>
      <c r="H453" s="162"/>
      <c r="I453" s="176"/>
      <c r="J453" s="171">
        <v>14</v>
      </c>
      <c r="K453" s="172"/>
      <c r="L453" s="173" t="s">
        <v>1392</v>
      </c>
      <c r="M453" s="172"/>
      <c r="N453" s="172"/>
      <c r="O453" s="216" t="s">
        <v>1100</v>
      </c>
      <c r="P453" s="146"/>
      <c r="Q453" s="146"/>
      <c r="R453" s="146"/>
      <c r="S453" s="146"/>
    </row>
    <row r="454" spans="1:19" x14ac:dyDescent="0.2">
      <c r="A454" s="152"/>
      <c r="B454" s="142"/>
      <c r="C454" s="142"/>
      <c r="D454" s="151"/>
      <c r="G454" s="146"/>
      <c r="H454" s="162"/>
      <c r="I454" s="171" t="s">
        <v>1097</v>
      </c>
      <c r="J454" s="151"/>
      <c r="K454" s="161" t="s">
        <v>1393</v>
      </c>
      <c r="L454" s="146"/>
      <c r="M454" s="146"/>
      <c r="N454" s="146"/>
      <c r="O454" s="198"/>
      <c r="P454" s="146"/>
      <c r="Q454" s="146"/>
      <c r="R454" s="146"/>
      <c r="S454" s="146"/>
    </row>
    <row r="455" spans="1:19" x14ac:dyDescent="0.2">
      <c r="A455" s="152"/>
      <c r="B455" s="142"/>
      <c r="C455" s="142"/>
      <c r="D455" s="151" t="s">
        <v>1100</v>
      </c>
      <c r="G455" s="146"/>
      <c r="H455" s="162"/>
      <c r="I455" s="151"/>
      <c r="J455" s="168">
        <v>1</v>
      </c>
      <c r="K455" s="146"/>
      <c r="L455" s="161" t="s">
        <v>1198</v>
      </c>
      <c r="M455" s="146"/>
      <c r="N455" s="146"/>
      <c r="O455" s="198" t="s">
        <v>1100</v>
      </c>
      <c r="P455" s="146"/>
      <c r="Q455" s="146"/>
      <c r="R455" s="146"/>
      <c r="S455" s="146"/>
    </row>
    <row r="456" spans="1:19" x14ac:dyDescent="0.2">
      <c r="A456" s="152"/>
      <c r="B456" s="142"/>
      <c r="C456" s="142"/>
      <c r="D456" s="151" t="s">
        <v>1100</v>
      </c>
      <c r="G456" s="146"/>
      <c r="H456" s="162"/>
      <c r="I456" s="151"/>
      <c r="J456" s="168">
        <v>2</v>
      </c>
      <c r="K456" s="146"/>
      <c r="L456" s="161" t="s">
        <v>1385</v>
      </c>
      <c r="M456" s="146"/>
      <c r="N456" s="146"/>
      <c r="O456" s="198" t="s">
        <v>1100</v>
      </c>
      <c r="P456" s="146"/>
      <c r="Q456" s="146"/>
      <c r="R456" s="146"/>
      <c r="S456" s="146"/>
    </row>
    <row r="457" spans="1:19" x14ac:dyDescent="0.2">
      <c r="A457" s="152"/>
      <c r="B457" s="142"/>
      <c r="C457" s="142"/>
      <c r="D457" s="151" t="s">
        <v>1100</v>
      </c>
      <c r="G457" s="146"/>
      <c r="H457" s="162"/>
      <c r="I457" s="151"/>
      <c r="J457" s="168">
        <v>3</v>
      </c>
      <c r="K457" s="146"/>
      <c r="L457" s="161" t="s">
        <v>1386</v>
      </c>
      <c r="M457" s="146"/>
      <c r="N457" s="146"/>
      <c r="O457" s="198" t="s">
        <v>1100</v>
      </c>
      <c r="P457" s="146"/>
      <c r="Q457" s="146"/>
      <c r="R457" s="146"/>
      <c r="S457" s="146"/>
    </row>
    <row r="458" spans="1:19" x14ac:dyDescent="0.2">
      <c r="A458" s="152"/>
      <c r="B458" s="142"/>
      <c r="C458" s="142"/>
      <c r="D458" s="151" t="s">
        <v>1100</v>
      </c>
      <c r="G458" s="146"/>
      <c r="H458" s="162"/>
      <c r="I458" s="151"/>
      <c r="J458" s="168">
        <v>4</v>
      </c>
      <c r="K458" s="146"/>
      <c r="L458" s="161" t="s">
        <v>1387</v>
      </c>
      <c r="M458" s="146"/>
      <c r="N458" s="146"/>
      <c r="O458" s="198" t="s">
        <v>1100</v>
      </c>
      <c r="P458" s="146"/>
      <c r="Q458" s="146"/>
      <c r="R458" s="146"/>
      <c r="S458" s="146"/>
    </row>
    <row r="459" spans="1:19" x14ac:dyDescent="0.2">
      <c r="A459" s="152"/>
      <c r="B459" s="142"/>
      <c r="C459" s="142"/>
      <c r="D459" s="151" t="s">
        <v>1100</v>
      </c>
      <c r="G459" s="146"/>
      <c r="H459" s="162"/>
      <c r="I459" s="151"/>
      <c r="J459" s="168">
        <v>5</v>
      </c>
      <c r="K459" s="146"/>
      <c r="L459" s="161" t="s">
        <v>1251</v>
      </c>
      <c r="M459" s="146"/>
      <c r="N459" s="146"/>
      <c r="O459" s="198" t="s">
        <v>1100</v>
      </c>
      <c r="P459" s="146"/>
      <c r="Q459" s="146"/>
      <c r="R459" s="146"/>
      <c r="S459" s="146"/>
    </row>
    <row r="460" spans="1:19" x14ac:dyDescent="0.2">
      <c r="A460" s="152"/>
      <c r="B460" s="142"/>
      <c r="C460" s="142"/>
      <c r="D460" s="151" t="s">
        <v>1100</v>
      </c>
      <c r="G460" s="146"/>
      <c r="H460" s="162"/>
      <c r="I460" s="151"/>
      <c r="J460" s="168">
        <v>6</v>
      </c>
      <c r="K460" s="146"/>
      <c r="L460" s="161" t="s">
        <v>1399</v>
      </c>
      <c r="M460" s="146"/>
      <c r="N460" s="146"/>
      <c r="O460" s="198" t="s">
        <v>1100</v>
      </c>
      <c r="P460" s="146"/>
      <c r="Q460" s="146"/>
      <c r="R460" s="146"/>
      <c r="S460" s="146"/>
    </row>
    <row r="461" spans="1:19" x14ac:dyDescent="0.2">
      <c r="A461" s="152"/>
      <c r="B461" s="142"/>
      <c r="C461" s="142"/>
      <c r="D461" s="151" t="s">
        <v>1100</v>
      </c>
      <c r="G461" s="146"/>
      <c r="H461" s="162"/>
      <c r="I461" s="151"/>
      <c r="J461" s="168">
        <v>7</v>
      </c>
      <c r="K461" s="146"/>
      <c r="L461" s="161" t="s">
        <v>1388</v>
      </c>
      <c r="M461" s="146"/>
      <c r="N461" s="146"/>
      <c r="O461" s="198" t="s">
        <v>1100</v>
      </c>
      <c r="P461" s="146"/>
      <c r="Q461" s="146"/>
      <c r="R461" s="146"/>
      <c r="S461" s="146"/>
    </row>
    <row r="462" spans="1:19" x14ac:dyDescent="0.2">
      <c r="A462" s="152"/>
      <c r="B462" s="142"/>
      <c r="C462" s="142"/>
      <c r="D462" s="151" t="s">
        <v>1100</v>
      </c>
      <c r="G462" s="146"/>
      <c r="H462" s="162"/>
      <c r="I462" s="151"/>
      <c r="J462" s="168">
        <v>8</v>
      </c>
      <c r="K462" s="146"/>
      <c r="L462" s="161" t="s">
        <v>1389</v>
      </c>
      <c r="M462" s="146"/>
      <c r="N462" s="146"/>
      <c r="O462" s="198" t="s">
        <v>1100</v>
      </c>
      <c r="P462" s="146"/>
      <c r="Q462" s="146"/>
      <c r="R462" s="146"/>
      <c r="S462" s="146"/>
    </row>
    <row r="463" spans="1:19" x14ac:dyDescent="0.2">
      <c r="A463" s="152"/>
      <c r="B463" s="142"/>
      <c r="C463" s="142"/>
      <c r="D463" s="151" t="s">
        <v>1100</v>
      </c>
      <c r="G463" s="146"/>
      <c r="H463" s="162"/>
      <c r="I463" s="151"/>
      <c r="J463" s="168">
        <v>9</v>
      </c>
      <c r="K463" s="146"/>
      <c r="L463" s="161" t="s">
        <v>1381</v>
      </c>
      <c r="M463" s="146"/>
      <c r="N463" s="146"/>
      <c r="O463" s="198" t="s">
        <v>1100</v>
      </c>
      <c r="P463" s="146"/>
      <c r="Q463" s="146"/>
      <c r="R463" s="146"/>
      <c r="S463" s="146"/>
    </row>
    <row r="464" spans="1:19" x14ac:dyDescent="0.2">
      <c r="A464" s="152"/>
      <c r="B464" s="142"/>
      <c r="C464" s="142"/>
      <c r="D464" s="151" t="s">
        <v>1100</v>
      </c>
      <c r="G464" s="146"/>
      <c r="H464" s="162"/>
      <c r="I464" s="151"/>
      <c r="J464" s="168">
        <v>10</v>
      </c>
      <c r="K464" s="146"/>
      <c r="L464" s="161" t="s">
        <v>1373</v>
      </c>
      <c r="M464" s="146"/>
      <c r="N464" s="146"/>
      <c r="O464" s="198" t="s">
        <v>1100</v>
      </c>
      <c r="P464" s="146"/>
      <c r="Q464" s="146"/>
      <c r="R464" s="146"/>
      <c r="S464" s="146"/>
    </row>
    <row r="465" spans="1:19" x14ac:dyDescent="0.2">
      <c r="A465" s="152"/>
      <c r="B465" s="142"/>
      <c r="C465" s="142"/>
      <c r="D465" s="151" t="s">
        <v>1100</v>
      </c>
      <c r="G465" s="146"/>
      <c r="H465" s="162"/>
      <c r="I465" s="151"/>
      <c r="J465" s="168">
        <v>11</v>
      </c>
      <c r="K465" s="146"/>
      <c r="L465" s="161" t="s">
        <v>1390</v>
      </c>
      <c r="M465" s="146"/>
      <c r="N465" s="146"/>
      <c r="O465" s="198" t="s">
        <v>1100</v>
      </c>
      <c r="P465" s="146"/>
      <c r="Q465" s="146"/>
      <c r="R465" s="146"/>
      <c r="S465" s="146"/>
    </row>
    <row r="466" spans="1:19" x14ac:dyDescent="0.2">
      <c r="A466" s="152"/>
      <c r="B466" s="142"/>
      <c r="C466" s="142"/>
      <c r="D466" s="151" t="s">
        <v>1100</v>
      </c>
      <c r="G466" s="146"/>
      <c r="H466" s="162"/>
      <c r="I466" s="151"/>
      <c r="J466" s="168">
        <v>12</v>
      </c>
      <c r="K466" s="146"/>
      <c r="L466" s="161" t="s">
        <v>1382</v>
      </c>
      <c r="M466" s="146"/>
      <c r="N466" s="146"/>
      <c r="O466" s="198" t="s">
        <v>1100</v>
      </c>
      <c r="P466" s="146"/>
      <c r="Q466" s="146"/>
      <c r="R466" s="146"/>
      <c r="S466" s="146"/>
    </row>
    <row r="467" spans="1:19" x14ac:dyDescent="0.2">
      <c r="A467" s="152"/>
      <c r="B467" s="142"/>
      <c r="C467" s="142"/>
      <c r="D467" s="151" t="s">
        <v>1100</v>
      </c>
      <c r="G467" s="146"/>
      <c r="H467" s="162"/>
      <c r="I467" s="151"/>
      <c r="J467" s="168">
        <v>13</v>
      </c>
      <c r="K467" s="161"/>
      <c r="L467" s="161" t="s">
        <v>1391</v>
      </c>
      <c r="M467" s="146"/>
      <c r="N467" s="146"/>
      <c r="O467" s="198" t="s">
        <v>1100</v>
      </c>
      <c r="P467" s="146"/>
      <c r="Q467" s="146"/>
      <c r="R467" s="146"/>
      <c r="S467" s="146"/>
    </row>
    <row r="468" spans="1:19" x14ac:dyDescent="0.2">
      <c r="A468" s="152"/>
      <c r="B468" s="142"/>
      <c r="C468" s="142"/>
      <c r="D468" s="151" t="s">
        <v>1100</v>
      </c>
      <c r="G468" s="146"/>
      <c r="H468" s="162"/>
      <c r="I468" s="151"/>
      <c r="J468" s="168">
        <v>14</v>
      </c>
      <c r="K468" s="146"/>
      <c r="L468" s="161" t="s">
        <v>1383</v>
      </c>
      <c r="M468" s="146"/>
      <c r="N468" s="146"/>
      <c r="O468" s="198" t="s">
        <v>1100</v>
      </c>
      <c r="P468" s="146"/>
      <c r="Q468" s="146"/>
      <c r="R468" s="146"/>
      <c r="S468" s="146"/>
    </row>
    <row r="469" spans="1:19" x14ac:dyDescent="0.2">
      <c r="A469" s="152"/>
      <c r="B469" s="142"/>
      <c r="C469" s="142"/>
      <c r="D469" s="151" t="s">
        <v>1100</v>
      </c>
      <c r="G469" s="146"/>
      <c r="H469" s="162"/>
      <c r="I469" s="151"/>
      <c r="J469" s="168">
        <v>15</v>
      </c>
      <c r="K469" s="146"/>
      <c r="L469" s="161" t="s">
        <v>1375</v>
      </c>
      <c r="M469" s="146"/>
      <c r="N469" s="146"/>
      <c r="O469" s="198" t="s">
        <v>1100</v>
      </c>
      <c r="P469" s="146"/>
      <c r="Q469" s="146"/>
      <c r="R469" s="146"/>
      <c r="S469" s="146"/>
    </row>
    <row r="470" spans="1:19" x14ac:dyDescent="0.2">
      <c r="A470" s="152"/>
      <c r="B470" s="142"/>
      <c r="C470" s="142"/>
      <c r="D470" s="151" t="s">
        <v>1100</v>
      </c>
      <c r="G470" s="146"/>
      <c r="H470" s="162"/>
      <c r="I470" s="151"/>
      <c r="J470" s="168">
        <v>16</v>
      </c>
      <c r="K470" s="146"/>
      <c r="L470" s="161" t="s">
        <v>1392</v>
      </c>
      <c r="M470" s="146"/>
      <c r="N470" s="146"/>
      <c r="O470" s="198" t="s">
        <v>1100</v>
      </c>
      <c r="P470" s="146"/>
      <c r="Q470" s="146"/>
      <c r="R470" s="146"/>
      <c r="S470" s="146"/>
    </row>
    <row r="471" spans="1:19" x14ac:dyDescent="0.2">
      <c r="A471" s="152"/>
      <c r="B471" s="142"/>
      <c r="C471" s="142"/>
      <c r="D471" s="151"/>
      <c r="G471" s="146"/>
      <c r="H471" s="162"/>
      <c r="I471" s="163" t="s">
        <v>1101</v>
      </c>
      <c r="J471" s="164"/>
      <c r="K471" s="175" t="s">
        <v>1395</v>
      </c>
      <c r="L471" s="166"/>
      <c r="M471" s="166"/>
      <c r="N471" s="166"/>
      <c r="O471" s="207"/>
      <c r="P471" s="146"/>
      <c r="Q471" s="146"/>
      <c r="R471" s="146"/>
      <c r="S471" s="146"/>
    </row>
    <row r="472" spans="1:19" x14ac:dyDescent="0.2">
      <c r="A472" s="152"/>
      <c r="B472" s="142"/>
      <c r="C472" s="142"/>
      <c r="D472" s="151" t="s">
        <v>1100</v>
      </c>
      <c r="G472" s="146"/>
      <c r="H472" s="162"/>
      <c r="I472" s="151"/>
      <c r="J472" s="168">
        <v>1</v>
      </c>
      <c r="K472" s="146"/>
      <c r="L472" s="161" t="s">
        <v>1386</v>
      </c>
      <c r="M472" s="146"/>
      <c r="N472" s="146"/>
      <c r="O472" s="198" t="s">
        <v>1100</v>
      </c>
      <c r="P472" s="146"/>
      <c r="Q472" s="146"/>
      <c r="R472" s="146"/>
      <c r="S472" s="146"/>
    </row>
    <row r="473" spans="1:19" x14ac:dyDescent="0.2">
      <c r="A473" s="152"/>
      <c r="B473" s="142"/>
      <c r="C473" s="142"/>
      <c r="D473" s="151" t="s">
        <v>1100</v>
      </c>
      <c r="G473" s="146"/>
      <c r="H473" s="162"/>
      <c r="I473" s="151"/>
      <c r="J473" s="168">
        <v>2</v>
      </c>
      <c r="K473" s="146"/>
      <c r="L473" s="161" t="s">
        <v>1387</v>
      </c>
      <c r="M473" s="146"/>
      <c r="N473" s="146"/>
      <c r="O473" s="198" t="s">
        <v>1100</v>
      </c>
      <c r="P473" s="146"/>
      <c r="Q473" s="146"/>
      <c r="R473" s="146"/>
      <c r="S473" s="146"/>
    </row>
    <row r="474" spans="1:19" x14ac:dyDescent="0.2">
      <c r="A474" s="152"/>
      <c r="B474" s="142"/>
      <c r="C474" s="142"/>
      <c r="D474" s="151" t="s">
        <v>1100</v>
      </c>
      <c r="G474" s="146"/>
      <c r="H474" s="162"/>
      <c r="I474" s="151"/>
      <c r="J474" s="168">
        <v>3</v>
      </c>
      <c r="K474" s="146"/>
      <c r="L474" s="161" t="s">
        <v>1251</v>
      </c>
      <c r="M474" s="146"/>
      <c r="N474" s="146"/>
      <c r="O474" s="198" t="s">
        <v>1100</v>
      </c>
      <c r="P474" s="146"/>
      <c r="Q474" s="146"/>
      <c r="R474" s="146"/>
      <c r="S474" s="146"/>
    </row>
    <row r="475" spans="1:19" x14ac:dyDescent="0.2">
      <c r="A475" s="152"/>
      <c r="B475" s="142"/>
      <c r="C475" s="142"/>
      <c r="D475" s="151" t="s">
        <v>1100</v>
      </c>
      <c r="G475" s="146"/>
      <c r="H475" s="162"/>
      <c r="I475" s="151"/>
      <c r="J475" s="168">
        <v>4</v>
      </c>
      <c r="K475" s="146"/>
      <c r="L475" s="161" t="s">
        <v>1388</v>
      </c>
      <c r="M475" s="146"/>
      <c r="N475" s="146"/>
      <c r="O475" s="198" t="s">
        <v>1100</v>
      </c>
      <c r="P475" s="146"/>
      <c r="Q475" s="146"/>
      <c r="R475" s="146"/>
      <c r="S475" s="146"/>
    </row>
    <row r="476" spans="1:19" x14ac:dyDescent="0.2">
      <c r="A476" s="152"/>
      <c r="B476" s="142"/>
      <c r="C476" s="142"/>
      <c r="D476" s="151" t="s">
        <v>1100</v>
      </c>
      <c r="G476" s="146"/>
      <c r="H476" s="162"/>
      <c r="I476" s="151"/>
      <c r="J476" s="168">
        <v>5</v>
      </c>
      <c r="K476" s="146"/>
      <c r="L476" s="161" t="s">
        <v>1389</v>
      </c>
      <c r="M476" s="146"/>
      <c r="N476" s="146"/>
      <c r="O476" s="198" t="s">
        <v>1100</v>
      </c>
      <c r="P476" s="146"/>
      <c r="Q476" s="146"/>
      <c r="R476" s="146"/>
      <c r="S476" s="146"/>
    </row>
    <row r="477" spans="1:19" x14ac:dyDescent="0.2">
      <c r="A477" s="152"/>
      <c r="B477" s="142"/>
      <c r="C477" s="142"/>
      <c r="D477" s="151" t="s">
        <v>1100</v>
      </c>
      <c r="G477" s="146"/>
      <c r="H477" s="162"/>
      <c r="I477" s="151"/>
      <c r="J477" s="168">
        <v>6</v>
      </c>
      <c r="K477" s="146"/>
      <c r="L477" s="161" t="s">
        <v>1373</v>
      </c>
      <c r="M477" s="146"/>
      <c r="N477" s="146"/>
      <c r="O477" s="198" t="s">
        <v>1100</v>
      </c>
      <c r="P477" s="146"/>
      <c r="Q477" s="146"/>
      <c r="R477" s="146"/>
      <c r="S477" s="146"/>
    </row>
    <row r="478" spans="1:19" x14ac:dyDescent="0.2">
      <c r="A478" s="152"/>
      <c r="B478" s="142"/>
      <c r="C478" s="142"/>
      <c r="D478" s="151" t="s">
        <v>1100</v>
      </c>
      <c r="G478" s="146"/>
      <c r="H478" s="162"/>
      <c r="I478" s="151"/>
      <c r="J478" s="168">
        <v>7</v>
      </c>
      <c r="K478" s="146"/>
      <c r="L478" s="161" t="s">
        <v>1390</v>
      </c>
      <c r="M478" s="146"/>
      <c r="N478" s="146"/>
      <c r="O478" s="198" t="s">
        <v>1100</v>
      </c>
      <c r="P478" s="146"/>
      <c r="Q478" s="146"/>
      <c r="R478" s="146"/>
      <c r="S478" s="146"/>
    </row>
    <row r="479" spans="1:19" x14ac:dyDescent="0.2">
      <c r="A479" s="152"/>
      <c r="B479" s="142"/>
      <c r="C479" s="142"/>
      <c r="D479" s="151" t="s">
        <v>1100</v>
      </c>
      <c r="G479" s="146"/>
      <c r="H479" s="162"/>
      <c r="I479" s="151"/>
      <c r="J479" s="168">
        <v>8</v>
      </c>
      <c r="K479" s="146"/>
      <c r="L479" s="161" t="s">
        <v>1382</v>
      </c>
      <c r="M479" s="146"/>
      <c r="N479" s="146"/>
      <c r="O479" s="198" t="s">
        <v>1100</v>
      </c>
      <c r="P479" s="146"/>
      <c r="Q479" s="146"/>
      <c r="R479" s="146"/>
      <c r="S479" s="146"/>
    </row>
    <row r="480" spans="1:19" x14ac:dyDescent="0.2">
      <c r="A480" s="152"/>
      <c r="B480" s="142"/>
      <c r="C480" s="142"/>
      <c r="D480" s="151" t="s">
        <v>1100</v>
      </c>
      <c r="G480" s="146"/>
      <c r="H480" s="162"/>
      <c r="I480" s="151"/>
      <c r="J480" s="168">
        <v>9</v>
      </c>
      <c r="K480" s="146"/>
      <c r="L480" s="161" t="s">
        <v>1391</v>
      </c>
      <c r="M480" s="146"/>
      <c r="N480" s="146"/>
      <c r="O480" s="198" t="s">
        <v>1100</v>
      </c>
      <c r="P480" s="146"/>
      <c r="Q480" s="146"/>
      <c r="R480" s="146"/>
      <c r="S480" s="146"/>
    </row>
    <row r="481" spans="1:19" ht="15.75" thickBot="1" x14ac:dyDescent="0.25">
      <c r="A481" s="152"/>
      <c r="B481" s="142"/>
      <c r="C481" s="142"/>
      <c r="D481" s="151" t="s">
        <v>1100</v>
      </c>
      <c r="G481" s="146"/>
      <c r="H481" s="208"/>
      <c r="I481" s="209"/>
      <c r="J481" s="210">
        <v>10</v>
      </c>
      <c r="K481" s="211"/>
      <c r="L481" s="212" t="s">
        <v>1392</v>
      </c>
      <c r="M481" s="211"/>
      <c r="N481" s="211"/>
      <c r="O481" s="244" t="s">
        <v>1100</v>
      </c>
      <c r="P481" s="146"/>
      <c r="Q481" s="146"/>
      <c r="R481" s="146"/>
      <c r="S481" s="146"/>
    </row>
    <row r="482" spans="1:19" x14ac:dyDescent="0.2">
      <c r="A482" s="152"/>
      <c r="B482" s="142"/>
      <c r="C482" s="142"/>
      <c r="D482" s="151"/>
      <c r="G482" s="146"/>
      <c r="H482" s="214"/>
      <c r="I482" s="151"/>
      <c r="J482" s="151"/>
      <c r="K482" s="146"/>
      <c r="L482" s="161"/>
      <c r="M482" s="146"/>
      <c r="N482" s="146"/>
      <c r="O482" s="149"/>
      <c r="P482" s="146"/>
      <c r="Q482" s="146"/>
      <c r="R482" s="146"/>
      <c r="S482" s="146"/>
    </row>
    <row r="483" spans="1:19" x14ac:dyDescent="0.2">
      <c r="A483" s="152">
        <v>45</v>
      </c>
      <c r="B483" s="142" t="s">
        <v>1400</v>
      </c>
      <c r="C483" s="142" t="s">
        <v>1401</v>
      </c>
      <c r="D483" s="151"/>
      <c r="G483" s="146"/>
      <c r="H483" s="184">
        <v>45</v>
      </c>
      <c r="I483" s="186"/>
      <c r="J483" s="196"/>
      <c r="K483" s="241" t="s">
        <v>1401</v>
      </c>
      <c r="L483" s="196"/>
      <c r="M483" s="196"/>
      <c r="N483" s="196"/>
      <c r="O483" s="206"/>
      <c r="P483" s="146"/>
      <c r="Q483" s="160">
        <f>H483</f>
        <v>45</v>
      </c>
      <c r="R483" s="151" t="str">
        <f>CONCATENATE("II-",TEXT(Q483,"0000"))</f>
        <v>II-0045</v>
      </c>
      <c r="S483" s="161" t="str">
        <f>K483</f>
        <v>HORMIGON  PUZOLANICO EXCLUIDA LA ARAMDURA</v>
      </c>
    </row>
    <row r="484" spans="1:19" x14ac:dyDescent="0.2">
      <c r="A484" s="152"/>
      <c r="B484" s="142"/>
      <c r="C484" s="142"/>
      <c r="D484" s="151"/>
      <c r="G484" s="146"/>
      <c r="H484" s="162"/>
      <c r="I484" s="163" t="s">
        <v>989</v>
      </c>
      <c r="J484" s="164"/>
      <c r="K484" s="175" t="s">
        <v>1367</v>
      </c>
      <c r="L484" s="166"/>
      <c r="M484" s="166"/>
      <c r="N484" s="166"/>
      <c r="O484" s="207"/>
      <c r="P484" s="146"/>
      <c r="Q484" s="146"/>
      <c r="R484" s="146"/>
      <c r="S484" s="146"/>
    </row>
    <row r="485" spans="1:19" x14ac:dyDescent="0.2">
      <c r="A485" s="152"/>
      <c r="B485" s="142"/>
      <c r="C485" s="142"/>
      <c r="D485" s="151" t="s">
        <v>1100</v>
      </c>
      <c r="G485" s="146"/>
      <c r="H485" s="162"/>
      <c r="I485" s="151"/>
      <c r="J485" s="168">
        <v>1</v>
      </c>
      <c r="K485" s="146"/>
      <c r="L485" s="161" t="s">
        <v>1372</v>
      </c>
      <c r="M485" s="146"/>
      <c r="N485" s="146"/>
      <c r="O485" s="198" t="s">
        <v>1100</v>
      </c>
      <c r="P485" s="146"/>
      <c r="Q485" s="146"/>
      <c r="R485" s="146"/>
      <c r="S485" s="146"/>
    </row>
    <row r="486" spans="1:19" x14ac:dyDescent="0.2">
      <c r="A486" s="152"/>
      <c r="B486" s="142"/>
      <c r="C486" s="142"/>
      <c r="D486" s="151" t="s">
        <v>1100</v>
      </c>
      <c r="G486" s="146"/>
      <c r="H486" s="162"/>
      <c r="I486" s="151"/>
      <c r="J486" s="168">
        <v>2</v>
      </c>
      <c r="K486" s="146"/>
      <c r="L486" s="161" t="s">
        <v>1374</v>
      </c>
      <c r="M486" s="146"/>
      <c r="N486" s="146"/>
      <c r="O486" s="198" t="s">
        <v>1100</v>
      </c>
      <c r="P486" s="146"/>
      <c r="Q486" s="146"/>
      <c r="R486" s="146"/>
      <c r="S486" s="146"/>
    </row>
    <row r="487" spans="1:19" x14ac:dyDescent="0.2">
      <c r="A487" s="152"/>
      <c r="B487" s="142"/>
      <c r="C487" s="142"/>
      <c r="D487" s="151"/>
      <c r="G487" s="146"/>
      <c r="H487" s="162"/>
      <c r="I487" s="163" t="s">
        <v>1016</v>
      </c>
      <c r="J487" s="164"/>
      <c r="K487" s="175" t="s">
        <v>1371</v>
      </c>
      <c r="L487" s="166"/>
      <c r="M487" s="166"/>
      <c r="N487" s="166"/>
      <c r="O487" s="207"/>
      <c r="P487" s="146"/>
      <c r="Q487" s="146"/>
      <c r="R487" s="146"/>
      <c r="S487" s="146"/>
    </row>
    <row r="488" spans="1:19" x14ac:dyDescent="0.2">
      <c r="A488" s="152"/>
      <c r="B488" s="142"/>
      <c r="C488" s="142"/>
      <c r="D488" s="151" t="s">
        <v>1100</v>
      </c>
      <c r="G488" s="146"/>
      <c r="H488" s="162"/>
      <c r="I488" s="151"/>
      <c r="J488" s="168">
        <v>1</v>
      </c>
      <c r="K488" s="146"/>
      <c r="L488" s="161" t="s">
        <v>1372</v>
      </c>
      <c r="M488" s="146"/>
      <c r="N488" s="146"/>
      <c r="O488" s="198" t="s">
        <v>1100</v>
      </c>
      <c r="P488" s="146"/>
      <c r="Q488" s="146"/>
      <c r="R488" s="146"/>
      <c r="S488" s="146"/>
    </row>
    <row r="489" spans="1:19" x14ac:dyDescent="0.2">
      <c r="A489" s="152"/>
      <c r="B489" s="142"/>
      <c r="C489" s="142"/>
      <c r="D489" s="151" t="s">
        <v>1100</v>
      </c>
      <c r="G489" s="146"/>
      <c r="H489" s="162"/>
      <c r="I489" s="151"/>
      <c r="J489" s="168">
        <v>2</v>
      </c>
      <c r="K489" s="146"/>
      <c r="L489" s="161" t="s">
        <v>1374</v>
      </c>
      <c r="M489" s="146"/>
      <c r="N489" s="146"/>
      <c r="O489" s="198" t="s">
        <v>1100</v>
      </c>
      <c r="P489" s="146"/>
      <c r="Q489" s="146"/>
      <c r="R489" s="146"/>
      <c r="S489" s="146"/>
    </row>
    <row r="490" spans="1:19" x14ac:dyDescent="0.2">
      <c r="A490" s="152"/>
      <c r="B490" s="142"/>
      <c r="C490" s="142"/>
      <c r="D490" s="151" t="s">
        <v>1100</v>
      </c>
      <c r="G490" s="146"/>
      <c r="H490" s="162"/>
      <c r="I490" s="151"/>
      <c r="J490" s="168">
        <v>3</v>
      </c>
      <c r="K490" s="146"/>
      <c r="L490" s="161" t="s">
        <v>1383</v>
      </c>
      <c r="M490" s="146"/>
      <c r="N490" s="146"/>
      <c r="O490" s="198" t="s">
        <v>1100</v>
      </c>
      <c r="P490" s="146"/>
      <c r="Q490" s="146"/>
      <c r="R490" s="146"/>
      <c r="S490" s="146"/>
    </row>
    <row r="491" spans="1:19" x14ac:dyDescent="0.2">
      <c r="A491" s="152"/>
      <c r="B491" s="142"/>
      <c r="C491" s="142"/>
      <c r="D491" s="151"/>
      <c r="G491" s="146"/>
      <c r="H491" s="162"/>
      <c r="I491" s="163" t="s">
        <v>1026</v>
      </c>
      <c r="J491" s="164"/>
      <c r="K491" s="175" t="s">
        <v>1376</v>
      </c>
      <c r="L491" s="166"/>
      <c r="M491" s="166"/>
      <c r="N491" s="166"/>
      <c r="O491" s="207"/>
      <c r="P491" s="146"/>
      <c r="Q491" s="146"/>
      <c r="R491" s="146"/>
      <c r="S491" s="146"/>
    </row>
    <row r="492" spans="1:19" x14ac:dyDescent="0.2">
      <c r="A492" s="152"/>
      <c r="B492" s="142"/>
      <c r="C492" s="142"/>
      <c r="D492" s="151" t="s">
        <v>1100</v>
      </c>
      <c r="G492" s="146"/>
      <c r="H492" s="162"/>
      <c r="I492" s="151"/>
      <c r="J492" s="168">
        <v>1</v>
      </c>
      <c r="K492" s="146"/>
      <c r="L492" s="161" t="s">
        <v>1372</v>
      </c>
      <c r="M492" s="146"/>
      <c r="N492" s="146"/>
      <c r="O492" s="198" t="s">
        <v>1100</v>
      </c>
      <c r="P492" s="146"/>
      <c r="Q492" s="146"/>
      <c r="R492" s="146"/>
      <c r="S492" s="146"/>
    </row>
    <row r="493" spans="1:19" x14ac:dyDescent="0.2">
      <c r="A493" s="152"/>
      <c r="B493" s="142"/>
      <c r="C493" s="142"/>
      <c r="D493" s="151" t="s">
        <v>1100</v>
      </c>
      <c r="G493" s="146"/>
      <c r="H493" s="162"/>
      <c r="I493" s="151"/>
      <c r="J493" s="168">
        <v>2</v>
      </c>
      <c r="K493" s="146"/>
      <c r="L493" s="161" t="s">
        <v>1309</v>
      </c>
      <c r="M493" s="146"/>
      <c r="N493" s="146"/>
      <c r="O493" s="198" t="s">
        <v>1100</v>
      </c>
      <c r="P493" s="146"/>
      <c r="Q493" s="146"/>
      <c r="R493" s="146"/>
      <c r="S493" s="146"/>
    </row>
    <row r="494" spans="1:19" x14ac:dyDescent="0.2">
      <c r="A494" s="152"/>
      <c r="B494" s="142"/>
      <c r="C494" s="142"/>
      <c r="D494" s="151" t="s">
        <v>1100</v>
      </c>
      <c r="G494" s="146"/>
      <c r="H494" s="162"/>
      <c r="I494" s="151"/>
      <c r="J494" s="168">
        <v>3</v>
      </c>
      <c r="K494" s="146"/>
      <c r="L494" s="161" t="s">
        <v>1374</v>
      </c>
      <c r="M494" s="146"/>
      <c r="N494" s="146"/>
      <c r="O494" s="198" t="s">
        <v>1100</v>
      </c>
      <c r="P494" s="146"/>
      <c r="Q494" s="146"/>
      <c r="R494" s="146"/>
      <c r="S494" s="146"/>
    </row>
    <row r="495" spans="1:19" x14ac:dyDescent="0.2">
      <c r="A495" s="152"/>
      <c r="B495" s="142"/>
      <c r="C495" s="142"/>
      <c r="D495" s="151" t="s">
        <v>1100</v>
      </c>
      <c r="G495" s="146"/>
      <c r="H495" s="162"/>
      <c r="I495" s="151"/>
      <c r="J495" s="168">
        <v>4</v>
      </c>
      <c r="K495" s="146"/>
      <c r="L495" s="161" t="s">
        <v>1383</v>
      </c>
      <c r="M495" s="146"/>
      <c r="N495" s="146"/>
      <c r="O495" s="198" t="s">
        <v>1100</v>
      </c>
      <c r="P495" s="146"/>
      <c r="Q495" s="146"/>
      <c r="R495" s="146"/>
      <c r="S495" s="146"/>
    </row>
    <row r="496" spans="1:19" x14ac:dyDescent="0.2">
      <c r="A496" s="152"/>
      <c r="B496" s="142"/>
      <c r="C496" s="142"/>
      <c r="D496" s="151" t="s">
        <v>1100</v>
      </c>
      <c r="G496" s="146"/>
      <c r="H496" s="162"/>
      <c r="I496" s="151"/>
      <c r="J496" s="168">
        <v>5</v>
      </c>
      <c r="K496" s="146"/>
      <c r="L496" s="161" t="s">
        <v>1375</v>
      </c>
      <c r="M496" s="146"/>
      <c r="N496" s="146"/>
      <c r="O496" s="198" t="s">
        <v>1100</v>
      </c>
      <c r="P496" s="146"/>
      <c r="Q496" s="146"/>
      <c r="R496" s="146"/>
      <c r="S496" s="146"/>
    </row>
    <row r="497" spans="1:19" x14ac:dyDescent="0.2">
      <c r="A497" s="152"/>
      <c r="B497" s="142"/>
      <c r="C497" s="142"/>
      <c r="D497" s="151"/>
      <c r="G497" s="146"/>
      <c r="H497" s="162"/>
      <c r="I497" s="163" t="s">
        <v>1052</v>
      </c>
      <c r="J497" s="164"/>
      <c r="K497" s="175" t="s">
        <v>1379</v>
      </c>
      <c r="L497" s="166"/>
      <c r="M497" s="166"/>
      <c r="N497" s="166"/>
      <c r="O497" s="207"/>
      <c r="P497" s="146"/>
      <c r="Q497" s="146"/>
      <c r="R497" s="146"/>
      <c r="S497" s="146"/>
    </row>
    <row r="498" spans="1:19" x14ac:dyDescent="0.2">
      <c r="A498" s="152"/>
      <c r="B498" s="142"/>
      <c r="C498" s="142"/>
      <c r="D498" s="151" t="s">
        <v>1100</v>
      </c>
      <c r="G498" s="146"/>
      <c r="H498" s="162"/>
      <c r="I498" s="151"/>
      <c r="J498" s="168">
        <v>1</v>
      </c>
      <c r="K498" s="146"/>
      <c r="L498" s="161" t="s">
        <v>1377</v>
      </c>
      <c r="M498" s="146"/>
      <c r="N498" s="146"/>
      <c r="O498" s="198" t="s">
        <v>1100</v>
      </c>
      <c r="P498" s="146"/>
      <c r="Q498" s="146"/>
      <c r="R498" s="146"/>
      <c r="S498" s="146"/>
    </row>
    <row r="499" spans="1:19" x14ac:dyDescent="0.2">
      <c r="A499" s="152"/>
      <c r="B499" s="142"/>
      <c r="C499" s="142"/>
      <c r="D499" s="151" t="s">
        <v>1100</v>
      </c>
      <c r="G499" s="146"/>
      <c r="H499" s="162"/>
      <c r="I499" s="151"/>
      <c r="J499" s="168">
        <v>2</v>
      </c>
      <c r="K499" s="146"/>
      <c r="L499" s="161" t="s">
        <v>1198</v>
      </c>
      <c r="M499" s="146"/>
      <c r="N499" s="146"/>
      <c r="O499" s="198" t="s">
        <v>1100</v>
      </c>
      <c r="P499" s="146"/>
      <c r="Q499" s="146"/>
      <c r="R499" s="146"/>
      <c r="S499" s="146"/>
    </row>
    <row r="500" spans="1:19" x14ac:dyDescent="0.2">
      <c r="A500" s="152"/>
      <c r="B500" s="142"/>
      <c r="C500" s="142"/>
      <c r="D500" s="151" t="s">
        <v>1100</v>
      </c>
      <c r="G500" s="146"/>
      <c r="H500" s="162"/>
      <c r="I500" s="151"/>
      <c r="J500" s="168">
        <v>3</v>
      </c>
      <c r="K500" s="146"/>
      <c r="L500" s="161" t="s">
        <v>1372</v>
      </c>
      <c r="M500" s="146"/>
      <c r="N500" s="146"/>
      <c r="O500" s="198" t="s">
        <v>1100</v>
      </c>
      <c r="P500" s="146"/>
      <c r="Q500" s="146"/>
      <c r="R500" s="146"/>
      <c r="S500" s="146"/>
    </row>
    <row r="501" spans="1:19" x14ac:dyDescent="0.2">
      <c r="A501" s="152"/>
      <c r="B501" s="142"/>
      <c r="C501" s="142"/>
      <c r="D501" s="151" t="s">
        <v>1100</v>
      </c>
      <c r="G501" s="146"/>
      <c r="H501" s="162"/>
      <c r="I501" s="151"/>
      <c r="J501" s="168">
        <v>4</v>
      </c>
      <c r="K501" s="146"/>
      <c r="L501" s="161" t="s">
        <v>1309</v>
      </c>
      <c r="M501" s="146"/>
      <c r="N501" s="146"/>
      <c r="O501" s="198" t="s">
        <v>1100</v>
      </c>
      <c r="P501" s="146"/>
      <c r="Q501" s="146"/>
      <c r="R501" s="146"/>
      <c r="S501" s="146"/>
    </row>
    <row r="502" spans="1:19" x14ac:dyDescent="0.2">
      <c r="A502" s="152"/>
      <c r="B502" s="142"/>
      <c r="C502" s="142"/>
      <c r="D502" s="151" t="s">
        <v>1100</v>
      </c>
      <c r="G502" s="146"/>
      <c r="H502" s="162"/>
      <c r="I502" s="151"/>
      <c r="J502" s="168">
        <v>5</v>
      </c>
      <c r="K502" s="146"/>
      <c r="L502" s="161" t="s">
        <v>1374</v>
      </c>
      <c r="M502" s="146"/>
      <c r="N502" s="146"/>
      <c r="O502" s="198" t="s">
        <v>1100</v>
      </c>
      <c r="P502" s="146"/>
      <c r="Q502" s="146"/>
      <c r="R502" s="146"/>
      <c r="S502" s="146"/>
    </row>
    <row r="503" spans="1:19" x14ac:dyDescent="0.2">
      <c r="A503" s="152"/>
      <c r="B503" s="142"/>
      <c r="C503" s="142"/>
      <c r="D503" s="151" t="s">
        <v>1100</v>
      </c>
      <c r="G503" s="146"/>
      <c r="H503" s="162"/>
      <c r="I503" s="151"/>
      <c r="J503" s="168">
        <v>6</v>
      </c>
      <c r="K503" s="146"/>
      <c r="L503" s="161" t="s">
        <v>1383</v>
      </c>
      <c r="M503" s="146"/>
      <c r="N503" s="146"/>
      <c r="O503" s="198" t="s">
        <v>1100</v>
      </c>
      <c r="P503" s="146"/>
      <c r="Q503" s="146"/>
      <c r="R503" s="146"/>
      <c r="S503" s="146"/>
    </row>
    <row r="504" spans="1:19" x14ac:dyDescent="0.2">
      <c r="A504" s="152"/>
      <c r="B504" s="142"/>
      <c r="C504" s="142"/>
      <c r="D504" s="151" t="s">
        <v>1100</v>
      </c>
      <c r="G504" s="146"/>
      <c r="H504" s="162"/>
      <c r="I504" s="151"/>
      <c r="J504" s="168">
        <v>7</v>
      </c>
      <c r="K504" s="146"/>
      <c r="L504" s="161" t="s">
        <v>1375</v>
      </c>
      <c r="M504" s="146"/>
      <c r="N504" s="146"/>
      <c r="O504" s="198" t="s">
        <v>1100</v>
      </c>
      <c r="P504" s="146"/>
      <c r="Q504" s="146"/>
      <c r="R504" s="146"/>
      <c r="S504" s="146"/>
    </row>
    <row r="505" spans="1:19" x14ac:dyDescent="0.2">
      <c r="A505" s="152"/>
      <c r="B505" s="142"/>
      <c r="C505" s="142"/>
      <c r="D505" s="151"/>
      <c r="G505" s="146"/>
      <c r="H505" s="162"/>
      <c r="I505" s="163" t="s">
        <v>1094</v>
      </c>
      <c r="J505" s="164"/>
      <c r="K505" s="175" t="s">
        <v>1384</v>
      </c>
      <c r="L505" s="166"/>
      <c r="M505" s="166"/>
      <c r="N505" s="166"/>
      <c r="O505" s="207"/>
      <c r="P505" s="146"/>
      <c r="Q505" s="146"/>
      <c r="R505" s="146"/>
      <c r="S505" s="146"/>
    </row>
    <row r="506" spans="1:19" x14ac:dyDescent="0.2">
      <c r="A506" s="152"/>
      <c r="B506" s="142"/>
      <c r="C506" s="142"/>
      <c r="D506" s="151" t="s">
        <v>1100</v>
      </c>
      <c r="G506" s="146"/>
      <c r="H506" s="162"/>
      <c r="I506" s="151"/>
      <c r="J506" s="168">
        <v>1</v>
      </c>
      <c r="K506" s="146"/>
      <c r="L506" s="161" t="s">
        <v>1377</v>
      </c>
      <c r="M506" s="146"/>
      <c r="N506" s="146"/>
      <c r="O506" s="198" t="s">
        <v>1100</v>
      </c>
      <c r="P506" s="146"/>
      <c r="Q506" s="146"/>
      <c r="R506" s="146"/>
      <c r="S506" s="146"/>
    </row>
    <row r="507" spans="1:19" x14ac:dyDescent="0.2">
      <c r="A507" s="152"/>
      <c r="B507" s="142"/>
      <c r="C507" s="142"/>
      <c r="D507" s="151" t="s">
        <v>1100</v>
      </c>
      <c r="G507" s="146"/>
      <c r="H507" s="162"/>
      <c r="I507" s="151"/>
      <c r="J507" s="168">
        <v>2</v>
      </c>
      <c r="K507" s="146"/>
      <c r="L507" s="161" t="s">
        <v>1198</v>
      </c>
      <c r="M507" s="146"/>
      <c r="N507" s="146"/>
      <c r="O507" s="198" t="s">
        <v>1100</v>
      </c>
      <c r="P507" s="146"/>
      <c r="Q507" s="146"/>
      <c r="R507" s="146"/>
      <c r="S507" s="146"/>
    </row>
    <row r="508" spans="1:19" x14ac:dyDescent="0.2">
      <c r="A508" s="152"/>
      <c r="B508" s="142"/>
      <c r="C508" s="142"/>
      <c r="D508" s="151" t="s">
        <v>1100</v>
      </c>
      <c r="G508" s="146"/>
      <c r="H508" s="162"/>
      <c r="I508" s="151"/>
      <c r="J508" s="168">
        <v>3</v>
      </c>
      <c r="K508" s="146"/>
      <c r="L508" s="161" t="s">
        <v>1387</v>
      </c>
      <c r="M508" s="146"/>
      <c r="N508" s="146"/>
      <c r="O508" s="198" t="s">
        <v>1100</v>
      </c>
      <c r="P508" s="146"/>
      <c r="Q508" s="146"/>
      <c r="R508" s="146"/>
      <c r="S508" s="146"/>
    </row>
    <row r="509" spans="1:19" x14ac:dyDescent="0.2">
      <c r="A509" s="152"/>
      <c r="B509" s="142"/>
      <c r="C509" s="142"/>
      <c r="D509" s="151" t="s">
        <v>1100</v>
      </c>
      <c r="G509" s="146"/>
      <c r="H509" s="162"/>
      <c r="I509" s="151"/>
      <c r="J509" s="168">
        <v>4</v>
      </c>
      <c r="K509" s="146"/>
      <c r="L509" s="161" t="s">
        <v>1372</v>
      </c>
      <c r="M509" s="146"/>
      <c r="N509" s="146"/>
      <c r="O509" s="198" t="s">
        <v>1100</v>
      </c>
      <c r="P509" s="146"/>
      <c r="Q509" s="146"/>
      <c r="R509" s="146"/>
      <c r="S509" s="146"/>
    </row>
    <row r="510" spans="1:19" x14ac:dyDescent="0.2">
      <c r="A510" s="152"/>
      <c r="B510" s="142"/>
      <c r="C510" s="142"/>
      <c r="D510" s="151" t="s">
        <v>1100</v>
      </c>
      <c r="G510" s="146"/>
      <c r="H510" s="162"/>
      <c r="I510" s="151"/>
      <c r="J510" s="168">
        <v>5</v>
      </c>
      <c r="K510" s="146"/>
      <c r="L510" s="161" t="s">
        <v>1309</v>
      </c>
      <c r="M510" s="146"/>
      <c r="N510" s="146"/>
      <c r="O510" s="198" t="s">
        <v>1100</v>
      </c>
      <c r="P510" s="146"/>
      <c r="Q510" s="146"/>
      <c r="R510" s="146"/>
      <c r="S510" s="146"/>
    </row>
    <row r="511" spans="1:19" x14ac:dyDescent="0.2">
      <c r="A511" s="152"/>
      <c r="B511" s="142"/>
      <c r="C511" s="142"/>
      <c r="D511" s="151" t="s">
        <v>1100</v>
      </c>
      <c r="G511" s="146"/>
      <c r="H511" s="162"/>
      <c r="I511" s="151"/>
      <c r="J511" s="168">
        <v>6</v>
      </c>
      <c r="K511" s="146"/>
      <c r="L511" s="161" t="s">
        <v>1391</v>
      </c>
      <c r="M511" s="146"/>
      <c r="N511" s="146"/>
      <c r="O511" s="198" t="s">
        <v>1100</v>
      </c>
      <c r="P511" s="146"/>
      <c r="Q511" s="146"/>
      <c r="R511" s="146"/>
      <c r="S511" s="146"/>
    </row>
    <row r="512" spans="1:19" x14ac:dyDescent="0.2">
      <c r="A512" s="152"/>
      <c r="B512" s="142"/>
      <c r="C512" s="142"/>
      <c r="D512" s="151" t="s">
        <v>1100</v>
      </c>
      <c r="G512" s="146"/>
      <c r="H512" s="162"/>
      <c r="I512" s="151"/>
      <c r="J512" s="168">
        <v>7</v>
      </c>
      <c r="K512" s="146"/>
      <c r="L512" s="161" t="s">
        <v>1383</v>
      </c>
      <c r="M512" s="146"/>
      <c r="N512" s="146"/>
      <c r="O512" s="198" t="s">
        <v>1100</v>
      </c>
      <c r="P512" s="146"/>
      <c r="Q512" s="146"/>
      <c r="R512" s="146"/>
      <c r="S512" s="146"/>
    </row>
    <row r="513" spans="1:19" x14ac:dyDescent="0.2">
      <c r="A513" s="152"/>
      <c r="B513" s="142"/>
      <c r="C513" s="142"/>
      <c r="D513" s="151" t="s">
        <v>1100</v>
      </c>
      <c r="G513" s="146"/>
      <c r="H513" s="162"/>
      <c r="I513" s="151"/>
      <c r="J513" s="168">
        <v>8</v>
      </c>
      <c r="K513" s="146"/>
      <c r="L513" s="173" t="s">
        <v>1402</v>
      </c>
      <c r="M513" s="172"/>
      <c r="N513" s="172"/>
      <c r="O513" s="216" t="s">
        <v>1100</v>
      </c>
      <c r="P513" s="146"/>
      <c r="Q513" s="146"/>
      <c r="R513" s="146"/>
      <c r="S513" s="146"/>
    </row>
    <row r="514" spans="1:19" x14ac:dyDescent="0.2">
      <c r="A514" s="152"/>
      <c r="B514" s="142"/>
      <c r="C514" s="142"/>
      <c r="D514" s="151"/>
      <c r="G514" s="146"/>
      <c r="H514" s="162"/>
      <c r="I514" s="163" t="s">
        <v>1097</v>
      </c>
      <c r="J514" s="164"/>
      <c r="K514" s="175" t="s">
        <v>1393</v>
      </c>
      <c r="L514" s="166"/>
      <c r="M514" s="166"/>
      <c r="N514" s="166"/>
      <c r="O514" s="207"/>
      <c r="P514" s="146"/>
      <c r="Q514" s="146"/>
      <c r="R514" s="146"/>
      <c r="S514" s="146"/>
    </row>
    <row r="515" spans="1:19" x14ac:dyDescent="0.2">
      <c r="A515" s="152"/>
      <c r="B515" s="142"/>
      <c r="C515" s="142"/>
      <c r="D515" s="151" t="s">
        <v>1100</v>
      </c>
      <c r="G515" s="146"/>
      <c r="H515" s="162"/>
      <c r="I515" s="151"/>
      <c r="J515" s="168">
        <v>1</v>
      </c>
      <c r="K515" s="146"/>
      <c r="L515" s="161" t="s">
        <v>1377</v>
      </c>
      <c r="M515" s="146"/>
      <c r="N515" s="146"/>
      <c r="O515" s="198" t="s">
        <v>1100</v>
      </c>
      <c r="P515" s="146"/>
      <c r="Q515" s="146"/>
      <c r="R515" s="146"/>
      <c r="S515" s="146"/>
    </row>
    <row r="516" spans="1:19" x14ac:dyDescent="0.2">
      <c r="A516" s="152"/>
      <c r="B516" s="142"/>
      <c r="C516" s="142"/>
      <c r="D516" s="151" t="s">
        <v>1100</v>
      </c>
      <c r="G516" s="146"/>
      <c r="H516" s="162"/>
      <c r="I516" s="151"/>
      <c r="J516" s="168">
        <v>2</v>
      </c>
      <c r="K516" s="146"/>
      <c r="L516" s="161" t="s">
        <v>1198</v>
      </c>
      <c r="M516" s="146"/>
      <c r="N516" s="146"/>
      <c r="O516" s="198" t="s">
        <v>1100</v>
      </c>
      <c r="P516" s="146"/>
      <c r="Q516" s="146"/>
      <c r="R516" s="146"/>
      <c r="S516" s="146"/>
    </row>
    <row r="517" spans="1:19" x14ac:dyDescent="0.2">
      <c r="A517" s="152"/>
      <c r="B517" s="142"/>
      <c r="C517" s="142"/>
      <c r="D517" s="151" t="s">
        <v>1100</v>
      </c>
      <c r="G517" s="146"/>
      <c r="H517" s="162"/>
      <c r="I517" s="151"/>
      <c r="J517" s="168">
        <v>3</v>
      </c>
      <c r="K517" s="146"/>
      <c r="L517" s="161" t="s">
        <v>1387</v>
      </c>
      <c r="M517" s="146"/>
      <c r="N517" s="146"/>
      <c r="O517" s="198" t="s">
        <v>1100</v>
      </c>
      <c r="P517" s="146"/>
      <c r="Q517" s="146"/>
      <c r="R517" s="146"/>
      <c r="S517" s="146"/>
    </row>
    <row r="518" spans="1:19" x14ac:dyDescent="0.2">
      <c r="A518" s="152"/>
      <c r="B518" s="142"/>
      <c r="C518" s="142"/>
      <c r="D518" s="151" t="s">
        <v>1100</v>
      </c>
      <c r="G518" s="146"/>
      <c r="H518" s="162"/>
      <c r="I518" s="151"/>
      <c r="J518" s="168">
        <v>4</v>
      </c>
      <c r="K518" s="146"/>
      <c r="L518" s="161" t="s">
        <v>1391</v>
      </c>
      <c r="M518" s="146"/>
      <c r="N518" s="146"/>
      <c r="O518" s="198" t="s">
        <v>1100</v>
      </c>
      <c r="P518" s="146"/>
      <c r="Q518" s="146"/>
      <c r="R518" s="146"/>
      <c r="S518" s="146"/>
    </row>
    <row r="519" spans="1:19" x14ac:dyDescent="0.2">
      <c r="A519" s="152"/>
      <c r="B519" s="142"/>
      <c r="C519" s="142"/>
      <c r="D519" s="151" t="s">
        <v>1100</v>
      </c>
      <c r="G519" s="146"/>
      <c r="H519" s="162"/>
      <c r="I519" s="151"/>
      <c r="J519" s="168">
        <v>5</v>
      </c>
      <c r="K519" s="146"/>
      <c r="L519" s="161" t="s">
        <v>1383</v>
      </c>
      <c r="M519" s="146"/>
      <c r="N519" s="146"/>
      <c r="O519" s="198" t="s">
        <v>1100</v>
      </c>
      <c r="P519" s="146"/>
      <c r="Q519" s="146"/>
      <c r="R519" s="146"/>
      <c r="S519" s="146"/>
    </row>
    <row r="520" spans="1:19" ht="15.75" thickBot="1" x14ac:dyDescent="0.25">
      <c r="A520" s="152"/>
      <c r="B520" s="142"/>
      <c r="C520" s="142"/>
      <c r="D520" s="151" t="s">
        <v>1100</v>
      </c>
      <c r="G520" s="146"/>
      <c r="H520" s="177"/>
      <c r="I520" s="178"/>
      <c r="J520" s="179">
        <v>6</v>
      </c>
      <c r="K520" s="180"/>
      <c r="L520" s="181" t="s">
        <v>1375</v>
      </c>
      <c r="M520" s="180"/>
      <c r="N520" s="180"/>
      <c r="O520" s="242" t="s">
        <v>1100</v>
      </c>
      <c r="P520" s="146"/>
      <c r="Q520" s="146"/>
      <c r="R520" s="146"/>
      <c r="S520" s="146"/>
    </row>
    <row r="521" spans="1:19" ht="15.75" thickTop="1" x14ac:dyDescent="0.2">
      <c r="A521" s="152">
        <v>46</v>
      </c>
      <c r="B521" s="142" t="s">
        <v>1403</v>
      </c>
      <c r="C521" s="142" t="s">
        <v>1404</v>
      </c>
      <c r="D521" s="151"/>
      <c r="G521" s="146"/>
      <c r="H521" s="184">
        <v>46</v>
      </c>
      <c r="I521" s="186"/>
      <c r="J521" s="196"/>
      <c r="K521" s="241" t="s">
        <v>1404</v>
      </c>
      <c r="L521" s="196"/>
      <c r="M521" s="196"/>
      <c r="N521" s="196"/>
      <c r="O521" s="206"/>
      <c r="P521" s="146"/>
      <c r="Q521" s="160">
        <f>H521</f>
        <v>46</v>
      </c>
      <c r="R521" s="151" t="str">
        <f>CONCATENATE("II-",TEXT(Q521,"0000"))</f>
        <v>II-0046</v>
      </c>
      <c r="S521" s="161" t="str">
        <f>K521</f>
        <v>IMPERMEABILIZACION</v>
      </c>
    </row>
    <row r="522" spans="1:19" x14ac:dyDescent="0.2">
      <c r="A522" s="152"/>
      <c r="B522" s="142"/>
      <c r="C522" s="142"/>
      <c r="D522" s="151" t="s">
        <v>1183</v>
      </c>
      <c r="G522" s="146"/>
      <c r="H522" s="162"/>
      <c r="I522" s="163" t="s">
        <v>989</v>
      </c>
      <c r="J522" s="146"/>
      <c r="K522" s="161" t="s">
        <v>1405</v>
      </c>
      <c r="L522" s="146"/>
      <c r="M522" s="146"/>
      <c r="N522" s="146"/>
      <c r="O522" s="198" t="s">
        <v>1183</v>
      </c>
      <c r="P522" s="146"/>
      <c r="Q522" s="146"/>
      <c r="R522" s="146"/>
      <c r="S522" s="146"/>
    </row>
    <row r="523" spans="1:19" x14ac:dyDescent="0.2">
      <c r="A523" s="152"/>
      <c r="B523" s="142"/>
      <c r="C523" s="142"/>
      <c r="D523" s="151"/>
      <c r="G523" s="146"/>
      <c r="H523" s="162"/>
      <c r="I523" s="163" t="s">
        <v>1016</v>
      </c>
      <c r="J523" s="164"/>
      <c r="K523" s="175" t="s">
        <v>1406</v>
      </c>
      <c r="L523" s="166"/>
      <c r="M523" s="166"/>
      <c r="N523" s="166"/>
      <c r="O523" s="207"/>
      <c r="P523" s="146"/>
      <c r="Q523" s="146"/>
      <c r="R523" s="146"/>
      <c r="S523" s="146"/>
    </row>
    <row r="524" spans="1:19" x14ac:dyDescent="0.2">
      <c r="A524" s="152"/>
      <c r="B524" s="142"/>
      <c r="C524" s="142"/>
      <c r="D524" s="151" t="s">
        <v>1183</v>
      </c>
      <c r="G524" s="146"/>
      <c r="H524" s="162"/>
      <c r="I524" s="151"/>
      <c r="J524" s="168">
        <v>1</v>
      </c>
      <c r="K524" s="146"/>
      <c r="L524" s="161" t="s">
        <v>1407</v>
      </c>
      <c r="M524" s="146"/>
      <c r="N524" s="146"/>
      <c r="O524" s="198" t="s">
        <v>1183</v>
      </c>
      <c r="P524" s="146"/>
      <c r="Q524" s="146"/>
      <c r="R524" s="146"/>
      <c r="S524" s="146"/>
    </row>
    <row r="525" spans="1:19" ht="15.75" thickBot="1" x14ac:dyDescent="0.25">
      <c r="A525" s="152"/>
      <c r="B525" s="142"/>
      <c r="C525" s="142"/>
      <c r="D525" s="151" t="s">
        <v>1183</v>
      </c>
      <c r="G525" s="146"/>
      <c r="H525" s="177"/>
      <c r="I525" s="178"/>
      <c r="J525" s="179">
        <v>2</v>
      </c>
      <c r="K525" s="180"/>
      <c r="L525" s="181" t="s">
        <v>1408</v>
      </c>
      <c r="M525" s="180"/>
      <c r="N525" s="180"/>
      <c r="O525" s="242" t="s">
        <v>1183</v>
      </c>
      <c r="P525" s="146"/>
      <c r="Q525" s="146"/>
      <c r="R525" s="146"/>
      <c r="S525" s="146"/>
    </row>
    <row r="526" spans="1:19" ht="15.75" thickTop="1" x14ac:dyDescent="0.2">
      <c r="A526" s="152">
        <v>47</v>
      </c>
      <c r="B526" s="142" t="s">
        <v>1409</v>
      </c>
      <c r="C526" s="142" t="s">
        <v>1410</v>
      </c>
      <c r="D526" s="151"/>
      <c r="G526" s="146"/>
      <c r="H526" s="184">
        <v>47</v>
      </c>
      <c r="I526" s="186"/>
      <c r="J526" s="196"/>
      <c r="K526" s="241" t="s">
        <v>1410</v>
      </c>
      <c r="L526" s="196"/>
      <c r="M526" s="196"/>
      <c r="N526" s="196"/>
      <c r="O526" s="206"/>
      <c r="P526" s="146"/>
      <c r="Q526" s="160">
        <f>H526</f>
        <v>47</v>
      </c>
      <c r="R526" s="151" t="str">
        <f>CONCATENATE("II-",TEXT(Q526,"0000"))</f>
        <v>II-0047</v>
      </c>
      <c r="S526" s="161" t="str">
        <f>K526</f>
        <v>IMPRIMACIÒN CON MATERIAL BITUMINOSO</v>
      </c>
    </row>
    <row r="527" spans="1:19" x14ac:dyDescent="0.2">
      <c r="A527" s="152"/>
      <c r="B527" s="142"/>
      <c r="C527" s="142"/>
      <c r="D527" s="151" t="s">
        <v>1183</v>
      </c>
      <c r="G527" s="146"/>
      <c r="H527" s="162"/>
      <c r="I527" s="163" t="s">
        <v>989</v>
      </c>
      <c r="J527" s="204"/>
      <c r="K527" s="221" t="s">
        <v>1407</v>
      </c>
      <c r="L527" s="221"/>
      <c r="M527" s="221"/>
      <c r="N527" s="204"/>
      <c r="O527" s="220" t="s">
        <v>1183</v>
      </c>
      <c r="P527" s="146"/>
      <c r="Q527" s="146"/>
      <c r="R527" s="146"/>
      <c r="S527" s="146"/>
    </row>
    <row r="528" spans="1:19" ht="15.75" thickBot="1" x14ac:dyDescent="0.25">
      <c r="A528" s="152"/>
      <c r="B528" s="142"/>
      <c r="C528" s="142"/>
      <c r="D528" s="151" t="s">
        <v>1183</v>
      </c>
      <c r="G528" s="146"/>
      <c r="H528" s="208"/>
      <c r="I528" s="210" t="s">
        <v>1016</v>
      </c>
      <c r="J528" s="211"/>
      <c r="K528" s="212" t="s">
        <v>1408</v>
      </c>
      <c r="L528" s="212"/>
      <c r="M528" s="212"/>
      <c r="N528" s="211"/>
      <c r="O528" s="244" t="s">
        <v>1183</v>
      </c>
      <c r="P528" s="146"/>
      <c r="Q528" s="146"/>
      <c r="R528" s="146"/>
      <c r="S528" s="146"/>
    </row>
    <row r="529" spans="1:19" x14ac:dyDescent="0.2">
      <c r="A529" s="152"/>
      <c r="B529" s="142"/>
      <c r="C529" s="142"/>
      <c r="D529" s="151"/>
      <c r="G529" s="146"/>
      <c r="H529" s="214"/>
      <c r="I529" s="151"/>
      <c r="J529" s="146"/>
      <c r="K529" s="161"/>
      <c r="L529" s="161"/>
      <c r="M529" s="161"/>
      <c r="N529" s="146"/>
      <c r="O529" s="149"/>
      <c r="P529" s="146"/>
      <c r="Q529" s="146"/>
      <c r="R529" s="146"/>
      <c r="S529" s="146"/>
    </row>
    <row r="530" spans="1:19" x14ac:dyDescent="0.2">
      <c r="A530" s="152"/>
      <c r="B530" s="142"/>
      <c r="C530" s="142"/>
      <c r="D530" s="151"/>
      <c r="G530" s="146"/>
      <c r="H530" s="214"/>
      <c r="I530" s="151"/>
      <c r="J530" s="146"/>
      <c r="K530" s="161"/>
      <c r="L530" s="161"/>
      <c r="M530" s="161"/>
      <c r="N530" s="146"/>
      <c r="O530" s="149"/>
      <c r="P530" s="146"/>
      <c r="Q530" s="146"/>
      <c r="R530" s="146"/>
      <c r="S530" s="146"/>
    </row>
    <row r="531" spans="1:19" x14ac:dyDescent="0.2">
      <c r="A531" s="152">
        <v>48</v>
      </c>
      <c r="B531" s="142" t="s">
        <v>1411</v>
      </c>
      <c r="C531" s="142" t="s">
        <v>1412</v>
      </c>
      <c r="D531" s="151"/>
      <c r="G531" s="146"/>
      <c r="H531" s="184">
        <v>48</v>
      </c>
      <c r="I531" s="186"/>
      <c r="J531" s="196"/>
      <c r="K531" s="241" t="s">
        <v>1412</v>
      </c>
      <c r="L531" s="196"/>
      <c r="M531" s="196"/>
      <c r="N531" s="196"/>
      <c r="O531" s="206"/>
      <c r="P531" s="146"/>
      <c r="Q531" s="160">
        <f>H531</f>
        <v>48</v>
      </c>
      <c r="R531" s="151" t="str">
        <f>CONCATENATE("II-",TEXT(Q531,"0000"))</f>
        <v>II-0048</v>
      </c>
      <c r="S531" s="161" t="str">
        <f>K531</f>
        <v>LIMPIEZA</v>
      </c>
    </row>
    <row r="532" spans="1:19" x14ac:dyDescent="0.2">
      <c r="A532" s="152"/>
      <c r="B532" s="142"/>
      <c r="C532" s="142"/>
      <c r="D532" s="151" t="s">
        <v>1413</v>
      </c>
      <c r="G532" s="146"/>
      <c r="H532" s="162"/>
      <c r="I532" s="265" t="s">
        <v>989</v>
      </c>
      <c r="J532" s="146"/>
      <c r="K532" s="161" t="s">
        <v>1414</v>
      </c>
      <c r="L532" s="161"/>
      <c r="M532" s="161"/>
      <c r="N532" s="146"/>
      <c r="O532" s="198" t="s">
        <v>1413</v>
      </c>
      <c r="P532" s="146"/>
      <c r="Q532" s="146"/>
      <c r="R532" s="146"/>
      <c r="S532" s="146"/>
    </row>
    <row r="533" spans="1:19" x14ac:dyDescent="0.2">
      <c r="A533" s="152"/>
      <c r="B533" s="142"/>
      <c r="C533" s="142"/>
      <c r="D533" s="151" t="s">
        <v>1100</v>
      </c>
      <c r="G533" s="146"/>
      <c r="H533" s="162"/>
      <c r="I533" s="163" t="s">
        <v>1016</v>
      </c>
      <c r="J533" s="204"/>
      <c r="K533" s="221" t="s">
        <v>1415</v>
      </c>
      <c r="L533" s="221"/>
      <c r="M533" s="221"/>
      <c r="N533" s="204"/>
      <c r="O533" s="220" t="s">
        <v>1100</v>
      </c>
      <c r="P533" s="146"/>
      <c r="Q533" s="146"/>
      <c r="R533" s="146"/>
      <c r="S533" s="146"/>
    </row>
    <row r="534" spans="1:19" x14ac:dyDescent="0.2">
      <c r="A534" s="152"/>
      <c r="B534" s="142"/>
      <c r="C534" s="142"/>
      <c r="D534" s="151" t="s">
        <v>1100</v>
      </c>
      <c r="G534" s="146"/>
      <c r="H534" s="162"/>
      <c r="I534" s="168" t="s">
        <v>1026</v>
      </c>
      <c r="J534" s="146"/>
      <c r="K534" s="161" t="s">
        <v>1416</v>
      </c>
      <c r="L534" s="161"/>
      <c r="M534" s="161"/>
      <c r="N534" s="146"/>
      <c r="O534" s="198" t="s">
        <v>1100</v>
      </c>
      <c r="P534" s="146"/>
      <c r="Q534" s="146"/>
      <c r="R534" s="146"/>
      <c r="S534" s="146"/>
    </row>
    <row r="535" spans="1:19" x14ac:dyDescent="0.2">
      <c r="A535" s="152"/>
      <c r="B535" s="142"/>
      <c r="C535" s="142"/>
      <c r="D535" s="151" t="s">
        <v>1100</v>
      </c>
      <c r="G535" s="146"/>
      <c r="H535" s="162"/>
      <c r="I535" s="265" t="s">
        <v>1052</v>
      </c>
      <c r="J535" s="166"/>
      <c r="K535" s="175" t="s">
        <v>1417</v>
      </c>
      <c r="L535" s="175"/>
      <c r="M535" s="175"/>
      <c r="N535" s="166"/>
      <c r="O535" s="207" t="s">
        <v>1100</v>
      </c>
      <c r="P535" s="146"/>
      <c r="Q535" s="146"/>
      <c r="R535" s="146"/>
      <c r="S535" s="146"/>
    </row>
    <row r="536" spans="1:19" x14ac:dyDescent="0.2">
      <c r="A536" s="152"/>
      <c r="B536" s="142"/>
      <c r="C536" s="142"/>
      <c r="D536" s="151" t="s">
        <v>1100</v>
      </c>
      <c r="G536" s="146"/>
      <c r="H536" s="162"/>
      <c r="I536" s="163" t="s">
        <v>1094</v>
      </c>
      <c r="J536" s="204"/>
      <c r="K536" s="221" t="s">
        <v>1418</v>
      </c>
      <c r="L536" s="221"/>
      <c r="M536" s="221"/>
      <c r="N536" s="204"/>
      <c r="O536" s="220" t="s">
        <v>1100</v>
      </c>
      <c r="P536" s="146"/>
      <c r="Q536" s="146"/>
      <c r="R536" s="146"/>
      <c r="S536" s="146"/>
    </row>
    <row r="537" spans="1:19" x14ac:dyDescent="0.2">
      <c r="A537" s="152"/>
      <c r="B537" s="142"/>
      <c r="C537" s="142"/>
      <c r="D537" s="151" t="s">
        <v>1217</v>
      </c>
      <c r="G537" s="146"/>
      <c r="H537" s="162"/>
      <c r="I537" s="168" t="s">
        <v>1097</v>
      </c>
      <c r="J537" s="146"/>
      <c r="K537" s="161" t="s">
        <v>1419</v>
      </c>
      <c r="L537" s="161"/>
      <c r="M537" s="161"/>
      <c r="N537" s="146"/>
      <c r="O537" s="198" t="s">
        <v>1217</v>
      </c>
      <c r="P537" s="146"/>
      <c r="Q537" s="146"/>
      <c r="R537" s="146"/>
      <c r="S537" s="146"/>
    </row>
    <row r="538" spans="1:19" x14ac:dyDescent="0.2">
      <c r="A538" s="152"/>
      <c r="B538" s="142"/>
      <c r="C538" s="142"/>
      <c r="D538" s="151" t="s">
        <v>966</v>
      </c>
      <c r="G538" s="146"/>
      <c r="H538" s="162"/>
      <c r="I538" s="163" t="s">
        <v>1101</v>
      </c>
      <c r="J538" s="204"/>
      <c r="K538" s="221" t="s">
        <v>1420</v>
      </c>
      <c r="L538" s="221"/>
      <c r="M538" s="221"/>
      <c r="N538" s="204"/>
      <c r="O538" s="220" t="s">
        <v>966</v>
      </c>
      <c r="P538" s="146"/>
      <c r="Q538" s="146"/>
      <c r="R538" s="146"/>
      <c r="S538" s="146"/>
    </row>
    <row r="539" spans="1:19" ht="15.75" thickBot="1" x14ac:dyDescent="0.25">
      <c r="A539" s="152"/>
      <c r="B539" s="142"/>
      <c r="C539" s="142"/>
      <c r="D539" s="151" t="s">
        <v>966</v>
      </c>
      <c r="G539" s="146"/>
      <c r="H539" s="177"/>
      <c r="I539" s="179" t="s">
        <v>1104</v>
      </c>
      <c r="J539" s="180"/>
      <c r="K539" s="181" t="s">
        <v>1421</v>
      </c>
      <c r="L539" s="181"/>
      <c r="M539" s="181"/>
      <c r="N539" s="180"/>
      <c r="O539" s="242" t="s">
        <v>966</v>
      </c>
      <c r="P539" s="146"/>
      <c r="Q539" s="146"/>
      <c r="R539" s="146"/>
      <c r="S539" s="146"/>
    </row>
    <row r="540" spans="1:19" ht="15.75" thickTop="1" x14ac:dyDescent="0.2">
      <c r="A540" s="152">
        <v>49</v>
      </c>
      <c r="B540" s="142" t="s">
        <v>1422</v>
      </c>
      <c r="C540" s="142" t="s">
        <v>1423</v>
      </c>
      <c r="D540" s="151"/>
      <c r="G540" s="146"/>
      <c r="H540" s="184">
        <v>49</v>
      </c>
      <c r="I540" s="186"/>
      <c r="J540" s="196"/>
      <c r="K540" s="241" t="s">
        <v>1423</v>
      </c>
      <c r="L540" s="196"/>
      <c r="M540" s="196"/>
      <c r="N540" s="196"/>
      <c r="O540" s="206"/>
      <c r="P540" s="146"/>
      <c r="Q540" s="160">
        <f>H540</f>
        <v>49</v>
      </c>
      <c r="R540" s="151" t="str">
        <f>CONCATENATE("II-",TEXT(Q540,"0000"))</f>
        <v>II-0049</v>
      </c>
      <c r="S540" s="161" t="str">
        <f>K540</f>
        <v>LOSA DE HORMIGON</v>
      </c>
    </row>
    <row r="541" spans="1:19" ht="15.75" thickBot="1" x14ac:dyDescent="0.25">
      <c r="A541" s="152"/>
      <c r="B541" s="142"/>
      <c r="C541" s="142"/>
      <c r="D541" s="151" t="s">
        <v>1183</v>
      </c>
      <c r="G541" s="146"/>
      <c r="H541" s="188"/>
      <c r="I541" s="189" t="s">
        <v>989</v>
      </c>
      <c r="J541" s="190"/>
      <c r="K541" s="223" t="s">
        <v>1103</v>
      </c>
      <c r="L541" s="192"/>
      <c r="M541" s="192"/>
      <c r="N541" s="192"/>
      <c r="O541" s="224" t="s">
        <v>1183</v>
      </c>
      <c r="P541" s="146"/>
      <c r="Q541" s="146"/>
      <c r="R541" s="146"/>
      <c r="S541" s="146"/>
    </row>
    <row r="542" spans="1:19" ht="15.75" thickTop="1" x14ac:dyDescent="0.2">
      <c r="A542" s="152">
        <v>50</v>
      </c>
      <c r="B542" s="142" t="s">
        <v>1424</v>
      </c>
      <c r="C542" s="142" t="s">
        <v>1425</v>
      </c>
      <c r="D542" s="151"/>
      <c r="G542" s="146"/>
      <c r="H542" s="184">
        <v>50</v>
      </c>
      <c r="I542" s="186"/>
      <c r="J542" s="196"/>
      <c r="K542" s="241" t="s">
        <v>1425</v>
      </c>
      <c r="L542" s="196"/>
      <c r="M542" s="196"/>
      <c r="N542" s="196"/>
      <c r="O542" s="206"/>
      <c r="P542" s="146"/>
      <c r="Q542" s="160">
        <f>H542</f>
        <v>50</v>
      </c>
      <c r="R542" s="151" t="str">
        <f>CONCATENATE("II-",TEXT(Q542,"0000"))</f>
        <v>II-0050</v>
      </c>
      <c r="S542" s="161" t="str">
        <f>K542</f>
        <v>LOSETAS DE HORMIGON</v>
      </c>
    </row>
    <row r="543" spans="1:19" x14ac:dyDescent="0.2">
      <c r="A543" s="152"/>
      <c r="B543" s="142"/>
      <c r="C543" s="142"/>
      <c r="D543" s="151"/>
      <c r="G543" s="146"/>
      <c r="H543" s="162"/>
      <c r="I543" s="163" t="s">
        <v>989</v>
      </c>
      <c r="J543" s="164"/>
      <c r="K543" s="175" t="s">
        <v>1426</v>
      </c>
      <c r="L543" s="166"/>
      <c r="M543" s="166"/>
      <c r="N543" s="166"/>
      <c r="O543" s="207"/>
      <c r="P543" s="146"/>
      <c r="Q543" s="146"/>
      <c r="R543" s="146"/>
      <c r="S543" s="146"/>
    </row>
    <row r="544" spans="1:19" x14ac:dyDescent="0.2">
      <c r="A544" s="152"/>
      <c r="B544" s="142"/>
      <c r="C544" s="142"/>
      <c r="D544" s="151" t="s">
        <v>1183</v>
      </c>
      <c r="G544" s="146"/>
      <c r="H544" s="162"/>
      <c r="I544" s="151"/>
      <c r="J544" s="168">
        <v>1</v>
      </c>
      <c r="K544" s="146"/>
      <c r="L544" s="161" t="s">
        <v>1427</v>
      </c>
      <c r="M544" s="146"/>
      <c r="N544" s="146"/>
      <c r="O544" s="198" t="s">
        <v>1183</v>
      </c>
      <c r="P544" s="146"/>
      <c r="Q544" s="146"/>
      <c r="R544" s="146"/>
      <c r="S544" s="146"/>
    </row>
    <row r="545" spans="1:19" x14ac:dyDescent="0.2">
      <c r="A545" s="152"/>
      <c r="B545" s="142"/>
      <c r="C545" s="142"/>
      <c r="D545" s="151" t="s">
        <v>1183</v>
      </c>
      <c r="G545" s="146"/>
      <c r="H545" s="162"/>
      <c r="I545" s="151"/>
      <c r="J545" s="168">
        <v>2</v>
      </c>
      <c r="K545" s="146"/>
      <c r="L545" s="161" t="s">
        <v>1289</v>
      </c>
      <c r="M545" s="146"/>
      <c r="N545" s="146"/>
      <c r="O545" s="198" t="s">
        <v>1183</v>
      </c>
      <c r="P545" s="146"/>
      <c r="Q545" s="146"/>
      <c r="R545" s="146"/>
      <c r="S545" s="146"/>
    </row>
    <row r="546" spans="1:19" x14ac:dyDescent="0.2">
      <c r="A546" s="152"/>
      <c r="B546" s="142"/>
      <c r="C546" s="142"/>
      <c r="D546" s="151" t="s">
        <v>1183</v>
      </c>
      <c r="G546" s="146"/>
      <c r="H546" s="162"/>
      <c r="I546" s="151"/>
      <c r="J546" s="168">
        <v>3</v>
      </c>
      <c r="K546" s="146"/>
      <c r="L546" s="161" t="s">
        <v>1309</v>
      </c>
      <c r="M546" s="146"/>
      <c r="N546" s="146"/>
      <c r="O546" s="198" t="s">
        <v>1183</v>
      </c>
      <c r="P546" s="146"/>
      <c r="Q546" s="146"/>
      <c r="R546" s="146"/>
      <c r="S546" s="146"/>
    </row>
    <row r="547" spans="1:19" x14ac:dyDescent="0.2">
      <c r="A547" s="152"/>
      <c r="B547" s="142"/>
      <c r="C547" s="142"/>
      <c r="D547" s="151" t="s">
        <v>1183</v>
      </c>
      <c r="G547" s="146"/>
      <c r="H547" s="162"/>
      <c r="I547" s="151"/>
      <c r="J547" s="168">
        <v>4</v>
      </c>
      <c r="K547" s="146"/>
      <c r="L547" s="161" t="s">
        <v>1428</v>
      </c>
      <c r="M547" s="146"/>
      <c r="N547" s="146"/>
      <c r="O547" s="198" t="s">
        <v>1183</v>
      </c>
      <c r="P547" s="146"/>
      <c r="Q547" s="146"/>
      <c r="R547" s="146"/>
      <c r="S547" s="146"/>
    </row>
    <row r="548" spans="1:19" x14ac:dyDescent="0.2">
      <c r="A548" s="152"/>
      <c r="B548" s="142"/>
      <c r="C548" s="142"/>
      <c r="D548" s="151" t="s">
        <v>1183</v>
      </c>
      <c r="G548" s="146"/>
      <c r="H548" s="162"/>
      <c r="I548" s="151"/>
      <c r="J548" s="168">
        <v>5</v>
      </c>
      <c r="K548" s="146"/>
      <c r="L548" s="161" t="s">
        <v>1429</v>
      </c>
      <c r="M548" s="146"/>
      <c r="N548" s="146"/>
      <c r="O548" s="198" t="s">
        <v>1183</v>
      </c>
      <c r="P548" s="146"/>
      <c r="Q548" s="146"/>
      <c r="R548" s="146"/>
      <c r="S548" s="146"/>
    </row>
    <row r="549" spans="1:19" x14ac:dyDescent="0.2">
      <c r="A549" s="152"/>
      <c r="B549" s="142"/>
      <c r="C549" s="142"/>
      <c r="D549" s="151" t="s">
        <v>1183</v>
      </c>
      <c r="G549" s="146"/>
      <c r="H549" s="162"/>
      <c r="I549" s="163" t="s">
        <v>1016</v>
      </c>
      <c r="J549" s="266"/>
      <c r="K549" s="221" t="s">
        <v>1058</v>
      </c>
      <c r="L549" s="221"/>
      <c r="M549" s="204"/>
      <c r="N549" s="204"/>
      <c r="O549" s="220" t="s">
        <v>1183</v>
      </c>
      <c r="P549" s="146"/>
      <c r="Q549" s="146"/>
      <c r="R549" s="146"/>
      <c r="S549" s="146"/>
    </row>
    <row r="550" spans="1:19" ht="15.75" thickBot="1" x14ac:dyDescent="0.25">
      <c r="A550" s="152"/>
      <c r="B550" s="142"/>
      <c r="C550" s="142"/>
      <c r="D550" s="151" t="s">
        <v>1183</v>
      </c>
      <c r="G550" s="146"/>
      <c r="H550" s="162"/>
      <c r="I550" s="179" t="s">
        <v>1026</v>
      </c>
      <c r="J550" s="151"/>
      <c r="K550" s="161" t="s">
        <v>1164</v>
      </c>
      <c r="L550" s="161"/>
      <c r="M550" s="146"/>
      <c r="N550" s="146"/>
      <c r="O550" s="198" t="s">
        <v>1183</v>
      </c>
      <c r="P550" s="146"/>
      <c r="Q550" s="146"/>
      <c r="R550" s="146"/>
      <c r="S550" s="146"/>
    </row>
    <row r="551" spans="1:19" ht="16.5" thickTop="1" thickBot="1" x14ac:dyDescent="0.25">
      <c r="A551" s="152">
        <v>51</v>
      </c>
      <c r="B551" s="142" t="s">
        <v>1430</v>
      </c>
      <c r="C551" s="142" t="s">
        <v>1431</v>
      </c>
      <c r="D551" s="151" t="s">
        <v>1183</v>
      </c>
      <c r="G551" s="146"/>
      <c r="H551" s="229">
        <v>51</v>
      </c>
      <c r="I551" s="185"/>
      <c r="J551" s="234"/>
      <c r="K551" s="235" t="s">
        <v>1431</v>
      </c>
      <c r="L551" s="234"/>
      <c r="M551" s="234"/>
      <c r="N551" s="234"/>
      <c r="O551" s="187" t="s">
        <v>1183</v>
      </c>
      <c r="P551" s="146"/>
      <c r="Q551" s="160">
        <f t="shared" ref="Q551:Q552" si="48">H551</f>
        <v>51</v>
      </c>
      <c r="R551" s="151" t="str">
        <f t="shared" ref="R551:R552" si="49">CONCATENATE("II-",TEXT(Q551,"0000"))</f>
        <v>II-0051</v>
      </c>
      <c r="S551" s="161" t="str">
        <f t="shared" ref="S551:S552" si="50">K551</f>
        <v>MAMPOSTERIA DE PIEDRA</v>
      </c>
    </row>
    <row r="552" spans="1:19" ht="16.5" thickTop="1" thickBot="1" x14ac:dyDescent="0.25">
      <c r="A552" s="152">
        <v>52</v>
      </c>
      <c r="B552" s="142" t="s">
        <v>1432</v>
      </c>
      <c r="C552" s="142" t="s">
        <v>1433</v>
      </c>
      <c r="D552" s="151"/>
      <c r="G552" s="146"/>
      <c r="H552" s="229">
        <v>52</v>
      </c>
      <c r="I552" s="185"/>
      <c r="J552" s="234"/>
      <c r="K552" s="235" t="s">
        <v>1433</v>
      </c>
      <c r="L552" s="234"/>
      <c r="M552" s="234"/>
      <c r="N552" s="234"/>
      <c r="O552" s="187"/>
      <c r="P552" s="146"/>
      <c r="Q552" s="160">
        <f t="shared" si="48"/>
        <v>52</v>
      </c>
      <c r="R552" s="151" t="str">
        <f t="shared" si="49"/>
        <v>II-0052</v>
      </c>
      <c r="S552" s="161" t="str">
        <f t="shared" si="50"/>
        <v>MANTENIMIENTO INVERNAL</v>
      </c>
    </row>
    <row r="553" spans="1:19" ht="15.75" thickTop="1" x14ac:dyDescent="0.2">
      <c r="A553" s="152"/>
      <c r="B553" s="142"/>
      <c r="C553" s="142"/>
      <c r="D553" s="151" t="s">
        <v>966</v>
      </c>
      <c r="G553" s="146"/>
      <c r="H553" s="267"/>
      <c r="I553" s="268" t="s">
        <v>989</v>
      </c>
      <c r="J553" s="269"/>
      <c r="K553" s="270" t="s">
        <v>1434</v>
      </c>
      <c r="L553" s="269"/>
      <c r="M553" s="269"/>
      <c r="N553" s="269"/>
      <c r="O553" s="271" t="s">
        <v>966</v>
      </c>
      <c r="P553" s="146"/>
      <c r="Q553" s="146"/>
      <c r="R553" s="146"/>
      <c r="S553" s="146"/>
    </row>
    <row r="554" spans="1:19" ht="15.75" thickBot="1" x14ac:dyDescent="0.25">
      <c r="A554" s="152"/>
      <c r="B554" s="142"/>
      <c r="C554" s="142"/>
      <c r="D554" s="151" t="s">
        <v>1435</v>
      </c>
      <c r="G554" s="146"/>
      <c r="H554" s="272"/>
      <c r="I554" s="163" t="s">
        <v>1016</v>
      </c>
      <c r="J554" s="172"/>
      <c r="K554" s="173" t="s">
        <v>1436</v>
      </c>
      <c r="L554" s="172"/>
      <c r="M554" s="172"/>
      <c r="N554" s="172"/>
      <c r="O554" s="216" t="s">
        <v>1435</v>
      </c>
      <c r="P554" s="146"/>
      <c r="Q554" s="146"/>
      <c r="R554" s="146"/>
      <c r="S554" s="146"/>
    </row>
    <row r="555" spans="1:19" ht="15.75" thickTop="1" x14ac:dyDescent="0.2">
      <c r="A555" s="152">
        <v>53</v>
      </c>
      <c r="B555" s="142" t="s">
        <v>1437</v>
      </c>
      <c r="C555" s="142" t="s">
        <v>1438</v>
      </c>
      <c r="D555" s="151"/>
      <c r="G555" s="146"/>
      <c r="H555" s="229">
        <v>53</v>
      </c>
      <c r="I555" s="185"/>
      <c r="J555" s="234"/>
      <c r="K555" s="273" t="s">
        <v>1438</v>
      </c>
      <c r="L555" s="234"/>
      <c r="M555" s="234"/>
      <c r="N555" s="234"/>
      <c r="O555" s="187"/>
      <c r="P555" s="146"/>
      <c r="Q555" s="160">
        <f>H555</f>
        <v>53</v>
      </c>
      <c r="R555" s="151" t="str">
        <f>CONCATENATE("II-",TEXT(Q555,"0000"))</f>
        <v>II-0053</v>
      </c>
      <c r="S555" s="161" t="str">
        <f>K555</f>
        <v>MEMBRANA PVC</v>
      </c>
    </row>
    <row r="556" spans="1:19" x14ac:dyDescent="0.2">
      <c r="A556" s="152"/>
      <c r="B556" s="142"/>
      <c r="C556" s="142"/>
      <c r="D556" s="151" t="s">
        <v>1183</v>
      </c>
      <c r="G556" s="146"/>
      <c r="H556" s="162"/>
      <c r="I556" s="265" t="s">
        <v>989</v>
      </c>
      <c r="J556" s="146"/>
      <c r="K556" s="221" t="s">
        <v>1439</v>
      </c>
      <c r="L556" s="146"/>
      <c r="M556" s="146"/>
      <c r="N556" s="146"/>
      <c r="O556" s="198" t="s">
        <v>1183</v>
      </c>
      <c r="P556" s="146"/>
      <c r="Q556" s="146"/>
      <c r="R556" s="146"/>
      <c r="S556" s="146"/>
    </row>
    <row r="557" spans="1:19" x14ac:dyDescent="0.2">
      <c r="A557" s="152"/>
      <c r="B557" s="142"/>
      <c r="C557" s="142"/>
      <c r="D557" s="151" t="s">
        <v>1183</v>
      </c>
      <c r="G557" s="146"/>
      <c r="H557" s="162"/>
      <c r="I557" s="163" t="s">
        <v>1016</v>
      </c>
      <c r="J557" s="266"/>
      <c r="K557" s="161" t="s">
        <v>1440</v>
      </c>
      <c r="L557" s="221"/>
      <c r="M557" s="204"/>
      <c r="N557" s="204"/>
      <c r="O557" s="220" t="s">
        <v>1183</v>
      </c>
      <c r="P557" s="146"/>
      <c r="Q557" s="146"/>
      <c r="R557" s="146"/>
      <c r="S557" s="146"/>
    </row>
    <row r="558" spans="1:19" x14ac:dyDescent="0.2">
      <c r="A558" s="152"/>
      <c r="B558" s="142"/>
      <c r="C558" s="142"/>
      <c r="D558" s="151" t="s">
        <v>1183</v>
      </c>
      <c r="G558" s="146"/>
      <c r="H558" s="162"/>
      <c r="I558" s="163" t="s">
        <v>1026</v>
      </c>
      <c r="J558" s="266"/>
      <c r="K558" s="221" t="s">
        <v>1108</v>
      </c>
      <c r="L558" s="221"/>
      <c r="M558" s="221"/>
      <c r="N558" s="204"/>
      <c r="O558" s="220" t="s">
        <v>1183</v>
      </c>
      <c r="P558" s="146"/>
      <c r="Q558" s="146"/>
      <c r="R558" s="146"/>
      <c r="S558" s="146"/>
    </row>
    <row r="559" spans="1:19" ht="15.75" thickBot="1" x14ac:dyDescent="0.25">
      <c r="A559" s="152"/>
      <c r="B559" s="142"/>
      <c r="C559" s="142"/>
      <c r="D559" s="151" t="s">
        <v>1183</v>
      </c>
      <c r="G559" s="146"/>
      <c r="H559" s="162"/>
      <c r="I559" s="179" t="s">
        <v>1052</v>
      </c>
      <c r="J559" s="151"/>
      <c r="K559" s="223" t="s">
        <v>1106</v>
      </c>
      <c r="L559" s="161"/>
      <c r="M559" s="161"/>
      <c r="N559" s="146"/>
      <c r="O559" s="198" t="s">
        <v>1183</v>
      </c>
      <c r="P559" s="146"/>
      <c r="Q559" s="146"/>
      <c r="R559" s="146"/>
      <c r="S559" s="146"/>
    </row>
    <row r="560" spans="1:19" ht="15.75" thickTop="1" x14ac:dyDescent="0.2">
      <c r="A560" s="152">
        <v>54</v>
      </c>
      <c r="B560" s="142" t="s">
        <v>1441</v>
      </c>
      <c r="C560" s="142" t="s">
        <v>1442</v>
      </c>
      <c r="D560" s="151"/>
      <c r="G560" s="146"/>
      <c r="H560" s="229">
        <v>54</v>
      </c>
      <c r="I560" s="185"/>
      <c r="J560" s="234"/>
      <c r="K560" s="241" t="s">
        <v>1442</v>
      </c>
      <c r="L560" s="234"/>
      <c r="M560" s="234"/>
      <c r="N560" s="234"/>
      <c r="O560" s="187"/>
      <c r="P560" s="146"/>
      <c r="Q560" s="160">
        <f>H560</f>
        <v>54</v>
      </c>
      <c r="R560" s="151" t="str">
        <f>CONCATENATE("II-",TEXT(Q560,"0000"))</f>
        <v>II-0054</v>
      </c>
      <c r="S560" s="161" t="str">
        <f>K560</f>
        <v>MOVILIDAD PARA EL PERSONAL AUXILIAR DE SUPERVISION</v>
      </c>
    </row>
    <row r="561" spans="1:19" x14ac:dyDescent="0.2">
      <c r="A561" s="152">
        <v>1</v>
      </c>
      <c r="B561" s="153" t="str">
        <f>CONCATENATE($B$560,".",TEXT(A561,"0000"))</f>
        <v>II-0054.0001</v>
      </c>
      <c r="C561" s="142" t="str">
        <f>K561</f>
        <v xml:space="preserve">CUOTA FIJA </v>
      </c>
      <c r="D561" s="151" t="s">
        <v>1443</v>
      </c>
      <c r="G561" s="146"/>
      <c r="H561" s="162"/>
      <c r="I561" s="163" t="s">
        <v>989</v>
      </c>
      <c r="J561" s="204"/>
      <c r="K561" s="221" t="s">
        <v>1444</v>
      </c>
      <c r="L561" s="221"/>
      <c r="M561" s="221"/>
      <c r="N561" s="204"/>
      <c r="O561" s="220" t="s">
        <v>1443</v>
      </c>
      <c r="P561" s="146"/>
      <c r="Q561" s="146"/>
      <c r="R561" s="146"/>
      <c r="S561" s="146"/>
    </row>
    <row r="562" spans="1:19" ht="15.75" thickBot="1" x14ac:dyDescent="0.25">
      <c r="A562" s="152">
        <v>2</v>
      </c>
      <c r="B562" s="153" t="str">
        <f>CONCATENATE($B$560,".",TEXT(A562,"0000"))</f>
        <v>II-0054.0002</v>
      </c>
      <c r="C562" s="142" t="str">
        <f>K562</f>
        <v>ADICIONAL POR KM</v>
      </c>
      <c r="D562" s="151" t="s">
        <v>1445</v>
      </c>
      <c r="G562" s="146"/>
      <c r="H562" s="177"/>
      <c r="I562" s="179" t="s">
        <v>1016</v>
      </c>
      <c r="J562" s="180"/>
      <c r="K562" s="181" t="s">
        <v>1446</v>
      </c>
      <c r="L562" s="181"/>
      <c r="M562" s="181"/>
      <c r="N562" s="180"/>
      <c r="O562" s="242" t="s">
        <v>1445</v>
      </c>
      <c r="P562" s="146"/>
      <c r="Q562" s="146"/>
      <c r="R562" s="146"/>
      <c r="S562" s="146"/>
    </row>
    <row r="563" spans="1:19" ht="16.5" thickTop="1" thickBot="1" x14ac:dyDescent="0.25">
      <c r="A563" s="152">
        <v>55</v>
      </c>
      <c r="B563" s="142" t="s">
        <v>1447</v>
      </c>
      <c r="C563" s="142" t="s">
        <v>1448</v>
      </c>
      <c r="D563" s="151" t="s">
        <v>5</v>
      </c>
      <c r="G563" s="146"/>
      <c r="H563" s="184">
        <v>55</v>
      </c>
      <c r="I563" s="186"/>
      <c r="J563" s="196"/>
      <c r="K563" s="241" t="s">
        <v>1448</v>
      </c>
      <c r="L563" s="196"/>
      <c r="M563" s="196"/>
      <c r="N563" s="196"/>
      <c r="O563" s="206" t="s">
        <v>5</v>
      </c>
      <c r="P563" s="146"/>
      <c r="Q563" s="160">
        <f t="shared" ref="Q563:Q564" si="51">H563</f>
        <v>55</v>
      </c>
      <c r="R563" s="151" t="str">
        <f t="shared" ref="R563:R564" si="52">CONCATENATE("II-",TEXT(Q563,"0000"))</f>
        <v>II-0055</v>
      </c>
      <c r="S563" s="161" t="str">
        <f t="shared" ref="S563:S564" si="53">K563</f>
        <v>MOVILIZACION DE OBRA</v>
      </c>
    </row>
    <row r="564" spans="1:19" ht="15.75" thickTop="1" x14ac:dyDescent="0.2">
      <c r="A564" s="152">
        <v>56</v>
      </c>
      <c r="B564" s="142" t="s">
        <v>1449</v>
      </c>
      <c r="C564" s="142" t="s">
        <v>1450</v>
      </c>
      <c r="D564" s="151"/>
      <c r="G564" s="146"/>
      <c r="H564" s="229">
        <v>56</v>
      </c>
      <c r="I564" s="185"/>
      <c r="J564" s="234"/>
      <c r="K564" s="235" t="s">
        <v>1450</v>
      </c>
      <c r="L564" s="234"/>
      <c r="M564" s="234"/>
      <c r="N564" s="234"/>
      <c r="O564" s="187"/>
      <c r="P564" s="146"/>
      <c r="Q564" s="160">
        <f t="shared" si="51"/>
        <v>56</v>
      </c>
      <c r="R564" s="151" t="str">
        <f t="shared" si="52"/>
        <v>II-0056</v>
      </c>
      <c r="S564" s="161" t="str">
        <f t="shared" si="53"/>
        <v xml:space="preserve">PASARELA </v>
      </c>
    </row>
    <row r="565" spans="1:19" x14ac:dyDescent="0.2">
      <c r="A565" s="152"/>
      <c r="B565" s="142"/>
      <c r="C565" s="142"/>
      <c r="D565" s="151" t="s">
        <v>965</v>
      </c>
      <c r="G565" s="146"/>
      <c r="H565" s="162"/>
      <c r="I565" s="265" t="s">
        <v>989</v>
      </c>
      <c r="J565" s="146"/>
      <c r="K565" s="161" t="s">
        <v>1213</v>
      </c>
      <c r="L565" s="146"/>
      <c r="M565" s="146"/>
      <c r="N565" s="146"/>
      <c r="O565" s="198" t="s">
        <v>965</v>
      </c>
      <c r="P565" s="146"/>
      <c r="Q565" s="146"/>
      <c r="R565" s="146"/>
      <c r="S565" s="146"/>
    </row>
    <row r="566" spans="1:19" x14ac:dyDescent="0.2">
      <c r="A566" s="152"/>
      <c r="B566" s="142"/>
      <c r="C566" s="142"/>
      <c r="D566" s="151"/>
      <c r="G566" s="146"/>
      <c r="H566" s="162"/>
      <c r="I566" s="163" t="s">
        <v>1016</v>
      </c>
      <c r="J566" s="166"/>
      <c r="K566" s="175" t="s">
        <v>1214</v>
      </c>
      <c r="L566" s="166"/>
      <c r="M566" s="166"/>
      <c r="N566" s="166"/>
      <c r="O566" s="207"/>
      <c r="P566" s="146"/>
      <c r="Q566" s="146"/>
      <c r="R566" s="146"/>
      <c r="S566" s="146"/>
    </row>
    <row r="567" spans="1:19" x14ac:dyDescent="0.2">
      <c r="A567" s="152"/>
      <c r="B567" s="142"/>
      <c r="C567" s="142"/>
      <c r="D567" s="151" t="s">
        <v>1225</v>
      </c>
      <c r="G567" s="146"/>
      <c r="H567" s="162"/>
      <c r="I567" s="151"/>
      <c r="J567" s="168">
        <v>1</v>
      </c>
      <c r="K567" s="146"/>
      <c r="L567" s="161" t="s">
        <v>1451</v>
      </c>
      <c r="M567" s="146"/>
      <c r="N567" s="146"/>
      <c r="O567" s="198" t="s">
        <v>1225</v>
      </c>
      <c r="P567" s="146"/>
      <c r="Q567" s="146"/>
      <c r="R567" s="146"/>
      <c r="S567" s="146"/>
    </row>
    <row r="568" spans="1:19" x14ac:dyDescent="0.2">
      <c r="A568" s="152"/>
      <c r="B568" s="142"/>
      <c r="C568" s="142"/>
      <c r="D568" s="151" t="s">
        <v>1225</v>
      </c>
      <c r="G568" s="146"/>
      <c r="H568" s="162"/>
      <c r="I568" s="151"/>
      <c r="J568" s="168">
        <v>2</v>
      </c>
      <c r="K568" s="146"/>
      <c r="L568" s="161" t="s">
        <v>1452</v>
      </c>
      <c r="M568" s="146"/>
      <c r="N568" s="146"/>
      <c r="O568" s="198" t="s">
        <v>1225</v>
      </c>
      <c r="P568" s="146"/>
      <c r="Q568" s="146"/>
      <c r="R568" s="146"/>
      <c r="S568" s="146"/>
    </row>
    <row r="569" spans="1:19" x14ac:dyDescent="0.2">
      <c r="A569" s="152"/>
      <c r="B569" s="142"/>
      <c r="C569" s="142"/>
      <c r="D569" s="151" t="s">
        <v>965</v>
      </c>
      <c r="G569" s="146"/>
      <c r="H569" s="162"/>
      <c r="I569" s="176"/>
      <c r="J569" s="171">
        <v>3</v>
      </c>
      <c r="K569" s="172"/>
      <c r="L569" s="173" t="s">
        <v>1453</v>
      </c>
      <c r="M569" s="172"/>
      <c r="N569" s="172"/>
      <c r="O569" s="216" t="s">
        <v>965</v>
      </c>
      <c r="P569" s="146"/>
      <c r="Q569" s="146"/>
      <c r="R569" s="146"/>
      <c r="S569" s="146"/>
    </row>
    <row r="570" spans="1:19" ht="15.75" thickBot="1" x14ac:dyDescent="0.25">
      <c r="A570" s="152"/>
      <c r="B570" s="142"/>
      <c r="C570" s="142"/>
      <c r="D570" s="151" t="s">
        <v>965</v>
      </c>
      <c r="G570" s="146"/>
      <c r="H570" s="162"/>
      <c r="I570" s="179" t="s">
        <v>1026</v>
      </c>
      <c r="J570" s="146"/>
      <c r="K570" s="161" t="s">
        <v>1454</v>
      </c>
      <c r="L570" s="146"/>
      <c r="M570" s="146"/>
      <c r="N570" s="146"/>
      <c r="O570" s="198" t="s">
        <v>965</v>
      </c>
      <c r="P570" s="146"/>
      <c r="Q570" s="146"/>
      <c r="R570" s="146"/>
      <c r="S570" s="146"/>
    </row>
    <row r="571" spans="1:19" ht="15.75" thickTop="1" x14ac:dyDescent="0.2">
      <c r="A571" s="152">
        <v>57</v>
      </c>
      <c r="B571" s="142" t="s">
        <v>1455</v>
      </c>
      <c r="C571" s="142" t="s">
        <v>1456</v>
      </c>
      <c r="D571" s="151"/>
      <c r="G571" s="146"/>
      <c r="H571" s="229">
        <v>57</v>
      </c>
      <c r="I571" s="185"/>
      <c r="J571" s="234"/>
      <c r="K571" s="235" t="s">
        <v>1456</v>
      </c>
      <c r="L571" s="234"/>
      <c r="M571" s="234"/>
      <c r="N571" s="234"/>
      <c r="O571" s="187"/>
      <c r="P571" s="146"/>
      <c r="Q571" s="160">
        <f>H571</f>
        <v>57</v>
      </c>
      <c r="R571" s="151" t="str">
        <f>CONCATENATE("II-",TEXT(Q571,"0000"))</f>
        <v>II-0057</v>
      </c>
      <c r="S571" s="161" t="str">
        <f>K571</f>
        <v>PASO A NIVEL</v>
      </c>
    </row>
    <row r="572" spans="1:19" ht="15.75" thickBot="1" x14ac:dyDescent="0.25">
      <c r="A572" s="152"/>
      <c r="B572" s="142"/>
      <c r="C572" s="142"/>
      <c r="D572" s="151" t="s">
        <v>5</v>
      </c>
      <c r="G572" s="146"/>
      <c r="H572" s="188"/>
      <c r="I572" s="190" t="s">
        <v>989</v>
      </c>
      <c r="J572" s="192"/>
      <c r="K572" s="223" t="s">
        <v>1457</v>
      </c>
      <c r="L572" s="223"/>
      <c r="M572" s="223"/>
      <c r="N572" s="223"/>
      <c r="O572" s="224" t="s">
        <v>5</v>
      </c>
      <c r="P572" s="146"/>
      <c r="Q572" s="146"/>
      <c r="R572" s="146"/>
      <c r="S572" s="146"/>
    </row>
    <row r="573" spans="1:19" ht="15.75" thickTop="1" x14ac:dyDescent="0.2">
      <c r="A573" s="152">
        <v>58</v>
      </c>
      <c r="B573" s="142" t="s">
        <v>1458</v>
      </c>
      <c r="C573" s="142" t="s">
        <v>1459</v>
      </c>
      <c r="D573" s="151"/>
      <c r="G573" s="146"/>
      <c r="H573" s="229">
        <v>58</v>
      </c>
      <c r="I573" s="185"/>
      <c r="J573" s="234"/>
      <c r="K573" s="235" t="s">
        <v>1459</v>
      </c>
      <c r="L573" s="235"/>
      <c r="M573" s="235"/>
      <c r="N573" s="235"/>
      <c r="O573" s="187"/>
      <c r="P573" s="146"/>
      <c r="Q573" s="160">
        <f>H573</f>
        <v>58</v>
      </c>
      <c r="R573" s="151" t="str">
        <f>CONCATENATE("II-",TEXT(Q573,"0000"))</f>
        <v>II-0058</v>
      </c>
      <c r="S573" s="161" t="str">
        <f>K573</f>
        <v>PAVIMENTO DE HORMIGON</v>
      </c>
    </row>
    <row r="574" spans="1:19" x14ac:dyDescent="0.2">
      <c r="A574" s="152"/>
      <c r="B574" s="142"/>
      <c r="C574" s="142"/>
      <c r="D574" s="151" t="s">
        <v>1183</v>
      </c>
      <c r="G574" s="146"/>
      <c r="H574" s="162"/>
      <c r="I574" s="265" t="s">
        <v>989</v>
      </c>
      <c r="J574" s="146"/>
      <c r="K574" s="161" t="s">
        <v>1460</v>
      </c>
      <c r="L574" s="161"/>
      <c r="M574" s="161"/>
      <c r="N574" s="161"/>
      <c r="O574" s="198" t="s">
        <v>1183</v>
      </c>
      <c r="P574" s="146"/>
      <c r="Q574" s="146"/>
      <c r="R574" s="146"/>
      <c r="S574" s="146"/>
    </row>
    <row r="575" spans="1:19" x14ac:dyDescent="0.2">
      <c r="A575" s="152"/>
      <c r="B575" s="142"/>
      <c r="C575" s="142"/>
      <c r="D575" s="151" t="s">
        <v>1183</v>
      </c>
      <c r="G575" s="146"/>
      <c r="H575" s="162"/>
      <c r="I575" s="163" t="s">
        <v>1016</v>
      </c>
      <c r="J575" s="204"/>
      <c r="K575" s="221" t="s">
        <v>1459</v>
      </c>
      <c r="L575" s="221"/>
      <c r="M575" s="221"/>
      <c r="N575" s="221"/>
      <c r="O575" s="220" t="s">
        <v>1183</v>
      </c>
      <c r="P575" s="146"/>
      <c r="Q575" s="146"/>
      <c r="R575" s="146"/>
      <c r="S575" s="146"/>
    </row>
    <row r="576" spans="1:19" x14ac:dyDescent="0.2">
      <c r="A576" s="152"/>
      <c r="B576" s="142"/>
      <c r="C576" s="142"/>
      <c r="D576" s="151" t="s">
        <v>1183</v>
      </c>
      <c r="G576" s="146"/>
      <c r="H576" s="162"/>
      <c r="I576" s="171" t="s">
        <v>1026</v>
      </c>
      <c r="J576" s="172"/>
      <c r="K576" s="221" t="s">
        <v>1461</v>
      </c>
      <c r="L576" s="173"/>
      <c r="M576" s="173"/>
      <c r="N576" s="173"/>
      <c r="O576" s="216" t="s">
        <v>1183</v>
      </c>
      <c r="P576" s="146"/>
      <c r="Q576" s="146"/>
      <c r="R576" s="146"/>
      <c r="S576" s="146"/>
    </row>
    <row r="577" spans="1:19" x14ac:dyDescent="0.2">
      <c r="A577" s="152"/>
      <c r="B577" s="142"/>
      <c r="C577" s="142"/>
      <c r="D577" s="151" t="s">
        <v>1183</v>
      </c>
      <c r="G577" s="146"/>
      <c r="H577" s="162"/>
      <c r="I577" s="168" t="s">
        <v>1052</v>
      </c>
      <c r="J577" s="146"/>
      <c r="K577" s="175" t="s">
        <v>1103</v>
      </c>
      <c r="L577" s="161"/>
      <c r="M577" s="161"/>
      <c r="N577" s="161"/>
      <c r="O577" s="198" t="s">
        <v>1183</v>
      </c>
      <c r="P577" s="146"/>
      <c r="Q577" s="146"/>
      <c r="R577" s="146"/>
      <c r="S577" s="146"/>
    </row>
    <row r="578" spans="1:19" ht="15.75" thickBot="1" x14ac:dyDescent="0.25">
      <c r="A578" s="152">
        <v>59</v>
      </c>
      <c r="B578" s="142" t="s">
        <v>1462</v>
      </c>
      <c r="C578" s="142" t="s">
        <v>1463</v>
      </c>
      <c r="D578" s="151" t="s">
        <v>1100</v>
      </c>
      <c r="G578" s="146"/>
      <c r="H578" s="250">
        <v>59</v>
      </c>
      <c r="I578" s="251"/>
      <c r="J578" s="252"/>
      <c r="K578" s="274" t="s">
        <v>1463</v>
      </c>
      <c r="L578" s="252"/>
      <c r="M578" s="252"/>
      <c r="N578" s="252"/>
      <c r="O578" s="254" t="s">
        <v>1100</v>
      </c>
      <c r="P578" s="146"/>
      <c r="Q578" s="160">
        <f t="shared" ref="Q578:Q579" si="54">H578</f>
        <v>59</v>
      </c>
      <c r="R578" s="151" t="str">
        <f t="shared" ref="R578:R579" si="55">CONCATENATE("II-",TEXT(Q578,"0000"))</f>
        <v>II-0059</v>
      </c>
      <c r="S578" s="161" t="str">
        <f t="shared" ref="S578:S579" si="56">K578</f>
        <v>PEDRAPLEN</v>
      </c>
    </row>
    <row r="579" spans="1:19" ht="15.75" thickTop="1" x14ac:dyDescent="0.2">
      <c r="A579" s="152">
        <v>60</v>
      </c>
      <c r="B579" s="142" t="s">
        <v>1464</v>
      </c>
      <c r="C579" s="142" t="s">
        <v>1465</v>
      </c>
      <c r="D579" s="151"/>
      <c r="G579" s="146"/>
      <c r="H579" s="184">
        <v>60</v>
      </c>
      <c r="I579" s="186"/>
      <c r="J579" s="196"/>
      <c r="K579" s="241" t="s">
        <v>1465</v>
      </c>
      <c r="L579" s="196"/>
      <c r="M579" s="196"/>
      <c r="N579" s="196"/>
      <c r="O579" s="206"/>
      <c r="P579" s="146"/>
      <c r="Q579" s="160">
        <f t="shared" si="54"/>
        <v>60</v>
      </c>
      <c r="R579" s="151" t="str">
        <f t="shared" si="55"/>
        <v>II-0060</v>
      </c>
      <c r="S579" s="161" t="str">
        <f t="shared" si="56"/>
        <v>PERFILADO</v>
      </c>
    </row>
    <row r="580" spans="1:19" x14ac:dyDescent="0.2">
      <c r="A580" s="152"/>
      <c r="B580" s="142"/>
      <c r="C580" s="142"/>
      <c r="D580" s="151" t="s">
        <v>1183</v>
      </c>
      <c r="G580" s="146"/>
      <c r="H580" s="162"/>
      <c r="I580" s="265" t="s">
        <v>989</v>
      </c>
      <c r="J580" s="146"/>
      <c r="K580" s="161" t="s">
        <v>1466</v>
      </c>
      <c r="L580" s="146"/>
      <c r="M580" s="146"/>
      <c r="N580" s="146"/>
      <c r="O580" s="198" t="s">
        <v>1183</v>
      </c>
      <c r="P580" s="146"/>
      <c r="Q580" s="146"/>
      <c r="R580" s="146"/>
      <c r="S580" s="146"/>
    </row>
    <row r="581" spans="1:19" x14ac:dyDescent="0.2">
      <c r="A581" s="152"/>
      <c r="B581" s="142"/>
      <c r="C581" s="142"/>
      <c r="D581" s="151" t="s">
        <v>1183</v>
      </c>
      <c r="G581" s="146"/>
      <c r="H581" s="162"/>
      <c r="I581" s="163" t="s">
        <v>1016</v>
      </c>
      <c r="J581" s="204"/>
      <c r="K581" s="221" t="s">
        <v>1309</v>
      </c>
      <c r="L581" s="204"/>
      <c r="M581" s="204"/>
      <c r="N581" s="204"/>
      <c r="O581" s="220" t="s">
        <v>1183</v>
      </c>
      <c r="P581" s="146"/>
      <c r="Q581" s="146"/>
      <c r="R581" s="146"/>
      <c r="S581" s="146"/>
    </row>
    <row r="582" spans="1:19" ht="15.75" thickBot="1" x14ac:dyDescent="0.25">
      <c r="A582" s="152"/>
      <c r="B582" s="142"/>
      <c r="C582" s="142"/>
      <c r="D582" s="151" t="s">
        <v>1183</v>
      </c>
      <c r="G582" s="146"/>
      <c r="H582" s="162"/>
      <c r="I582" s="179" t="s">
        <v>1026</v>
      </c>
      <c r="J582" s="146"/>
      <c r="K582" s="161" t="s">
        <v>1428</v>
      </c>
      <c r="L582" s="146"/>
      <c r="M582" s="146"/>
      <c r="N582" s="146"/>
      <c r="O582" s="198" t="s">
        <v>1183</v>
      </c>
      <c r="P582" s="146"/>
      <c r="Q582" s="146"/>
      <c r="R582" s="146"/>
      <c r="S582" s="146"/>
    </row>
    <row r="583" spans="1:19" ht="16.5" thickTop="1" thickBot="1" x14ac:dyDescent="0.25">
      <c r="A583" s="152">
        <v>61</v>
      </c>
      <c r="B583" s="142" t="s">
        <v>1467</v>
      </c>
      <c r="C583" s="142" t="s">
        <v>1468</v>
      </c>
      <c r="D583" s="151" t="s">
        <v>1183</v>
      </c>
      <c r="G583" s="146"/>
      <c r="H583" s="255">
        <v>61</v>
      </c>
      <c r="I583" s="256"/>
      <c r="J583" s="257"/>
      <c r="K583" s="258" t="s">
        <v>1468</v>
      </c>
      <c r="L583" s="257"/>
      <c r="M583" s="257"/>
      <c r="N583" s="257"/>
      <c r="O583" s="259" t="s">
        <v>1183</v>
      </c>
      <c r="P583" s="146"/>
      <c r="Q583" s="160">
        <f t="shared" ref="Q583:Q584" si="57">H583</f>
        <v>61</v>
      </c>
      <c r="R583" s="151" t="str">
        <f t="shared" ref="R583:R584" si="58">CONCATENATE("II-",TEXT(Q583,"0000"))</f>
        <v>II-0061</v>
      </c>
      <c r="S583" s="161" t="str">
        <f t="shared" ref="S583:S584" si="59">K583</f>
        <v>PIEDRA COLOCADA</v>
      </c>
    </row>
    <row r="584" spans="1:19" ht="15.75" thickTop="1" x14ac:dyDescent="0.2">
      <c r="A584" s="152">
        <v>62</v>
      </c>
      <c r="B584" s="142" t="s">
        <v>1469</v>
      </c>
      <c r="C584" s="142" t="s">
        <v>1470</v>
      </c>
      <c r="D584" s="151"/>
      <c r="G584" s="146"/>
      <c r="H584" s="184">
        <v>62</v>
      </c>
      <c r="I584" s="186"/>
      <c r="J584" s="196"/>
      <c r="K584" s="241" t="s">
        <v>1470</v>
      </c>
      <c r="L584" s="196"/>
      <c r="M584" s="196"/>
      <c r="N584" s="196"/>
      <c r="O584" s="206"/>
      <c r="P584" s="146"/>
      <c r="Q584" s="160">
        <f t="shared" si="57"/>
        <v>62</v>
      </c>
      <c r="R584" s="151" t="str">
        <f t="shared" si="58"/>
        <v>II-0062</v>
      </c>
      <c r="S584" s="161" t="str">
        <f t="shared" si="59"/>
        <v>PRADERIZACION</v>
      </c>
    </row>
    <row r="585" spans="1:19" x14ac:dyDescent="0.2">
      <c r="A585" s="152"/>
      <c r="B585" s="142"/>
      <c r="C585" s="142"/>
      <c r="D585" s="151" t="s">
        <v>1183</v>
      </c>
      <c r="G585" s="146"/>
      <c r="H585" s="162"/>
      <c r="I585" s="265" t="s">
        <v>989</v>
      </c>
      <c r="J585" s="146"/>
      <c r="K585" s="161" t="s">
        <v>1471</v>
      </c>
      <c r="L585" s="146"/>
      <c r="M585" s="146"/>
      <c r="N585" s="146"/>
      <c r="O585" s="198" t="s">
        <v>1183</v>
      </c>
      <c r="P585" s="146"/>
      <c r="Q585" s="146"/>
      <c r="R585" s="146"/>
      <c r="S585" s="146"/>
    </row>
    <row r="586" spans="1:19" x14ac:dyDescent="0.2">
      <c r="A586" s="152"/>
      <c r="B586" s="142"/>
      <c r="C586" s="142"/>
      <c r="D586" s="151" t="s">
        <v>1183</v>
      </c>
      <c r="G586" s="146"/>
      <c r="H586" s="162"/>
      <c r="I586" s="163" t="s">
        <v>1016</v>
      </c>
      <c r="J586" s="204"/>
      <c r="K586" s="221" t="s">
        <v>1472</v>
      </c>
      <c r="L586" s="204"/>
      <c r="M586" s="204"/>
      <c r="N586" s="204"/>
      <c r="O586" s="220" t="s">
        <v>1183</v>
      </c>
      <c r="P586" s="146"/>
      <c r="Q586" s="146"/>
      <c r="R586" s="146"/>
      <c r="S586" s="146"/>
    </row>
    <row r="587" spans="1:19" ht="15.75" thickBot="1" x14ac:dyDescent="0.25">
      <c r="A587" s="152"/>
      <c r="B587" s="142"/>
      <c r="C587" s="142"/>
      <c r="D587" s="151" t="s">
        <v>1473</v>
      </c>
      <c r="G587" s="146"/>
      <c r="H587" s="162"/>
      <c r="I587" s="179" t="s">
        <v>1026</v>
      </c>
      <c r="J587" s="146"/>
      <c r="K587" s="161" t="s">
        <v>1474</v>
      </c>
      <c r="L587" s="146"/>
      <c r="M587" s="146"/>
      <c r="N587" s="146"/>
      <c r="O587" s="198" t="s">
        <v>1473</v>
      </c>
      <c r="P587" s="146"/>
      <c r="Q587" s="146"/>
      <c r="R587" s="146"/>
      <c r="S587" s="146"/>
    </row>
    <row r="588" spans="1:19" ht="15.75" thickTop="1" x14ac:dyDescent="0.2">
      <c r="A588" s="152">
        <v>63</v>
      </c>
      <c r="B588" s="142" t="s">
        <v>1475</v>
      </c>
      <c r="C588" s="142" t="s">
        <v>1476</v>
      </c>
      <c r="D588" s="151"/>
      <c r="G588" s="146"/>
      <c r="H588" s="229">
        <v>63</v>
      </c>
      <c r="I588" s="185"/>
      <c r="J588" s="234"/>
      <c r="K588" s="235" t="s">
        <v>1476</v>
      </c>
      <c r="L588" s="234"/>
      <c r="M588" s="234"/>
      <c r="N588" s="234"/>
      <c r="O588" s="187"/>
      <c r="P588" s="146"/>
      <c r="Q588" s="160">
        <f>H588</f>
        <v>63</v>
      </c>
      <c r="R588" s="151" t="str">
        <f>CONCATENATE("II-",TEXT(Q588,"0000"))</f>
        <v>II-0063</v>
      </c>
      <c r="S588" s="161" t="str">
        <f>K588</f>
        <v>PRETILES</v>
      </c>
    </row>
    <row r="589" spans="1:19" x14ac:dyDescent="0.2">
      <c r="A589" s="152"/>
      <c r="B589" s="142"/>
      <c r="C589" s="142"/>
      <c r="D589" s="151" t="s">
        <v>1217</v>
      </c>
      <c r="G589" s="146"/>
      <c r="H589" s="162"/>
      <c r="I589" s="163" t="s">
        <v>989</v>
      </c>
      <c r="J589" s="204"/>
      <c r="K589" s="275" t="s">
        <v>1477</v>
      </c>
      <c r="L589" s="276"/>
      <c r="M589" s="276"/>
      <c r="N589" s="204"/>
      <c r="O589" s="220" t="s">
        <v>1217</v>
      </c>
      <c r="P589" s="146"/>
      <c r="Q589" s="146"/>
      <c r="R589" s="146"/>
      <c r="S589" s="146"/>
    </row>
    <row r="590" spans="1:19" ht="15.75" thickBot="1" x14ac:dyDescent="0.25">
      <c r="A590" s="152"/>
      <c r="B590" s="142"/>
      <c r="C590" s="142"/>
      <c r="D590" s="151" t="s">
        <v>1217</v>
      </c>
      <c r="G590" s="146"/>
      <c r="H590" s="177"/>
      <c r="I590" s="179" t="s">
        <v>1016</v>
      </c>
      <c r="J590" s="180"/>
      <c r="K590" s="277" t="s">
        <v>1478</v>
      </c>
      <c r="L590" s="278"/>
      <c r="M590" s="278"/>
      <c r="N590" s="180"/>
      <c r="O590" s="242" t="s">
        <v>1217</v>
      </c>
      <c r="P590" s="146"/>
      <c r="Q590" s="146"/>
      <c r="R590" s="146"/>
      <c r="S590" s="146"/>
    </row>
    <row r="591" spans="1:19" ht="15.75" thickTop="1" x14ac:dyDescent="0.2">
      <c r="A591" s="152">
        <v>64</v>
      </c>
      <c r="B591" s="142" t="s">
        <v>1479</v>
      </c>
      <c r="C591" s="142" t="s">
        <v>1480</v>
      </c>
      <c r="D591" s="151"/>
      <c r="G591" s="146"/>
      <c r="H591" s="184">
        <v>64</v>
      </c>
      <c r="I591" s="186"/>
      <c r="J591" s="196"/>
      <c r="K591" s="241" t="s">
        <v>1480</v>
      </c>
      <c r="L591" s="196"/>
      <c r="M591" s="196"/>
      <c r="N591" s="196"/>
      <c r="O591" s="206"/>
      <c r="P591" s="146"/>
      <c r="Q591" s="160">
        <f>H591</f>
        <v>64</v>
      </c>
      <c r="R591" s="151" t="str">
        <f>CONCATENATE("II-",TEXT(Q591,"0000"))</f>
        <v>II-0064</v>
      </c>
      <c r="S591" s="161" t="str">
        <f>K591</f>
        <v>PROTECCION DE DUCTOS</v>
      </c>
    </row>
    <row r="592" spans="1:19" ht="15.75" thickBot="1" x14ac:dyDescent="0.25">
      <c r="A592" s="152"/>
      <c r="B592" s="142"/>
      <c r="C592" s="142"/>
      <c r="D592" s="151" t="s">
        <v>1225</v>
      </c>
      <c r="G592" s="146"/>
      <c r="H592" s="162"/>
      <c r="I592" s="189" t="s">
        <v>989</v>
      </c>
      <c r="J592" s="146"/>
      <c r="K592" s="161" t="s">
        <v>1481</v>
      </c>
      <c r="L592" s="161"/>
      <c r="M592" s="161"/>
      <c r="N592" s="146"/>
      <c r="O592" s="198" t="s">
        <v>1225</v>
      </c>
      <c r="P592" s="146"/>
      <c r="Q592" s="146"/>
      <c r="R592" s="146"/>
      <c r="S592" s="146"/>
    </row>
    <row r="593" spans="1:19" ht="15.75" thickTop="1" x14ac:dyDescent="0.2">
      <c r="A593" s="152">
        <v>65</v>
      </c>
      <c r="B593" s="142" t="s">
        <v>1482</v>
      </c>
      <c r="C593" s="142" t="s">
        <v>1483</v>
      </c>
      <c r="D593" s="151"/>
      <c r="G593" s="146"/>
      <c r="H593" s="229">
        <v>65</v>
      </c>
      <c r="I593" s="185"/>
      <c r="J593" s="234"/>
      <c r="K593" s="235" t="s">
        <v>1483</v>
      </c>
      <c r="L593" s="234"/>
      <c r="M593" s="234"/>
      <c r="N593" s="234"/>
      <c r="O593" s="187"/>
      <c r="P593" s="146"/>
      <c r="Q593" s="160">
        <f>H593</f>
        <v>65</v>
      </c>
      <c r="R593" s="151" t="str">
        <f>CONCATENATE("II-",TEXT(Q593,"0000"))</f>
        <v>II-0065</v>
      </c>
      <c r="S593" s="161" t="str">
        <f>K593</f>
        <v xml:space="preserve">PUENTE </v>
      </c>
    </row>
    <row r="594" spans="1:19" x14ac:dyDescent="0.2">
      <c r="A594" s="152"/>
      <c r="B594" s="142"/>
      <c r="C594" s="142"/>
      <c r="D594" s="151" t="s">
        <v>1100</v>
      </c>
      <c r="G594" s="146"/>
      <c r="H594" s="279"/>
      <c r="I594" s="265" t="s">
        <v>989</v>
      </c>
      <c r="J594" s="146"/>
      <c r="K594" s="161" t="s">
        <v>1484</v>
      </c>
      <c r="L594" s="161"/>
      <c r="M594" s="161"/>
      <c r="N594" s="146"/>
      <c r="O594" s="198" t="s">
        <v>1100</v>
      </c>
      <c r="P594" s="146"/>
      <c r="Q594" s="146"/>
      <c r="R594" s="146"/>
      <c r="S594" s="146"/>
    </row>
    <row r="595" spans="1:19" x14ac:dyDescent="0.2">
      <c r="A595" s="152"/>
      <c r="B595" s="142"/>
      <c r="C595" s="142"/>
      <c r="D595" s="151" t="s">
        <v>1100</v>
      </c>
      <c r="G595" s="146"/>
      <c r="H595" s="279"/>
      <c r="I595" s="163" t="s">
        <v>1016</v>
      </c>
      <c r="J595" s="204"/>
      <c r="K595" s="221" t="s">
        <v>1099</v>
      </c>
      <c r="L595" s="221"/>
      <c r="M595" s="221"/>
      <c r="N595" s="204"/>
      <c r="O595" s="220" t="s">
        <v>1100</v>
      </c>
      <c r="P595" s="146"/>
      <c r="Q595" s="146"/>
      <c r="R595" s="146"/>
      <c r="S595" s="146"/>
    </row>
    <row r="596" spans="1:19" x14ac:dyDescent="0.2">
      <c r="A596" s="152"/>
      <c r="B596" s="142"/>
      <c r="C596" s="142"/>
      <c r="D596" s="151" t="s">
        <v>993</v>
      </c>
      <c r="G596" s="146"/>
      <c r="H596" s="279"/>
      <c r="I596" s="163" t="s">
        <v>1026</v>
      </c>
      <c r="J596" s="204"/>
      <c r="K596" s="221" t="s">
        <v>1103</v>
      </c>
      <c r="L596" s="221"/>
      <c r="M596" s="221"/>
      <c r="N596" s="204"/>
      <c r="O596" s="220" t="s">
        <v>993</v>
      </c>
      <c r="P596" s="146"/>
      <c r="Q596" s="146"/>
      <c r="R596" s="146"/>
      <c r="S596" s="146"/>
    </row>
    <row r="597" spans="1:19" x14ac:dyDescent="0.2">
      <c r="A597" s="152"/>
      <c r="B597" s="142"/>
      <c r="C597" s="142"/>
      <c r="D597" s="151"/>
      <c r="G597" s="146"/>
      <c r="H597" s="279"/>
      <c r="I597" s="163" t="s">
        <v>1052</v>
      </c>
      <c r="J597" s="166"/>
      <c r="K597" s="161" t="s">
        <v>1485</v>
      </c>
      <c r="L597" s="161"/>
      <c r="M597" s="161"/>
      <c r="N597" s="146"/>
      <c r="O597" s="198"/>
      <c r="P597" s="146"/>
      <c r="Q597" s="146"/>
      <c r="R597" s="146"/>
      <c r="S597" s="146"/>
    </row>
    <row r="598" spans="1:19" x14ac:dyDescent="0.2">
      <c r="A598" s="152"/>
      <c r="B598" s="142"/>
      <c r="C598" s="142"/>
      <c r="D598" s="151" t="s">
        <v>1183</v>
      </c>
      <c r="G598" s="146"/>
      <c r="H598" s="279"/>
      <c r="I598" s="151"/>
      <c r="J598" s="280">
        <v>1</v>
      </c>
      <c r="K598" s="161"/>
      <c r="L598" s="161" t="s">
        <v>1093</v>
      </c>
      <c r="M598" s="161"/>
      <c r="N598" s="146"/>
      <c r="O598" s="198" t="s">
        <v>1183</v>
      </c>
      <c r="P598" s="146"/>
      <c r="Q598" s="146"/>
      <c r="R598" s="146"/>
      <c r="S598" s="146"/>
    </row>
    <row r="599" spans="1:19" ht="15.75" thickBot="1" x14ac:dyDescent="0.25">
      <c r="A599" s="152"/>
      <c r="B599" s="142"/>
      <c r="C599" s="142"/>
      <c r="D599" s="151" t="s">
        <v>1486</v>
      </c>
      <c r="G599" s="146"/>
      <c r="H599" s="281"/>
      <c r="I599" s="178"/>
      <c r="J599" s="282">
        <v>2</v>
      </c>
      <c r="K599" s="181"/>
      <c r="L599" s="181" t="s">
        <v>1487</v>
      </c>
      <c r="M599" s="181"/>
      <c r="N599" s="180"/>
      <c r="O599" s="242" t="s">
        <v>1486</v>
      </c>
      <c r="P599" s="146"/>
      <c r="Q599" s="146"/>
      <c r="R599" s="146"/>
      <c r="S599" s="146"/>
    </row>
    <row r="600" spans="1:19" ht="15.75" thickTop="1" x14ac:dyDescent="0.2">
      <c r="A600" s="152">
        <v>66</v>
      </c>
      <c r="B600" s="142" t="s">
        <v>1488</v>
      </c>
      <c r="C600" s="142" t="s">
        <v>1489</v>
      </c>
      <c r="D600" s="151"/>
      <c r="G600" s="146"/>
      <c r="H600" s="184">
        <v>66</v>
      </c>
      <c r="I600" s="186"/>
      <c r="J600" s="196"/>
      <c r="K600" s="241" t="s">
        <v>1489</v>
      </c>
      <c r="L600" s="196"/>
      <c r="M600" s="196"/>
      <c r="N600" s="196"/>
      <c r="O600" s="206"/>
      <c r="P600" s="146"/>
      <c r="Q600" s="160">
        <f>H600</f>
        <v>66</v>
      </c>
      <c r="R600" s="151" t="str">
        <f>CONCATENATE("II-",TEXT(Q600,"0000"))</f>
        <v>II-0066</v>
      </c>
      <c r="S600" s="161" t="str">
        <f>K600</f>
        <v>PUENTE BAYLEY / FM</v>
      </c>
    </row>
    <row r="601" spans="1:19" x14ac:dyDescent="0.2">
      <c r="A601" s="152"/>
      <c r="B601" s="142"/>
      <c r="C601" s="142"/>
      <c r="D601" s="151" t="s">
        <v>1225</v>
      </c>
      <c r="G601" s="146"/>
      <c r="H601" s="162"/>
      <c r="I601" s="265" t="s">
        <v>989</v>
      </c>
      <c r="J601" s="146"/>
      <c r="K601" s="161" t="s">
        <v>1490</v>
      </c>
      <c r="L601" s="146"/>
      <c r="M601" s="146"/>
      <c r="N601" s="146"/>
      <c r="O601" s="198" t="s">
        <v>1225</v>
      </c>
      <c r="P601" s="146"/>
      <c r="Q601" s="146"/>
      <c r="R601" s="146"/>
      <c r="S601" s="146"/>
    </row>
    <row r="602" spans="1:19" x14ac:dyDescent="0.2">
      <c r="A602" s="152"/>
      <c r="B602" s="142"/>
      <c r="C602" s="142"/>
      <c r="D602" s="151" t="s">
        <v>1225</v>
      </c>
      <c r="G602" s="146"/>
      <c r="H602" s="162"/>
      <c r="I602" s="163" t="s">
        <v>1016</v>
      </c>
      <c r="J602" s="204"/>
      <c r="K602" s="221" t="s">
        <v>1491</v>
      </c>
      <c r="L602" s="204"/>
      <c r="M602" s="204"/>
      <c r="N602" s="204"/>
      <c r="O602" s="220" t="s">
        <v>1225</v>
      </c>
      <c r="P602" s="146"/>
      <c r="Q602" s="146"/>
      <c r="R602" s="146"/>
      <c r="S602" s="146"/>
    </row>
    <row r="603" spans="1:19" x14ac:dyDescent="0.2">
      <c r="A603" s="152"/>
      <c r="B603" s="142"/>
      <c r="C603" s="142"/>
      <c r="D603" s="151" t="s">
        <v>1225</v>
      </c>
      <c r="G603" s="146"/>
      <c r="H603" s="162"/>
      <c r="I603" s="163" t="s">
        <v>1026</v>
      </c>
      <c r="J603" s="146"/>
      <c r="K603" s="221" t="s">
        <v>1103</v>
      </c>
      <c r="L603" s="204"/>
      <c r="M603" s="204"/>
      <c r="N603" s="204"/>
      <c r="O603" s="220" t="s">
        <v>1225</v>
      </c>
      <c r="P603" s="146"/>
      <c r="Q603" s="146"/>
      <c r="R603" s="146"/>
      <c r="S603" s="146"/>
    </row>
    <row r="604" spans="1:19" x14ac:dyDescent="0.2">
      <c r="A604" s="152"/>
      <c r="B604" s="142"/>
      <c r="C604" s="142"/>
      <c r="D604" s="151"/>
      <c r="G604" s="146"/>
      <c r="H604" s="162"/>
      <c r="I604" s="171" t="s">
        <v>1052</v>
      </c>
      <c r="J604" s="166"/>
      <c r="K604" s="161" t="s">
        <v>1485</v>
      </c>
      <c r="L604" s="161"/>
      <c r="M604" s="161"/>
      <c r="N604" s="146"/>
      <c r="O604" s="198"/>
      <c r="P604" s="146"/>
      <c r="Q604" s="146"/>
      <c r="R604" s="146"/>
      <c r="S604" s="146"/>
    </row>
    <row r="605" spans="1:19" ht="15.75" thickBot="1" x14ac:dyDescent="0.25">
      <c r="A605" s="152"/>
      <c r="B605" s="142"/>
      <c r="C605" s="142"/>
      <c r="D605" s="151" t="s">
        <v>965</v>
      </c>
      <c r="G605" s="146"/>
      <c r="H605" s="162"/>
      <c r="I605" s="151"/>
      <c r="J605" s="280">
        <v>1</v>
      </c>
      <c r="K605" s="161"/>
      <c r="L605" s="161" t="s">
        <v>1093</v>
      </c>
      <c r="M605" s="161"/>
      <c r="N605" s="146"/>
      <c r="O605" s="198" t="s">
        <v>965</v>
      </c>
      <c r="P605" s="146"/>
      <c r="Q605" s="146"/>
      <c r="R605" s="146"/>
      <c r="S605" s="146"/>
    </row>
    <row r="606" spans="1:19" ht="15.75" thickTop="1" x14ac:dyDescent="0.2">
      <c r="A606" s="152">
        <v>67</v>
      </c>
      <c r="B606" s="142" t="s">
        <v>1492</v>
      </c>
      <c r="C606" s="142" t="s">
        <v>1493</v>
      </c>
      <c r="D606" s="151"/>
      <c r="G606" s="146"/>
      <c r="H606" s="229">
        <v>67</v>
      </c>
      <c r="I606" s="185"/>
      <c r="J606" s="234"/>
      <c r="K606" s="235" t="s">
        <v>1493</v>
      </c>
      <c r="L606" s="234"/>
      <c r="M606" s="234"/>
      <c r="N606" s="234"/>
      <c r="O606" s="187"/>
      <c r="P606" s="146"/>
      <c r="Q606" s="160">
        <f>H606</f>
        <v>67</v>
      </c>
      <c r="R606" s="151" t="str">
        <f>CONCATENATE("II-",TEXT(Q606,"0000"))</f>
        <v>II-0067</v>
      </c>
      <c r="S606" s="161" t="str">
        <f>K606</f>
        <v>PUENTE CANAL</v>
      </c>
    </row>
    <row r="607" spans="1:19" ht="15.75" thickBot="1" x14ac:dyDescent="0.25">
      <c r="A607" s="152"/>
      <c r="B607" s="142"/>
      <c r="C607" s="142"/>
      <c r="D607" s="151" t="s">
        <v>1225</v>
      </c>
      <c r="G607" s="146"/>
      <c r="H607" s="188"/>
      <c r="I607" s="189" t="s">
        <v>989</v>
      </c>
      <c r="J607" s="192"/>
      <c r="K607" s="223" t="s">
        <v>1494</v>
      </c>
      <c r="L607" s="192"/>
      <c r="M607" s="192"/>
      <c r="N607" s="192"/>
      <c r="O607" s="224" t="s">
        <v>1225</v>
      </c>
      <c r="P607" s="146"/>
      <c r="Q607" s="146"/>
      <c r="R607" s="146"/>
      <c r="S607" s="146"/>
    </row>
    <row r="608" spans="1:19" ht="15.75" thickTop="1" x14ac:dyDescent="0.2">
      <c r="A608" s="152">
        <v>68</v>
      </c>
      <c r="B608" s="142" t="s">
        <v>1495</v>
      </c>
      <c r="C608" s="142" t="s">
        <v>1496</v>
      </c>
      <c r="D608" s="151"/>
      <c r="G608" s="146"/>
      <c r="H608" s="184">
        <v>68</v>
      </c>
      <c r="I608" s="186"/>
      <c r="J608" s="196"/>
      <c r="K608" s="241" t="s">
        <v>1496</v>
      </c>
      <c r="L608" s="196"/>
      <c r="M608" s="196"/>
      <c r="N608" s="196"/>
      <c r="O608" s="206"/>
      <c r="P608" s="146"/>
      <c r="Q608" s="160">
        <f>H608</f>
        <v>68</v>
      </c>
      <c r="R608" s="151" t="str">
        <f>CONCATENATE("II-",TEXT(Q608,"0000"))</f>
        <v>II-0068</v>
      </c>
      <c r="S608" s="161" t="str">
        <f>K608</f>
        <v>REACONDICIONAMIENTO</v>
      </c>
    </row>
    <row r="609" spans="1:19" x14ac:dyDescent="0.2">
      <c r="A609" s="152"/>
      <c r="B609" s="142"/>
      <c r="C609" s="142"/>
      <c r="D609" s="151" t="s">
        <v>1225</v>
      </c>
      <c r="G609" s="146"/>
      <c r="H609" s="162"/>
      <c r="I609" s="265" t="s">
        <v>989</v>
      </c>
      <c r="J609" s="146"/>
      <c r="K609" s="161" t="s">
        <v>1042</v>
      </c>
      <c r="L609" s="146"/>
      <c r="M609" s="146"/>
      <c r="N609" s="146"/>
      <c r="O609" s="198" t="s">
        <v>1225</v>
      </c>
      <c r="P609" s="146"/>
      <c r="Q609" s="146"/>
      <c r="R609" s="146"/>
      <c r="S609" s="146"/>
    </row>
    <row r="610" spans="1:19" x14ac:dyDescent="0.2">
      <c r="A610" s="152"/>
      <c r="B610" s="142"/>
      <c r="C610" s="142"/>
      <c r="D610" s="151" t="s">
        <v>1100</v>
      </c>
      <c r="G610" s="146"/>
      <c r="H610" s="162"/>
      <c r="I610" s="163" t="s">
        <v>1016</v>
      </c>
      <c r="J610" s="204"/>
      <c r="K610" s="221" t="s">
        <v>1497</v>
      </c>
      <c r="L610" s="204"/>
      <c r="M610" s="204"/>
      <c r="N610" s="204"/>
      <c r="O610" s="220" t="s">
        <v>1100</v>
      </c>
      <c r="P610" s="146"/>
      <c r="Q610" s="146"/>
      <c r="R610" s="146"/>
      <c r="S610" s="146"/>
    </row>
    <row r="611" spans="1:19" ht="15.75" thickBot="1" x14ac:dyDescent="0.25">
      <c r="A611" s="152"/>
      <c r="B611" s="142"/>
      <c r="C611" s="142"/>
      <c r="D611" s="151" t="s">
        <v>1225</v>
      </c>
      <c r="G611" s="146"/>
      <c r="H611" s="162"/>
      <c r="I611" s="179" t="s">
        <v>1026</v>
      </c>
      <c r="J611" s="146"/>
      <c r="K611" s="161" t="s">
        <v>1498</v>
      </c>
      <c r="L611" s="146"/>
      <c r="M611" s="146"/>
      <c r="N611" s="146"/>
      <c r="O611" s="198" t="s">
        <v>1225</v>
      </c>
      <c r="P611" s="146"/>
      <c r="Q611" s="146"/>
      <c r="R611" s="146"/>
      <c r="S611" s="146"/>
    </row>
    <row r="612" spans="1:19" ht="15.75" thickTop="1" x14ac:dyDescent="0.2">
      <c r="A612" s="152">
        <v>69</v>
      </c>
      <c r="B612" s="142" t="s">
        <v>1499</v>
      </c>
      <c r="C612" s="142" t="s">
        <v>1500</v>
      </c>
      <c r="D612" s="151"/>
      <c r="G612" s="146"/>
      <c r="H612" s="229">
        <v>69</v>
      </c>
      <c r="I612" s="185"/>
      <c r="J612" s="234"/>
      <c r="K612" s="235" t="s">
        <v>1500</v>
      </c>
      <c r="L612" s="234"/>
      <c r="M612" s="234"/>
      <c r="N612" s="234"/>
      <c r="O612" s="187"/>
      <c r="P612" s="146"/>
      <c r="Q612" s="160">
        <f>H612</f>
        <v>69</v>
      </c>
      <c r="R612" s="151" t="str">
        <f>CONCATENATE("II-",TEXT(Q612,"0000"))</f>
        <v>II-0069</v>
      </c>
      <c r="S612" s="161" t="str">
        <f>K612</f>
        <v>RECICLADO DE PAVIMENTO</v>
      </c>
    </row>
    <row r="613" spans="1:19" x14ac:dyDescent="0.2">
      <c r="A613" s="152"/>
      <c r="B613" s="142"/>
      <c r="C613" s="142"/>
      <c r="D613" s="151" t="s">
        <v>1100</v>
      </c>
      <c r="G613" s="146"/>
      <c r="H613" s="279"/>
      <c r="I613" s="171" t="s">
        <v>989</v>
      </c>
      <c r="J613" s="204"/>
      <c r="K613" s="221" t="s">
        <v>1501</v>
      </c>
      <c r="L613" s="221"/>
      <c r="M613" s="221"/>
      <c r="N613" s="204"/>
      <c r="O613" s="220" t="s">
        <v>1100</v>
      </c>
      <c r="P613" s="146"/>
      <c r="Q613" s="146"/>
      <c r="R613" s="146"/>
      <c r="S613" s="146"/>
    </row>
    <row r="614" spans="1:19" x14ac:dyDescent="0.2">
      <c r="A614" s="152"/>
      <c r="B614" s="142"/>
      <c r="C614" s="142"/>
      <c r="D614" s="151"/>
      <c r="G614" s="146"/>
      <c r="H614" s="279"/>
      <c r="I614" s="163" t="s">
        <v>1016</v>
      </c>
      <c r="J614" s="151"/>
      <c r="K614" s="161" t="s">
        <v>1502</v>
      </c>
      <c r="L614" s="161"/>
      <c r="M614" s="161"/>
      <c r="N614" s="146"/>
      <c r="O614" s="198"/>
      <c r="P614" s="146"/>
      <c r="Q614" s="146"/>
      <c r="R614" s="146"/>
      <c r="S614" s="146"/>
    </row>
    <row r="615" spans="1:19" x14ac:dyDescent="0.2">
      <c r="A615" s="152"/>
      <c r="B615" s="142"/>
      <c r="C615" s="142"/>
      <c r="D615" s="151" t="s">
        <v>1100</v>
      </c>
      <c r="G615" s="146"/>
      <c r="H615" s="279"/>
      <c r="I615" s="151"/>
      <c r="J615" s="168">
        <v>1</v>
      </c>
      <c r="K615" s="161"/>
      <c r="L615" s="161" t="s">
        <v>1503</v>
      </c>
      <c r="M615" s="146"/>
      <c r="N615" s="146"/>
      <c r="O615" s="198" t="s">
        <v>1100</v>
      </c>
      <c r="P615" s="146"/>
      <c r="Q615" s="146"/>
      <c r="R615" s="146"/>
      <c r="S615" s="146"/>
    </row>
    <row r="616" spans="1:19" ht="15.75" thickBot="1" x14ac:dyDescent="0.25">
      <c r="A616" s="152"/>
      <c r="B616" s="142"/>
      <c r="C616" s="142"/>
      <c r="D616" s="151" t="s">
        <v>1100</v>
      </c>
      <c r="G616" s="146"/>
      <c r="H616" s="281"/>
      <c r="I616" s="178"/>
      <c r="J616" s="179">
        <v>2</v>
      </c>
      <c r="K616" s="181"/>
      <c r="L616" s="181" t="s">
        <v>1504</v>
      </c>
      <c r="M616" s="180"/>
      <c r="N616" s="180"/>
      <c r="O616" s="242" t="s">
        <v>1100</v>
      </c>
      <c r="P616" s="146"/>
      <c r="Q616" s="146"/>
      <c r="R616" s="146"/>
      <c r="S616" s="146"/>
    </row>
    <row r="617" spans="1:19" ht="16.5" thickTop="1" thickBot="1" x14ac:dyDescent="0.25">
      <c r="A617" s="152">
        <v>70</v>
      </c>
      <c r="B617" s="142" t="s">
        <v>1505</v>
      </c>
      <c r="C617" s="142" t="s">
        <v>1506</v>
      </c>
      <c r="D617" s="151" t="s">
        <v>1183</v>
      </c>
      <c r="G617" s="146"/>
      <c r="H617" s="184">
        <v>70</v>
      </c>
      <c r="I617" s="186"/>
      <c r="J617" s="196"/>
      <c r="K617" s="241" t="s">
        <v>1506</v>
      </c>
      <c r="L617" s="196"/>
      <c r="M617" s="196"/>
      <c r="N617" s="196"/>
      <c r="O617" s="206" t="s">
        <v>1183</v>
      </c>
      <c r="P617" s="146"/>
      <c r="Q617" s="160">
        <f t="shared" ref="Q617:Q618" si="60">H617</f>
        <v>70</v>
      </c>
      <c r="R617" s="151" t="str">
        <f t="shared" ref="R617:R618" si="61">CONCATENATE("II-",TEXT(Q617,"0000"))</f>
        <v>II-0070</v>
      </c>
      <c r="S617" s="161" t="str">
        <f t="shared" ref="S617:S618" si="62">K617</f>
        <v>RECLAMADO</v>
      </c>
    </row>
    <row r="618" spans="1:19" ht="15.75" thickTop="1" x14ac:dyDescent="0.2">
      <c r="A618" s="152">
        <v>71</v>
      </c>
      <c r="B618" s="142" t="s">
        <v>1507</v>
      </c>
      <c r="C618" s="142" t="s">
        <v>1508</v>
      </c>
      <c r="D618" s="151"/>
      <c r="G618" s="146"/>
      <c r="H618" s="229">
        <v>71</v>
      </c>
      <c r="I618" s="185"/>
      <c r="J618" s="234"/>
      <c r="K618" s="273" t="s">
        <v>1508</v>
      </c>
      <c r="L618" s="234"/>
      <c r="M618" s="234"/>
      <c r="N618" s="234"/>
      <c r="O618" s="187"/>
      <c r="P618" s="146"/>
      <c r="Q618" s="160">
        <f t="shared" si="60"/>
        <v>71</v>
      </c>
      <c r="R618" s="151" t="str">
        <f t="shared" si="61"/>
        <v>II-0071</v>
      </c>
      <c r="S618" s="161" t="str">
        <f t="shared" si="62"/>
        <v>RECUBRIMIENTO VEGETAL</v>
      </c>
    </row>
    <row r="619" spans="1:19" x14ac:dyDescent="0.2">
      <c r="A619" s="152"/>
      <c r="B619" s="142"/>
      <c r="C619" s="142"/>
      <c r="D619" s="151" t="s">
        <v>1183</v>
      </c>
      <c r="G619" s="146"/>
      <c r="H619" s="162"/>
      <c r="I619" s="163" t="s">
        <v>989</v>
      </c>
      <c r="J619" s="204"/>
      <c r="K619" s="221" t="s">
        <v>1289</v>
      </c>
      <c r="L619" s="221"/>
      <c r="M619" s="221"/>
      <c r="N619" s="204"/>
      <c r="O619" s="220" t="s">
        <v>1183</v>
      </c>
      <c r="P619" s="146"/>
      <c r="Q619" s="146"/>
      <c r="R619" s="146"/>
      <c r="S619" s="146"/>
    </row>
    <row r="620" spans="1:19" ht="15.75" thickBot="1" x14ac:dyDescent="0.25">
      <c r="A620" s="152"/>
      <c r="B620" s="142"/>
      <c r="C620" s="142"/>
      <c r="D620" s="151" t="s">
        <v>966</v>
      </c>
      <c r="G620" s="146"/>
      <c r="H620" s="162"/>
      <c r="I620" s="179" t="s">
        <v>1016</v>
      </c>
      <c r="J620" s="146"/>
      <c r="K620" s="181" t="s">
        <v>1291</v>
      </c>
      <c r="L620" s="161"/>
      <c r="M620" s="161"/>
      <c r="N620" s="146"/>
      <c r="O620" s="198" t="s">
        <v>966</v>
      </c>
      <c r="P620" s="146"/>
      <c r="Q620" s="146"/>
      <c r="R620" s="146"/>
      <c r="S620" s="146"/>
    </row>
    <row r="621" spans="1:19" ht="16.5" thickTop="1" thickBot="1" x14ac:dyDescent="0.25">
      <c r="A621" s="152">
        <v>72</v>
      </c>
      <c r="B621" s="142" t="s">
        <v>1509</v>
      </c>
      <c r="C621" s="142" t="s">
        <v>1510</v>
      </c>
      <c r="D621" s="151" t="s">
        <v>5</v>
      </c>
      <c r="G621" s="146"/>
      <c r="H621" s="236">
        <v>72</v>
      </c>
      <c r="I621" s="237"/>
      <c r="J621" s="238"/>
      <c r="K621" s="239" t="s">
        <v>1510</v>
      </c>
      <c r="L621" s="238"/>
      <c r="M621" s="238"/>
      <c r="N621" s="238"/>
      <c r="O621" s="240" t="s">
        <v>5</v>
      </c>
      <c r="P621" s="146"/>
      <c r="Q621" s="160">
        <f>H621</f>
        <v>72</v>
      </c>
      <c r="R621" s="151" t="str">
        <f>CONCATENATE("II-",TEXT(Q621,"0000"))</f>
        <v>II-0072</v>
      </c>
      <c r="S621" s="161" t="str">
        <f>K621</f>
        <v>RESTITUCION DE GALIVO</v>
      </c>
    </row>
    <row r="622" spans="1:19" x14ac:dyDescent="0.2">
      <c r="A622" s="152"/>
      <c r="B622" s="142"/>
      <c r="C622" s="142"/>
      <c r="D622" s="151"/>
      <c r="G622" s="146"/>
      <c r="H622" s="214"/>
      <c r="I622" s="151"/>
      <c r="J622" s="146"/>
      <c r="K622" s="161"/>
      <c r="L622" s="146"/>
      <c r="M622" s="146"/>
      <c r="N622" s="146"/>
      <c r="O622" s="149"/>
      <c r="P622" s="146"/>
      <c r="Q622" s="146"/>
      <c r="R622" s="146"/>
      <c r="S622" s="146"/>
    </row>
    <row r="623" spans="1:19" x14ac:dyDescent="0.2">
      <c r="A623" s="152"/>
      <c r="B623" s="142"/>
      <c r="C623" s="142"/>
      <c r="D623" s="151"/>
      <c r="G623" s="146"/>
      <c r="H623" s="214"/>
      <c r="I623" s="151"/>
      <c r="J623" s="146"/>
      <c r="K623" s="161"/>
      <c r="L623" s="146"/>
      <c r="M623" s="146"/>
      <c r="N623" s="146"/>
      <c r="O623" s="149"/>
      <c r="P623" s="146"/>
      <c r="Q623" s="146"/>
      <c r="R623" s="146"/>
      <c r="S623" s="146"/>
    </row>
    <row r="624" spans="1:19" x14ac:dyDescent="0.2">
      <c r="A624" s="152"/>
      <c r="B624" s="142"/>
      <c r="C624" s="142"/>
      <c r="D624" s="151"/>
      <c r="G624" s="146"/>
      <c r="H624" s="184">
        <v>73</v>
      </c>
      <c r="I624" s="186"/>
      <c r="J624" s="196"/>
      <c r="K624" s="241" t="s">
        <v>1511</v>
      </c>
      <c r="L624" s="196"/>
      <c r="M624" s="196"/>
      <c r="N624" s="196"/>
      <c r="O624" s="206"/>
      <c r="P624" s="146"/>
      <c r="Q624" s="146"/>
      <c r="R624" s="146"/>
      <c r="S624" s="146"/>
    </row>
    <row r="625" spans="1:19" x14ac:dyDescent="0.2">
      <c r="A625" s="152"/>
      <c r="B625" s="142"/>
      <c r="C625" s="142"/>
      <c r="D625" s="151"/>
      <c r="G625" s="146"/>
      <c r="H625" s="279"/>
      <c r="I625" s="163" t="s">
        <v>989</v>
      </c>
      <c r="J625" s="166"/>
      <c r="K625" s="161" t="s">
        <v>1466</v>
      </c>
      <c r="L625" s="161"/>
      <c r="M625" s="161"/>
      <c r="N625" s="146"/>
      <c r="O625" s="198"/>
      <c r="P625" s="146"/>
      <c r="Q625" s="146"/>
      <c r="R625" s="146"/>
      <c r="S625" s="146"/>
    </row>
    <row r="626" spans="1:19" x14ac:dyDescent="0.2">
      <c r="A626" s="152"/>
      <c r="B626" s="142"/>
      <c r="C626" s="142"/>
      <c r="D626" s="151" t="s">
        <v>1183</v>
      </c>
      <c r="G626" s="146"/>
      <c r="H626" s="279"/>
      <c r="I626" s="151"/>
      <c r="J626" s="168">
        <v>1</v>
      </c>
      <c r="K626" s="161"/>
      <c r="L626" s="161" t="s">
        <v>1294</v>
      </c>
      <c r="M626" s="161"/>
      <c r="N626" s="146"/>
      <c r="O626" s="198" t="s">
        <v>1183</v>
      </c>
      <c r="P626" s="146"/>
      <c r="Q626" s="146"/>
      <c r="R626" s="146"/>
      <c r="S626" s="146"/>
    </row>
    <row r="627" spans="1:19" x14ac:dyDescent="0.2">
      <c r="A627" s="152"/>
      <c r="B627" s="142"/>
      <c r="C627" s="142"/>
      <c r="D627" s="151" t="s">
        <v>1183</v>
      </c>
      <c r="G627" s="146"/>
      <c r="H627" s="279"/>
      <c r="I627" s="151"/>
      <c r="J627" s="168">
        <v>2</v>
      </c>
      <c r="K627" s="161"/>
      <c r="L627" s="161" t="s">
        <v>1512</v>
      </c>
      <c r="M627" s="146"/>
      <c r="N627" s="146"/>
      <c r="O627" s="198" t="s">
        <v>1183</v>
      </c>
      <c r="P627" s="146"/>
      <c r="Q627" s="146"/>
      <c r="R627" s="146"/>
      <c r="S627" s="146"/>
    </row>
    <row r="628" spans="1:19" x14ac:dyDescent="0.2">
      <c r="A628" s="152"/>
      <c r="B628" s="142"/>
      <c r="C628" s="142"/>
      <c r="D628" s="151" t="s">
        <v>1183</v>
      </c>
      <c r="G628" s="146"/>
      <c r="H628" s="279"/>
      <c r="I628" s="151"/>
      <c r="J628" s="168">
        <v>3</v>
      </c>
      <c r="K628" s="161"/>
      <c r="L628" s="161" t="s">
        <v>1513</v>
      </c>
      <c r="M628" s="146"/>
      <c r="N628" s="146"/>
      <c r="O628" s="198" t="s">
        <v>1183</v>
      </c>
      <c r="P628" s="146"/>
      <c r="Q628" s="146"/>
      <c r="R628" s="146"/>
      <c r="S628" s="146"/>
    </row>
    <row r="629" spans="1:19" x14ac:dyDescent="0.2">
      <c r="A629" s="152"/>
      <c r="B629" s="142"/>
      <c r="C629" s="142"/>
      <c r="D629" s="151" t="s">
        <v>1183</v>
      </c>
      <c r="G629" s="146"/>
      <c r="H629" s="279"/>
      <c r="I629" s="151"/>
      <c r="J629" s="168">
        <v>4</v>
      </c>
      <c r="K629" s="161"/>
      <c r="L629" s="161" t="s">
        <v>1514</v>
      </c>
      <c r="M629" s="146"/>
      <c r="N629" s="146"/>
      <c r="O629" s="198" t="s">
        <v>1183</v>
      </c>
      <c r="P629" s="146"/>
      <c r="Q629" s="146"/>
      <c r="R629" s="146"/>
      <c r="S629" s="146"/>
    </row>
    <row r="630" spans="1:19" x14ac:dyDescent="0.2">
      <c r="A630" s="152"/>
      <c r="B630" s="142"/>
      <c r="C630" s="142"/>
      <c r="D630" s="151" t="s">
        <v>1183</v>
      </c>
      <c r="G630" s="146"/>
      <c r="H630" s="279"/>
      <c r="I630" s="151"/>
      <c r="J630" s="168">
        <v>5</v>
      </c>
      <c r="K630" s="161"/>
      <c r="L630" s="161" t="s">
        <v>1515</v>
      </c>
      <c r="M630" s="146"/>
      <c r="N630" s="146"/>
      <c r="O630" s="198" t="s">
        <v>1183</v>
      </c>
      <c r="P630" s="146"/>
      <c r="Q630" s="146"/>
      <c r="R630" s="146"/>
      <c r="S630" s="146"/>
    </row>
    <row r="631" spans="1:19" x14ac:dyDescent="0.2">
      <c r="A631" s="152"/>
      <c r="B631" s="142"/>
      <c r="C631" s="142"/>
      <c r="D631" s="151" t="s">
        <v>1183</v>
      </c>
      <c r="G631" s="146"/>
      <c r="H631" s="279"/>
      <c r="I631" s="163" t="s">
        <v>1016</v>
      </c>
      <c r="J631" s="204"/>
      <c r="K631" s="221" t="s">
        <v>1288</v>
      </c>
      <c r="L631" s="204"/>
      <c r="M631" s="204"/>
      <c r="N631" s="204"/>
      <c r="O631" s="220" t="s">
        <v>1183</v>
      </c>
      <c r="P631" s="146"/>
      <c r="Q631" s="161"/>
      <c r="R631" s="146"/>
      <c r="S631" s="146"/>
    </row>
    <row r="632" spans="1:19" x14ac:dyDescent="0.2">
      <c r="A632" s="152"/>
      <c r="B632" s="142"/>
      <c r="C632" s="142"/>
      <c r="D632" s="151"/>
      <c r="G632" s="146"/>
      <c r="H632" s="279"/>
      <c r="I632" s="163" t="s">
        <v>1026</v>
      </c>
      <c r="J632" s="151"/>
      <c r="K632" s="161" t="s">
        <v>1309</v>
      </c>
      <c r="L632" s="161"/>
      <c r="M632" s="146"/>
      <c r="N632" s="146"/>
      <c r="O632" s="198"/>
      <c r="P632" s="146"/>
      <c r="Q632" s="146"/>
      <c r="R632" s="146"/>
      <c r="S632" s="146"/>
    </row>
    <row r="633" spans="1:19" x14ac:dyDescent="0.2">
      <c r="A633" s="152"/>
      <c r="B633" s="142"/>
      <c r="C633" s="142"/>
      <c r="D633" s="151" t="s">
        <v>1183</v>
      </c>
      <c r="G633" s="146"/>
      <c r="H633" s="279"/>
      <c r="I633" s="151"/>
      <c r="J633" s="168">
        <v>1</v>
      </c>
      <c r="K633" s="161"/>
      <c r="L633" s="161" t="s">
        <v>1294</v>
      </c>
      <c r="M633" s="146"/>
      <c r="N633" s="146"/>
      <c r="O633" s="198" t="s">
        <v>1183</v>
      </c>
      <c r="P633" s="146"/>
      <c r="Q633" s="146"/>
      <c r="R633" s="146"/>
      <c r="S633" s="146"/>
    </row>
    <row r="634" spans="1:19" x14ac:dyDescent="0.2">
      <c r="A634" s="152"/>
      <c r="B634" s="142"/>
      <c r="C634" s="142"/>
      <c r="D634" s="151" t="s">
        <v>1183</v>
      </c>
      <c r="G634" s="146"/>
      <c r="H634" s="279"/>
      <c r="I634" s="151"/>
      <c r="J634" s="168">
        <v>2</v>
      </c>
      <c r="K634" s="161"/>
      <c r="L634" s="161" t="s">
        <v>1512</v>
      </c>
      <c r="M634" s="146"/>
      <c r="N634" s="146"/>
      <c r="O634" s="198" t="s">
        <v>1183</v>
      </c>
      <c r="P634" s="146"/>
      <c r="Q634" s="146"/>
      <c r="R634" s="146"/>
      <c r="S634" s="146"/>
    </row>
    <row r="635" spans="1:19" x14ac:dyDescent="0.2">
      <c r="A635" s="152"/>
      <c r="B635" s="142"/>
      <c r="C635" s="142"/>
      <c r="D635" s="151" t="s">
        <v>1183</v>
      </c>
      <c r="G635" s="146"/>
      <c r="H635" s="279"/>
      <c r="I635" s="151"/>
      <c r="J635" s="168">
        <v>3</v>
      </c>
      <c r="K635" s="161"/>
      <c r="L635" s="161" t="s">
        <v>1513</v>
      </c>
      <c r="M635" s="146"/>
      <c r="N635" s="146"/>
      <c r="O635" s="198" t="s">
        <v>1183</v>
      </c>
      <c r="P635" s="146"/>
      <c r="Q635" s="146"/>
      <c r="R635" s="146"/>
      <c r="S635" s="146"/>
    </row>
    <row r="636" spans="1:19" x14ac:dyDescent="0.2">
      <c r="A636" s="152"/>
      <c r="B636" s="142"/>
      <c r="C636" s="142"/>
      <c r="D636" s="151" t="s">
        <v>1183</v>
      </c>
      <c r="G636" s="146"/>
      <c r="H636" s="279"/>
      <c r="I636" s="151"/>
      <c r="J636" s="168">
        <v>4</v>
      </c>
      <c r="K636" s="161"/>
      <c r="L636" s="161" t="s">
        <v>1514</v>
      </c>
      <c r="M636" s="146"/>
      <c r="N636" s="146"/>
      <c r="O636" s="198" t="s">
        <v>1183</v>
      </c>
      <c r="P636" s="146"/>
      <c r="Q636" s="146"/>
      <c r="R636" s="146"/>
      <c r="S636" s="146"/>
    </row>
    <row r="637" spans="1:19" x14ac:dyDescent="0.2">
      <c r="A637" s="152"/>
      <c r="B637" s="142"/>
      <c r="C637" s="142"/>
      <c r="D637" s="151" t="s">
        <v>1183</v>
      </c>
      <c r="G637" s="146"/>
      <c r="H637" s="279"/>
      <c r="I637" s="215"/>
      <c r="J637" s="171">
        <v>5</v>
      </c>
      <c r="K637" s="173"/>
      <c r="L637" s="173" t="s">
        <v>1515</v>
      </c>
      <c r="M637" s="172"/>
      <c r="N637" s="172"/>
      <c r="O637" s="216" t="s">
        <v>1183</v>
      </c>
      <c r="P637" s="146"/>
      <c r="Q637" s="146"/>
      <c r="R637" s="146"/>
      <c r="S637" s="146"/>
    </row>
    <row r="638" spans="1:19" ht="15.75" thickBot="1" x14ac:dyDescent="0.25">
      <c r="A638" s="152"/>
      <c r="B638" s="142"/>
      <c r="C638" s="142"/>
      <c r="D638" s="151" t="s">
        <v>1183</v>
      </c>
      <c r="G638" s="146"/>
      <c r="H638" s="279"/>
      <c r="I638" s="179" t="s">
        <v>1052</v>
      </c>
      <c r="J638" s="151"/>
      <c r="K638" s="161" t="s">
        <v>1291</v>
      </c>
      <c r="L638" s="161"/>
      <c r="M638" s="146"/>
      <c r="N638" s="146"/>
      <c r="O638" s="198" t="s">
        <v>1183</v>
      </c>
      <c r="P638" s="146"/>
      <c r="Q638" s="146"/>
      <c r="R638" s="146"/>
      <c r="S638" s="146"/>
    </row>
    <row r="639" spans="1:19" ht="15.75" thickTop="1" x14ac:dyDescent="0.2">
      <c r="A639" s="152">
        <v>74</v>
      </c>
      <c r="B639" s="142" t="s">
        <v>1516</v>
      </c>
      <c r="C639" s="142" t="s">
        <v>1517</v>
      </c>
      <c r="D639" s="151"/>
      <c r="G639" s="146"/>
      <c r="H639" s="229">
        <v>74</v>
      </c>
      <c r="I639" s="185"/>
      <c r="J639" s="234"/>
      <c r="K639" s="235" t="s">
        <v>1517</v>
      </c>
      <c r="L639" s="234"/>
      <c r="M639" s="234"/>
      <c r="N639" s="234"/>
      <c r="O639" s="187"/>
      <c r="P639" s="146"/>
      <c r="Q639" s="160">
        <f>H639</f>
        <v>74</v>
      </c>
      <c r="R639" s="151" t="str">
        <f>CONCATENATE("II-",TEXT(Q639,"0000"))</f>
        <v>II-0074</v>
      </c>
      <c r="S639" s="161" t="str">
        <f>K639</f>
        <v>RIEGO</v>
      </c>
    </row>
    <row r="640" spans="1:19" x14ac:dyDescent="0.2">
      <c r="A640" s="152"/>
      <c r="B640" s="142"/>
      <c r="C640" s="142"/>
      <c r="D640" s="151" t="s">
        <v>1183</v>
      </c>
      <c r="G640" s="146"/>
      <c r="H640" s="162"/>
      <c r="I640" s="163" t="s">
        <v>989</v>
      </c>
      <c r="J640" s="204"/>
      <c r="K640" s="221" t="s">
        <v>1518</v>
      </c>
      <c r="L640" s="204"/>
      <c r="M640" s="204"/>
      <c r="N640" s="204"/>
      <c r="O640" s="220" t="s">
        <v>1183</v>
      </c>
      <c r="P640" s="146"/>
      <c r="Q640" s="146"/>
      <c r="R640" s="146"/>
      <c r="S640" s="146"/>
    </row>
    <row r="641" spans="1:19" ht="15.75" thickBot="1" x14ac:dyDescent="0.25">
      <c r="A641" s="152"/>
      <c r="B641" s="142"/>
      <c r="C641" s="142"/>
      <c r="D641" s="151" t="s">
        <v>1183</v>
      </c>
      <c r="G641" s="146"/>
      <c r="H641" s="177"/>
      <c r="I641" s="179" t="s">
        <v>1016</v>
      </c>
      <c r="J641" s="180"/>
      <c r="K641" s="181" t="s">
        <v>1519</v>
      </c>
      <c r="L641" s="180"/>
      <c r="M641" s="180"/>
      <c r="N641" s="180"/>
      <c r="O641" s="242" t="s">
        <v>1183</v>
      </c>
      <c r="P641" s="146"/>
      <c r="Q641" s="146"/>
      <c r="R641" s="146"/>
      <c r="S641" s="146"/>
    </row>
    <row r="642" spans="1:19" ht="15.75" thickTop="1" x14ac:dyDescent="0.2">
      <c r="A642" s="152">
        <v>75</v>
      </c>
      <c r="B642" s="142" t="s">
        <v>1520</v>
      </c>
      <c r="C642" s="142" t="s">
        <v>1521</v>
      </c>
      <c r="D642" s="151"/>
      <c r="G642" s="146"/>
      <c r="H642" s="184">
        <v>75</v>
      </c>
      <c r="I642" s="186"/>
      <c r="J642" s="196"/>
      <c r="K642" s="241" t="s">
        <v>1521</v>
      </c>
      <c r="L642" s="196"/>
      <c r="M642" s="196"/>
      <c r="N642" s="196"/>
      <c r="O642" s="206"/>
      <c r="P642" s="146"/>
      <c r="Q642" s="160">
        <f>H642</f>
        <v>75</v>
      </c>
      <c r="R642" s="151" t="str">
        <f>CONCATENATE("II-",TEXT(Q642,"0000"))</f>
        <v>II-0075</v>
      </c>
      <c r="S642" s="161" t="str">
        <f>K642</f>
        <v>SALTO</v>
      </c>
    </row>
    <row r="643" spans="1:19" x14ac:dyDescent="0.2">
      <c r="A643" s="152"/>
      <c r="B643" s="142"/>
      <c r="C643" s="142"/>
      <c r="D643" s="151" t="s">
        <v>1225</v>
      </c>
      <c r="G643" s="146"/>
      <c r="H643" s="162"/>
      <c r="I643" s="163" t="s">
        <v>989</v>
      </c>
      <c r="J643" s="204"/>
      <c r="K643" s="221" t="s">
        <v>1522</v>
      </c>
      <c r="L643" s="204"/>
      <c r="M643" s="204"/>
      <c r="N643" s="204"/>
      <c r="O643" s="220" t="s">
        <v>1225</v>
      </c>
      <c r="P643" s="146"/>
      <c r="Q643" s="146"/>
      <c r="R643" s="146"/>
      <c r="S643" s="146"/>
    </row>
    <row r="644" spans="1:19" ht="15.75" thickBot="1" x14ac:dyDescent="0.25">
      <c r="A644" s="152"/>
      <c r="B644" s="142"/>
      <c r="C644" s="142"/>
      <c r="D644" s="151" t="s">
        <v>1225</v>
      </c>
      <c r="G644" s="146"/>
      <c r="H644" s="162"/>
      <c r="I644" s="179" t="s">
        <v>1016</v>
      </c>
      <c r="J644" s="146"/>
      <c r="K644" s="161" t="s">
        <v>1221</v>
      </c>
      <c r="L644" s="146"/>
      <c r="M644" s="146"/>
      <c r="N644" s="146"/>
      <c r="O644" s="198" t="s">
        <v>1225</v>
      </c>
      <c r="P644" s="146"/>
      <c r="Q644" s="146"/>
      <c r="R644" s="146"/>
      <c r="S644" s="146"/>
    </row>
    <row r="645" spans="1:19" ht="16.5" thickTop="1" thickBot="1" x14ac:dyDescent="0.25">
      <c r="A645" s="152">
        <v>76</v>
      </c>
      <c r="B645" s="142" t="s">
        <v>1523</v>
      </c>
      <c r="C645" s="142" t="s">
        <v>1524</v>
      </c>
      <c r="D645" s="151" t="s">
        <v>714</v>
      </c>
      <c r="G645" s="146"/>
      <c r="H645" s="229">
        <v>76</v>
      </c>
      <c r="I645" s="185"/>
      <c r="J645" s="234"/>
      <c r="K645" s="235" t="s">
        <v>1524</v>
      </c>
      <c r="L645" s="234"/>
      <c r="M645" s="234"/>
      <c r="N645" s="234"/>
      <c r="O645" s="187" t="s">
        <v>714</v>
      </c>
      <c r="P645" s="146"/>
      <c r="Q645" s="160">
        <f t="shared" ref="Q645:Q646" si="63">H645</f>
        <v>76</v>
      </c>
      <c r="R645" s="151" t="str">
        <f t="shared" ref="R645:R646" si="64">CONCATENATE("II-",TEXT(Q645,"0000"))</f>
        <v>II-0076</v>
      </c>
      <c r="S645" s="161" t="str">
        <f t="shared" ref="S645:S646" si="65">K645</f>
        <v>SELLADO DE FISURA</v>
      </c>
    </row>
    <row r="646" spans="1:19" ht="15.75" thickTop="1" x14ac:dyDescent="0.2">
      <c r="A646" s="152">
        <v>77</v>
      </c>
      <c r="B646" s="142" t="s">
        <v>1525</v>
      </c>
      <c r="C646" s="142" t="s">
        <v>1526</v>
      </c>
      <c r="D646" s="151"/>
      <c r="G646" s="146"/>
      <c r="H646" s="229">
        <v>77</v>
      </c>
      <c r="I646" s="185"/>
      <c r="J646" s="234"/>
      <c r="K646" s="235" t="s">
        <v>1526</v>
      </c>
      <c r="L646" s="234"/>
      <c r="M646" s="234"/>
      <c r="N646" s="234"/>
      <c r="O646" s="187"/>
      <c r="P646" s="146"/>
      <c r="Q646" s="160">
        <f t="shared" si="63"/>
        <v>77</v>
      </c>
      <c r="R646" s="151" t="str">
        <f t="shared" si="64"/>
        <v>II-0077</v>
      </c>
      <c r="S646" s="161" t="str">
        <f t="shared" si="65"/>
        <v>SIFON</v>
      </c>
    </row>
    <row r="647" spans="1:19" ht="15.75" thickBot="1" x14ac:dyDescent="0.25">
      <c r="A647" s="152"/>
      <c r="B647" s="142"/>
      <c r="C647" s="142"/>
      <c r="D647" s="151" t="s">
        <v>5</v>
      </c>
      <c r="G647" s="146"/>
      <c r="H647" s="162"/>
      <c r="I647" s="189" t="s">
        <v>989</v>
      </c>
      <c r="J647" s="146"/>
      <c r="K647" s="161" t="s">
        <v>1527</v>
      </c>
      <c r="L647" s="146"/>
      <c r="M647" s="146"/>
      <c r="N647" s="146"/>
      <c r="O647" s="198" t="s">
        <v>5</v>
      </c>
      <c r="P647" s="146"/>
      <c r="Q647" s="146"/>
      <c r="R647" s="146"/>
      <c r="S647" s="146"/>
    </row>
    <row r="648" spans="1:19" ht="15.75" thickTop="1" x14ac:dyDescent="0.2">
      <c r="A648" s="152">
        <v>78</v>
      </c>
      <c r="B648" s="142" t="s">
        <v>1528</v>
      </c>
      <c r="C648" s="142" t="s">
        <v>1529</v>
      </c>
      <c r="D648" s="151"/>
      <c r="G648" s="146"/>
      <c r="H648" s="229">
        <v>78</v>
      </c>
      <c r="I648" s="185"/>
      <c r="J648" s="234"/>
      <c r="K648" s="235" t="s">
        <v>1529</v>
      </c>
      <c r="L648" s="234"/>
      <c r="M648" s="234"/>
      <c r="N648" s="234"/>
      <c r="O648" s="187"/>
      <c r="P648" s="146"/>
      <c r="Q648" s="160">
        <f>H648</f>
        <v>78</v>
      </c>
      <c r="R648" s="151" t="str">
        <f>CONCATENATE("II-",TEXT(Q648,"0000"))</f>
        <v>II-0078</v>
      </c>
      <c r="S648" s="161" t="str">
        <f>K648</f>
        <v>SUB BASE</v>
      </c>
    </row>
    <row r="649" spans="1:19" x14ac:dyDescent="0.2">
      <c r="A649" s="152"/>
      <c r="B649" s="142"/>
      <c r="C649" s="142"/>
      <c r="D649" s="151" t="s">
        <v>1100</v>
      </c>
      <c r="G649" s="146"/>
      <c r="H649" s="162"/>
      <c r="I649" s="265" t="s">
        <v>989</v>
      </c>
      <c r="J649" s="146"/>
      <c r="K649" s="161" t="s">
        <v>1248</v>
      </c>
      <c r="L649" s="146"/>
      <c r="M649" s="146"/>
      <c r="N649" s="146"/>
      <c r="O649" s="198" t="s">
        <v>1100</v>
      </c>
      <c r="P649" s="146"/>
      <c r="Q649" s="146"/>
      <c r="R649" s="146"/>
      <c r="S649" s="146"/>
    </row>
    <row r="650" spans="1:19" x14ac:dyDescent="0.2">
      <c r="A650" s="152"/>
      <c r="B650" s="142"/>
      <c r="C650" s="142"/>
      <c r="D650" s="151" t="s">
        <v>1100</v>
      </c>
      <c r="G650" s="146"/>
      <c r="H650" s="162"/>
      <c r="I650" s="163" t="s">
        <v>1016</v>
      </c>
      <c r="J650" s="266"/>
      <c r="K650" s="221" t="s">
        <v>1358</v>
      </c>
      <c r="L650" s="221"/>
      <c r="M650" s="204"/>
      <c r="N650" s="204"/>
      <c r="O650" s="220" t="s">
        <v>1100</v>
      </c>
      <c r="P650" s="146"/>
      <c r="Q650" s="146"/>
      <c r="R650" s="146"/>
      <c r="S650" s="146"/>
    </row>
    <row r="651" spans="1:19" x14ac:dyDescent="0.2">
      <c r="A651" s="152"/>
      <c r="B651" s="142"/>
      <c r="C651" s="142"/>
      <c r="D651" s="151"/>
      <c r="G651" s="146"/>
      <c r="H651" s="162"/>
      <c r="I651" s="171" t="s">
        <v>1026</v>
      </c>
      <c r="J651" s="151"/>
      <c r="K651" s="161" t="s">
        <v>1245</v>
      </c>
      <c r="L651" s="161"/>
      <c r="M651" s="146"/>
      <c r="N651" s="146"/>
      <c r="O651" s="198"/>
      <c r="P651" s="146"/>
      <c r="Q651" s="146"/>
      <c r="R651" s="146"/>
      <c r="S651" s="146"/>
    </row>
    <row r="652" spans="1:19" x14ac:dyDescent="0.2">
      <c r="A652" s="152"/>
      <c r="B652" s="142"/>
      <c r="C652" s="142"/>
      <c r="D652" s="151" t="s">
        <v>1100</v>
      </c>
      <c r="G652" s="146"/>
      <c r="H652" s="162"/>
      <c r="I652" s="151"/>
      <c r="J652" s="168">
        <v>1</v>
      </c>
      <c r="K652" s="161"/>
      <c r="L652" s="161" t="s">
        <v>1530</v>
      </c>
      <c r="M652" s="146"/>
      <c r="N652" s="146"/>
      <c r="O652" s="198" t="s">
        <v>1100</v>
      </c>
      <c r="P652" s="146"/>
      <c r="Q652" s="146"/>
      <c r="R652" s="146"/>
      <c r="S652" s="146"/>
    </row>
    <row r="653" spans="1:19" x14ac:dyDescent="0.2">
      <c r="A653" s="152"/>
      <c r="B653" s="142"/>
      <c r="C653" s="142"/>
      <c r="D653" s="151" t="s">
        <v>1100</v>
      </c>
      <c r="G653" s="146"/>
      <c r="H653" s="162"/>
      <c r="I653" s="151"/>
      <c r="J653" s="168">
        <v>2</v>
      </c>
      <c r="K653" s="161"/>
      <c r="L653" s="161" t="s">
        <v>1531</v>
      </c>
      <c r="M653" s="146"/>
      <c r="N653" s="146"/>
      <c r="O653" s="198" t="s">
        <v>1100</v>
      </c>
      <c r="P653" s="146"/>
      <c r="Q653" s="146"/>
      <c r="R653" s="146"/>
      <c r="S653" s="146"/>
    </row>
    <row r="654" spans="1:19" x14ac:dyDescent="0.2">
      <c r="A654" s="152"/>
      <c r="B654" s="142"/>
      <c r="C654" s="142"/>
      <c r="D654" s="151" t="s">
        <v>1100</v>
      </c>
      <c r="G654" s="146"/>
      <c r="H654" s="162"/>
      <c r="I654" s="151"/>
      <c r="J654" s="171">
        <v>3</v>
      </c>
      <c r="K654" s="146"/>
      <c r="L654" s="161" t="s">
        <v>1245</v>
      </c>
      <c r="M654" s="146"/>
      <c r="N654" s="146"/>
      <c r="O654" s="198" t="s">
        <v>1100</v>
      </c>
      <c r="P654" s="146"/>
      <c r="Q654" s="146"/>
      <c r="R654" s="146"/>
      <c r="S654" s="146"/>
    </row>
    <row r="655" spans="1:19" x14ac:dyDescent="0.2">
      <c r="A655" s="152"/>
      <c r="B655" s="142"/>
      <c r="C655" s="142"/>
      <c r="D655" s="151" t="s">
        <v>1100</v>
      </c>
      <c r="G655" s="146"/>
      <c r="H655" s="162"/>
      <c r="I655" s="163" t="s">
        <v>1052</v>
      </c>
      <c r="J655" s="266"/>
      <c r="K655" s="221" t="s">
        <v>1184</v>
      </c>
      <c r="L655" s="221"/>
      <c r="M655" s="204"/>
      <c r="N655" s="204"/>
      <c r="O655" s="220" t="s">
        <v>1100</v>
      </c>
      <c r="P655" s="146"/>
      <c r="Q655" s="146"/>
      <c r="R655" s="146"/>
      <c r="S655" s="146"/>
    </row>
    <row r="656" spans="1:19" x14ac:dyDescent="0.2">
      <c r="A656" s="152"/>
      <c r="B656" s="142"/>
      <c r="C656" s="142"/>
      <c r="D656" s="151" t="s">
        <v>1100</v>
      </c>
      <c r="G656" s="146"/>
      <c r="H656" s="162"/>
      <c r="I656" s="168" t="s">
        <v>1094</v>
      </c>
      <c r="J656" s="151"/>
      <c r="K656" s="161" t="s">
        <v>1187</v>
      </c>
      <c r="L656" s="161"/>
      <c r="M656" s="146"/>
      <c r="N656" s="146"/>
      <c r="O656" s="198" t="s">
        <v>1100</v>
      </c>
      <c r="P656" s="146"/>
      <c r="Q656" s="146"/>
      <c r="R656" s="146"/>
      <c r="S656" s="146"/>
    </row>
    <row r="657" spans="1:19" x14ac:dyDescent="0.2">
      <c r="A657" s="152"/>
      <c r="B657" s="142"/>
      <c r="C657" s="142"/>
      <c r="D657" s="151" t="s">
        <v>1100</v>
      </c>
      <c r="G657" s="146"/>
      <c r="H657" s="162"/>
      <c r="I657" s="163" t="s">
        <v>1097</v>
      </c>
      <c r="J657" s="266"/>
      <c r="K657" s="221" t="s">
        <v>1249</v>
      </c>
      <c r="L657" s="221"/>
      <c r="M657" s="204"/>
      <c r="N657" s="204"/>
      <c r="O657" s="220" t="s">
        <v>1100</v>
      </c>
      <c r="P657" s="146"/>
      <c r="Q657" s="146"/>
      <c r="R657" s="146"/>
      <c r="S657" s="146"/>
    </row>
    <row r="658" spans="1:19" ht="15.75" thickBot="1" x14ac:dyDescent="0.25">
      <c r="A658" s="152"/>
      <c r="B658" s="142"/>
      <c r="C658" s="142"/>
      <c r="D658" s="151" t="s">
        <v>1100</v>
      </c>
      <c r="G658" s="146"/>
      <c r="H658" s="177"/>
      <c r="I658" s="179" t="s">
        <v>1101</v>
      </c>
      <c r="J658" s="178"/>
      <c r="K658" s="181" t="s">
        <v>1190</v>
      </c>
      <c r="L658" s="181"/>
      <c r="M658" s="180"/>
      <c r="N658" s="180"/>
      <c r="O658" s="242" t="s">
        <v>1100</v>
      </c>
      <c r="P658" s="146"/>
      <c r="Q658" s="146"/>
      <c r="R658" s="146"/>
      <c r="S658" s="146"/>
    </row>
    <row r="659" spans="1:19" ht="15.75" thickTop="1" x14ac:dyDescent="0.2">
      <c r="A659" s="152">
        <v>79</v>
      </c>
      <c r="B659" s="142" t="s">
        <v>1532</v>
      </c>
      <c r="C659" s="142" t="s">
        <v>1355</v>
      </c>
      <c r="D659" s="151"/>
      <c r="G659" s="146"/>
      <c r="H659" s="184">
        <v>79</v>
      </c>
      <c r="I659" s="186"/>
      <c r="J659" s="196"/>
      <c r="K659" s="232" t="s">
        <v>1355</v>
      </c>
      <c r="L659" s="196"/>
      <c r="M659" s="196"/>
      <c r="N659" s="196"/>
      <c r="O659" s="206"/>
      <c r="P659" s="146"/>
      <c r="Q659" s="160">
        <f>H659</f>
        <v>79</v>
      </c>
      <c r="R659" s="151" t="str">
        <f>CONCATENATE("II-",TEXT(Q659,"0000"))</f>
        <v>II-0079</v>
      </c>
      <c r="S659" s="161" t="str">
        <f>K659</f>
        <v>SUELO</v>
      </c>
    </row>
    <row r="660" spans="1:19" x14ac:dyDescent="0.2">
      <c r="A660" s="152"/>
      <c r="B660" s="142"/>
      <c r="C660" s="142"/>
      <c r="D660" s="151" t="s">
        <v>1100</v>
      </c>
      <c r="G660" s="146"/>
      <c r="H660" s="162"/>
      <c r="I660" s="265" t="s">
        <v>989</v>
      </c>
      <c r="J660" s="146"/>
      <c r="K660" s="221" t="s">
        <v>1533</v>
      </c>
      <c r="L660" s="161"/>
      <c r="M660" s="161"/>
      <c r="N660" s="146"/>
      <c r="O660" s="198" t="s">
        <v>1100</v>
      </c>
      <c r="P660" s="146"/>
      <c r="Q660" s="146"/>
      <c r="R660" s="146"/>
      <c r="S660" s="146"/>
    </row>
    <row r="661" spans="1:19" x14ac:dyDescent="0.2">
      <c r="A661" s="152"/>
      <c r="B661" s="142"/>
      <c r="C661" s="142"/>
      <c r="D661" s="151" t="s">
        <v>1100</v>
      </c>
      <c r="G661" s="146"/>
      <c r="H661" s="162"/>
      <c r="I661" s="163" t="s">
        <v>1016</v>
      </c>
      <c r="J661" s="204"/>
      <c r="K661" s="161" t="s">
        <v>1534</v>
      </c>
      <c r="L661" s="221"/>
      <c r="M661" s="221"/>
      <c r="N661" s="204"/>
      <c r="O661" s="220" t="s">
        <v>1100</v>
      </c>
      <c r="P661" s="146"/>
      <c r="Q661" s="146"/>
      <c r="R661" s="146"/>
      <c r="S661" s="146"/>
    </row>
    <row r="662" spans="1:19" ht="15.75" thickBot="1" x14ac:dyDescent="0.25">
      <c r="A662" s="152"/>
      <c r="B662" s="142"/>
      <c r="C662" s="142"/>
      <c r="D662" s="151" t="s">
        <v>1100</v>
      </c>
      <c r="G662" s="146"/>
      <c r="H662" s="162"/>
      <c r="I662" s="179" t="s">
        <v>1026</v>
      </c>
      <c r="J662" s="146"/>
      <c r="K662" s="223" t="s">
        <v>1535</v>
      </c>
      <c r="L662" s="161"/>
      <c r="M662" s="161"/>
      <c r="N662" s="146"/>
      <c r="O662" s="198" t="s">
        <v>1100</v>
      </c>
      <c r="P662" s="146"/>
      <c r="Q662" s="146"/>
      <c r="R662" s="146"/>
      <c r="S662" s="146"/>
    </row>
    <row r="663" spans="1:19" ht="15.75" thickTop="1" x14ac:dyDescent="0.2">
      <c r="A663" s="152">
        <v>80</v>
      </c>
      <c r="B663" s="142" t="s">
        <v>1536</v>
      </c>
      <c r="C663" s="142" t="s">
        <v>1537</v>
      </c>
      <c r="D663" s="151"/>
      <c r="G663" s="146"/>
      <c r="H663" s="229">
        <v>80</v>
      </c>
      <c r="I663" s="185"/>
      <c r="J663" s="234"/>
      <c r="K663" s="241" t="s">
        <v>1537</v>
      </c>
      <c r="L663" s="234"/>
      <c r="M663" s="234"/>
      <c r="N663" s="234"/>
      <c r="O663" s="187"/>
      <c r="P663" s="146"/>
      <c r="Q663" s="160">
        <f>H663</f>
        <v>80</v>
      </c>
      <c r="R663" s="151" t="str">
        <f>CONCATENATE("II-",TEXT(Q663,"0000"))</f>
        <v>II-0080</v>
      </c>
      <c r="S663" s="161" t="str">
        <f>K663</f>
        <v>SUMIDEROS</v>
      </c>
    </row>
    <row r="664" spans="1:19" x14ac:dyDescent="0.2">
      <c r="A664" s="152"/>
      <c r="B664" s="142"/>
      <c r="C664" s="142"/>
      <c r="D664" s="151" t="s">
        <v>5</v>
      </c>
      <c r="G664" s="146"/>
      <c r="H664" s="162"/>
      <c r="I664" s="168" t="s">
        <v>989</v>
      </c>
      <c r="J664" s="146"/>
      <c r="K664" s="161" t="s">
        <v>1538</v>
      </c>
      <c r="L664" s="161"/>
      <c r="M664" s="161"/>
      <c r="N664" s="146"/>
      <c r="O664" s="198" t="s">
        <v>5</v>
      </c>
      <c r="P664" s="146"/>
      <c r="Q664" s="146"/>
      <c r="R664" s="146"/>
      <c r="S664" s="146"/>
    </row>
    <row r="665" spans="1:19" x14ac:dyDescent="0.2">
      <c r="A665" s="152"/>
      <c r="B665" s="142"/>
      <c r="C665" s="142"/>
      <c r="D665" s="151" t="s">
        <v>5</v>
      </c>
      <c r="G665" s="146"/>
      <c r="H665" s="162"/>
      <c r="I665" s="163" t="s">
        <v>1016</v>
      </c>
      <c r="J665" s="204"/>
      <c r="K665" s="221" t="s">
        <v>1539</v>
      </c>
      <c r="L665" s="221"/>
      <c r="M665" s="221"/>
      <c r="N665" s="204"/>
      <c r="O665" s="220" t="s">
        <v>5</v>
      </c>
      <c r="P665" s="146"/>
      <c r="Q665" s="146"/>
      <c r="R665" s="146"/>
      <c r="S665" s="146"/>
    </row>
    <row r="666" spans="1:19" x14ac:dyDescent="0.2">
      <c r="A666" s="152"/>
      <c r="B666" s="142"/>
      <c r="C666" s="142"/>
      <c r="D666" s="151" t="s">
        <v>5</v>
      </c>
      <c r="G666" s="146"/>
      <c r="H666" s="162"/>
      <c r="I666" s="163" t="s">
        <v>1026</v>
      </c>
      <c r="J666" s="204"/>
      <c r="K666" s="221" t="s">
        <v>1540</v>
      </c>
      <c r="L666" s="221"/>
      <c r="M666" s="221"/>
      <c r="N666" s="204"/>
      <c r="O666" s="220" t="s">
        <v>5</v>
      </c>
      <c r="P666" s="146"/>
      <c r="Q666" s="146"/>
      <c r="R666" s="146"/>
      <c r="S666" s="146"/>
    </row>
    <row r="667" spans="1:19" ht="15.75" thickBot="1" x14ac:dyDescent="0.25">
      <c r="A667" s="152"/>
      <c r="B667" s="142"/>
      <c r="C667" s="142"/>
      <c r="D667" s="151" t="s">
        <v>5</v>
      </c>
      <c r="G667" s="146"/>
      <c r="H667" s="208"/>
      <c r="I667" s="210" t="s">
        <v>1052</v>
      </c>
      <c r="J667" s="211"/>
      <c r="K667" s="212" t="s">
        <v>1541</v>
      </c>
      <c r="L667" s="212"/>
      <c r="M667" s="212"/>
      <c r="N667" s="211"/>
      <c r="O667" s="244" t="s">
        <v>5</v>
      </c>
      <c r="P667" s="146"/>
      <c r="Q667" s="146"/>
      <c r="R667" s="146"/>
      <c r="S667" s="146"/>
    </row>
    <row r="668" spans="1:19" x14ac:dyDescent="0.2">
      <c r="A668" s="152"/>
      <c r="B668" s="142"/>
      <c r="C668" s="142"/>
      <c r="D668" s="151"/>
      <c r="G668" s="146"/>
      <c r="H668" s="214"/>
      <c r="I668" s="151"/>
      <c r="J668" s="146"/>
      <c r="K668" s="161"/>
      <c r="L668" s="161"/>
      <c r="M668" s="161"/>
      <c r="N668" s="146"/>
      <c r="O668" s="149"/>
      <c r="P668" s="146"/>
      <c r="Q668" s="146"/>
      <c r="R668" s="146"/>
      <c r="S668" s="146"/>
    </row>
    <row r="669" spans="1:19" x14ac:dyDescent="0.2">
      <c r="A669" s="152"/>
      <c r="B669" s="142"/>
      <c r="C669" s="142"/>
      <c r="D669" s="151"/>
      <c r="G669" s="146"/>
      <c r="H669" s="214"/>
      <c r="I669" s="151"/>
      <c r="J669" s="146"/>
      <c r="K669" s="161"/>
      <c r="L669" s="161"/>
      <c r="M669" s="161"/>
      <c r="N669" s="146"/>
      <c r="O669" s="149"/>
      <c r="P669" s="146"/>
      <c r="Q669" s="146"/>
      <c r="R669" s="146"/>
      <c r="S669" s="146"/>
    </row>
    <row r="670" spans="1:19" x14ac:dyDescent="0.2">
      <c r="A670" s="152"/>
      <c r="B670" s="142"/>
      <c r="C670" s="142"/>
      <c r="D670" s="151"/>
      <c r="G670" s="146"/>
      <c r="H670" s="214"/>
      <c r="I670" s="151"/>
      <c r="J670" s="146"/>
      <c r="K670" s="161"/>
      <c r="L670" s="161"/>
      <c r="M670" s="161"/>
      <c r="N670" s="146"/>
      <c r="O670" s="149"/>
      <c r="P670" s="146"/>
      <c r="Q670" s="146"/>
      <c r="R670" s="146"/>
      <c r="S670" s="146"/>
    </row>
    <row r="671" spans="1:19" x14ac:dyDescent="0.2">
      <c r="A671" s="152">
        <v>81</v>
      </c>
      <c r="B671" s="142" t="s">
        <v>1542</v>
      </c>
      <c r="C671" s="142" t="s">
        <v>1543</v>
      </c>
      <c r="D671" s="151"/>
      <c r="G671" s="283"/>
      <c r="H671" s="184">
        <v>81</v>
      </c>
      <c r="I671" s="186"/>
      <c r="J671" s="196"/>
      <c r="K671" s="241" t="s">
        <v>1543</v>
      </c>
      <c r="L671" s="196"/>
      <c r="M671" s="196"/>
      <c r="N671" s="196"/>
      <c r="O671" s="206"/>
      <c r="P671" s="146"/>
      <c r="Q671" s="160">
        <f>H671</f>
        <v>81</v>
      </c>
      <c r="R671" s="151" t="str">
        <f>CONCATENATE("II-",TEXT(Q671,"0000"))</f>
        <v>II-0081</v>
      </c>
      <c r="S671" s="161" t="str">
        <f>K671</f>
        <v>TERRAPLEN</v>
      </c>
    </row>
    <row r="672" spans="1:19" x14ac:dyDescent="0.2">
      <c r="A672" s="152"/>
      <c r="B672" s="142"/>
      <c r="C672" s="142"/>
      <c r="D672" s="151"/>
      <c r="G672" s="146"/>
      <c r="H672" s="162"/>
      <c r="I672" s="163" t="s">
        <v>989</v>
      </c>
      <c r="J672" s="146"/>
      <c r="K672" s="161" t="s">
        <v>1544</v>
      </c>
      <c r="L672" s="146"/>
      <c r="M672" s="146"/>
      <c r="N672" s="146"/>
      <c r="O672" s="198"/>
      <c r="P672" s="146"/>
      <c r="Q672" s="146"/>
      <c r="R672" s="146"/>
      <c r="S672" s="146"/>
    </row>
    <row r="673" spans="1:19" x14ac:dyDescent="0.2">
      <c r="A673" s="152"/>
      <c r="B673" s="142"/>
      <c r="C673" s="142"/>
      <c r="D673" s="151" t="s">
        <v>1100</v>
      </c>
      <c r="G673" s="146"/>
      <c r="H673" s="162"/>
      <c r="I673" s="151"/>
      <c r="J673" s="168">
        <v>1</v>
      </c>
      <c r="K673" s="146"/>
      <c r="L673" s="161" t="s">
        <v>1545</v>
      </c>
      <c r="M673" s="146"/>
      <c r="N673" s="146"/>
      <c r="O673" s="198" t="s">
        <v>1100</v>
      </c>
      <c r="P673" s="146"/>
      <c r="Q673" s="146"/>
      <c r="R673" s="146"/>
      <c r="S673" s="146"/>
    </row>
    <row r="674" spans="1:19" x14ac:dyDescent="0.2">
      <c r="A674" s="152"/>
      <c r="B674" s="142"/>
      <c r="C674" s="142"/>
      <c r="D674" s="151" t="s">
        <v>1100</v>
      </c>
      <c r="G674" s="146"/>
      <c r="H674" s="162"/>
      <c r="I674" s="176"/>
      <c r="J674" s="171">
        <v>2</v>
      </c>
      <c r="K674" s="172"/>
      <c r="L674" s="173" t="s">
        <v>1546</v>
      </c>
      <c r="M674" s="172"/>
      <c r="N674" s="172"/>
      <c r="O674" s="216" t="s">
        <v>1100</v>
      </c>
      <c r="P674" s="146"/>
      <c r="Q674" s="146"/>
      <c r="R674" s="146"/>
      <c r="S674" s="146"/>
    </row>
    <row r="675" spans="1:19" x14ac:dyDescent="0.2">
      <c r="A675" s="152"/>
      <c r="B675" s="142"/>
      <c r="C675" s="142"/>
      <c r="D675" s="151"/>
      <c r="G675" s="146"/>
      <c r="H675" s="162"/>
      <c r="I675" s="163" t="s">
        <v>1016</v>
      </c>
      <c r="J675" s="146"/>
      <c r="K675" s="161" t="s">
        <v>1547</v>
      </c>
      <c r="L675" s="146"/>
      <c r="M675" s="146"/>
      <c r="N675" s="146"/>
      <c r="O675" s="198"/>
      <c r="P675" s="146"/>
      <c r="Q675" s="146"/>
      <c r="R675" s="146"/>
      <c r="S675" s="146"/>
    </row>
    <row r="676" spans="1:19" x14ac:dyDescent="0.2">
      <c r="A676" s="152"/>
      <c r="B676" s="142"/>
      <c r="C676" s="142"/>
      <c r="D676" s="151" t="s">
        <v>1100</v>
      </c>
      <c r="G676" s="146"/>
      <c r="H676" s="162"/>
      <c r="I676" s="151"/>
      <c r="J676" s="168">
        <v>1</v>
      </c>
      <c r="K676" s="146"/>
      <c r="L676" s="161" t="s">
        <v>1548</v>
      </c>
      <c r="M676" s="146"/>
      <c r="N676" s="146"/>
      <c r="O676" s="198" t="s">
        <v>1100</v>
      </c>
      <c r="P676" s="146"/>
      <c r="Q676" s="146"/>
      <c r="R676" s="146"/>
      <c r="S676" s="146"/>
    </row>
    <row r="677" spans="1:19" ht="15.75" thickBot="1" x14ac:dyDescent="0.25">
      <c r="A677" s="152"/>
      <c r="B677" s="142"/>
      <c r="C677" s="142"/>
      <c r="D677" s="151" t="s">
        <v>1100</v>
      </c>
      <c r="G677" s="146"/>
      <c r="H677" s="162"/>
      <c r="I677" s="151"/>
      <c r="J677" s="179">
        <v>2</v>
      </c>
      <c r="K677" s="146"/>
      <c r="L677" s="161" t="s">
        <v>1546</v>
      </c>
      <c r="M677" s="146"/>
      <c r="N677" s="146"/>
      <c r="O677" s="198" t="s">
        <v>1100</v>
      </c>
      <c r="P677" s="146"/>
      <c r="Q677" s="146"/>
      <c r="R677" s="146"/>
      <c r="S677" s="146"/>
    </row>
    <row r="678" spans="1:19" ht="16.5" thickTop="1" thickBot="1" x14ac:dyDescent="0.25">
      <c r="A678" s="152">
        <v>82</v>
      </c>
      <c r="B678" s="142" t="s">
        <v>1549</v>
      </c>
      <c r="C678" s="142" t="s">
        <v>1550</v>
      </c>
      <c r="D678" s="151" t="s">
        <v>1183</v>
      </c>
      <c r="G678" s="146"/>
      <c r="H678" s="255">
        <v>82</v>
      </c>
      <c r="I678" s="256"/>
      <c r="J678" s="257"/>
      <c r="K678" s="258" t="s">
        <v>1550</v>
      </c>
      <c r="L678" s="257"/>
      <c r="M678" s="257"/>
      <c r="N678" s="257"/>
      <c r="O678" s="259" t="s">
        <v>1183</v>
      </c>
      <c r="P678" s="146"/>
      <c r="Q678" s="160">
        <f t="shared" ref="Q678:Q679" si="66">H678</f>
        <v>82</v>
      </c>
      <c r="R678" s="151" t="str">
        <f t="shared" ref="R678:R679" si="67">CONCATENATE("II-",TEXT(Q678,"0000"))</f>
        <v>II-0082</v>
      </c>
      <c r="S678" s="161" t="str">
        <f t="shared" ref="S678:S679" si="68">K678</f>
        <v>TEXTURIZADO (SUPERFICIE DE RODAMIENTO)</v>
      </c>
    </row>
    <row r="679" spans="1:19" ht="15.75" thickTop="1" x14ac:dyDescent="0.2">
      <c r="A679" s="152">
        <v>83</v>
      </c>
      <c r="B679" s="142" t="s">
        <v>1551</v>
      </c>
      <c r="C679" s="142" t="s">
        <v>1552</v>
      </c>
      <c r="D679" s="151"/>
      <c r="G679" s="146"/>
      <c r="H679" s="184">
        <v>83</v>
      </c>
      <c r="I679" s="186"/>
      <c r="J679" s="186"/>
      <c r="K679" s="195" t="s">
        <v>1552</v>
      </c>
      <c r="L679" s="196"/>
      <c r="M679" s="196"/>
      <c r="N679" s="196"/>
      <c r="O679" s="206"/>
      <c r="P679" s="146"/>
      <c r="Q679" s="160">
        <f t="shared" si="66"/>
        <v>83</v>
      </c>
      <c r="R679" s="151" t="str">
        <f t="shared" si="67"/>
        <v>II-0083</v>
      </c>
      <c r="S679" s="161" t="str">
        <f t="shared" si="68"/>
        <v>TRABAJOS NO ESPECIFICADOS O DE EMERGENCIA</v>
      </c>
    </row>
    <row r="680" spans="1:19" x14ac:dyDescent="0.2">
      <c r="A680" s="152"/>
      <c r="B680" s="142"/>
      <c r="C680" s="142"/>
      <c r="D680" s="151" t="s">
        <v>905</v>
      </c>
      <c r="G680" s="146"/>
      <c r="H680" s="162"/>
      <c r="I680" s="265" t="s">
        <v>989</v>
      </c>
      <c r="J680" s="151"/>
      <c r="K680" s="194" t="s">
        <v>1553</v>
      </c>
      <c r="L680" s="146"/>
      <c r="M680" s="146"/>
      <c r="N680" s="146"/>
      <c r="O680" s="198" t="s">
        <v>905</v>
      </c>
      <c r="P680" s="146"/>
      <c r="Q680" s="146"/>
      <c r="R680" s="146"/>
      <c r="S680" s="146"/>
    </row>
    <row r="681" spans="1:19" x14ac:dyDescent="0.2">
      <c r="A681" s="152"/>
      <c r="B681" s="142"/>
      <c r="C681" s="142"/>
      <c r="D681" s="151" t="s">
        <v>905</v>
      </c>
      <c r="G681" s="146"/>
      <c r="H681" s="162"/>
      <c r="I681" s="163" t="s">
        <v>1016</v>
      </c>
      <c r="J681" s="266"/>
      <c r="K681" s="221" t="s">
        <v>1554</v>
      </c>
      <c r="L681" s="221"/>
      <c r="M681" s="204"/>
      <c r="N681" s="204"/>
      <c r="O681" s="220" t="s">
        <v>905</v>
      </c>
      <c r="P681" s="146"/>
      <c r="Q681" s="146"/>
      <c r="R681" s="146"/>
      <c r="S681" s="146"/>
    </row>
    <row r="682" spans="1:19" x14ac:dyDescent="0.2">
      <c r="A682" s="152"/>
      <c r="B682" s="142"/>
      <c r="C682" s="142"/>
      <c r="D682" s="151" t="s">
        <v>905</v>
      </c>
      <c r="G682" s="146"/>
      <c r="H682" s="162"/>
      <c r="I682" s="168" t="s">
        <v>1026</v>
      </c>
      <c r="J682" s="151"/>
      <c r="K682" s="194" t="s">
        <v>1555</v>
      </c>
      <c r="L682" s="161"/>
      <c r="M682" s="146"/>
      <c r="N682" s="146"/>
      <c r="O682" s="198" t="s">
        <v>905</v>
      </c>
      <c r="P682" s="146"/>
      <c r="Q682" s="146"/>
      <c r="R682" s="146"/>
      <c r="S682" s="146"/>
    </row>
    <row r="683" spans="1:19" x14ac:dyDescent="0.2">
      <c r="A683" s="152"/>
      <c r="B683" s="142"/>
      <c r="C683" s="142"/>
      <c r="D683" s="151" t="s">
        <v>905</v>
      </c>
      <c r="G683" s="146"/>
      <c r="H683" s="162"/>
      <c r="I683" s="163" t="s">
        <v>1052</v>
      </c>
      <c r="J683" s="266"/>
      <c r="K683" s="203" t="s">
        <v>1556</v>
      </c>
      <c r="L683" s="221"/>
      <c r="M683" s="204"/>
      <c r="N683" s="204"/>
      <c r="O683" s="220" t="s">
        <v>905</v>
      </c>
      <c r="P683" s="146"/>
      <c r="Q683" s="146"/>
      <c r="R683" s="146"/>
      <c r="S683" s="146"/>
    </row>
    <row r="684" spans="1:19" x14ac:dyDescent="0.2">
      <c r="A684" s="152"/>
      <c r="B684" s="142"/>
      <c r="C684" s="142"/>
      <c r="D684" s="151" t="s">
        <v>905</v>
      </c>
      <c r="G684" s="146"/>
      <c r="H684" s="162"/>
      <c r="I684" s="168" t="s">
        <v>1094</v>
      </c>
      <c r="J684" s="151"/>
      <c r="K684" s="194" t="s">
        <v>1557</v>
      </c>
      <c r="L684" s="161"/>
      <c r="M684" s="146"/>
      <c r="N684" s="146"/>
      <c r="O684" s="198" t="s">
        <v>905</v>
      </c>
      <c r="P684" s="146"/>
      <c r="Q684" s="146"/>
      <c r="R684" s="146"/>
      <c r="S684" s="146"/>
    </row>
    <row r="685" spans="1:19" ht="15.75" thickBot="1" x14ac:dyDescent="0.25">
      <c r="A685" s="152"/>
      <c r="B685" s="142"/>
      <c r="C685" s="142"/>
      <c r="D685" s="151" t="s">
        <v>905</v>
      </c>
      <c r="G685" s="146"/>
      <c r="H685" s="177"/>
      <c r="I685" s="189" t="s">
        <v>1097</v>
      </c>
      <c r="J685" s="190"/>
      <c r="K685" s="191" t="s">
        <v>1558</v>
      </c>
      <c r="L685" s="223"/>
      <c r="M685" s="192"/>
      <c r="N685" s="192"/>
      <c r="O685" s="224" t="s">
        <v>905</v>
      </c>
      <c r="P685" s="146"/>
      <c r="Q685" s="146"/>
      <c r="R685" s="146"/>
      <c r="S685" s="146"/>
    </row>
    <row r="686" spans="1:19" ht="15.75" thickTop="1" x14ac:dyDescent="0.2">
      <c r="A686" s="152">
        <v>84</v>
      </c>
      <c r="B686" s="142" t="s">
        <v>1559</v>
      </c>
      <c r="C686" s="142" t="s">
        <v>1560</v>
      </c>
      <c r="D686" s="151"/>
      <c r="G686" s="146"/>
      <c r="H686" s="184">
        <v>84</v>
      </c>
      <c r="I686" s="186"/>
      <c r="J686" s="196"/>
      <c r="K686" s="241" t="s">
        <v>1560</v>
      </c>
      <c r="L686" s="196"/>
      <c r="M686" s="196"/>
      <c r="N686" s="196"/>
      <c r="O686" s="206"/>
      <c r="P686" s="146"/>
      <c r="Q686" s="160">
        <f>H686</f>
        <v>84</v>
      </c>
      <c r="R686" s="151" t="str">
        <f>CONCATENATE("II-",TEXT(Q686,"0000"))</f>
        <v>II-0084</v>
      </c>
      <c r="S686" s="161" t="str">
        <f>K686</f>
        <v xml:space="preserve">TRANSPORTE </v>
      </c>
    </row>
    <row r="687" spans="1:19" x14ac:dyDescent="0.2">
      <c r="A687" s="152"/>
      <c r="B687" s="142"/>
      <c r="C687" s="142"/>
      <c r="D687" s="151" t="s">
        <v>1561</v>
      </c>
      <c r="G687" s="146"/>
      <c r="H687" s="162"/>
      <c r="I687" s="163" t="s">
        <v>989</v>
      </c>
      <c r="J687" s="266"/>
      <c r="K687" s="221" t="s">
        <v>1354</v>
      </c>
      <c r="L687" s="204"/>
      <c r="M687" s="204"/>
      <c r="N687" s="204"/>
      <c r="O687" s="220" t="s">
        <v>1561</v>
      </c>
      <c r="P687" s="146"/>
      <c r="Q687" s="146"/>
      <c r="R687" s="146"/>
      <c r="S687" s="146"/>
    </row>
    <row r="688" spans="1:19" ht="15.75" thickBot="1" x14ac:dyDescent="0.25">
      <c r="A688" s="152"/>
      <c r="B688" s="142"/>
      <c r="C688" s="142"/>
      <c r="D688" s="151" t="s">
        <v>1562</v>
      </c>
      <c r="G688" s="146"/>
      <c r="H688" s="162"/>
      <c r="I688" s="179" t="s">
        <v>1016</v>
      </c>
      <c r="J688" s="151"/>
      <c r="K688" s="161" t="s">
        <v>1355</v>
      </c>
      <c r="L688" s="146"/>
      <c r="M688" s="146"/>
      <c r="N688" s="146"/>
      <c r="O688" s="198" t="s">
        <v>1562</v>
      </c>
      <c r="P688" s="146"/>
      <c r="Q688" s="146"/>
      <c r="R688" s="146"/>
      <c r="S688" s="146"/>
    </row>
    <row r="689" spans="1:19" ht="15.75" thickTop="1" x14ac:dyDescent="0.2">
      <c r="A689" s="152">
        <v>85</v>
      </c>
      <c r="B689" s="142" t="s">
        <v>1563</v>
      </c>
      <c r="C689" s="142" t="s">
        <v>1564</v>
      </c>
      <c r="D689" s="151"/>
      <c r="G689" s="146"/>
      <c r="H689" s="229">
        <v>85</v>
      </c>
      <c r="I689" s="185"/>
      <c r="J689" s="234"/>
      <c r="K689" s="235" t="s">
        <v>1564</v>
      </c>
      <c r="L689" s="234"/>
      <c r="M689" s="234"/>
      <c r="N689" s="234"/>
      <c r="O689" s="187"/>
      <c r="P689" s="146"/>
      <c r="Q689" s="160">
        <f>H689</f>
        <v>85</v>
      </c>
      <c r="R689" s="151" t="str">
        <f>CONCATENATE("II-",TEXT(Q689,"0000"))</f>
        <v>II-0085</v>
      </c>
      <c r="S689" s="161" t="str">
        <f>K689</f>
        <v>TRANQUERA</v>
      </c>
    </row>
    <row r="690" spans="1:19" x14ac:dyDescent="0.2">
      <c r="A690" s="152">
        <v>1</v>
      </c>
      <c r="B690" s="153" t="str">
        <f>CONCATENATE($B$689,".",TEXT(A690,"0000"))</f>
        <v>II-0085.0001</v>
      </c>
      <c r="C690" s="142" t="s">
        <v>1565</v>
      </c>
      <c r="D690" s="151" t="s">
        <v>1217</v>
      </c>
      <c r="G690" s="146"/>
      <c r="H690" s="162"/>
      <c r="I690" s="163" t="s">
        <v>989</v>
      </c>
      <c r="J690" s="204"/>
      <c r="K690" s="221" t="s">
        <v>1566</v>
      </c>
      <c r="L690" s="221"/>
      <c r="M690" s="221"/>
      <c r="N690" s="221"/>
      <c r="O690" s="220" t="s">
        <v>1217</v>
      </c>
      <c r="P690" s="146"/>
      <c r="Q690" s="146"/>
      <c r="R690" s="146"/>
      <c r="S690" s="146"/>
    </row>
    <row r="691" spans="1:19" ht="15.75" thickBot="1" x14ac:dyDescent="0.25">
      <c r="A691" s="152">
        <v>2</v>
      </c>
      <c r="B691" s="153" t="str">
        <f>CONCATENATE($B$689,".",TEXT(A691,"0000"))</f>
        <v>II-0085.0002</v>
      </c>
      <c r="C691" s="142" t="s">
        <v>1567</v>
      </c>
      <c r="D691" s="151" t="s">
        <v>1217</v>
      </c>
      <c r="G691" s="146"/>
      <c r="H691" s="177"/>
      <c r="I691" s="179" t="s">
        <v>1016</v>
      </c>
      <c r="J691" s="180"/>
      <c r="K691" s="181" t="s">
        <v>1568</v>
      </c>
      <c r="L691" s="181"/>
      <c r="M691" s="181"/>
      <c r="N691" s="181"/>
      <c r="O691" s="242" t="s">
        <v>1217</v>
      </c>
      <c r="P691" s="146"/>
      <c r="Q691" s="146"/>
      <c r="R691" s="146"/>
      <c r="S691" s="146"/>
    </row>
    <row r="692" spans="1:19" ht="15.75" thickTop="1" x14ac:dyDescent="0.2">
      <c r="A692" s="152">
        <v>86</v>
      </c>
      <c r="B692" s="142" t="s">
        <v>1569</v>
      </c>
      <c r="C692" s="142" t="s">
        <v>1570</v>
      </c>
      <c r="D692" s="151"/>
      <c r="G692" s="146"/>
      <c r="H692" s="229">
        <v>86</v>
      </c>
      <c r="I692" s="185"/>
      <c r="J692" s="234"/>
      <c r="K692" s="235" t="s">
        <v>1570</v>
      </c>
      <c r="L692" s="234"/>
      <c r="M692" s="234"/>
      <c r="N692" s="234"/>
      <c r="O692" s="187"/>
      <c r="P692" s="146"/>
      <c r="Q692" s="160">
        <f>H692</f>
        <v>86</v>
      </c>
      <c r="R692" s="151" t="str">
        <f>CONCATENATE("II-",TEXT(Q692,"0000"))</f>
        <v>II-0086</v>
      </c>
      <c r="S692" s="161" t="str">
        <f>K692</f>
        <v>TRATAMIENTO BITUMINOSO</v>
      </c>
    </row>
    <row r="693" spans="1:19" x14ac:dyDescent="0.2">
      <c r="A693" s="152"/>
      <c r="B693" s="142"/>
      <c r="C693" s="142"/>
      <c r="D693" s="151" t="s">
        <v>1183</v>
      </c>
      <c r="G693" s="146"/>
      <c r="H693" s="162"/>
      <c r="I693" s="163" t="s">
        <v>989</v>
      </c>
      <c r="J693" s="204"/>
      <c r="K693" s="221" t="s">
        <v>1571</v>
      </c>
      <c r="L693" s="204"/>
      <c r="M693" s="204"/>
      <c r="N693" s="204"/>
      <c r="O693" s="220" t="s">
        <v>1183</v>
      </c>
      <c r="P693" s="146"/>
      <c r="Q693" s="146"/>
      <c r="R693" s="146"/>
      <c r="S693" s="146"/>
    </row>
    <row r="694" spans="1:19" x14ac:dyDescent="0.2">
      <c r="A694" s="152"/>
      <c r="B694" s="142"/>
      <c r="C694" s="142"/>
      <c r="D694" s="151" t="s">
        <v>1183</v>
      </c>
      <c r="G694" s="146"/>
      <c r="H694" s="162"/>
      <c r="I694" s="168" t="s">
        <v>1016</v>
      </c>
      <c r="J694" s="146"/>
      <c r="K694" s="161" t="s">
        <v>1572</v>
      </c>
      <c r="L694" s="146"/>
      <c r="M694" s="146"/>
      <c r="N694" s="146"/>
      <c r="O694" s="198" t="s">
        <v>1183</v>
      </c>
      <c r="P694" s="146"/>
      <c r="Q694" s="146"/>
      <c r="R694" s="146"/>
      <c r="S694" s="146"/>
    </row>
    <row r="695" spans="1:19" x14ac:dyDescent="0.2">
      <c r="A695" s="152"/>
      <c r="B695" s="142"/>
      <c r="C695" s="142"/>
      <c r="D695" s="151" t="s">
        <v>1183</v>
      </c>
      <c r="G695" s="146"/>
      <c r="H695" s="162"/>
      <c r="I695" s="163" t="s">
        <v>1026</v>
      </c>
      <c r="J695" s="204"/>
      <c r="K695" s="221" t="s">
        <v>1573</v>
      </c>
      <c r="L695" s="204"/>
      <c r="M695" s="204"/>
      <c r="N695" s="204"/>
      <c r="O695" s="220" t="s">
        <v>1183</v>
      </c>
      <c r="P695" s="146"/>
      <c r="Q695" s="146"/>
      <c r="R695" s="146"/>
      <c r="S695" s="146"/>
    </row>
    <row r="696" spans="1:19" x14ac:dyDescent="0.2">
      <c r="A696" s="152"/>
      <c r="B696" s="142"/>
      <c r="C696" s="142"/>
      <c r="D696" s="151" t="s">
        <v>1183</v>
      </c>
      <c r="G696" s="146"/>
      <c r="H696" s="162"/>
      <c r="I696" s="168" t="s">
        <v>1052</v>
      </c>
      <c r="J696" s="146"/>
      <c r="K696" s="161" t="s">
        <v>1282</v>
      </c>
      <c r="L696" s="146"/>
      <c r="M696" s="146"/>
      <c r="N696" s="146"/>
      <c r="O696" s="198" t="s">
        <v>1183</v>
      </c>
      <c r="P696" s="146"/>
      <c r="Q696" s="146"/>
      <c r="R696" s="146"/>
      <c r="S696" s="146"/>
    </row>
    <row r="697" spans="1:19" x14ac:dyDescent="0.2">
      <c r="A697" s="152"/>
      <c r="B697" s="142"/>
      <c r="C697" s="142"/>
      <c r="D697" s="151" t="s">
        <v>1183</v>
      </c>
      <c r="G697" s="146"/>
      <c r="H697" s="162"/>
      <c r="I697" s="163" t="s">
        <v>1094</v>
      </c>
      <c r="J697" s="204"/>
      <c r="K697" s="221" t="s">
        <v>1574</v>
      </c>
      <c r="L697" s="204"/>
      <c r="M697" s="204"/>
      <c r="N697" s="204"/>
      <c r="O697" s="220" t="s">
        <v>1183</v>
      </c>
      <c r="P697" s="146"/>
      <c r="Q697" s="146"/>
      <c r="R697" s="146"/>
      <c r="S697" s="146"/>
    </row>
    <row r="698" spans="1:19" x14ac:dyDescent="0.2">
      <c r="A698" s="152"/>
      <c r="B698" s="142"/>
      <c r="C698" s="142"/>
      <c r="D698" s="151" t="s">
        <v>1183</v>
      </c>
      <c r="G698" s="146"/>
      <c r="H698" s="162"/>
      <c r="I698" s="163" t="s">
        <v>1097</v>
      </c>
      <c r="J698" s="204"/>
      <c r="K698" s="221" t="s">
        <v>1575</v>
      </c>
      <c r="L698" s="204"/>
      <c r="M698" s="204"/>
      <c r="N698" s="204"/>
      <c r="O698" s="220" t="s">
        <v>1183</v>
      </c>
      <c r="P698" s="146"/>
      <c r="Q698" s="146"/>
      <c r="R698" s="146"/>
      <c r="S698" s="146"/>
    </row>
    <row r="699" spans="1:19" ht="15.75" thickBot="1" x14ac:dyDescent="0.25">
      <c r="A699" s="152"/>
      <c r="B699" s="142"/>
      <c r="C699" s="142"/>
      <c r="D699" s="151" t="s">
        <v>1183</v>
      </c>
      <c r="G699" s="146"/>
      <c r="H699" s="162"/>
      <c r="I699" s="179" t="s">
        <v>1101</v>
      </c>
      <c r="J699" s="146"/>
      <c r="K699" s="161" t="s">
        <v>1576</v>
      </c>
      <c r="L699" s="146"/>
      <c r="M699" s="146"/>
      <c r="N699" s="146"/>
      <c r="O699" s="198" t="s">
        <v>1183</v>
      </c>
      <c r="P699" s="146"/>
      <c r="Q699" s="146"/>
      <c r="R699" s="146"/>
      <c r="S699" s="146"/>
    </row>
    <row r="700" spans="1:19" ht="15.75" thickTop="1" x14ac:dyDescent="0.2">
      <c r="A700" s="152">
        <v>87</v>
      </c>
      <c r="B700" s="142" t="s">
        <v>1577</v>
      </c>
      <c r="C700" s="142" t="s">
        <v>1578</v>
      </c>
      <c r="D700" s="151"/>
      <c r="G700" s="146"/>
      <c r="H700" s="229">
        <v>87</v>
      </c>
      <c r="I700" s="230"/>
      <c r="J700" s="231"/>
      <c r="K700" s="273" t="s">
        <v>1578</v>
      </c>
      <c r="L700" s="231"/>
      <c r="M700" s="231"/>
      <c r="N700" s="231"/>
      <c r="O700" s="233"/>
      <c r="P700" s="146"/>
      <c r="Q700" s="160">
        <f>H700</f>
        <v>87</v>
      </c>
      <c r="R700" s="151" t="str">
        <f>CONCATENATE("II-",TEXT(Q700,"0000"))</f>
        <v>II-0087</v>
      </c>
      <c r="S700" s="161" t="str">
        <f>K700</f>
        <v>TOMA DE JUNTA</v>
      </c>
    </row>
    <row r="701" spans="1:19" x14ac:dyDescent="0.2">
      <c r="A701" s="152"/>
      <c r="B701" s="142"/>
      <c r="C701" s="142"/>
      <c r="D701" s="151" t="s">
        <v>1225</v>
      </c>
      <c r="G701" s="146"/>
      <c r="H701" s="162"/>
      <c r="I701" s="163" t="s">
        <v>989</v>
      </c>
      <c r="J701" s="204"/>
      <c r="K701" s="221" t="s">
        <v>1579</v>
      </c>
      <c r="L701" s="221"/>
      <c r="M701" s="221"/>
      <c r="N701" s="221"/>
      <c r="O701" s="220" t="s">
        <v>1225</v>
      </c>
      <c r="P701" s="146"/>
      <c r="Q701" s="146"/>
      <c r="R701" s="146"/>
      <c r="S701" s="146"/>
    </row>
    <row r="702" spans="1:19" ht="15.75" thickBot="1" x14ac:dyDescent="0.25">
      <c r="A702" s="152"/>
      <c r="B702" s="142"/>
      <c r="C702" s="142"/>
      <c r="D702" s="151" t="s">
        <v>1225</v>
      </c>
      <c r="G702" s="146"/>
      <c r="H702" s="222"/>
      <c r="I702" s="179" t="s">
        <v>1016</v>
      </c>
      <c r="J702" s="180"/>
      <c r="K702" s="181" t="s">
        <v>1405</v>
      </c>
      <c r="L702" s="181"/>
      <c r="M702" s="181"/>
      <c r="N702" s="181"/>
      <c r="O702" s="242" t="s">
        <v>1225</v>
      </c>
      <c r="P702" s="146"/>
      <c r="Q702" s="146"/>
      <c r="R702" s="146"/>
      <c r="S702" s="146"/>
    </row>
    <row r="703" spans="1:19" ht="16.5" thickTop="1" thickBot="1" x14ac:dyDescent="0.25">
      <c r="A703" s="152">
        <v>88</v>
      </c>
      <c r="B703" s="142" t="s">
        <v>1580</v>
      </c>
      <c r="C703" s="142" t="s">
        <v>1581</v>
      </c>
      <c r="D703" s="151" t="s">
        <v>1100</v>
      </c>
      <c r="G703" s="146"/>
      <c r="H703" s="184">
        <v>88</v>
      </c>
      <c r="I703" s="186"/>
      <c r="J703" s="196"/>
      <c r="K703" s="241" t="s">
        <v>1581</v>
      </c>
      <c r="L703" s="196"/>
      <c r="M703" s="196"/>
      <c r="N703" s="196"/>
      <c r="O703" s="206" t="s">
        <v>1100</v>
      </c>
      <c r="P703" s="146"/>
      <c r="Q703" s="160">
        <f t="shared" ref="Q703:Q704" si="69">H703</f>
        <v>88</v>
      </c>
      <c r="R703" s="151" t="str">
        <f t="shared" ref="R703:R704" si="70">CONCATENATE("II-",TEXT(Q703,"0000"))</f>
        <v>II-0088</v>
      </c>
      <c r="S703" s="161" t="str">
        <f t="shared" ref="S703:S704" si="71">K703</f>
        <v>TOSCAPLEN</v>
      </c>
    </row>
    <row r="704" spans="1:19" ht="16.5" thickTop="1" thickBot="1" x14ac:dyDescent="0.25">
      <c r="A704" s="152">
        <v>89</v>
      </c>
      <c r="B704" s="142" t="s">
        <v>1582</v>
      </c>
      <c r="C704" s="142" t="s">
        <v>1583</v>
      </c>
      <c r="D704" s="151" t="s">
        <v>1443</v>
      </c>
      <c r="G704" s="146"/>
      <c r="H704" s="236">
        <v>89</v>
      </c>
      <c r="I704" s="237"/>
      <c r="J704" s="238"/>
      <c r="K704" s="239" t="s">
        <v>1583</v>
      </c>
      <c r="L704" s="238"/>
      <c r="M704" s="238"/>
      <c r="N704" s="238"/>
      <c r="O704" s="240" t="s">
        <v>1443</v>
      </c>
      <c r="P704" s="146"/>
      <c r="Q704" s="160">
        <f t="shared" si="69"/>
        <v>89</v>
      </c>
      <c r="R704" s="151" t="str">
        <f t="shared" si="70"/>
        <v>II-0089</v>
      </c>
      <c r="S704" s="161" t="str">
        <f t="shared" si="71"/>
        <v>VIVENDA PERSONAL DE SUPERVICION</v>
      </c>
    </row>
    <row r="705" spans="1:19" x14ac:dyDescent="0.2">
      <c r="A705" s="152"/>
      <c r="B705" s="142"/>
      <c r="C705" s="142"/>
      <c r="D705" s="151"/>
      <c r="G705" s="146"/>
      <c r="H705" s="214"/>
      <c r="I705" s="151"/>
      <c r="J705" s="146"/>
      <c r="K705" s="146"/>
      <c r="L705" s="146"/>
      <c r="M705" s="146"/>
      <c r="N705" s="146"/>
      <c r="O705" s="149"/>
      <c r="P705" s="146"/>
      <c r="Q705" s="146"/>
      <c r="R705" s="146"/>
      <c r="S705" s="146"/>
    </row>
    <row r="706" spans="1:19" x14ac:dyDescent="0.2">
      <c r="A706" s="152"/>
      <c r="B706" s="142"/>
      <c r="C706" s="142"/>
      <c r="D706" s="151"/>
      <c r="G706" s="146"/>
      <c r="H706" s="214"/>
      <c r="I706" s="151"/>
      <c r="J706" s="146"/>
      <c r="K706" s="146"/>
      <c r="L706" s="146"/>
      <c r="M706" s="146"/>
      <c r="N706" s="146"/>
      <c r="O706" s="149"/>
      <c r="P706" s="146"/>
      <c r="Q706" s="146"/>
      <c r="R706" s="146"/>
      <c r="S706" s="146"/>
    </row>
    <row r="707" spans="1:19" x14ac:dyDescent="0.2">
      <c r="A707" s="152"/>
      <c r="B707" s="142"/>
      <c r="C707" s="142"/>
      <c r="D707" s="151"/>
      <c r="G707" s="146"/>
      <c r="H707" s="214"/>
      <c r="I707" s="151"/>
      <c r="J707" s="146"/>
      <c r="K707" s="146"/>
      <c r="L707" s="146"/>
      <c r="M707" s="146"/>
      <c r="N707" s="146"/>
      <c r="O707" s="149"/>
      <c r="P707" s="146"/>
      <c r="Q707" s="146"/>
      <c r="R707" s="146"/>
      <c r="S707" s="146"/>
    </row>
    <row r="708" spans="1:19" x14ac:dyDescent="0.2">
      <c r="A708" s="152"/>
      <c r="B708" s="142"/>
      <c r="C708" s="142"/>
      <c r="D708" s="151"/>
      <c r="G708" s="146"/>
      <c r="H708" s="214"/>
      <c r="I708" s="151"/>
      <c r="J708" s="146"/>
      <c r="K708" s="146"/>
      <c r="L708" s="146"/>
      <c r="M708" s="146"/>
      <c r="N708" s="146"/>
      <c r="O708" s="149"/>
      <c r="P708" s="146"/>
      <c r="Q708" s="146"/>
      <c r="R708" s="146"/>
      <c r="S708" s="146"/>
    </row>
    <row r="709" spans="1:19" x14ac:dyDescent="0.2">
      <c r="A709" s="152"/>
      <c r="B709" s="142"/>
      <c r="C709" s="142"/>
      <c r="D709" s="151"/>
      <c r="G709" s="146"/>
      <c r="H709" s="214"/>
      <c r="I709" s="151"/>
      <c r="J709" s="146"/>
      <c r="K709" s="146"/>
      <c r="L709" s="146"/>
      <c r="M709" s="146"/>
      <c r="N709" s="146"/>
      <c r="O709" s="149"/>
      <c r="P709" s="146"/>
      <c r="Q709" s="146"/>
      <c r="R709" s="146"/>
      <c r="S709" s="146"/>
    </row>
    <row r="710" spans="1:19" x14ac:dyDescent="0.2">
      <c r="A710" s="152"/>
      <c r="B710" s="142"/>
      <c r="C710" s="142"/>
      <c r="D710" s="151"/>
      <c r="G710" s="146"/>
      <c r="H710" s="214"/>
      <c r="I710" s="151"/>
      <c r="J710" s="146"/>
      <c r="K710" s="146"/>
      <c r="L710" s="146"/>
      <c r="M710" s="146"/>
      <c r="N710" s="146"/>
      <c r="O710" s="149"/>
      <c r="P710" s="146"/>
      <c r="Q710" s="146"/>
      <c r="R710" s="146"/>
      <c r="S710" s="146"/>
    </row>
    <row r="711" spans="1:19" x14ac:dyDescent="0.2">
      <c r="A711" s="152"/>
      <c r="B711" s="142"/>
      <c r="C711" s="142"/>
      <c r="D711" s="151"/>
      <c r="G711" s="146"/>
      <c r="H711" s="214"/>
      <c r="I711" s="151"/>
      <c r="J711" s="146"/>
      <c r="K711" s="146"/>
      <c r="L711" s="146"/>
      <c r="M711" s="146"/>
      <c r="N711" s="146"/>
      <c r="O711" s="149"/>
      <c r="P711" s="146"/>
      <c r="Q711" s="146"/>
      <c r="R711" s="146"/>
      <c r="S711" s="146"/>
    </row>
    <row r="712" spans="1:19" x14ac:dyDescent="0.2">
      <c r="A712" s="152"/>
      <c r="B712" s="142"/>
      <c r="C712" s="142"/>
      <c r="D712" s="151"/>
      <c r="G712" s="146"/>
      <c r="H712" s="214"/>
      <c r="I712" s="151"/>
      <c r="J712" s="146"/>
      <c r="K712" s="146"/>
      <c r="L712" s="146"/>
      <c r="M712" s="146"/>
      <c r="N712" s="146"/>
      <c r="O712" s="149"/>
      <c r="P712" s="146"/>
      <c r="Q712" s="146"/>
      <c r="R712" s="146"/>
      <c r="S712" s="146"/>
    </row>
    <row r="713" spans="1:19" x14ac:dyDescent="0.2">
      <c r="A713" s="152"/>
      <c r="B713" s="142"/>
      <c r="C713" s="142"/>
      <c r="D713" s="151"/>
      <c r="G713" s="146"/>
      <c r="H713" s="214"/>
      <c r="I713" s="151"/>
      <c r="J713" s="146"/>
      <c r="K713" s="146"/>
      <c r="L713" s="146"/>
      <c r="M713" s="146"/>
      <c r="N713" s="146"/>
      <c r="O713" s="149"/>
      <c r="P713" s="146"/>
      <c r="Q713" s="146"/>
      <c r="R713" s="146"/>
      <c r="S713" s="146"/>
    </row>
    <row r="714" spans="1:19" x14ac:dyDescent="0.2">
      <c r="A714" s="152"/>
      <c r="B714" s="142"/>
      <c r="C714" s="142"/>
      <c r="D714" s="151"/>
      <c r="G714" s="146"/>
      <c r="H714" s="214"/>
      <c r="I714" s="151"/>
      <c r="J714" s="146"/>
      <c r="K714" s="146"/>
      <c r="L714" s="146"/>
      <c r="M714" s="146"/>
      <c r="N714" s="146"/>
      <c r="O714" s="149"/>
      <c r="P714" s="146"/>
      <c r="Q714" s="146"/>
      <c r="R714" s="146"/>
      <c r="S714" s="146"/>
    </row>
    <row r="715" spans="1:19" x14ac:dyDescent="0.2">
      <c r="A715" s="152"/>
      <c r="B715" s="142"/>
      <c r="C715" s="142"/>
      <c r="D715" s="151"/>
      <c r="G715" s="146"/>
      <c r="H715" s="214"/>
      <c r="I715" s="151"/>
      <c r="J715" s="146"/>
      <c r="K715" s="146"/>
      <c r="L715" s="146"/>
      <c r="M715" s="146"/>
      <c r="N715" s="146"/>
      <c r="O715" s="149"/>
      <c r="P715" s="146"/>
      <c r="Q715" s="146"/>
      <c r="R715" s="146"/>
      <c r="S715" s="146"/>
    </row>
    <row r="716" spans="1:19" x14ac:dyDescent="0.2">
      <c r="A716" s="152"/>
      <c r="B716" s="142"/>
      <c r="C716" s="142"/>
      <c r="D716" s="151"/>
      <c r="G716" s="146"/>
      <c r="H716" s="214"/>
      <c r="I716" s="151"/>
      <c r="J716" s="146"/>
      <c r="K716" s="146"/>
      <c r="L716" s="146"/>
      <c r="M716" s="146"/>
      <c r="N716" s="146"/>
      <c r="O716" s="149"/>
      <c r="P716" s="146"/>
      <c r="Q716" s="146"/>
      <c r="R716" s="146"/>
      <c r="S716" s="146"/>
    </row>
    <row r="717" spans="1:19" x14ac:dyDescent="0.2">
      <c r="A717" s="152"/>
      <c r="B717" s="142"/>
      <c r="C717" s="142"/>
      <c r="D717" s="151"/>
      <c r="G717" s="146"/>
      <c r="H717" s="214"/>
      <c r="I717" s="151"/>
      <c r="J717" s="146"/>
      <c r="K717" s="146"/>
      <c r="L717" s="146"/>
      <c r="M717" s="146"/>
      <c r="N717" s="146"/>
      <c r="O717" s="149"/>
      <c r="P717" s="146"/>
      <c r="Q717" s="146"/>
      <c r="R717" s="146"/>
      <c r="S717" s="146"/>
    </row>
    <row r="718" spans="1:19" x14ac:dyDescent="0.2">
      <c r="A718" s="152"/>
      <c r="B718" s="142"/>
      <c r="C718" s="142"/>
      <c r="D718" s="151"/>
      <c r="G718" s="146"/>
      <c r="H718" s="214"/>
      <c r="I718" s="151"/>
      <c r="J718" s="146"/>
      <c r="K718" s="146"/>
      <c r="L718" s="146"/>
      <c r="M718" s="146"/>
      <c r="N718" s="146"/>
      <c r="O718" s="149"/>
      <c r="P718" s="146"/>
      <c r="Q718" s="146"/>
      <c r="R718" s="146"/>
      <c r="S718" s="146"/>
    </row>
    <row r="719" spans="1:19" x14ac:dyDescent="0.2">
      <c r="A719" s="152"/>
      <c r="B719" s="142"/>
      <c r="C719" s="142"/>
      <c r="D719" s="151"/>
      <c r="G719" s="146"/>
      <c r="H719" s="214"/>
      <c r="I719" s="151"/>
      <c r="J719" s="146"/>
      <c r="K719" s="146"/>
      <c r="L719" s="146"/>
      <c r="M719" s="146"/>
      <c r="N719" s="146"/>
      <c r="O719" s="149"/>
      <c r="P719" s="146"/>
      <c r="Q719" s="146"/>
      <c r="R719" s="146"/>
      <c r="S719" s="146"/>
    </row>
    <row r="720" spans="1:19" x14ac:dyDescent="0.2">
      <c r="A720" s="152"/>
      <c r="B720" s="142"/>
      <c r="C720" s="142"/>
      <c r="D720" s="151"/>
      <c r="G720" s="146"/>
      <c r="H720" s="214"/>
      <c r="I720" s="151"/>
      <c r="J720" s="146"/>
      <c r="K720" s="146"/>
      <c r="L720" s="146"/>
      <c r="M720" s="146"/>
      <c r="N720" s="146"/>
      <c r="O720" s="149"/>
      <c r="P720" s="146"/>
      <c r="Q720" s="146"/>
      <c r="R720" s="146"/>
      <c r="S720" s="146"/>
    </row>
    <row r="721" spans="1:19" x14ac:dyDescent="0.2">
      <c r="A721" s="152"/>
      <c r="B721" s="142"/>
      <c r="C721" s="142"/>
      <c r="D721" s="151"/>
      <c r="G721" s="146"/>
      <c r="H721" s="214"/>
      <c r="I721" s="151"/>
      <c r="J721" s="146"/>
      <c r="K721" s="146"/>
      <c r="L721" s="146"/>
      <c r="M721" s="146"/>
      <c r="N721" s="146"/>
      <c r="O721" s="149"/>
      <c r="P721" s="146"/>
      <c r="Q721" s="146"/>
      <c r="R721" s="146"/>
      <c r="S721" s="146"/>
    </row>
    <row r="722" spans="1:19" x14ac:dyDescent="0.2">
      <c r="A722" s="152"/>
      <c r="B722" s="142"/>
      <c r="C722" s="142"/>
      <c r="D722" s="151"/>
      <c r="G722" s="146"/>
      <c r="H722" s="214"/>
      <c r="I722" s="151"/>
      <c r="J722" s="146"/>
      <c r="K722" s="146"/>
      <c r="L722" s="146"/>
      <c r="M722" s="146"/>
      <c r="N722" s="146"/>
      <c r="O722" s="149"/>
      <c r="P722" s="146"/>
      <c r="Q722" s="146"/>
      <c r="R722" s="146"/>
      <c r="S722" s="146"/>
    </row>
    <row r="723" spans="1:19" x14ac:dyDescent="0.2">
      <c r="A723" s="152"/>
      <c r="B723" s="142"/>
      <c r="C723" s="142"/>
      <c r="D723" s="151"/>
      <c r="G723" s="146"/>
      <c r="H723" s="214"/>
      <c r="I723" s="151"/>
      <c r="J723" s="146"/>
      <c r="K723" s="146"/>
      <c r="L723" s="146"/>
      <c r="M723" s="146"/>
      <c r="N723" s="146"/>
      <c r="O723" s="149"/>
      <c r="P723" s="146"/>
      <c r="Q723" s="146"/>
      <c r="R723" s="146"/>
      <c r="S723" s="146"/>
    </row>
    <row r="724" spans="1:19" x14ac:dyDescent="0.2">
      <c r="A724" s="152"/>
      <c r="B724" s="142"/>
      <c r="C724" s="142"/>
      <c r="D724" s="151"/>
      <c r="G724" s="146"/>
      <c r="H724" s="214"/>
      <c r="I724" s="151"/>
      <c r="J724" s="146"/>
      <c r="K724" s="146"/>
      <c r="L724" s="146"/>
      <c r="M724" s="146"/>
      <c r="N724" s="146"/>
      <c r="O724" s="149"/>
      <c r="P724" s="146"/>
      <c r="Q724" s="146"/>
      <c r="R724" s="146"/>
      <c r="S724" s="146"/>
    </row>
    <row r="725" spans="1:19" x14ac:dyDescent="0.2">
      <c r="A725" s="152"/>
      <c r="B725" s="142"/>
      <c r="C725" s="142"/>
      <c r="D725" s="151"/>
      <c r="G725" s="146"/>
      <c r="H725" s="214"/>
      <c r="I725" s="151"/>
      <c r="J725" s="146"/>
      <c r="K725" s="146"/>
      <c r="L725" s="146"/>
      <c r="M725" s="146"/>
      <c r="N725" s="146"/>
      <c r="O725" s="149"/>
      <c r="P725" s="146"/>
      <c r="Q725" s="146"/>
      <c r="R725" s="146"/>
      <c r="S725" s="146"/>
    </row>
    <row r="726" spans="1:19" x14ac:dyDescent="0.2">
      <c r="A726" s="152"/>
      <c r="B726" s="142"/>
      <c r="C726" s="142"/>
      <c r="D726" s="151"/>
      <c r="G726" s="146"/>
      <c r="H726" s="214"/>
      <c r="I726" s="151"/>
      <c r="J726" s="146"/>
      <c r="K726" s="146"/>
      <c r="L726" s="146"/>
      <c r="M726" s="146"/>
      <c r="N726" s="146"/>
      <c r="O726" s="149"/>
      <c r="P726" s="146"/>
      <c r="Q726" s="146"/>
      <c r="R726" s="146"/>
      <c r="S726" s="146"/>
    </row>
    <row r="727" spans="1:19" x14ac:dyDescent="0.2">
      <c r="A727" s="152"/>
      <c r="B727" s="142"/>
      <c r="C727" s="142"/>
      <c r="D727" s="151"/>
      <c r="G727" s="146"/>
      <c r="H727" s="214"/>
      <c r="I727" s="151"/>
      <c r="J727" s="146"/>
      <c r="K727" s="146"/>
      <c r="L727" s="146"/>
      <c r="M727" s="146"/>
      <c r="N727" s="146"/>
      <c r="O727" s="149"/>
      <c r="P727" s="146"/>
      <c r="Q727" s="146"/>
      <c r="R727" s="146"/>
      <c r="S727" s="146"/>
    </row>
    <row r="728" spans="1:19" x14ac:dyDescent="0.2">
      <c r="A728" s="152"/>
      <c r="B728" s="142"/>
      <c r="C728" s="142"/>
      <c r="D728" s="151"/>
      <c r="G728" s="146"/>
      <c r="H728" s="214"/>
      <c r="I728" s="151"/>
      <c r="J728" s="146"/>
      <c r="K728" s="146"/>
      <c r="L728" s="146"/>
      <c r="M728" s="146"/>
      <c r="N728" s="146"/>
      <c r="O728" s="149"/>
      <c r="P728" s="146"/>
      <c r="Q728" s="146"/>
      <c r="R728" s="146"/>
      <c r="S728" s="146"/>
    </row>
    <row r="729" spans="1:19" x14ac:dyDescent="0.2">
      <c r="A729" s="152"/>
      <c r="B729" s="142"/>
      <c r="C729" s="142"/>
      <c r="D729" s="151"/>
      <c r="G729" s="146"/>
      <c r="H729" s="214"/>
      <c r="I729" s="151"/>
      <c r="J729" s="146"/>
      <c r="K729" s="146"/>
      <c r="L729" s="146"/>
      <c r="M729" s="146"/>
      <c r="N729" s="146"/>
      <c r="O729" s="149"/>
      <c r="P729" s="146"/>
      <c r="Q729" s="146"/>
      <c r="R729" s="146"/>
      <c r="S729" s="146"/>
    </row>
    <row r="730" spans="1:19" x14ac:dyDescent="0.2">
      <c r="A730" s="152"/>
      <c r="B730" s="142"/>
      <c r="C730" s="142"/>
      <c r="D730" s="151"/>
      <c r="G730" s="146"/>
      <c r="H730" s="214"/>
      <c r="I730" s="151"/>
      <c r="J730" s="146"/>
      <c r="K730" s="146"/>
      <c r="L730" s="146"/>
      <c r="M730" s="146"/>
      <c r="N730" s="146"/>
      <c r="O730" s="149"/>
      <c r="P730" s="146"/>
      <c r="Q730" s="146"/>
      <c r="R730" s="146"/>
      <c r="S730" s="146"/>
    </row>
    <row r="731" spans="1:19" x14ac:dyDescent="0.2">
      <c r="A731" s="152"/>
      <c r="B731" s="142"/>
      <c r="C731" s="142"/>
      <c r="D731" s="151"/>
      <c r="G731" s="146"/>
      <c r="H731" s="214"/>
      <c r="I731" s="151"/>
      <c r="J731" s="146"/>
      <c r="K731" s="146"/>
      <c r="L731" s="146"/>
      <c r="M731" s="146"/>
      <c r="N731" s="146"/>
      <c r="O731" s="149"/>
      <c r="P731" s="146"/>
      <c r="Q731" s="146"/>
      <c r="R731" s="146"/>
      <c r="S731" s="146"/>
    </row>
    <row r="732" spans="1:19" x14ac:dyDescent="0.2">
      <c r="A732" s="152"/>
      <c r="B732" s="142"/>
      <c r="C732" s="142"/>
      <c r="D732" s="151"/>
      <c r="G732" s="146"/>
      <c r="H732" s="214"/>
      <c r="I732" s="151"/>
      <c r="J732" s="146"/>
      <c r="K732" s="146"/>
      <c r="L732" s="146"/>
      <c r="M732" s="146"/>
      <c r="N732" s="146"/>
      <c r="O732" s="149"/>
      <c r="P732" s="146"/>
      <c r="Q732" s="146"/>
      <c r="R732" s="146"/>
      <c r="S732" s="146"/>
    </row>
    <row r="733" spans="1:19" x14ac:dyDescent="0.2">
      <c r="A733" s="152"/>
      <c r="B733" s="142"/>
      <c r="C733" s="142"/>
      <c r="D733" s="151"/>
      <c r="G733" s="146"/>
      <c r="H733" s="214"/>
      <c r="I733" s="151"/>
      <c r="J733" s="146"/>
      <c r="K733" s="146"/>
      <c r="L733" s="146"/>
      <c r="M733" s="146"/>
      <c r="N733" s="146"/>
      <c r="O733" s="149"/>
      <c r="P733" s="146"/>
      <c r="Q733" s="146"/>
      <c r="R733" s="146"/>
      <c r="S733" s="146"/>
    </row>
    <row r="734" spans="1:19" x14ac:dyDescent="0.2">
      <c r="A734" s="152"/>
      <c r="B734" s="142"/>
      <c r="C734" s="142"/>
      <c r="D734" s="151"/>
      <c r="G734" s="146"/>
      <c r="H734" s="214"/>
      <c r="I734" s="151"/>
      <c r="J734" s="146"/>
      <c r="K734" s="146"/>
      <c r="L734" s="146"/>
      <c r="M734" s="146"/>
      <c r="N734" s="146"/>
      <c r="O734" s="149"/>
      <c r="P734" s="146"/>
      <c r="Q734" s="146"/>
      <c r="R734" s="146"/>
      <c r="S734" s="146"/>
    </row>
    <row r="735" spans="1:19" x14ac:dyDescent="0.2">
      <c r="A735" s="152"/>
      <c r="B735" s="142"/>
      <c r="C735" s="142"/>
      <c r="D735" s="151"/>
      <c r="G735" s="146"/>
      <c r="H735" s="214"/>
      <c r="I735" s="151"/>
      <c r="J735" s="146"/>
      <c r="K735" s="146"/>
      <c r="L735" s="146"/>
      <c r="M735" s="146"/>
      <c r="N735" s="146"/>
      <c r="O735" s="149"/>
      <c r="P735" s="146"/>
      <c r="Q735" s="146"/>
      <c r="R735" s="146"/>
      <c r="S735" s="146"/>
    </row>
    <row r="736" spans="1:19" x14ac:dyDescent="0.2">
      <c r="A736" s="152"/>
      <c r="B736" s="142"/>
      <c r="C736" s="142"/>
      <c r="D736" s="151"/>
      <c r="G736" s="146"/>
      <c r="H736" s="214"/>
      <c r="I736" s="151"/>
      <c r="J736" s="146"/>
      <c r="K736" s="146"/>
      <c r="L736" s="146"/>
      <c r="M736" s="146"/>
      <c r="N736" s="146"/>
      <c r="O736" s="149"/>
      <c r="P736" s="146"/>
      <c r="Q736" s="146"/>
      <c r="R736" s="146"/>
      <c r="S736" s="146"/>
    </row>
    <row r="737" spans="1:19" x14ac:dyDescent="0.2">
      <c r="A737" s="152"/>
      <c r="B737" s="142"/>
      <c r="C737" s="142"/>
      <c r="D737" s="151"/>
      <c r="G737" s="146"/>
      <c r="H737" s="214"/>
      <c r="I737" s="151"/>
      <c r="J737" s="146"/>
      <c r="K737" s="146"/>
      <c r="L737" s="146"/>
      <c r="M737" s="146"/>
      <c r="N737" s="146"/>
      <c r="O737" s="149"/>
      <c r="P737" s="146"/>
      <c r="Q737" s="146"/>
      <c r="R737" s="146"/>
      <c r="S737" s="146"/>
    </row>
    <row r="738" spans="1:19" x14ac:dyDescent="0.2">
      <c r="A738" s="152"/>
      <c r="B738" s="142"/>
      <c r="C738" s="142"/>
      <c r="D738" s="151"/>
      <c r="G738" s="146"/>
      <c r="H738" s="214"/>
      <c r="I738" s="151"/>
      <c r="J738" s="146"/>
      <c r="K738" s="146"/>
      <c r="L738" s="146"/>
      <c r="M738" s="146"/>
      <c r="N738" s="146"/>
      <c r="O738" s="149"/>
      <c r="P738" s="146"/>
      <c r="Q738" s="146"/>
      <c r="R738" s="146"/>
      <c r="S738" s="146"/>
    </row>
    <row r="739" spans="1:19" x14ac:dyDescent="0.2">
      <c r="A739" s="152"/>
      <c r="B739" s="142"/>
      <c r="C739" s="142"/>
      <c r="D739" s="151"/>
      <c r="G739" s="146"/>
      <c r="H739" s="214"/>
      <c r="I739" s="151"/>
      <c r="J739" s="146"/>
      <c r="K739" s="146"/>
      <c r="L739" s="146"/>
      <c r="M739" s="146"/>
      <c r="N739" s="146"/>
      <c r="O739" s="149"/>
      <c r="P739" s="146"/>
      <c r="Q739" s="146"/>
      <c r="R739" s="146"/>
      <c r="S739" s="146"/>
    </row>
    <row r="740" spans="1:19" x14ac:dyDescent="0.2">
      <c r="A740" s="152"/>
      <c r="B740" s="142"/>
      <c r="C740" s="142"/>
      <c r="D740" s="151"/>
      <c r="G740" s="146"/>
      <c r="H740" s="214"/>
      <c r="I740" s="151"/>
      <c r="J740" s="146"/>
      <c r="K740" s="146"/>
      <c r="L740" s="146"/>
      <c r="M740" s="146"/>
      <c r="N740" s="146"/>
      <c r="O740" s="149"/>
      <c r="P740" s="146"/>
      <c r="Q740" s="146"/>
      <c r="R740" s="146"/>
      <c r="S740" s="146"/>
    </row>
    <row r="741" spans="1:19" x14ac:dyDescent="0.2">
      <c r="A741" s="152"/>
      <c r="B741" s="142"/>
      <c r="C741" s="142"/>
      <c r="D741" s="151"/>
      <c r="G741" s="146"/>
      <c r="H741" s="214"/>
      <c r="I741" s="151"/>
      <c r="J741" s="146"/>
      <c r="K741" s="146"/>
      <c r="L741" s="146"/>
      <c r="M741" s="146"/>
      <c r="N741" s="146"/>
      <c r="O741" s="149"/>
      <c r="P741" s="146"/>
      <c r="Q741" s="146"/>
      <c r="R741" s="146"/>
      <c r="S741" s="146"/>
    </row>
    <row r="742" spans="1:19" x14ac:dyDescent="0.2">
      <c r="A742" s="152"/>
      <c r="B742" s="142"/>
      <c r="C742" s="142"/>
      <c r="D742" s="151"/>
      <c r="G742" s="146"/>
      <c r="H742" s="214"/>
      <c r="I742" s="151"/>
      <c r="J742" s="146"/>
      <c r="K742" s="146"/>
      <c r="L742" s="146"/>
      <c r="M742" s="146"/>
      <c r="N742" s="146"/>
      <c r="O742" s="149"/>
      <c r="P742" s="146"/>
      <c r="Q742" s="146"/>
      <c r="R742" s="146"/>
      <c r="S742" s="146"/>
    </row>
    <row r="743" spans="1:19" x14ac:dyDescent="0.2">
      <c r="A743" s="152"/>
      <c r="B743" s="142"/>
      <c r="C743" s="142"/>
      <c r="D743" s="151"/>
      <c r="G743" s="146"/>
      <c r="H743" s="214"/>
      <c r="I743" s="151"/>
      <c r="J743" s="146"/>
      <c r="K743" s="146"/>
      <c r="L743" s="146"/>
      <c r="M743" s="146"/>
      <c r="N743" s="146"/>
      <c r="O743" s="149"/>
      <c r="P743" s="146"/>
      <c r="Q743" s="146"/>
      <c r="R743" s="146"/>
      <c r="S743" s="146"/>
    </row>
    <row r="744" spans="1:19" x14ac:dyDescent="0.2">
      <c r="A744" s="152"/>
      <c r="B744" s="142"/>
      <c r="C744" s="142"/>
      <c r="D744" s="151"/>
      <c r="G744" s="146"/>
      <c r="H744" s="214"/>
      <c r="I744" s="151"/>
      <c r="J744" s="146"/>
      <c r="K744" s="146"/>
      <c r="L744" s="146"/>
      <c r="M744" s="146"/>
      <c r="N744" s="146"/>
      <c r="O744" s="149"/>
      <c r="P744" s="146"/>
      <c r="Q744" s="146"/>
      <c r="R744" s="146"/>
      <c r="S744" s="146"/>
    </row>
    <row r="745" spans="1:19" x14ac:dyDescent="0.2">
      <c r="A745" s="152"/>
      <c r="B745" s="142"/>
      <c r="C745" s="142"/>
      <c r="D745" s="151"/>
      <c r="G745" s="146"/>
      <c r="H745" s="214"/>
      <c r="I745" s="151"/>
      <c r="J745" s="146"/>
      <c r="K745" s="146"/>
      <c r="L745" s="146"/>
      <c r="M745" s="146"/>
      <c r="N745" s="146"/>
      <c r="O745" s="149"/>
      <c r="P745" s="146"/>
      <c r="Q745" s="146"/>
      <c r="R745" s="146"/>
      <c r="S745" s="146"/>
    </row>
    <row r="746" spans="1:19" x14ac:dyDescent="0.2">
      <c r="A746" s="152"/>
      <c r="B746" s="142"/>
      <c r="C746" s="142"/>
      <c r="D746" s="151"/>
      <c r="G746" s="146"/>
      <c r="H746" s="214"/>
      <c r="I746" s="151"/>
      <c r="J746" s="146"/>
      <c r="K746" s="146"/>
      <c r="L746" s="146"/>
      <c r="M746" s="146"/>
      <c r="N746" s="146"/>
      <c r="O746" s="149"/>
      <c r="P746" s="146"/>
      <c r="Q746" s="146"/>
      <c r="R746" s="146"/>
      <c r="S746" s="146"/>
    </row>
    <row r="747" spans="1:19" x14ac:dyDescent="0.2">
      <c r="A747" s="152"/>
      <c r="B747" s="142"/>
      <c r="C747" s="142"/>
      <c r="D747" s="151"/>
      <c r="G747" s="146"/>
      <c r="H747" s="214"/>
      <c r="I747" s="151"/>
      <c r="J747" s="146"/>
      <c r="K747" s="146"/>
      <c r="L747" s="146"/>
      <c r="M747" s="146"/>
      <c r="N747" s="146"/>
      <c r="O747" s="149"/>
      <c r="P747" s="146"/>
      <c r="Q747" s="146"/>
      <c r="R747" s="146"/>
      <c r="S747" s="146"/>
    </row>
    <row r="748" spans="1:19" x14ac:dyDescent="0.2">
      <c r="A748" s="152"/>
      <c r="B748" s="142"/>
      <c r="C748" s="142"/>
      <c r="D748" s="151"/>
      <c r="G748" s="146"/>
      <c r="H748" s="214"/>
      <c r="I748" s="151"/>
      <c r="J748" s="146"/>
      <c r="K748" s="146"/>
      <c r="L748" s="146"/>
      <c r="M748" s="146"/>
      <c r="N748" s="146"/>
      <c r="O748" s="149"/>
      <c r="P748" s="146"/>
      <c r="Q748" s="146"/>
      <c r="R748" s="146"/>
      <c r="S748" s="146"/>
    </row>
    <row r="749" spans="1:19" x14ac:dyDescent="0.2">
      <c r="A749" s="152"/>
      <c r="B749" s="142"/>
      <c r="C749" s="142"/>
      <c r="D749" s="151"/>
      <c r="G749" s="146"/>
      <c r="H749" s="214"/>
      <c r="I749" s="151"/>
      <c r="J749" s="146"/>
      <c r="K749" s="146"/>
      <c r="L749" s="146"/>
      <c r="M749" s="146"/>
      <c r="N749" s="146"/>
      <c r="O749" s="149"/>
      <c r="P749" s="146"/>
      <c r="Q749" s="146"/>
      <c r="R749" s="146"/>
      <c r="S749" s="146"/>
    </row>
    <row r="750" spans="1:19" x14ac:dyDescent="0.2">
      <c r="A750" s="152"/>
      <c r="B750" s="142"/>
      <c r="C750" s="142"/>
      <c r="D750" s="151"/>
      <c r="G750" s="146"/>
      <c r="H750" s="214"/>
      <c r="I750" s="151"/>
      <c r="J750" s="146"/>
      <c r="K750" s="146"/>
      <c r="L750" s="146"/>
      <c r="M750" s="146"/>
      <c r="N750" s="146"/>
      <c r="O750" s="149"/>
      <c r="P750" s="146"/>
      <c r="Q750" s="146"/>
      <c r="R750" s="146"/>
      <c r="S750" s="146"/>
    </row>
    <row r="751" spans="1:19" x14ac:dyDescent="0.2">
      <c r="A751" s="152"/>
      <c r="B751" s="142"/>
      <c r="C751" s="142"/>
      <c r="D751" s="151"/>
      <c r="G751" s="146"/>
      <c r="H751" s="214"/>
      <c r="I751" s="151"/>
      <c r="J751" s="146"/>
      <c r="K751" s="146"/>
      <c r="L751" s="146"/>
      <c r="M751" s="146"/>
      <c r="N751" s="146"/>
      <c r="O751" s="149"/>
      <c r="P751" s="146"/>
      <c r="Q751" s="146"/>
      <c r="R751" s="146"/>
      <c r="S751" s="146"/>
    </row>
    <row r="752" spans="1:19" x14ac:dyDescent="0.2">
      <c r="A752" s="152"/>
      <c r="B752" s="142"/>
      <c r="C752" s="142"/>
      <c r="D752" s="151"/>
      <c r="G752" s="146"/>
      <c r="H752" s="214"/>
      <c r="I752" s="151"/>
      <c r="J752" s="146"/>
      <c r="K752" s="146"/>
      <c r="L752" s="146"/>
      <c r="M752" s="146"/>
      <c r="N752" s="146"/>
      <c r="O752" s="149"/>
      <c r="P752" s="146"/>
      <c r="Q752" s="146"/>
      <c r="R752" s="146"/>
      <c r="S752" s="146"/>
    </row>
    <row r="753" spans="1:19" x14ac:dyDescent="0.2">
      <c r="A753" s="152"/>
      <c r="B753" s="142"/>
      <c r="C753" s="142"/>
      <c r="D753" s="151"/>
      <c r="G753" s="146"/>
      <c r="H753" s="214"/>
      <c r="I753" s="151"/>
      <c r="J753" s="146"/>
      <c r="K753" s="146"/>
      <c r="L753" s="146"/>
      <c r="M753" s="146"/>
      <c r="N753" s="146"/>
      <c r="O753" s="149"/>
      <c r="P753" s="146"/>
      <c r="Q753" s="146"/>
      <c r="R753" s="146"/>
      <c r="S753" s="146"/>
    </row>
    <row r="754" spans="1:19" x14ac:dyDescent="0.2">
      <c r="A754" s="152"/>
      <c r="B754" s="142"/>
      <c r="C754" s="142"/>
      <c r="D754" s="151"/>
      <c r="G754" s="146"/>
      <c r="H754" s="214"/>
      <c r="I754" s="151"/>
      <c r="J754" s="146"/>
      <c r="K754" s="146"/>
      <c r="L754" s="146"/>
      <c r="M754" s="146"/>
      <c r="N754" s="146"/>
      <c r="O754" s="149"/>
      <c r="P754" s="146"/>
      <c r="Q754" s="146"/>
      <c r="R754" s="146"/>
      <c r="S754" s="146"/>
    </row>
    <row r="755" spans="1:19" x14ac:dyDescent="0.2">
      <c r="A755" s="152"/>
      <c r="B755" s="142"/>
      <c r="C755" s="142"/>
      <c r="D755" s="151"/>
      <c r="G755" s="146"/>
      <c r="H755" s="214"/>
      <c r="I755" s="151"/>
      <c r="J755" s="146"/>
      <c r="K755" s="146"/>
      <c r="L755" s="146"/>
      <c r="M755" s="146"/>
      <c r="N755" s="146"/>
      <c r="O755" s="149"/>
      <c r="P755" s="146"/>
      <c r="Q755" s="146"/>
      <c r="R755" s="146"/>
      <c r="S755" s="146"/>
    </row>
    <row r="756" spans="1:19" x14ac:dyDescent="0.2">
      <c r="A756" s="152"/>
      <c r="B756" s="142"/>
      <c r="C756" s="142"/>
      <c r="D756" s="151"/>
      <c r="G756" s="146"/>
      <c r="H756" s="214"/>
      <c r="I756" s="151"/>
      <c r="J756" s="146"/>
      <c r="K756" s="146"/>
      <c r="L756" s="146"/>
      <c r="M756" s="146"/>
      <c r="N756" s="146"/>
      <c r="O756" s="149"/>
      <c r="P756" s="146"/>
      <c r="Q756" s="146"/>
      <c r="R756" s="146"/>
      <c r="S756" s="146"/>
    </row>
    <row r="757" spans="1:19" x14ac:dyDescent="0.2">
      <c r="A757" s="152"/>
      <c r="B757" s="142"/>
      <c r="C757" s="142"/>
      <c r="D757" s="151"/>
      <c r="G757" s="146"/>
      <c r="H757" s="214"/>
      <c r="I757" s="151"/>
      <c r="J757" s="146"/>
      <c r="K757" s="146"/>
      <c r="L757" s="146"/>
      <c r="M757" s="146"/>
      <c r="N757" s="146"/>
      <c r="O757" s="149"/>
      <c r="P757" s="146"/>
      <c r="Q757" s="146"/>
      <c r="R757" s="146"/>
      <c r="S757" s="146"/>
    </row>
    <row r="758" spans="1:19" x14ac:dyDescent="0.2">
      <c r="A758" s="152"/>
      <c r="B758" s="142"/>
      <c r="C758" s="142"/>
      <c r="D758" s="151"/>
      <c r="G758" s="146"/>
      <c r="H758" s="214"/>
      <c r="I758" s="151"/>
      <c r="J758" s="146"/>
      <c r="K758" s="146"/>
      <c r="L758" s="146"/>
      <c r="M758" s="146"/>
      <c r="N758" s="146"/>
      <c r="O758" s="149"/>
      <c r="P758" s="146"/>
      <c r="Q758" s="146"/>
      <c r="R758" s="146"/>
      <c r="S758" s="146"/>
    </row>
    <row r="759" spans="1:19" x14ac:dyDescent="0.2">
      <c r="A759" s="152"/>
      <c r="B759" s="142"/>
      <c r="C759" s="142"/>
      <c r="D759" s="151"/>
      <c r="G759" s="146"/>
      <c r="H759" s="214"/>
      <c r="I759" s="151"/>
      <c r="J759" s="146"/>
      <c r="K759" s="146"/>
      <c r="L759" s="146"/>
      <c r="M759" s="146"/>
      <c r="N759" s="146"/>
      <c r="O759" s="149"/>
      <c r="P759" s="146"/>
      <c r="Q759" s="146"/>
      <c r="R759" s="146"/>
      <c r="S759" s="146"/>
    </row>
    <row r="760" spans="1:19" x14ac:dyDescent="0.2">
      <c r="A760" s="152"/>
      <c r="B760" s="142"/>
      <c r="C760" s="142"/>
      <c r="D760" s="151"/>
      <c r="G760" s="146"/>
      <c r="H760" s="214"/>
      <c r="I760" s="151"/>
      <c r="J760" s="146"/>
      <c r="K760" s="146"/>
      <c r="L760" s="146"/>
      <c r="M760" s="146"/>
      <c r="N760" s="146"/>
      <c r="O760" s="149"/>
      <c r="P760" s="146"/>
      <c r="Q760" s="146"/>
      <c r="R760" s="146"/>
      <c r="S760" s="146"/>
    </row>
    <row r="761" spans="1:19" x14ac:dyDescent="0.2">
      <c r="A761" s="152"/>
      <c r="B761" s="142"/>
      <c r="C761" s="142"/>
      <c r="D761" s="151"/>
      <c r="G761" s="146"/>
      <c r="H761" s="214"/>
      <c r="I761" s="151"/>
      <c r="J761" s="146"/>
      <c r="K761" s="146"/>
      <c r="L761" s="146"/>
      <c r="M761" s="146"/>
      <c r="N761" s="146"/>
      <c r="O761" s="149"/>
      <c r="P761" s="146"/>
      <c r="Q761" s="146"/>
      <c r="R761" s="146"/>
      <c r="S761" s="146"/>
    </row>
    <row r="762" spans="1:19" x14ac:dyDescent="0.2">
      <c r="A762" s="152"/>
      <c r="B762" s="142"/>
      <c r="C762" s="142"/>
      <c r="D762" s="151"/>
      <c r="G762" s="146"/>
      <c r="H762" s="214"/>
      <c r="I762" s="151"/>
      <c r="J762" s="146"/>
      <c r="K762" s="146"/>
      <c r="L762" s="146"/>
      <c r="M762" s="146"/>
      <c r="N762" s="146"/>
      <c r="O762" s="149"/>
      <c r="P762" s="146"/>
      <c r="Q762" s="146"/>
      <c r="R762" s="146"/>
      <c r="S762" s="146"/>
    </row>
    <row r="763" spans="1:19" x14ac:dyDescent="0.2">
      <c r="A763" s="152"/>
      <c r="B763" s="142"/>
      <c r="C763" s="142"/>
      <c r="D763" s="151"/>
      <c r="G763" s="146"/>
      <c r="H763" s="214"/>
      <c r="I763" s="151"/>
      <c r="J763" s="146"/>
      <c r="K763" s="146"/>
      <c r="L763" s="146"/>
      <c r="M763" s="146"/>
      <c r="N763" s="146"/>
      <c r="O763" s="149"/>
      <c r="P763" s="146"/>
      <c r="Q763" s="146"/>
      <c r="R763" s="146"/>
      <c r="S763" s="146"/>
    </row>
    <row r="764" spans="1:19" x14ac:dyDescent="0.2">
      <c r="A764" s="152"/>
      <c r="B764" s="142"/>
      <c r="C764" s="142"/>
      <c r="D764" s="151"/>
      <c r="G764" s="146"/>
      <c r="H764" s="214"/>
      <c r="I764" s="151"/>
      <c r="J764" s="146"/>
      <c r="K764" s="146"/>
      <c r="L764" s="146"/>
      <c r="M764" s="146"/>
      <c r="N764" s="146"/>
      <c r="O764" s="149"/>
      <c r="P764" s="146"/>
      <c r="Q764" s="146"/>
      <c r="R764" s="146"/>
      <c r="S764" s="146"/>
    </row>
    <row r="765" spans="1:19" x14ac:dyDescent="0.2">
      <c r="A765" s="152"/>
      <c r="B765" s="142"/>
      <c r="C765" s="142"/>
      <c r="D765" s="151"/>
      <c r="G765" s="146"/>
      <c r="H765" s="214"/>
      <c r="I765" s="151"/>
      <c r="J765" s="146"/>
      <c r="K765" s="146"/>
      <c r="L765" s="146"/>
      <c r="M765" s="146"/>
      <c r="N765" s="146"/>
      <c r="O765" s="149"/>
      <c r="P765" s="146"/>
      <c r="Q765" s="146"/>
      <c r="R765" s="146"/>
      <c r="S765" s="146"/>
    </row>
    <row r="766" spans="1:19" x14ac:dyDescent="0.2">
      <c r="A766" s="152"/>
      <c r="B766" s="142"/>
      <c r="C766" s="142"/>
      <c r="D766" s="151"/>
      <c r="G766" s="146"/>
      <c r="H766" s="150"/>
      <c r="I766" s="151"/>
      <c r="J766" s="146"/>
      <c r="K766" s="146"/>
      <c r="L766" s="146"/>
      <c r="M766" s="146"/>
      <c r="N766" s="146"/>
      <c r="O766" s="149"/>
      <c r="P766" s="146"/>
      <c r="Q766" s="146"/>
      <c r="R766" s="146"/>
      <c r="S766" s="146"/>
    </row>
    <row r="767" spans="1:19" x14ac:dyDescent="0.2">
      <c r="A767" s="152"/>
      <c r="B767" s="142"/>
      <c r="C767" s="142"/>
      <c r="D767" s="151"/>
      <c r="G767" s="146"/>
      <c r="H767" s="150"/>
      <c r="I767" s="151"/>
      <c r="J767" s="146"/>
      <c r="K767" s="146"/>
      <c r="L767" s="146"/>
      <c r="M767" s="146"/>
      <c r="N767" s="146"/>
      <c r="O767" s="149"/>
      <c r="P767" s="146"/>
      <c r="Q767" s="146"/>
      <c r="R767" s="146"/>
      <c r="S767" s="146"/>
    </row>
    <row r="768" spans="1:19" x14ac:dyDescent="0.2">
      <c r="A768" s="152"/>
      <c r="B768" s="142"/>
      <c r="C768" s="142"/>
      <c r="D768" s="151"/>
      <c r="G768" s="146"/>
      <c r="H768" s="150"/>
      <c r="I768" s="151"/>
      <c r="J768" s="146"/>
      <c r="K768" s="146"/>
      <c r="L768" s="146"/>
      <c r="M768" s="146"/>
      <c r="N768" s="146"/>
      <c r="O768" s="149"/>
      <c r="P768" s="146"/>
      <c r="Q768" s="146"/>
      <c r="R768" s="146"/>
      <c r="S768" s="146"/>
    </row>
    <row r="769" spans="1:19" x14ac:dyDescent="0.2">
      <c r="A769" s="152"/>
      <c r="B769" s="142"/>
      <c r="C769" s="142"/>
      <c r="D769" s="151"/>
      <c r="G769" s="146"/>
      <c r="H769" s="150"/>
      <c r="I769" s="151"/>
      <c r="J769" s="146"/>
      <c r="K769" s="146"/>
      <c r="L769" s="146"/>
      <c r="M769" s="146"/>
      <c r="N769" s="146"/>
      <c r="O769" s="149"/>
      <c r="P769" s="146"/>
      <c r="Q769" s="146"/>
      <c r="R769" s="146"/>
      <c r="S769" s="146"/>
    </row>
    <row r="770" spans="1:19" x14ac:dyDescent="0.2">
      <c r="A770" s="152"/>
      <c r="B770" s="142"/>
      <c r="C770" s="142"/>
      <c r="D770" s="151"/>
      <c r="G770" s="146"/>
      <c r="H770" s="150"/>
      <c r="I770" s="151"/>
      <c r="J770" s="146"/>
      <c r="K770" s="146"/>
      <c r="L770" s="146"/>
      <c r="M770" s="146"/>
      <c r="N770" s="146"/>
      <c r="O770" s="149"/>
      <c r="P770" s="146"/>
      <c r="Q770" s="146"/>
      <c r="R770" s="146"/>
      <c r="S770" s="146"/>
    </row>
    <row r="771" spans="1:19" x14ac:dyDescent="0.2">
      <c r="A771" s="152"/>
      <c r="B771" s="142"/>
      <c r="C771" s="142"/>
      <c r="D771" s="151"/>
      <c r="G771" s="146"/>
      <c r="H771" s="150"/>
      <c r="I771" s="151"/>
      <c r="J771" s="146"/>
      <c r="K771" s="146"/>
      <c r="L771" s="146"/>
      <c r="M771" s="146"/>
      <c r="N771" s="146"/>
      <c r="O771" s="149"/>
      <c r="P771" s="146"/>
      <c r="Q771" s="146"/>
      <c r="R771" s="146"/>
      <c r="S771" s="146"/>
    </row>
    <row r="772" spans="1:19" x14ac:dyDescent="0.2">
      <c r="A772" s="152"/>
      <c r="B772" s="142"/>
      <c r="C772" s="142"/>
      <c r="D772" s="151"/>
      <c r="G772" s="146"/>
      <c r="H772" s="150"/>
      <c r="I772" s="151"/>
      <c r="J772" s="146"/>
      <c r="K772" s="146"/>
      <c r="L772" s="146"/>
      <c r="M772" s="146"/>
      <c r="N772" s="146"/>
      <c r="O772" s="149"/>
      <c r="P772" s="146"/>
      <c r="Q772" s="146"/>
      <c r="R772" s="146"/>
      <c r="S772" s="146"/>
    </row>
    <row r="773" spans="1:19" x14ac:dyDescent="0.2">
      <c r="A773" s="152"/>
      <c r="B773" s="142"/>
      <c r="C773" s="142"/>
      <c r="D773" s="151"/>
      <c r="G773" s="146"/>
      <c r="H773" s="150"/>
      <c r="I773" s="151"/>
      <c r="J773" s="146"/>
      <c r="K773" s="146"/>
      <c r="L773" s="146"/>
      <c r="M773" s="146"/>
      <c r="N773" s="146"/>
      <c r="O773" s="149"/>
      <c r="P773" s="146"/>
      <c r="Q773" s="146"/>
      <c r="R773" s="146"/>
      <c r="S773" s="146"/>
    </row>
    <row r="774" spans="1:19" x14ac:dyDescent="0.2">
      <c r="A774" s="152"/>
      <c r="B774" s="142"/>
      <c r="C774" s="142"/>
      <c r="D774" s="151"/>
      <c r="G774" s="146"/>
      <c r="H774" s="150"/>
      <c r="I774" s="151"/>
      <c r="J774" s="146"/>
      <c r="K774" s="146"/>
      <c r="L774" s="146"/>
      <c r="M774" s="146"/>
      <c r="N774" s="146"/>
      <c r="O774" s="149"/>
      <c r="P774" s="146"/>
      <c r="Q774" s="146"/>
      <c r="R774" s="146"/>
      <c r="S774" s="146"/>
    </row>
    <row r="775" spans="1:19" x14ac:dyDescent="0.2">
      <c r="A775" s="152"/>
      <c r="B775" s="142"/>
      <c r="C775" s="142"/>
      <c r="D775" s="151"/>
      <c r="G775" s="146"/>
      <c r="H775" s="150"/>
      <c r="I775" s="151"/>
      <c r="J775" s="146"/>
      <c r="K775" s="146"/>
      <c r="L775" s="146"/>
      <c r="M775" s="146"/>
      <c r="N775" s="146"/>
      <c r="O775" s="149"/>
      <c r="P775" s="146"/>
      <c r="Q775" s="146"/>
      <c r="R775" s="146"/>
      <c r="S775" s="146"/>
    </row>
    <row r="776" spans="1:19" x14ac:dyDescent="0.2">
      <c r="A776" s="152"/>
      <c r="B776" s="142"/>
      <c r="C776" s="142"/>
      <c r="D776" s="151"/>
      <c r="G776" s="146"/>
      <c r="H776" s="150"/>
      <c r="I776" s="151"/>
      <c r="J776" s="146"/>
      <c r="K776" s="146"/>
      <c r="L776" s="146"/>
      <c r="M776" s="146"/>
      <c r="N776" s="146"/>
      <c r="O776" s="149"/>
      <c r="P776" s="146"/>
      <c r="Q776" s="146"/>
      <c r="R776" s="146"/>
      <c r="S776" s="146"/>
    </row>
    <row r="777" spans="1:19" x14ac:dyDescent="0.2">
      <c r="A777" s="152"/>
      <c r="B777" s="142"/>
      <c r="C777" s="142"/>
      <c r="D777" s="151"/>
      <c r="G777" s="146"/>
      <c r="H777" s="150"/>
      <c r="I777" s="151"/>
      <c r="J777" s="146"/>
      <c r="K777" s="146"/>
      <c r="L777" s="146"/>
      <c r="M777" s="146"/>
      <c r="N777" s="146"/>
      <c r="O777" s="149"/>
      <c r="P777" s="146"/>
      <c r="Q777" s="146"/>
      <c r="R777" s="146"/>
      <c r="S777" s="146"/>
    </row>
    <row r="778" spans="1:19" x14ac:dyDescent="0.2">
      <c r="A778" s="152"/>
      <c r="B778" s="142"/>
      <c r="C778" s="142"/>
      <c r="D778" s="151"/>
      <c r="G778" s="146"/>
      <c r="H778" s="150"/>
      <c r="I778" s="151"/>
      <c r="J778" s="146"/>
      <c r="K778" s="146"/>
      <c r="L778" s="146"/>
      <c r="M778" s="146"/>
      <c r="N778" s="146"/>
      <c r="O778" s="149"/>
      <c r="P778" s="146"/>
      <c r="Q778" s="146"/>
      <c r="R778" s="146"/>
      <c r="S778" s="146"/>
    </row>
    <row r="779" spans="1:19" x14ac:dyDescent="0.2">
      <c r="A779" s="152"/>
      <c r="B779" s="142"/>
      <c r="C779" s="142"/>
      <c r="D779" s="151"/>
      <c r="G779" s="146"/>
      <c r="H779" s="150"/>
      <c r="I779" s="151"/>
      <c r="J779" s="146"/>
      <c r="K779" s="146"/>
      <c r="L779" s="146"/>
      <c r="M779" s="146"/>
      <c r="N779" s="146"/>
      <c r="O779" s="149"/>
      <c r="P779" s="146"/>
      <c r="Q779" s="146"/>
      <c r="R779" s="146"/>
      <c r="S779" s="146"/>
    </row>
    <row r="780" spans="1:19" x14ac:dyDescent="0.2">
      <c r="A780" s="152"/>
      <c r="B780" s="142"/>
      <c r="C780" s="142"/>
      <c r="D780" s="151"/>
      <c r="G780" s="146"/>
      <c r="H780" s="150"/>
      <c r="I780" s="151"/>
      <c r="J780" s="146"/>
      <c r="K780" s="146"/>
      <c r="L780" s="146"/>
      <c r="M780" s="146"/>
      <c r="N780" s="146"/>
      <c r="O780" s="149"/>
      <c r="P780" s="146"/>
      <c r="Q780" s="146"/>
      <c r="R780" s="146"/>
      <c r="S780" s="146"/>
    </row>
    <row r="781" spans="1:19" x14ac:dyDescent="0.2">
      <c r="A781" s="152"/>
      <c r="B781" s="142"/>
      <c r="C781" s="142"/>
      <c r="D781" s="151"/>
      <c r="G781" s="146"/>
      <c r="H781" s="150"/>
      <c r="I781" s="151"/>
      <c r="J781" s="146"/>
      <c r="K781" s="146"/>
      <c r="L781" s="146"/>
      <c r="M781" s="146"/>
      <c r="N781" s="146"/>
      <c r="O781" s="149"/>
      <c r="P781" s="146"/>
      <c r="Q781" s="146"/>
      <c r="R781" s="146"/>
      <c r="S781" s="146"/>
    </row>
    <row r="782" spans="1:19" x14ac:dyDescent="0.2">
      <c r="A782" s="152"/>
      <c r="B782" s="142"/>
      <c r="C782" s="142"/>
      <c r="D782" s="151"/>
      <c r="G782" s="146"/>
      <c r="H782" s="150"/>
      <c r="I782" s="151"/>
      <c r="J782" s="146"/>
      <c r="K782" s="146"/>
      <c r="L782" s="146"/>
      <c r="M782" s="146"/>
      <c r="N782" s="146"/>
      <c r="O782" s="149"/>
      <c r="P782" s="146"/>
      <c r="Q782" s="146"/>
      <c r="R782" s="146"/>
      <c r="S782" s="146"/>
    </row>
    <row r="783" spans="1:19" x14ac:dyDescent="0.2">
      <c r="A783" s="152"/>
      <c r="B783" s="142"/>
      <c r="C783" s="142"/>
      <c r="D783" s="151"/>
      <c r="G783" s="146"/>
      <c r="H783" s="150"/>
      <c r="I783" s="151"/>
      <c r="J783" s="146"/>
      <c r="K783" s="146"/>
      <c r="L783" s="146"/>
      <c r="M783" s="146"/>
      <c r="N783" s="146"/>
      <c r="O783" s="149"/>
      <c r="P783" s="146"/>
      <c r="Q783" s="146"/>
      <c r="R783" s="146"/>
      <c r="S783" s="146"/>
    </row>
    <row r="784" spans="1:19" x14ac:dyDescent="0.2">
      <c r="A784" s="152"/>
      <c r="B784" s="142"/>
      <c r="C784" s="142"/>
      <c r="D784" s="151"/>
      <c r="G784" s="146"/>
      <c r="H784" s="150"/>
      <c r="I784" s="151"/>
      <c r="J784" s="146"/>
      <c r="K784" s="146"/>
      <c r="L784" s="146"/>
      <c r="M784" s="146"/>
      <c r="N784" s="146"/>
      <c r="O784" s="149"/>
      <c r="P784" s="146"/>
      <c r="Q784" s="146"/>
      <c r="R784" s="146"/>
      <c r="S784" s="146"/>
    </row>
    <row r="785" spans="1:19" x14ac:dyDescent="0.2">
      <c r="A785" s="152"/>
      <c r="B785" s="142"/>
      <c r="C785" s="142"/>
      <c r="D785" s="151"/>
      <c r="G785" s="146"/>
      <c r="H785" s="150"/>
      <c r="I785" s="151"/>
      <c r="J785" s="146"/>
      <c r="K785" s="146"/>
      <c r="L785" s="146"/>
      <c r="M785" s="146"/>
      <c r="N785" s="146"/>
      <c r="O785" s="149"/>
      <c r="P785" s="146"/>
      <c r="Q785" s="146"/>
      <c r="R785" s="146"/>
      <c r="S785" s="146"/>
    </row>
    <row r="786" spans="1:19" x14ac:dyDescent="0.2">
      <c r="A786" s="152"/>
      <c r="B786" s="142"/>
      <c r="C786" s="142"/>
      <c r="D786" s="151"/>
      <c r="G786" s="146"/>
      <c r="H786" s="150"/>
      <c r="I786" s="151"/>
      <c r="J786" s="146"/>
      <c r="K786" s="146"/>
      <c r="L786" s="146"/>
      <c r="M786" s="146"/>
      <c r="N786" s="146"/>
      <c r="O786" s="149"/>
      <c r="P786" s="146"/>
      <c r="Q786" s="146"/>
      <c r="R786" s="146"/>
      <c r="S786" s="146"/>
    </row>
    <row r="787" spans="1:19" x14ac:dyDescent="0.2">
      <c r="A787" s="152"/>
      <c r="B787" s="142"/>
      <c r="C787" s="142"/>
      <c r="D787" s="151"/>
      <c r="G787" s="146"/>
      <c r="H787" s="150"/>
      <c r="I787" s="151"/>
      <c r="J787" s="146"/>
      <c r="K787" s="146"/>
      <c r="L787" s="146"/>
      <c r="M787" s="146"/>
      <c r="N787" s="146"/>
      <c r="O787" s="149"/>
      <c r="P787" s="146"/>
      <c r="Q787" s="146"/>
      <c r="R787" s="146"/>
      <c r="S787" s="146"/>
    </row>
    <row r="788" spans="1:19" x14ac:dyDescent="0.2">
      <c r="A788" s="152"/>
      <c r="B788" s="142"/>
      <c r="C788" s="142"/>
      <c r="D788" s="151"/>
      <c r="G788" s="146"/>
      <c r="H788" s="150"/>
      <c r="I788" s="151"/>
      <c r="J788" s="146"/>
      <c r="K788" s="146"/>
      <c r="L788" s="146"/>
      <c r="M788" s="146"/>
      <c r="N788" s="146"/>
      <c r="O788" s="149"/>
      <c r="P788" s="146"/>
      <c r="Q788" s="146"/>
      <c r="R788" s="146"/>
      <c r="S788" s="146"/>
    </row>
    <row r="789" spans="1:19" x14ac:dyDescent="0.2">
      <c r="A789" s="152"/>
      <c r="B789" s="142"/>
      <c r="C789" s="142"/>
      <c r="D789" s="151"/>
      <c r="G789" s="146"/>
      <c r="H789" s="150"/>
      <c r="I789" s="151"/>
      <c r="J789" s="146"/>
      <c r="K789" s="146"/>
      <c r="L789" s="146"/>
      <c r="M789" s="146"/>
      <c r="N789" s="146"/>
      <c r="O789" s="149"/>
      <c r="P789" s="146"/>
      <c r="Q789" s="146"/>
      <c r="R789" s="146"/>
      <c r="S789" s="146"/>
    </row>
    <row r="790" spans="1:19" x14ac:dyDescent="0.2">
      <c r="A790" s="152"/>
      <c r="B790" s="142"/>
      <c r="C790" s="142"/>
      <c r="D790" s="151"/>
      <c r="G790" s="146"/>
      <c r="H790" s="150"/>
      <c r="I790" s="151"/>
      <c r="J790" s="146"/>
      <c r="K790" s="146"/>
      <c r="L790" s="146"/>
      <c r="M790" s="146"/>
      <c r="N790" s="146"/>
      <c r="O790" s="149"/>
      <c r="P790" s="146"/>
      <c r="Q790" s="146"/>
      <c r="R790" s="146"/>
      <c r="S790" s="146"/>
    </row>
    <row r="791" spans="1:19" x14ac:dyDescent="0.2">
      <c r="A791" s="152"/>
      <c r="B791" s="142"/>
      <c r="C791" s="142"/>
      <c r="D791" s="151"/>
      <c r="G791" s="146"/>
      <c r="H791" s="150"/>
      <c r="I791" s="151"/>
      <c r="J791" s="146"/>
      <c r="K791" s="146"/>
      <c r="L791" s="146"/>
      <c r="M791" s="146"/>
      <c r="N791" s="146"/>
      <c r="O791" s="149"/>
      <c r="P791" s="146"/>
      <c r="Q791" s="146"/>
      <c r="R791" s="146"/>
      <c r="S791" s="146"/>
    </row>
    <row r="792" spans="1:19" x14ac:dyDescent="0.2">
      <c r="A792" s="152"/>
      <c r="B792" s="142"/>
      <c r="C792" s="142"/>
      <c r="D792" s="151"/>
      <c r="G792" s="146"/>
      <c r="H792" s="150"/>
      <c r="I792" s="151"/>
      <c r="J792" s="146"/>
      <c r="K792" s="146"/>
      <c r="L792" s="146"/>
      <c r="M792" s="146"/>
      <c r="N792" s="146"/>
      <c r="O792" s="149"/>
      <c r="P792" s="146"/>
      <c r="Q792" s="146"/>
      <c r="R792" s="146"/>
      <c r="S792" s="146"/>
    </row>
    <row r="793" spans="1:19" x14ac:dyDescent="0.2">
      <c r="A793" s="152"/>
      <c r="B793" s="142"/>
      <c r="C793" s="142"/>
      <c r="D793" s="151"/>
      <c r="G793" s="146"/>
      <c r="H793" s="150"/>
      <c r="I793" s="151"/>
      <c r="J793" s="146"/>
      <c r="K793" s="146"/>
      <c r="L793" s="146"/>
      <c r="M793" s="146"/>
      <c r="N793" s="146"/>
      <c r="O793" s="149"/>
      <c r="P793" s="146"/>
      <c r="Q793" s="146"/>
      <c r="R793" s="146"/>
      <c r="S793" s="146"/>
    </row>
    <row r="794" spans="1:19" x14ac:dyDescent="0.2">
      <c r="A794" s="152"/>
      <c r="B794" s="142"/>
      <c r="C794" s="142"/>
      <c r="D794" s="151"/>
      <c r="G794" s="146"/>
      <c r="H794" s="150"/>
      <c r="I794" s="151"/>
      <c r="J794" s="146"/>
      <c r="K794" s="146"/>
      <c r="L794" s="146"/>
      <c r="M794" s="146"/>
      <c r="N794" s="146"/>
      <c r="O794" s="149"/>
      <c r="P794" s="146"/>
      <c r="Q794" s="146"/>
      <c r="R794" s="146"/>
      <c r="S794" s="146"/>
    </row>
    <row r="795" spans="1:19" x14ac:dyDescent="0.2">
      <c r="A795" s="152"/>
      <c r="B795" s="142"/>
      <c r="C795" s="142"/>
      <c r="D795" s="151"/>
      <c r="G795" s="146"/>
      <c r="H795" s="150"/>
      <c r="I795" s="151"/>
      <c r="J795" s="146"/>
      <c r="K795" s="146"/>
      <c r="L795" s="146"/>
      <c r="M795" s="146"/>
      <c r="N795" s="146"/>
      <c r="O795" s="149"/>
      <c r="P795" s="146"/>
      <c r="Q795" s="146"/>
      <c r="R795" s="146"/>
      <c r="S795" s="146"/>
    </row>
    <row r="796" spans="1:19" x14ac:dyDescent="0.2">
      <c r="A796" s="152"/>
      <c r="B796" s="142"/>
      <c r="C796" s="142"/>
      <c r="D796" s="151"/>
      <c r="G796" s="146"/>
      <c r="H796" s="150"/>
      <c r="I796" s="151"/>
      <c r="J796" s="146"/>
      <c r="K796" s="146"/>
      <c r="L796" s="146"/>
      <c r="M796" s="146"/>
      <c r="N796" s="146"/>
      <c r="O796" s="149"/>
      <c r="P796" s="146"/>
      <c r="Q796" s="146"/>
      <c r="R796" s="146"/>
      <c r="S796" s="146"/>
    </row>
    <row r="797" spans="1:19" x14ac:dyDescent="0.2">
      <c r="A797" s="152"/>
      <c r="B797" s="142"/>
      <c r="C797" s="142"/>
      <c r="D797" s="151"/>
      <c r="G797" s="146"/>
      <c r="H797" s="150"/>
      <c r="I797" s="151"/>
      <c r="J797" s="146"/>
      <c r="K797" s="146"/>
      <c r="L797" s="146"/>
      <c r="M797" s="146"/>
      <c r="N797" s="146"/>
      <c r="O797" s="149"/>
      <c r="P797" s="146"/>
      <c r="Q797" s="146"/>
      <c r="R797" s="146"/>
      <c r="S797" s="146"/>
    </row>
    <row r="798" spans="1:19" x14ac:dyDescent="0.2">
      <c r="A798" s="152"/>
      <c r="B798" s="142"/>
      <c r="C798" s="142"/>
      <c r="D798" s="151"/>
      <c r="G798" s="146"/>
      <c r="H798" s="150"/>
      <c r="I798" s="151"/>
      <c r="J798" s="146"/>
      <c r="K798" s="146"/>
      <c r="L798" s="146"/>
      <c r="M798" s="146"/>
      <c r="N798" s="146"/>
      <c r="O798" s="149"/>
      <c r="P798" s="146"/>
      <c r="Q798" s="146"/>
      <c r="R798" s="146"/>
      <c r="S798" s="146"/>
    </row>
    <row r="799" spans="1:19" x14ac:dyDescent="0.2">
      <c r="A799" s="152"/>
      <c r="B799" s="142"/>
      <c r="C799" s="142"/>
      <c r="D799" s="151"/>
      <c r="G799" s="146"/>
      <c r="H799" s="150"/>
      <c r="I799" s="151"/>
      <c r="J799" s="146"/>
      <c r="K799" s="146"/>
      <c r="L799" s="146"/>
      <c r="M799" s="146"/>
      <c r="N799" s="146"/>
      <c r="O799" s="149"/>
      <c r="P799" s="146"/>
      <c r="Q799" s="146"/>
      <c r="R799" s="146"/>
      <c r="S799" s="146"/>
    </row>
    <row r="800" spans="1:19" x14ac:dyDescent="0.2">
      <c r="A800" s="152"/>
      <c r="B800" s="142"/>
      <c r="C800" s="142"/>
      <c r="D800" s="151"/>
      <c r="G800" s="146"/>
      <c r="H800" s="150"/>
      <c r="I800" s="151"/>
      <c r="J800" s="146"/>
      <c r="K800" s="146"/>
      <c r="L800" s="146"/>
      <c r="M800" s="146"/>
      <c r="N800" s="146"/>
      <c r="O800" s="149"/>
      <c r="P800" s="146"/>
      <c r="Q800" s="146"/>
      <c r="R800" s="146"/>
      <c r="S800" s="146"/>
    </row>
    <row r="801" spans="1:19" x14ac:dyDescent="0.2">
      <c r="A801" s="152"/>
      <c r="B801" s="142"/>
      <c r="C801" s="142"/>
      <c r="D801" s="151"/>
      <c r="G801" s="146"/>
      <c r="H801" s="150"/>
      <c r="I801" s="151"/>
      <c r="J801" s="146"/>
      <c r="K801" s="146"/>
      <c r="L801" s="146"/>
      <c r="M801" s="146"/>
      <c r="N801" s="146"/>
      <c r="O801" s="149"/>
      <c r="P801" s="146"/>
      <c r="Q801" s="146"/>
      <c r="R801" s="146"/>
      <c r="S801" s="146"/>
    </row>
    <row r="802" spans="1:19" x14ac:dyDescent="0.2">
      <c r="A802" s="152"/>
      <c r="B802" s="142"/>
      <c r="C802" s="142"/>
      <c r="D802" s="151"/>
      <c r="G802" s="146"/>
      <c r="H802" s="150"/>
      <c r="I802" s="151"/>
      <c r="J802" s="146"/>
      <c r="K802" s="146"/>
      <c r="L802" s="146"/>
      <c r="M802" s="146"/>
      <c r="N802" s="146"/>
      <c r="O802" s="149"/>
      <c r="P802" s="146"/>
      <c r="Q802" s="146"/>
      <c r="R802" s="146"/>
      <c r="S802" s="146"/>
    </row>
    <row r="803" spans="1:19" x14ac:dyDescent="0.2">
      <c r="A803" s="152"/>
      <c r="B803" s="142"/>
      <c r="C803" s="142"/>
      <c r="D803" s="151"/>
      <c r="G803" s="146"/>
      <c r="H803" s="150"/>
      <c r="I803" s="151"/>
      <c r="J803" s="146"/>
      <c r="K803" s="146"/>
      <c r="L803" s="146"/>
      <c r="M803" s="146"/>
      <c r="N803" s="146"/>
      <c r="O803" s="149"/>
      <c r="P803" s="146"/>
      <c r="Q803" s="146"/>
      <c r="R803" s="146"/>
      <c r="S803" s="146"/>
    </row>
    <row r="804" spans="1:19" x14ac:dyDescent="0.2">
      <c r="A804" s="152"/>
      <c r="B804" s="142"/>
      <c r="C804" s="142"/>
      <c r="D804" s="151"/>
      <c r="G804" s="146"/>
      <c r="H804" s="150"/>
      <c r="I804" s="151"/>
      <c r="J804" s="146"/>
      <c r="K804" s="146"/>
      <c r="L804" s="146"/>
      <c r="M804" s="146"/>
      <c r="N804" s="146"/>
      <c r="O804" s="149"/>
      <c r="P804" s="146"/>
      <c r="Q804" s="146"/>
      <c r="R804" s="146"/>
      <c r="S804" s="146"/>
    </row>
    <row r="805" spans="1:19" x14ac:dyDescent="0.2">
      <c r="A805" s="152"/>
      <c r="B805" s="142"/>
      <c r="C805" s="142"/>
      <c r="D805" s="151"/>
      <c r="G805" s="146"/>
      <c r="H805" s="150"/>
      <c r="I805" s="151"/>
      <c r="J805" s="146"/>
      <c r="K805" s="146"/>
      <c r="L805" s="146"/>
      <c r="M805" s="146"/>
      <c r="N805" s="146"/>
      <c r="O805" s="149"/>
      <c r="P805" s="146"/>
      <c r="Q805" s="146"/>
      <c r="R805" s="146"/>
      <c r="S805" s="146"/>
    </row>
    <row r="806" spans="1:19" x14ac:dyDescent="0.2">
      <c r="A806" s="152"/>
      <c r="B806" s="142"/>
      <c r="C806" s="142"/>
      <c r="D806" s="151"/>
      <c r="G806" s="146"/>
      <c r="H806" s="150"/>
      <c r="I806" s="151"/>
      <c r="J806" s="146"/>
      <c r="K806" s="146"/>
      <c r="L806" s="146"/>
      <c r="M806" s="146"/>
      <c r="N806" s="146"/>
      <c r="O806" s="149"/>
      <c r="P806" s="146"/>
      <c r="Q806" s="146"/>
      <c r="R806" s="146"/>
      <c r="S806" s="146"/>
    </row>
    <row r="807" spans="1:19" x14ac:dyDescent="0.2">
      <c r="A807" s="152"/>
      <c r="B807" s="142"/>
      <c r="C807" s="142"/>
      <c r="D807" s="151"/>
      <c r="G807" s="146"/>
      <c r="H807" s="150"/>
      <c r="I807" s="151"/>
      <c r="J807" s="146"/>
      <c r="K807" s="146"/>
      <c r="L807" s="146"/>
      <c r="M807" s="146"/>
      <c r="N807" s="146"/>
      <c r="O807" s="149"/>
      <c r="P807" s="146"/>
      <c r="Q807" s="146"/>
      <c r="R807" s="146"/>
      <c r="S807" s="146"/>
    </row>
    <row r="808" spans="1:19" x14ac:dyDescent="0.2">
      <c r="A808" s="152"/>
      <c r="B808" s="142"/>
      <c r="C808" s="142"/>
      <c r="D808" s="151"/>
      <c r="G808" s="146"/>
      <c r="H808" s="150"/>
      <c r="I808" s="151"/>
      <c r="J808" s="146"/>
      <c r="K808" s="146"/>
      <c r="L808" s="146"/>
      <c r="M808" s="146"/>
      <c r="N808" s="146"/>
      <c r="O808" s="149"/>
      <c r="P808" s="146"/>
      <c r="Q808" s="146"/>
      <c r="R808" s="146"/>
      <c r="S808" s="146"/>
    </row>
    <row r="809" spans="1:19" x14ac:dyDescent="0.2">
      <c r="A809" s="152"/>
      <c r="B809" s="142"/>
      <c r="C809" s="142"/>
      <c r="D809" s="142"/>
      <c r="G809" s="146"/>
      <c r="H809" s="150"/>
      <c r="I809" s="151"/>
      <c r="J809" s="146"/>
      <c r="K809" s="146"/>
      <c r="L809" s="146"/>
      <c r="M809" s="146"/>
      <c r="N809" s="146"/>
      <c r="O809" s="149"/>
      <c r="P809" s="146"/>
      <c r="Q809" s="146"/>
      <c r="R809" s="146"/>
      <c r="S809" s="146"/>
    </row>
    <row r="810" spans="1:19" x14ac:dyDescent="0.2">
      <c r="A810" s="152"/>
      <c r="B810" s="142"/>
      <c r="C810" s="142"/>
      <c r="D810" s="142"/>
      <c r="G810" s="146"/>
      <c r="H810" s="150"/>
      <c r="I810" s="151"/>
      <c r="J810" s="146"/>
      <c r="K810" s="146"/>
      <c r="L810" s="146"/>
      <c r="M810" s="146"/>
      <c r="N810" s="146"/>
      <c r="O810" s="149"/>
      <c r="P810" s="146"/>
      <c r="Q810" s="146"/>
      <c r="R810" s="146"/>
      <c r="S810" s="146"/>
    </row>
    <row r="811" spans="1:19" x14ac:dyDescent="0.2">
      <c r="A811" s="152"/>
      <c r="B811" s="142"/>
      <c r="C811" s="142"/>
      <c r="D811" s="142"/>
      <c r="G811" s="146"/>
      <c r="H811" s="150"/>
      <c r="I811" s="151"/>
      <c r="J811" s="146"/>
      <c r="K811" s="146"/>
      <c r="L811" s="146"/>
      <c r="M811" s="146"/>
      <c r="N811" s="146"/>
      <c r="O811" s="149"/>
      <c r="P811" s="146"/>
      <c r="Q811" s="146"/>
      <c r="R811" s="146"/>
      <c r="S811" s="146"/>
    </row>
    <row r="812" spans="1:19" x14ac:dyDescent="0.2">
      <c r="A812" s="152"/>
      <c r="B812" s="142"/>
      <c r="C812" s="142"/>
      <c r="D812" s="142"/>
      <c r="G812" s="146"/>
      <c r="H812" s="150"/>
      <c r="I812" s="151"/>
      <c r="J812" s="146"/>
      <c r="K812" s="146"/>
      <c r="L812" s="146"/>
      <c r="M812" s="146"/>
      <c r="N812" s="146"/>
      <c r="O812" s="149"/>
      <c r="P812" s="146"/>
      <c r="Q812" s="146"/>
      <c r="R812" s="146"/>
      <c r="S812" s="146"/>
    </row>
    <row r="813" spans="1:19" x14ac:dyDescent="0.2">
      <c r="A813" s="152"/>
      <c r="B813" s="142"/>
      <c r="C813" s="142"/>
      <c r="D813" s="142"/>
      <c r="G813" s="146"/>
      <c r="H813" s="150"/>
      <c r="I813" s="151"/>
      <c r="J813" s="146"/>
      <c r="K813" s="146"/>
      <c r="L813" s="146"/>
      <c r="M813" s="146"/>
      <c r="N813" s="146"/>
      <c r="O813" s="149"/>
      <c r="P813" s="146"/>
      <c r="Q813" s="146"/>
      <c r="R813" s="146"/>
      <c r="S813" s="146"/>
    </row>
    <row r="814" spans="1:19" x14ac:dyDescent="0.2">
      <c r="A814" s="152"/>
      <c r="B814" s="142"/>
      <c r="C814" s="142"/>
      <c r="D814" s="142"/>
      <c r="G814" s="146"/>
      <c r="H814" s="150"/>
      <c r="I814" s="151"/>
      <c r="J814" s="146"/>
      <c r="K814" s="146"/>
      <c r="L814" s="146"/>
      <c r="M814" s="146"/>
      <c r="N814" s="146"/>
      <c r="O814" s="149"/>
      <c r="P814" s="146"/>
      <c r="Q814" s="146"/>
      <c r="R814" s="146"/>
      <c r="S814" s="146"/>
    </row>
    <row r="815" spans="1:19" x14ac:dyDescent="0.2">
      <c r="A815" s="152"/>
      <c r="B815" s="142"/>
      <c r="C815" s="142"/>
      <c r="D815" s="142"/>
      <c r="G815" s="146"/>
      <c r="H815" s="150"/>
      <c r="I815" s="151"/>
      <c r="J815" s="146"/>
      <c r="K815" s="146"/>
      <c r="L815" s="146"/>
      <c r="M815" s="146"/>
      <c r="N815" s="146"/>
      <c r="O815" s="149"/>
      <c r="P815" s="146"/>
      <c r="Q815" s="146"/>
      <c r="R815" s="146"/>
      <c r="S815" s="146"/>
    </row>
    <row r="816" spans="1:19" x14ac:dyDescent="0.2">
      <c r="A816" s="152"/>
      <c r="B816" s="142"/>
      <c r="C816" s="142"/>
      <c r="D816" s="142"/>
      <c r="G816" s="146"/>
      <c r="H816" s="150"/>
      <c r="I816" s="151"/>
      <c r="J816" s="146"/>
      <c r="K816" s="146"/>
      <c r="L816" s="146"/>
      <c r="M816" s="146"/>
      <c r="N816" s="146"/>
      <c r="O816" s="149"/>
      <c r="P816" s="146"/>
      <c r="Q816" s="146"/>
      <c r="R816" s="146"/>
      <c r="S816" s="146"/>
    </row>
    <row r="817" spans="1:19" x14ac:dyDescent="0.2">
      <c r="A817" s="152"/>
      <c r="B817" s="142"/>
      <c r="C817" s="142"/>
      <c r="D817" s="142"/>
      <c r="G817" s="146"/>
      <c r="H817" s="150"/>
      <c r="I817" s="151"/>
      <c r="J817" s="146"/>
      <c r="K817" s="146"/>
      <c r="L817" s="146"/>
      <c r="M817" s="146"/>
      <c r="N817" s="146"/>
      <c r="O817" s="149"/>
      <c r="P817" s="146"/>
      <c r="Q817" s="146"/>
      <c r="R817" s="146"/>
      <c r="S817" s="146"/>
    </row>
    <row r="818" spans="1:19" x14ac:dyDescent="0.2">
      <c r="A818" s="152"/>
      <c r="B818" s="142"/>
      <c r="C818" s="142"/>
      <c r="D818" s="142"/>
      <c r="G818" s="146"/>
      <c r="H818" s="150"/>
      <c r="I818" s="151"/>
      <c r="J818" s="146"/>
      <c r="K818" s="146"/>
      <c r="L818" s="146"/>
      <c r="M818" s="146"/>
      <c r="N818" s="146"/>
      <c r="O818" s="149"/>
      <c r="P818" s="146"/>
      <c r="Q818" s="146"/>
      <c r="R818" s="146"/>
      <c r="S818" s="146"/>
    </row>
    <row r="819" spans="1:19" x14ac:dyDescent="0.2">
      <c r="A819" s="142"/>
      <c r="B819" s="142"/>
      <c r="C819" s="142"/>
      <c r="D819" s="142"/>
      <c r="G819" s="146"/>
      <c r="H819" s="150"/>
      <c r="I819" s="151"/>
      <c r="J819" s="146"/>
      <c r="K819" s="146"/>
      <c r="L819" s="146"/>
      <c r="M819" s="146"/>
      <c r="N819" s="146"/>
      <c r="O819" s="149"/>
      <c r="P819" s="146"/>
      <c r="Q819" s="146"/>
      <c r="R819" s="146"/>
      <c r="S819" s="146"/>
    </row>
    <row r="820" spans="1:19" x14ac:dyDescent="0.2">
      <c r="A820" s="142"/>
      <c r="B820" s="142"/>
      <c r="C820" s="142"/>
      <c r="D820" s="142"/>
      <c r="G820" s="146"/>
      <c r="H820" s="150"/>
      <c r="I820" s="151"/>
      <c r="J820" s="146"/>
      <c r="K820" s="146"/>
      <c r="L820" s="146"/>
      <c r="M820" s="146"/>
      <c r="N820" s="146"/>
      <c r="O820" s="149"/>
      <c r="P820" s="146"/>
      <c r="Q820" s="146"/>
      <c r="R820" s="146"/>
      <c r="S820" s="146"/>
    </row>
    <row r="821" spans="1:19" x14ac:dyDescent="0.2">
      <c r="A821" s="142"/>
      <c r="B821" s="142"/>
      <c r="C821" s="142"/>
      <c r="D821" s="142"/>
      <c r="G821" s="146"/>
      <c r="H821" s="150"/>
      <c r="I821" s="151"/>
      <c r="J821" s="146"/>
      <c r="K821" s="146"/>
      <c r="L821" s="146"/>
      <c r="M821" s="146"/>
      <c r="N821" s="146"/>
      <c r="O821" s="149"/>
      <c r="P821" s="146"/>
      <c r="Q821" s="146"/>
      <c r="R821" s="146"/>
      <c r="S821" s="146"/>
    </row>
    <row r="822" spans="1:19" x14ac:dyDescent="0.2">
      <c r="A822" s="142"/>
      <c r="B822" s="142"/>
      <c r="C822" s="142"/>
      <c r="D822" s="142"/>
      <c r="G822" s="146"/>
      <c r="H822" s="150"/>
      <c r="I822" s="151"/>
      <c r="J822" s="146"/>
      <c r="K822" s="146"/>
      <c r="L822" s="146"/>
      <c r="M822" s="146"/>
      <c r="N822" s="146"/>
      <c r="O822" s="149"/>
      <c r="P822" s="146"/>
      <c r="Q822" s="146"/>
      <c r="R822" s="146"/>
      <c r="S822" s="146"/>
    </row>
    <row r="823" spans="1:19" x14ac:dyDescent="0.2">
      <c r="A823" s="142"/>
      <c r="B823" s="142"/>
      <c r="C823" s="142"/>
      <c r="D823" s="142"/>
      <c r="G823" s="146"/>
      <c r="H823" s="150"/>
      <c r="I823" s="151"/>
      <c r="J823" s="146"/>
      <c r="K823" s="146"/>
      <c r="L823" s="146"/>
      <c r="M823" s="146"/>
      <c r="N823" s="146"/>
      <c r="O823" s="149"/>
      <c r="P823" s="146"/>
      <c r="Q823" s="146"/>
      <c r="R823" s="146"/>
      <c r="S823" s="146"/>
    </row>
    <row r="824" spans="1:19" x14ac:dyDescent="0.2">
      <c r="A824" s="142"/>
      <c r="B824" s="142"/>
      <c r="C824" s="142"/>
      <c r="D824" s="142"/>
      <c r="G824" s="146"/>
      <c r="H824" s="150"/>
      <c r="I824" s="151"/>
      <c r="J824" s="146"/>
      <c r="K824" s="146"/>
      <c r="L824" s="146"/>
      <c r="M824" s="146"/>
      <c r="N824" s="146"/>
      <c r="O824" s="149"/>
      <c r="P824" s="146"/>
      <c r="Q824" s="146"/>
      <c r="R824" s="146"/>
      <c r="S824" s="146"/>
    </row>
    <row r="825" spans="1:19" x14ac:dyDescent="0.2">
      <c r="A825" s="142"/>
      <c r="B825" s="142"/>
      <c r="C825" s="142"/>
      <c r="D825" s="142"/>
      <c r="G825" s="146"/>
      <c r="H825" s="150"/>
      <c r="I825" s="151"/>
      <c r="J825" s="146"/>
      <c r="K825" s="146"/>
      <c r="L825" s="146"/>
      <c r="M825" s="146"/>
      <c r="N825" s="146"/>
      <c r="O825" s="149"/>
      <c r="P825" s="146"/>
      <c r="Q825" s="146"/>
      <c r="R825" s="146"/>
      <c r="S825" s="146"/>
    </row>
    <row r="826" spans="1:19" x14ac:dyDescent="0.2">
      <c r="A826" s="142"/>
      <c r="B826" s="142"/>
      <c r="C826" s="142"/>
      <c r="D826" s="142"/>
      <c r="G826" s="146"/>
      <c r="H826" s="150"/>
      <c r="I826" s="151"/>
      <c r="J826" s="146"/>
      <c r="K826" s="146"/>
      <c r="L826" s="146"/>
      <c r="M826" s="146"/>
      <c r="N826" s="146"/>
      <c r="O826" s="149"/>
      <c r="P826" s="146"/>
      <c r="Q826" s="146"/>
      <c r="R826" s="146"/>
      <c r="S826" s="146"/>
    </row>
    <row r="827" spans="1:19" x14ac:dyDescent="0.2">
      <c r="A827" s="142"/>
      <c r="B827" s="142"/>
      <c r="C827" s="142"/>
      <c r="D827" s="142"/>
      <c r="G827" s="146"/>
      <c r="H827" s="150"/>
      <c r="I827" s="151"/>
      <c r="J827" s="146"/>
      <c r="K827" s="146"/>
      <c r="L827" s="146"/>
      <c r="M827" s="146"/>
      <c r="N827" s="146"/>
      <c r="O827" s="149"/>
      <c r="P827" s="146"/>
      <c r="Q827" s="146"/>
      <c r="R827" s="146"/>
      <c r="S827" s="146"/>
    </row>
    <row r="828" spans="1:19" x14ac:dyDescent="0.2">
      <c r="A828" s="142"/>
      <c r="B828" s="142"/>
      <c r="C828" s="142"/>
      <c r="D828" s="142"/>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J92"/>
  <sheetViews>
    <sheetView showGridLines="0" showZeros="0" view="pageBreakPreview" topLeftCell="A16" zoomScale="90" zoomScaleNormal="100" zoomScaleSheetLayoutView="90" workbookViewId="0">
      <selection activeCell="I32" sqref="I3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622" customWidth="1"/>
    <col min="9" max="9" width="12.7109375" style="2" bestFit="1" customWidth="1"/>
    <col min="10" max="10" width="17.28515625" style="2" customWidth="1"/>
    <col min="11" max="16384" width="11.42578125" style="2"/>
  </cols>
  <sheetData>
    <row r="1" spans="1:9" ht="15" customHeight="1" x14ac:dyDescent="0.2">
      <c r="A1" s="709" t="str">
        <f>Obra</f>
        <v>Encamisado Parcial del Canal de Calle América</v>
      </c>
      <c r="B1" s="709"/>
      <c r="C1" s="709"/>
      <c r="D1" s="709"/>
      <c r="E1" s="709"/>
      <c r="F1" s="709"/>
      <c r="G1" s="709"/>
    </row>
    <row r="2" spans="1:9" ht="15" customHeight="1" x14ac:dyDescent="0.2">
      <c r="A2" s="712" t="str">
        <f>IF(Tramo=0,"","TRAMO: "&amp;Tramo)</f>
        <v/>
      </c>
      <c r="B2" s="712"/>
      <c r="C2" s="712"/>
      <c r="D2" s="712"/>
      <c r="E2" s="712"/>
      <c r="F2" s="712"/>
      <c r="G2" s="712"/>
    </row>
    <row r="3" spans="1:9" ht="15" customHeight="1" x14ac:dyDescent="0.2">
      <c r="A3" s="712" t="str">
        <f>IF(Sección_I=0,"","SECCIÓN I: "&amp;Sección_I)</f>
        <v/>
      </c>
      <c r="B3" s="712"/>
      <c r="C3" s="712"/>
      <c r="D3" s="712"/>
      <c r="E3" s="712"/>
      <c r="F3" s="712"/>
      <c r="G3" s="712"/>
    </row>
    <row r="4" spans="1:9" ht="15" customHeight="1" x14ac:dyDescent="0.2">
      <c r="A4" s="712" t="str">
        <f>IF(Sección_II=0,"","SECCIÓN II: "&amp;Sección_II)</f>
        <v/>
      </c>
      <c r="B4" s="712"/>
      <c r="C4" s="712"/>
      <c r="D4" s="712"/>
      <c r="E4" s="712"/>
      <c r="F4" s="712"/>
      <c r="G4" s="712"/>
    </row>
    <row r="5" spans="1:9" ht="15" customHeight="1" x14ac:dyDescent="0.2">
      <c r="A5" s="712" t="str">
        <f>IF(Sección_III=0,"","SECCIÓN III: "&amp;Sección_III)</f>
        <v/>
      </c>
      <c r="B5" s="712"/>
      <c r="C5" s="712"/>
      <c r="D5" s="712"/>
      <c r="E5" s="712"/>
      <c r="F5" s="712"/>
      <c r="G5" s="712"/>
    </row>
    <row r="6" spans="1:9" ht="15" customHeight="1" x14ac:dyDescent="0.2">
      <c r="A6" s="712" t="str">
        <f>IF(Ubicación=0,"","DEPARTAMENTO: "&amp;Ubicación)</f>
        <v>DEPARTAMENTO: Departamento Rawson</v>
      </c>
      <c r="B6" s="712"/>
      <c r="C6" s="712"/>
      <c r="D6" s="712"/>
      <c r="E6" s="712"/>
      <c r="F6" s="712"/>
      <c r="G6" s="712"/>
    </row>
    <row r="7" spans="1:9" ht="19.5" customHeight="1" x14ac:dyDescent="0.2">
      <c r="A7" s="123"/>
      <c r="B7" s="123"/>
      <c r="C7" s="123"/>
      <c r="D7" s="123"/>
      <c r="E7" s="123"/>
      <c r="F7" s="123"/>
      <c r="G7" s="123"/>
    </row>
    <row r="8" spans="1:9" ht="19.5" customHeight="1" x14ac:dyDescent="0.2">
      <c r="A8" s="124" t="s">
        <v>957</v>
      </c>
      <c r="B8" s="125"/>
      <c r="C8" s="125"/>
      <c r="D8" s="125"/>
      <c r="E8" s="125"/>
      <c r="F8" s="125"/>
      <c r="G8" s="126"/>
      <c r="H8" s="623"/>
    </row>
    <row r="9" spans="1:9" s="128" customFormat="1" ht="30" customHeight="1" x14ac:dyDescent="0.25">
      <c r="A9" s="127"/>
      <c r="C9" s="129"/>
      <c r="D9" s="129"/>
      <c r="E9" s="127" t="str">
        <f>IF(Fecha_Base=0,"San Juan, ______________________"&amp;" de _____","San Juan, "&amp;TEXT(Fecha_Base,"dd")&amp;" de "&amp;TEXT(Fecha_Base,"mmmm")&amp;" de "&amp;TEXT(Fecha_Base,"yyyy"))</f>
        <v>San Juan, X/X/2023 de X/X/2023 de X/X/2023</v>
      </c>
      <c r="H9" s="624"/>
    </row>
    <row r="10" spans="1:9" s="5" customFormat="1" ht="69.75" customHeight="1" x14ac:dyDescent="0.2">
      <c r="B10" s="130" t="s">
        <v>2006</v>
      </c>
      <c r="C10" s="130"/>
      <c r="D10" s="130"/>
      <c r="E10" s="130"/>
      <c r="F10" s="130"/>
      <c r="G10" s="130"/>
      <c r="H10" s="625"/>
    </row>
    <row r="11" spans="1:9" s="5" customFormat="1" ht="80.099999999999994" customHeight="1" x14ac:dyDescent="0.2">
      <c r="B11" s="715" t="str">
        <f>IF(Contratista_Firma2=0,IF(Contratista_Firma1=0,I12,I13),I14)</f>
        <v>_____ que suscribe(n) ____________________  en su carácter de  ____________  declara(n) que ha(n) dado cumplimiento a lo establecido en la documentación correspondiente, ha examinado el terreno, Pliego de Condiciones y Terminos de Referencia relativas al proyecto ejecutivo licitatorio indicado en el título y se compromete(n) a realizarla en un todo de acuerdo con los mencionados documentos que aclara(n) conocer en todas sus partes, ofreciendo ejecutar el proyecto ejecutivo licitatorio correspondientes a los precios unitarios que consignan a continuación:</v>
      </c>
      <c r="C11" s="715"/>
      <c r="D11" s="715"/>
      <c r="E11" s="715"/>
      <c r="F11" s="715"/>
      <c r="G11" s="715"/>
      <c r="H11" s="625"/>
    </row>
    <row r="12" spans="1:9" s="5" customFormat="1" ht="19.5" customHeight="1" x14ac:dyDescent="0.2">
      <c r="A12" s="10"/>
      <c r="B12" s="11"/>
      <c r="H12" s="625"/>
      <c r="I12" s="403" t="s">
        <v>1953</v>
      </c>
    </row>
    <row r="13" spans="1:9" ht="20.100000000000001" customHeight="1" x14ac:dyDescent="0.2">
      <c r="A13" s="710" t="s">
        <v>892</v>
      </c>
      <c r="B13" s="711" t="s">
        <v>0</v>
      </c>
      <c r="C13" s="710" t="s">
        <v>1</v>
      </c>
      <c r="D13" s="710" t="s">
        <v>2</v>
      </c>
      <c r="E13" s="711" t="s">
        <v>958</v>
      </c>
      <c r="F13" s="711"/>
      <c r="G13" s="710" t="s">
        <v>913</v>
      </c>
      <c r="I13" s="40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10"/>
      <c r="B14" s="711"/>
      <c r="C14" s="710"/>
      <c r="D14" s="710"/>
      <c r="E14" s="401" t="s">
        <v>959</v>
      </c>
      <c r="F14" s="401" t="s">
        <v>960</v>
      </c>
      <c r="G14" s="710"/>
      <c r="I14" s="40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31"/>
      <c r="B15" s="399"/>
      <c r="C15" s="131"/>
      <c r="D15" s="131"/>
      <c r="E15" s="399"/>
      <c r="F15" s="399"/>
    </row>
    <row r="16" spans="1:9" ht="30" customHeight="1" x14ac:dyDescent="0.2">
      <c r="A16" s="401">
        <f ca="1">INDIRECT("Datos!B"&amp;MATCH("RUBRO ITEM",Datos!B:B,0)+ROW()-MATCH("RUBRO ITEM",A:A,0)-1)</f>
        <v>1</v>
      </c>
      <c r="B16" s="699" t="str">
        <f t="shared" ref="B16" ca="1" si="0">IFERROR(VLOOKUP(A16,T_Computo_Presupuesto,2,FALSE),"")</f>
        <v>PROYECTO EJECUTIVO</v>
      </c>
      <c r="C16" s="132">
        <f t="shared" ref="C16" ca="1" si="1">IFERROR(VLOOKUP(A16,T_Computo_Presupuesto,4,FALSE),"")</f>
        <v>0</v>
      </c>
      <c r="D16" s="365">
        <f t="shared" ref="D16" ca="1" si="2">IFERROR(VLOOKUP(A16,T_Computo_Presupuesto,5,FALSE),"")</f>
        <v>0</v>
      </c>
      <c r="E16" s="366" t="str">
        <f t="shared" ref="E16" ca="1" si="3">IF(F16=0,"",CONVERTIRNUM(F16))</f>
        <v/>
      </c>
      <c r="F16" s="367">
        <f t="shared" ref="F16:F25" ca="1" si="4">IFERROR(VLOOKUP(A16,T_Computo_Presupuesto,7,FALSE),0)</f>
        <v>0</v>
      </c>
      <c r="G16" s="367">
        <f ca="1">ROUND(D16*F16,2)</f>
        <v>0</v>
      </c>
    </row>
    <row r="17" spans="1:10" ht="30" customHeight="1" x14ac:dyDescent="0.2">
      <c r="A17" s="37" t="str">
        <f ca="1">INDIRECT("Datos!B"&amp;MATCH("RUBRO ITEM",Datos!B:B,0)+ROW()-MATCH("RUBRO ITEM",A:A,0)-1)</f>
        <v>1.1</v>
      </c>
      <c r="B17" s="364" t="str">
        <f t="shared" ref="B17:B25" ca="1" si="5">IFERROR(VLOOKUP(A17,T_Computo_Presupuesto,2,FALSE),"")</f>
        <v>Elaboración Proyecto Ejecutivo</v>
      </c>
      <c r="C17" s="132" t="str">
        <f t="shared" ref="C17:C25" ca="1" si="6">IFERROR(VLOOKUP(A17,T_Computo_Presupuesto,4,FALSE),"")</f>
        <v>Gl</v>
      </c>
      <c r="D17" s="365">
        <f t="shared" ref="D17:D25" ca="1" si="7">IFERROR(VLOOKUP(A17,T_Computo_Presupuesto,5,FALSE),"")</f>
        <v>0</v>
      </c>
      <c r="E17" s="366" t="str">
        <f t="shared" ref="E17:E25" ca="1" si="8">IF(F17=0,"",CONVERTIRNUM(F17))</f>
        <v/>
      </c>
      <c r="F17" s="367">
        <f t="shared" ca="1" si="4"/>
        <v>0</v>
      </c>
      <c r="G17" s="367">
        <f t="shared" ref="G17:G25" ca="1" si="9">ROUND(D17*F17,2)</f>
        <v>0</v>
      </c>
    </row>
    <row r="18" spans="1:10" ht="30" customHeight="1" x14ac:dyDescent="0.2">
      <c r="A18" s="401">
        <f ca="1">INDIRECT("Datos!B"&amp;MATCH("RUBRO ITEM",Datos!B:B,0)+ROW()-MATCH("RUBRO ITEM",A:A,0)-1)</f>
        <v>2</v>
      </c>
      <c r="B18" s="699" t="str">
        <f t="shared" ca="1" si="5"/>
        <v>CANAL AMÉRICA</v>
      </c>
      <c r="C18" s="132">
        <f t="shared" ca="1" si="6"/>
        <v>0</v>
      </c>
      <c r="D18" s="365"/>
      <c r="E18" s="366" t="str">
        <f t="shared" ca="1" si="8"/>
        <v/>
      </c>
      <c r="F18" s="367">
        <f ca="1">IFERROR(VLOOKUP(A18,T_Computo_Presupuesto,7,FALSE),0)</f>
        <v>0</v>
      </c>
      <c r="G18" s="367">
        <f t="shared" ca="1" si="9"/>
        <v>0</v>
      </c>
      <c r="I18" s="626"/>
      <c r="J18" s="627"/>
    </row>
    <row r="19" spans="1:10" ht="30" customHeight="1" x14ac:dyDescent="0.2">
      <c r="A19" s="37" t="str">
        <f ca="1">INDIRECT("Datos!B"&amp;MATCH("RUBRO ITEM",Datos!B:B,0)+ROW()-MATCH("RUBRO ITEM",A:A,0)-1)</f>
        <v>2.1</v>
      </c>
      <c r="B19" s="364" t="str">
        <f t="shared" ca="1" si="5"/>
        <v>Preparación y Limpieza del Terreno</v>
      </c>
      <c r="C19" s="132" t="str">
        <f t="shared" ca="1" si="6"/>
        <v>Gl</v>
      </c>
      <c r="D19" s="365">
        <f t="shared" ca="1" si="7"/>
        <v>0</v>
      </c>
      <c r="E19" s="366" t="str">
        <f t="shared" ca="1" si="8"/>
        <v/>
      </c>
      <c r="F19" s="367">
        <f t="shared" ca="1" si="4"/>
        <v>0</v>
      </c>
      <c r="G19" s="367">
        <f t="shared" ca="1" si="9"/>
        <v>0</v>
      </c>
      <c r="I19" s="626"/>
    </row>
    <row r="20" spans="1:10" ht="30" customHeight="1" x14ac:dyDescent="0.2">
      <c r="A20" s="37" t="str">
        <f ca="1">INDIRECT("Datos!B"&amp;MATCH("RUBRO ITEM",Datos!B:B,0)+ROW()-MATCH("RUBRO ITEM",A:A,0)-1)</f>
        <v>2.2</v>
      </c>
      <c r="B20" s="364" t="str">
        <f t="shared" ca="1" si="5"/>
        <v>Nivelación y Replanteo</v>
      </c>
      <c r="C20" s="132" t="str">
        <f t="shared" ca="1" si="6"/>
        <v>Gl</v>
      </c>
      <c r="D20" s="365">
        <f t="shared" ca="1" si="7"/>
        <v>0</v>
      </c>
      <c r="E20" s="366" t="str">
        <f t="shared" ca="1" si="8"/>
        <v/>
      </c>
      <c r="F20" s="367">
        <f t="shared" ca="1" si="4"/>
        <v>0</v>
      </c>
      <c r="G20" s="367">
        <f t="shared" ca="1" si="9"/>
        <v>0</v>
      </c>
      <c r="I20" s="626"/>
    </row>
    <row r="21" spans="1:10" ht="30" customHeight="1" x14ac:dyDescent="0.2">
      <c r="A21" s="37" t="str">
        <f ca="1">INDIRECT("Datos!B"&amp;MATCH("RUBRO ITEM",Datos!B:B,0)+ROW()-MATCH("RUBRO ITEM",A:A,0)-1)</f>
        <v>2.3</v>
      </c>
      <c r="B21" s="364" t="str">
        <f t="shared" ca="1" si="5"/>
        <v>Demolición de las Bocas del Sifón</v>
      </c>
      <c r="C21" s="132" t="str">
        <f t="shared" ca="1" si="6"/>
        <v>Gl</v>
      </c>
      <c r="D21" s="365">
        <f t="shared" ca="1" si="7"/>
        <v>0</v>
      </c>
      <c r="E21" s="366" t="str">
        <f t="shared" ca="1" si="8"/>
        <v/>
      </c>
      <c r="F21" s="367">
        <f t="shared" ca="1" si="4"/>
        <v>0</v>
      </c>
      <c r="G21" s="367">
        <f t="shared" ca="1" si="9"/>
        <v>0</v>
      </c>
      <c r="I21" s="626"/>
    </row>
    <row r="22" spans="1:10" ht="30" customHeight="1" x14ac:dyDescent="0.2">
      <c r="A22" s="37" t="str">
        <f ca="1">INDIRECT("Datos!B"&amp;MATCH("RUBRO ITEM",Datos!B:B,0)+ROW()-MATCH("RUBRO ITEM",A:A,0)-1)</f>
        <v>2.4</v>
      </c>
      <c r="B22" s="364" t="str">
        <f t="shared" ca="1" si="5"/>
        <v>Extracción de Membrana</v>
      </c>
      <c r="C22" s="132" t="str">
        <f t="shared" ca="1" si="6"/>
        <v>ML</v>
      </c>
      <c r="D22" s="365">
        <f t="shared" ca="1" si="7"/>
        <v>0</v>
      </c>
      <c r="E22" s="366" t="str">
        <f t="shared" ca="1" si="8"/>
        <v/>
      </c>
      <c r="F22" s="367">
        <f t="shared" ca="1" si="4"/>
        <v>0</v>
      </c>
      <c r="G22" s="367">
        <f t="shared" ca="1" si="9"/>
        <v>0</v>
      </c>
      <c r="I22" s="626"/>
    </row>
    <row r="23" spans="1:10" ht="30" customHeight="1" x14ac:dyDescent="0.2">
      <c r="A23" s="37" t="str">
        <f ca="1">INDIRECT("Datos!B"&amp;MATCH("RUBRO ITEM",Datos!B:B,0)+ROW()-MATCH("RUBRO ITEM",A:A,0)-1)</f>
        <v>2.5</v>
      </c>
      <c r="B23" s="364" t="str">
        <f t="shared" ca="1" si="5"/>
        <v>Relleno y Compactación con Cama de Asiento</v>
      </c>
      <c r="C23" s="132" t="str">
        <f t="shared" ca="1" si="6"/>
        <v>M3</v>
      </c>
      <c r="D23" s="365"/>
      <c r="E23" s="366" t="str">
        <f t="shared" ca="1" si="8"/>
        <v/>
      </c>
      <c r="F23" s="367">
        <f t="shared" ca="1" si="4"/>
        <v>0</v>
      </c>
      <c r="G23" s="367">
        <f t="shared" ca="1" si="9"/>
        <v>0</v>
      </c>
      <c r="I23" s="626"/>
    </row>
    <row r="24" spans="1:10" ht="30" customHeight="1" x14ac:dyDescent="0.2">
      <c r="A24" s="37" t="str">
        <f ca="1">INDIRECT("Datos!B"&amp;MATCH("RUBRO ITEM",Datos!B:B,0)+ROW()-MATCH("RUBRO ITEM",A:A,0)-1)</f>
        <v>2.6</v>
      </c>
      <c r="B24" s="364" t="str">
        <f t="shared" ca="1" si="5"/>
        <v>Excavación Caja del Canal</v>
      </c>
      <c r="C24" s="132" t="str">
        <f t="shared" ca="1" si="6"/>
        <v>M3</v>
      </c>
      <c r="D24" s="365">
        <f t="shared" ca="1" si="7"/>
        <v>0</v>
      </c>
      <c r="E24" s="366" t="str">
        <f t="shared" ca="1" si="8"/>
        <v/>
      </c>
      <c r="F24" s="367">
        <f t="shared" ca="1" si="4"/>
        <v>0</v>
      </c>
      <c r="G24" s="367">
        <f t="shared" ca="1" si="9"/>
        <v>0</v>
      </c>
      <c r="I24" s="626"/>
    </row>
    <row r="25" spans="1:10" ht="30" customHeight="1" x14ac:dyDescent="0.2">
      <c r="A25" s="37" t="str">
        <f ca="1">INDIRECT("Datos!B"&amp;MATCH("RUBRO ITEM",Datos!B:B,0)+ROW()-MATCH("RUBRO ITEM",A:A,0)-1)</f>
        <v>2.7</v>
      </c>
      <c r="B25" s="364" t="str">
        <f t="shared" ca="1" si="5"/>
        <v>Hormigón de Limpieza</v>
      </c>
      <c r="C25" s="132" t="str">
        <f t="shared" ca="1" si="6"/>
        <v>M3</v>
      </c>
      <c r="D25" s="365">
        <f t="shared" ca="1" si="7"/>
        <v>0</v>
      </c>
      <c r="E25" s="366" t="str">
        <f t="shared" ca="1" si="8"/>
        <v/>
      </c>
      <c r="F25" s="367">
        <f t="shared" ca="1" si="4"/>
        <v>0</v>
      </c>
      <c r="G25" s="367">
        <f t="shared" ca="1" si="9"/>
        <v>0</v>
      </c>
      <c r="I25" s="626"/>
    </row>
    <row r="26" spans="1:10" ht="30" customHeight="1" x14ac:dyDescent="0.2">
      <c r="A26" s="37" t="str">
        <f ca="1">INDIRECT("Datos!B"&amp;MATCH("RUBRO ITEM",Datos!B:B,0)+ROW()-MATCH("RUBRO ITEM",A:A,0)-1)</f>
        <v>2.8</v>
      </c>
      <c r="B26" s="364" t="str">
        <f t="shared" ref="B26:B37" ca="1" si="10">IFERROR(VLOOKUP(A26,T_Computo_Presupuesto,2,FALSE),"")</f>
        <v>Hormigón H21</v>
      </c>
      <c r="C26" s="132" t="str">
        <f t="shared" ref="C26:C34" ca="1" si="11">IFERROR(VLOOKUP(A26,T_Computo_Presupuesto,4,FALSE),"")</f>
        <v>M3</v>
      </c>
      <c r="D26" s="365">
        <f t="shared" ref="D26:D34" ca="1" si="12">IFERROR(VLOOKUP(A26,T_Computo_Presupuesto,5,FALSE),"")</f>
        <v>0</v>
      </c>
      <c r="E26" s="366" t="str">
        <f t="shared" ref="E26:E34" ca="1" si="13">IF(F26=0,"",CONVERTIRNUM(F26))</f>
        <v/>
      </c>
      <c r="F26" s="367">
        <f t="shared" ref="F26:F34" ca="1" si="14">IFERROR(VLOOKUP(A26,T_Computo_Presupuesto,7,FALSE),0)</f>
        <v>0</v>
      </c>
      <c r="G26" s="367">
        <f t="shared" ref="G26:G34" ca="1" si="15">ROUND(D26*F26,2)</f>
        <v>0</v>
      </c>
      <c r="I26" s="626"/>
    </row>
    <row r="27" spans="1:10" ht="30" customHeight="1" x14ac:dyDescent="0.2">
      <c r="A27" s="37" t="str">
        <f ca="1">INDIRECT("Datos!B"&amp;MATCH("RUBRO ITEM",Datos!B:B,0)+ROW()-MATCH("RUBRO ITEM",A:A,0)-1)</f>
        <v>2.9</v>
      </c>
      <c r="B27" s="364" t="str">
        <f t="shared" ca="1" si="10"/>
        <v>Armadura Colocada en Obra</v>
      </c>
      <c r="C27" s="132" t="str">
        <f t="shared" ca="1" si="11"/>
        <v>KG</v>
      </c>
      <c r="D27" s="365">
        <f t="shared" ca="1" si="12"/>
        <v>0</v>
      </c>
      <c r="E27" s="366" t="str">
        <f t="shared" ca="1" si="13"/>
        <v/>
      </c>
      <c r="F27" s="367">
        <f t="shared" ca="1" si="14"/>
        <v>0</v>
      </c>
      <c r="G27" s="367">
        <f t="shared" ca="1" si="15"/>
        <v>0</v>
      </c>
      <c r="I27" s="626"/>
    </row>
    <row r="28" spans="1:10" ht="30" customHeight="1" x14ac:dyDescent="0.2">
      <c r="A28" s="37" t="str">
        <f ca="1">INDIRECT("Datos!B"&amp;MATCH("RUBRO ITEM",Datos!B:B,0)+ROW()-MATCH("RUBRO ITEM",A:A,0)-1)</f>
        <v>2.10</v>
      </c>
      <c r="B28" s="364" t="str">
        <f t="shared" ca="1" si="10"/>
        <v>Juntas de Contracción y Dilatación</v>
      </c>
      <c r="C28" s="132" t="str">
        <f t="shared" ca="1" si="11"/>
        <v>ML</v>
      </c>
      <c r="D28" s="365">
        <f t="shared" ca="1" si="12"/>
        <v>0</v>
      </c>
      <c r="E28" s="366" t="str">
        <f t="shared" ca="1" si="13"/>
        <v/>
      </c>
      <c r="F28" s="367">
        <f t="shared" ca="1" si="14"/>
        <v>0</v>
      </c>
      <c r="G28" s="367">
        <f t="shared" ca="1" si="15"/>
        <v>0</v>
      </c>
      <c r="I28" s="626"/>
    </row>
    <row r="29" spans="1:10" ht="30" customHeight="1" x14ac:dyDescent="0.2">
      <c r="A29" s="37" t="str">
        <f ca="1">INDIRECT("Datos!B"&amp;MATCH("RUBRO ITEM",Datos!B:B,0)+ROW()-MATCH("RUBRO ITEM",A:A,0)-1)</f>
        <v>2.11</v>
      </c>
      <c r="B29" s="364" t="str">
        <f t="shared" ca="1" si="10"/>
        <v>Colocación de Membrana de 400 micrones</v>
      </c>
      <c r="C29" s="132" t="str">
        <f t="shared" ca="1" si="11"/>
        <v>M2</v>
      </c>
      <c r="D29" s="365">
        <f t="shared" ca="1" si="12"/>
        <v>0</v>
      </c>
      <c r="E29" s="366" t="str">
        <f t="shared" ca="1" si="13"/>
        <v/>
      </c>
      <c r="F29" s="367">
        <f t="shared" ca="1" si="14"/>
        <v>0</v>
      </c>
      <c r="G29" s="367">
        <f t="shared" ca="1" si="15"/>
        <v>0</v>
      </c>
      <c r="I29" s="626"/>
    </row>
    <row r="30" spans="1:10" ht="30" customHeight="1" x14ac:dyDescent="0.2">
      <c r="A30" s="401">
        <f ca="1">INDIRECT("Datos!B"&amp;MATCH("RUBRO ITEM",Datos!B:B,0)+ROW()-MATCH("RUBRO ITEM",A:A,0)-1)</f>
        <v>3</v>
      </c>
      <c r="B30" s="699" t="str">
        <f t="shared" ca="1" si="10"/>
        <v>PUENTES DE HORMIGÓN</v>
      </c>
      <c r="C30" s="132">
        <f t="shared" ca="1" si="11"/>
        <v>0</v>
      </c>
      <c r="D30" s="365">
        <f t="shared" ca="1" si="12"/>
        <v>0</v>
      </c>
      <c r="E30" s="366" t="str">
        <f t="shared" ca="1" si="13"/>
        <v/>
      </c>
      <c r="F30" s="367">
        <f t="shared" ca="1" si="14"/>
        <v>0</v>
      </c>
      <c r="G30" s="367">
        <f t="shared" ca="1" si="15"/>
        <v>0</v>
      </c>
      <c r="I30" s="626"/>
    </row>
    <row r="31" spans="1:10" ht="30" customHeight="1" x14ac:dyDescent="0.2">
      <c r="A31" s="37" t="str">
        <f ca="1">INDIRECT("Datos!B"&amp;MATCH("RUBRO ITEM",Datos!B:B,0)+ROW()-MATCH("RUBRO ITEM",A:A,0)-1)</f>
        <v>3.1</v>
      </c>
      <c r="B31" s="364" t="str">
        <f t="shared" ca="1" si="10"/>
        <v>Preparación y Limpieza del Terreno</v>
      </c>
      <c r="C31" s="132" t="str">
        <f t="shared" ca="1" si="11"/>
        <v>Gl</v>
      </c>
      <c r="D31" s="365">
        <f t="shared" ca="1" si="12"/>
        <v>0</v>
      </c>
      <c r="E31" s="366" t="str">
        <f t="shared" ca="1" si="13"/>
        <v/>
      </c>
      <c r="F31" s="367">
        <f t="shared" ca="1" si="14"/>
        <v>0</v>
      </c>
      <c r="G31" s="367">
        <f t="shared" ca="1" si="15"/>
        <v>0</v>
      </c>
      <c r="I31" s="626"/>
    </row>
    <row r="32" spans="1:10" ht="30" customHeight="1" x14ac:dyDescent="0.2">
      <c r="A32" s="37" t="str">
        <f ca="1">INDIRECT("Datos!B"&amp;MATCH("RUBRO ITEM",Datos!B:B,0)+ROW()-MATCH("RUBRO ITEM",A:A,0)-1)</f>
        <v>3.2</v>
      </c>
      <c r="B32" s="364" t="str">
        <f t="shared" ca="1" si="10"/>
        <v>Nivelación y Replanteo</v>
      </c>
      <c r="C32" s="132" t="str">
        <f t="shared" ca="1" si="11"/>
        <v>Gl</v>
      </c>
      <c r="D32" s="365">
        <f t="shared" ca="1" si="12"/>
        <v>0</v>
      </c>
      <c r="E32" s="366" t="str">
        <f t="shared" ca="1" si="13"/>
        <v/>
      </c>
      <c r="F32" s="367">
        <f t="shared" ca="1" si="14"/>
        <v>0</v>
      </c>
      <c r="G32" s="367">
        <f t="shared" ca="1" si="15"/>
        <v>0</v>
      </c>
      <c r="I32" s="626"/>
    </row>
    <row r="33" spans="1:9" ht="30" customHeight="1" x14ac:dyDescent="0.2">
      <c r="A33" s="37" t="str">
        <f ca="1">INDIRECT("Datos!B"&amp;MATCH("RUBRO ITEM",Datos!B:B,0)+ROW()-MATCH("RUBRO ITEM",A:A,0)-1)</f>
        <v>3.3</v>
      </c>
      <c r="B33" s="364" t="str">
        <f t="shared" ca="1" si="10"/>
        <v>Demolición de Puentes</v>
      </c>
      <c r="C33" s="132" t="str">
        <f t="shared" ca="1" si="11"/>
        <v>Gl</v>
      </c>
      <c r="D33" s="365">
        <f t="shared" ca="1" si="12"/>
        <v>0</v>
      </c>
      <c r="E33" s="366" t="str">
        <f t="shared" ca="1" si="13"/>
        <v/>
      </c>
      <c r="F33" s="367">
        <f t="shared" ca="1" si="14"/>
        <v>0</v>
      </c>
      <c r="G33" s="367">
        <f t="shared" ca="1" si="15"/>
        <v>0</v>
      </c>
      <c r="I33" s="626"/>
    </row>
    <row r="34" spans="1:9" ht="30" customHeight="1" x14ac:dyDescent="0.2">
      <c r="A34" s="37" t="str">
        <f ca="1">INDIRECT("Datos!B"&amp;MATCH("RUBRO ITEM",Datos!B:B,0)+ROW()-MATCH("RUBRO ITEM",A:A,0)-1)</f>
        <v>3.4</v>
      </c>
      <c r="B34" s="364" t="str">
        <f t="shared" ca="1" si="10"/>
        <v>Relleno y Compactación con Cama de Asiento</v>
      </c>
      <c r="C34" s="132" t="str">
        <f t="shared" ca="1" si="11"/>
        <v>M3</v>
      </c>
      <c r="D34" s="365">
        <f t="shared" ca="1" si="12"/>
        <v>0</v>
      </c>
      <c r="E34" s="366" t="str">
        <f t="shared" ca="1" si="13"/>
        <v/>
      </c>
      <c r="F34" s="367">
        <f t="shared" ca="1" si="14"/>
        <v>0</v>
      </c>
      <c r="G34" s="367">
        <f t="shared" ca="1" si="15"/>
        <v>0</v>
      </c>
      <c r="I34" s="626"/>
    </row>
    <row r="35" spans="1:9" ht="30" customHeight="1" x14ac:dyDescent="0.2">
      <c r="A35" s="37" t="str">
        <f ca="1">INDIRECT("Datos!B"&amp;MATCH("RUBRO ITEM",Datos!B:B,0)+ROW()-MATCH("RUBRO ITEM",A:A,0)-1)</f>
        <v>3.5</v>
      </c>
      <c r="B35" s="364" t="str">
        <f t="shared" ca="1" si="10"/>
        <v>Excavación Cimiento</v>
      </c>
      <c r="C35" s="132" t="str">
        <f t="shared" ref="C35:C75" ca="1" si="16">IFERROR(VLOOKUP(A35,T_Computo_Presupuesto,4,FALSE),"")</f>
        <v>M3</v>
      </c>
      <c r="D35" s="365">
        <f t="shared" ref="D35:D75" ca="1" si="17">IFERROR(VLOOKUP(A35,T_Computo_Presupuesto,5,FALSE),"")</f>
        <v>0</v>
      </c>
      <c r="E35" s="366" t="str">
        <f t="shared" ref="E35:E75" ca="1" si="18">IF(F35=0,"",CONVERTIRNUM(F35))</f>
        <v/>
      </c>
      <c r="F35" s="367">
        <f t="shared" ref="F35:F75" ca="1" si="19">IFERROR(VLOOKUP(A35,T_Computo_Presupuesto,7,FALSE),0)</f>
        <v>0</v>
      </c>
      <c r="G35" s="367">
        <f t="shared" ref="G35:G75" ca="1" si="20">ROUND(D35*F35,2)</f>
        <v>0</v>
      </c>
      <c r="I35" s="626"/>
    </row>
    <row r="36" spans="1:9" ht="30" customHeight="1" x14ac:dyDescent="0.2">
      <c r="A36" s="37" t="str">
        <f ca="1">INDIRECT("Datos!B"&amp;MATCH("RUBRO ITEM",Datos!B:B,0)+ROW()-MATCH("RUBRO ITEM",A:A,0)-1)</f>
        <v>3.6</v>
      </c>
      <c r="B36" s="364" t="str">
        <f t="shared" ca="1" si="10"/>
        <v>Hormigón de Limpieza</v>
      </c>
      <c r="C36" s="132" t="str">
        <f t="shared" ca="1" si="16"/>
        <v>M3</v>
      </c>
      <c r="D36" s="365">
        <f t="shared" ca="1" si="17"/>
        <v>0</v>
      </c>
      <c r="E36" s="366" t="str">
        <f t="shared" ca="1" si="18"/>
        <v/>
      </c>
      <c r="F36" s="367">
        <f t="shared" ca="1" si="19"/>
        <v>0</v>
      </c>
      <c r="G36" s="367">
        <f t="shared" ca="1" si="20"/>
        <v>0</v>
      </c>
      <c r="I36" s="626"/>
    </row>
    <row r="37" spans="1:9" ht="30" customHeight="1" x14ac:dyDescent="0.2">
      <c r="A37" s="37" t="str">
        <f ca="1">INDIRECT("Datos!B"&amp;MATCH("RUBRO ITEM",Datos!B:B,0)+ROW()-MATCH("RUBRO ITEM",A:A,0)-1)</f>
        <v>3.7</v>
      </c>
      <c r="B37" s="364" t="str">
        <f t="shared" ca="1" si="10"/>
        <v>Hormigón H21</v>
      </c>
      <c r="C37" s="132" t="str">
        <f t="shared" ca="1" si="16"/>
        <v>M3</v>
      </c>
      <c r="D37" s="365">
        <f t="shared" ca="1" si="17"/>
        <v>0</v>
      </c>
      <c r="E37" s="366" t="str">
        <f t="shared" ca="1" si="18"/>
        <v/>
      </c>
      <c r="F37" s="367">
        <f t="shared" ca="1" si="19"/>
        <v>0</v>
      </c>
      <c r="G37" s="367">
        <f t="shared" ca="1" si="20"/>
        <v>0</v>
      </c>
      <c r="I37" s="626"/>
    </row>
    <row r="38" spans="1:9" ht="30" customHeight="1" x14ac:dyDescent="0.2">
      <c r="A38" s="37" t="str">
        <f ca="1">INDIRECT("Datos!B"&amp;MATCH("RUBRO ITEM",Datos!B:B,0)+ROW()-MATCH("RUBRO ITEM",A:A,0)-1)</f>
        <v>3.8</v>
      </c>
      <c r="B38" s="364" t="str">
        <f t="shared" ref="B38:B75" ca="1" si="21">IFERROR(VLOOKUP(A38,T_Computo_Presupuesto,2,FALSE),"")</f>
        <v>Armadura Colocada en Obra</v>
      </c>
      <c r="C38" s="132" t="str">
        <f t="shared" ca="1" si="16"/>
        <v>KG</v>
      </c>
      <c r="D38" s="365">
        <f t="shared" ca="1" si="17"/>
        <v>0</v>
      </c>
      <c r="E38" s="366" t="str">
        <f t="shared" ca="1" si="18"/>
        <v/>
      </c>
      <c r="F38" s="367">
        <f t="shared" ca="1" si="19"/>
        <v>0</v>
      </c>
      <c r="G38" s="367">
        <f t="shared" ca="1" si="20"/>
        <v>0</v>
      </c>
      <c r="I38" s="626"/>
    </row>
    <row r="39" spans="1:9" ht="30" customHeight="1" x14ac:dyDescent="0.2">
      <c r="A39" s="37">
        <f ca="1">INDIRECT("Datos!B"&amp;MATCH("RUBRO ITEM",Datos!B:B,0)+ROW()-MATCH("RUBRO ITEM",A:A,0)-1)</f>
        <v>4</v>
      </c>
      <c r="B39" s="364" t="str">
        <f t="shared" ca="1" si="21"/>
        <v>FORTALECIMIENTO INSTITUCIONAL</v>
      </c>
      <c r="C39" s="132">
        <f t="shared" ca="1" si="16"/>
        <v>0</v>
      </c>
      <c r="D39" s="365">
        <f t="shared" ca="1" si="17"/>
        <v>0</v>
      </c>
      <c r="E39" s="366" t="str">
        <f t="shared" ca="1" si="18"/>
        <v/>
      </c>
      <c r="F39" s="367">
        <f t="shared" ca="1" si="19"/>
        <v>0</v>
      </c>
      <c r="G39" s="367">
        <f t="shared" ca="1" si="20"/>
        <v>0</v>
      </c>
      <c r="I39" s="626"/>
    </row>
    <row r="40" spans="1:9" ht="30" customHeight="1" x14ac:dyDescent="0.2">
      <c r="A40" s="37" t="str">
        <f ca="1">INDIRECT("Datos!B"&amp;MATCH("RUBRO ITEM",Datos!B:B,0)+ROW()-MATCH("RUBRO ITEM",A:A,0)-1)</f>
        <v>4.1</v>
      </c>
      <c r="B40" s="364" t="str">
        <f t="shared" ca="1" si="21"/>
        <v>Camioneta 0 km.</v>
      </c>
      <c r="C40" s="132" t="str">
        <f t="shared" ca="1" si="16"/>
        <v>UN.</v>
      </c>
      <c r="D40" s="365">
        <f t="shared" ca="1" si="17"/>
        <v>0</v>
      </c>
      <c r="E40" s="366" t="str">
        <f t="shared" ca="1" si="18"/>
        <v/>
      </c>
      <c r="F40" s="367">
        <f t="shared" ca="1" si="19"/>
        <v>0</v>
      </c>
      <c r="G40" s="367">
        <f t="shared" ca="1" si="20"/>
        <v>0</v>
      </c>
      <c r="I40" s="626"/>
    </row>
    <row r="41" spans="1:9" ht="30" customHeight="1" x14ac:dyDescent="0.2">
      <c r="A41" s="37" t="str">
        <f ca="1">INDIRECT("Datos!B"&amp;MATCH("RUBRO ITEM",Datos!B:B,0)+ROW()-MATCH("RUBRO ITEM",A:A,0)-1)</f>
        <v>4.2</v>
      </c>
      <c r="B41" s="364" t="str">
        <f t="shared" ca="1" si="21"/>
        <v xml:space="preserve">Equipo de computación PC Core I7 10400 16gb RAM 240 Ssd + 2TR HD, con Monitor 24 W10 LISTA PARA USAR CON ANTIVIRUS con teclado y mouse inalámbrico. </v>
      </c>
      <c r="C41" s="132" t="str">
        <f t="shared" ca="1" si="16"/>
        <v>UN.</v>
      </c>
      <c r="D41" s="365">
        <f t="shared" ca="1" si="17"/>
        <v>0</v>
      </c>
      <c r="E41" s="366" t="str">
        <f t="shared" ca="1" si="18"/>
        <v/>
      </c>
      <c r="F41" s="367">
        <f t="shared" ca="1" si="19"/>
        <v>0</v>
      </c>
      <c r="G41" s="367">
        <f t="shared" ca="1" si="20"/>
        <v>0</v>
      </c>
      <c r="I41" s="626"/>
    </row>
    <row r="42" spans="1:9" ht="30" customHeight="1" x14ac:dyDescent="0.2">
      <c r="A42" s="37" t="str">
        <f ca="1">INDIRECT("Datos!B"&amp;MATCH("RUBRO ITEM",Datos!B:B,0)+ROW()-MATCH("RUBRO ITEM",A:A,0)-1)</f>
        <v>4.3</v>
      </c>
      <c r="B42" s="364" t="str">
        <f t="shared" ca="1" si="21"/>
        <v>Dron</v>
      </c>
      <c r="C42" s="132" t="str">
        <f t="shared" ca="1" si="16"/>
        <v>UN.</v>
      </c>
      <c r="D42" s="365">
        <f t="shared" ca="1" si="17"/>
        <v>0</v>
      </c>
      <c r="E42" s="366" t="str">
        <f t="shared" ca="1" si="18"/>
        <v/>
      </c>
      <c r="F42" s="367">
        <f t="shared" ca="1" si="19"/>
        <v>0</v>
      </c>
      <c r="G42" s="367">
        <f t="shared" ca="1" si="20"/>
        <v>0</v>
      </c>
      <c r="I42" s="626"/>
    </row>
    <row r="43" spans="1:9" ht="30" customHeight="1" x14ac:dyDescent="0.2">
      <c r="A43" s="37" t="str">
        <f ca="1">INDIRECT("Datos!B"&amp;MATCH("RUBRO ITEM",Datos!B:B,0)+ROW()-MATCH("RUBRO ITEM",A:A,0)-1)</f>
        <v>4.4</v>
      </c>
      <c r="B43" s="364" t="str">
        <f t="shared" ca="1" si="21"/>
        <v>GPS diferencial</v>
      </c>
      <c r="C43" s="132" t="str">
        <f t="shared" ca="1" si="16"/>
        <v>UN.</v>
      </c>
      <c r="D43" s="365">
        <f t="shared" ca="1" si="17"/>
        <v>0</v>
      </c>
      <c r="E43" s="366" t="str">
        <f t="shared" ca="1" si="18"/>
        <v/>
      </c>
      <c r="F43" s="367">
        <f t="shared" ca="1" si="19"/>
        <v>0</v>
      </c>
      <c r="G43" s="367">
        <f t="shared" ca="1" si="20"/>
        <v>0</v>
      </c>
      <c r="I43" s="626"/>
    </row>
    <row r="44" spans="1:9" ht="30" customHeight="1" x14ac:dyDescent="0.2">
      <c r="A44" s="37" t="str">
        <f ca="1">INDIRECT("Datos!B"&amp;MATCH("RUBRO ITEM",Datos!B:B,0)+ROW()-MATCH("RUBRO ITEM",A:A,0)-1)</f>
        <v>4.5</v>
      </c>
      <c r="B44" s="364" t="str">
        <f t="shared" ca="1" si="21"/>
        <v>Nivel Óptico</v>
      </c>
      <c r="C44" s="132">
        <f t="shared" ca="1" si="16"/>
        <v>0</v>
      </c>
      <c r="D44" s="365">
        <f t="shared" ca="1" si="17"/>
        <v>0</v>
      </c>
      <c r="E44" s="366" t="str">
        <f t="shared" ca="1" si="18"/>
        <v/>
      </c>
      <c r="F44" s="367">
        <f t="shared" ca="1" si="19"/>
        <v>0</v>
      </c>
      <c r="G44" s="367">
        <f t="shared" ca="1" si="20"/>
        <v>0</v>
      </c>
      <c r="I44" s="626"/>
    </row>
    <row r="45" spans="1:9" ht="30" customHeight="1" x14ac:dyDescent="0.2">
      <c r="A45" s="37">
        <f ca="1">INDIRECT("Datos!B"&amp;MATCH("RUBRO ITEM",Datos!B:B,0)+ROW()-MATCH("RUBRO ITEM",A:A,0)-1)</f>
        <v>0</v>
      </c>
      <c r="B45" s="364" t="str">
        <f t="shared" ca="1" si="21"/>
        <v/>
      </c>
      <c r="C45" s="132" t="str">
        <f t="shared" ca="1" si="16"/>
        <v/>
      </c>
      <c r="D45" s="365" t="str">
        <f t="shared" ca="1" si="17"/>
        <v/>
      </c>
      <c r="E45" s="366" t="str">
        <f t="shared" ca="1" si="18"/>
        <v/>
      </c>
      <c r="F45" s="367">
        <f t="shared" ca="1" si="19"/>
        <v>0</v>
      </c>
      <c r="G45" s="367" t="e">
        <f t="shared" ca="1" si="20"/>
        <v>#VALUE!</v>
      </c>
      <c r="I45" s="626"/>
    </row>
    <row r="46" spans="1:9" ht="30" customHeight="1" x14ac:dyDescent="0.2">
      <c r="A46" s="37">
        <f ca="1">INDIRECT("Datos!B"&amp;MATCH("RUBRO ITEM",Datos!B:B,0)+ROW()-MATCH("RUBRO ITEM",A:A,0)-1)</f>
        <v>0</v>
      </c>
      <c r="B46" s="364" t="str">
        <f t="shared" ca="1" si="21"/>
        <v/>
      </c>
      <c r="C46" s="132" t="str">
        <f t="shared" ca="1" si="16"/>
        <v/>
      </c>
      <c r="D46" s="365" t="str">
        <f t="shared" ca="1" si="17"/>
        <v/>
      </c>
      <c r="E46" s="366" t="str">
        <f t="shared" ca="1" si="18"/>
        <v/>
      </c>
      <c r="F46" s="367">
        <f t="shared" ca="1" si="19"/>
        <v>0</v>
      </c>
      <c r="G46" s="367" t="e">
        <f t="shared" ca="1" si="20"/>
        <v>#VALUE!</v>
      </c>
      <c r="I46" s="626"/>
    </row>
    <row r="47" spans="1:9" ht="30" customHeight="1" x14ac:dyDescent="0.2">
      <c r="A47" s="37">
        <f ca="1">INDIRECT("Datos!B"&amp;MATCH("RUBRO ITEM",Datos!B:B,0)+ROW()-MATCH("RUBRO ITEM",A:A,0)-1)</f>
        <v>0</v>
      </c>
      <c r="B47" s="364" t="str">
        <f t="shared" ca="1" si="21"/>
        <v/>
      </c>
      <c r="C47" s="132" t="str">
        <f t="shared" ca="1" si="16"/>
        <v/>
      </c>
      <c r="D47" s="365" t="str">
        <f t="shared" ca="1" si="17"/>
        <v/>
      </c>
      <c r="E47" s="366" t="str">
        <f t="shared" ca="1" si="18"/>
        <v/>
      </c>
      <c r="F47" s="367">
        <f t="shared" ca="1" si="19"/>
        <v>0</v>
      </c>
      <c r="G47" s="367" t="e">
        <f t="shared" ca="1" si="20"/>
        <v>#VALUE!</v>
      </c>
      <c r="I47" s="626"/>
    </row>
    <row r="48" spans="1:9" ht="30" customHeight="1" x14ac:dyDescent="0.2">
      <c r="A48" s="37">
        <f ca="1">INDIRECT("Datos!B"&amp;MATCH("RUBRO ITEM",Datos!B:B,0)+ROW()-MATCH("RUBRO ITEM",A:A,0)-1)</f>
        <v>0</v>
      </c>
      <c r="B48" s="364" t="str">
        <f t="shared" ca="1" si="21"/>
        <v/>
      </c>
      <c r="C48" s="132" t="str">
        <f t="shared" ca="1" si="16"/>
        <v/>
      </c>
      <c r="D48" s="365" t="str">
        <f t="shared" ca="1" si="17"/>
        <v/>
      </c>
      <c r="E48" s="366" t="str">
        <f t="shared" ca="1" si="18"/>
        <v/>
      </c>
      <c r="F48" s="367">
        <f t="shared" ca="1" si="19"/>
        <v>0</v>
      </c>
      <c r="G48" s="367" t="e">
        <f t="shared" ca="1" si="20"/>
        <v>#VALUE!</v>
      </c>
      <c r="I48" s="626"/>
    </row>
    <row r="49" spans="1:9" ht="30" customHeight="1" x14ac:dyDescent="0.2">
      <c r="A49" s="37">
        <f ca="1">INDIRECT("Datos!B"&amp;MATCH("RUBRO ITEM",Datos!B:B,0)+ROW()-MATCH("RUBRO ITEM",A:A,0)-1)</f>
        <v>0</v>
      </c>
      <c r="B49" s="364" t="str">
        <f t="shared" ca="1" si="21"/>
        <v/>
      </c>
      <c r="C49" s="132" t="str">
        <f t="shared" ca="1" si="16"/>
        <v/>
      </c>
      <c r="D49" s="365" t="str">
        <f t="shared" ca="1" si="17"/>
        <v/>
      </c>
      <c r="E49" s="366" t="str">
        <f t="shared" ca="1" si="18"/>
        <v/>
      </c>
      <c r="F49" s="367">
        <f t="shared" ca="1" si="19"/>
        <v>0</v>
      </c>
      <c r="G49" s="367" t="e">
        <f t="shared" ca="1" si="20"/>
        <v>#VALUE!</v>
      </c>
      <c r="I49" s="626"/>
    </row>
    <row r="50" spans="1:9" ht="30" customHeight="1" x14ac:dyDescent="0.2">
      <c r="A50" s="37">
        <f ca="1">INDIRECT("Datos!B"&amp;MATCH("RUBRO ITEM",Datos!B:B,0)+ROW()-MATCH("RUBRO ITEM",A:A,0)-1)</f>
        <v>0</v>
      </c>
      <c r="B50" s="364" t="str">
        <f t="shared" ca="1" si="21"/>
        <v/>
      </c>
      <c r="C50" s="132" t="str">
        <f t="shared" ca="1" si="16"/>
        <v/>
      </c>
      <c r="D50" s="365" t="str">
        <f t="shared" ca="1" si="17"/>
        <v/>
      </c>
      <c r="E50" s="366" t="str">
        <f t="shared" ca="1" si="18"/>
        <v/>
      </c>
      <c r="F50" s="367">
        <f t="shared" ca="1" si="19"/>
        <v>0</v>
      </c>
      <c r="G50" s="367" t="e">
        <f t="shared" ca="1" si="20"/>
        <v>#VALUE!</v>
      </c>
      <c r="I50" s="626"/>
    </row>
    <row r="51" spans="1:9" ht="30" customHeight="1" x14ac:dyDescent="0.2">
      <c r="A51" s="37">
        <f ca="1">INDIRECT("Datos!B"&amp;MATCH("RUBRO ITEM",Datos!B:B,0)+ROW()-MATCH("RUBRO ITEM",A:A,0)-1)</f>
        <v>0</v>
      </c>
      <c r="B51" s="364" t="str">
        <f t="shared" ca="1" si="21"/>
        <v/>
      </c>
      <c r="C51" s="132" t="str">
        <f t="shared" ca="1" si="16"/>
        <v/>
      </c>
      <c r="D51" s="365" t="str">
        <f t="shared" ca="1" si="17"/>
        <v/>
      </c>
      <c r="E51" s="366" t="str">
        <f t="shared" ca="1" si="18"/>
        <v/>
      </c>
      <c r="F51" s="367">
        <f t="shared" ca="1" si="19"/>
        <v>0</v>
      </c>
      <c r="G51" s="367" t="e">
        <f t="shared" ca="1" si="20"/>
        <v>#VALUE!</v>
      </c>
      <c r="I51" s="626"/>
    </row>
    <row r="52" spans="1:9" ht="30" customHeight="1" x14ac:dyDescent="0.2">
      <c r="A52" s="37">
        <f ca="1">INDIRECT("Datos!B"&amp;MATCH("RUBRO ITEM",Datos!B:B,0)+ROW()-MATCH("RUBRO ITEM",A:A,0)-1)</f>
        <v>0</v>
      </c>
      <c r="B52" s="364" t="str">
        <f t="shared" ca="1" si="21"/>
        <v/>
      </c>
      <c r="C52" s="132" t="str">
        <f t="shared" ca="1" si="16"/>
        <v/>
      </c>
      <c r="D52" s="365" t="str">
        <f t="shared" ca="1" si="17"/>
        <v/>
      </c>
      <c r="E52" s="366" t="str">
        <f t="shared" ca="1" si="18"/>
        <v/>
      </c>
      <c r="F52" s="367">
        <f t="shared" ca="1" si="19"/>
        <v>0</v>
      </c>
      <c r="G52" s="367" t="e">
        <f t="shared" ca="1" si="20"/>
        <v>#VALUE!</v>
      </c>
      <c r="I52" s="626"/>
    </row>
    <row r="53" spans="1:9" ht="30" customHeight="1" x14ac:dyDescent="0.2">
      <c r="A53" s="37">
        <f ca="1">INDIRECT("Datos!B"&amp;MATCH("RUBRO ITEM",Datos!B:B,0)+ROW()-MATCH("RUBRO ITEM",A:A,0)-1)</f>
        <v>0</v>
      </c>
      <c r="B53" s="364" t="str">
        <f t="shared" ca="1" si="21"/>
        <v/>
      </c>
      <c r="C53" s="132" t="str">
        <f t="shared" ca="1" si="16"/>
        <v/>
      </c>
      <c r="D53" s="365" t="str">
        <f t="shared" ca="1" si="17"/>
        <v/>
      </c>
      <c r="E53" s="366" t="str">
        <f t="shared" ca="1" si="18"/>
        <v/>
      </c>
      <c r="F53" s="367">
        <f t="shared" ca="1" si="19"/>
        <v>0</v>
      </c>
      <c r="G53" s="367" t="e">
        <f t="shared" ca="1" si="20"/>
        <v>#VALUE!</v>
      </c>
      <c r="I53" s="626"/>
    </row>
    <row r="54" spans="1:9" ht="30" customHeight="1" x14ac:dyDescent="0.2">
      <c r="A54" s="37">
        <f ca="1">INDIRECT("Datos!B"&amp;MATCH("RUBRO ITEM",Datos!B:B,0)+ROW()-MATCH("RUBRO ITEM",A:A,0)-1)</f>
        <v>0</v>
      </c>
      <c r="B54" s="364" t="str">
        <f t="shared" ca="1" si="21"/>
        <v/>
      </c>
      <c r="C54" s="132" t="str">
        <f t="shared" ca="1" si="16"/>
        <v/>
      </c>
      <c r="D54" s="365" t="str">
        <f t="shared" ca="1" si="17"/>
        <v/>
      </c>
      <c r="E54" s="366" t="str">
        <f t="shared" ca="1" si="18"/>
        <v/>
      </c>
      <c r="F54" s="367">
        <f t="shared" ca="1" si="19"/>
        <v>0</v>
      </c>
      <c r="G54" s="367" t="e">
        <f t="shared" ca="1" si="20"/>
        <v>#VALUE!</v>
      </c>
      <c r="I54" s="626"/>
    </row>
    <row r="55" spans="1:9" ht="30" customHeight="1" x14ac:dyDescent="0.2">
      <c r="A55" s="37">
        <f ca="1">INDIRECT("Datos!B"&amp;MATCH("RUBRO ITEM",Datos!B:B,0)+ROW()-MATCH("RUBRO ITEM",A:A,0)-1)</f>
        <v>0</v>
      </c>
      <c r="B55" s="364" t="str">
        <f t="shared" ca="1" si="21"/>
        <v/>
      </c>
      <c r="C55" s="132" t="str">
        <f t="shared" ca="1" si="16"/>
        <v/>
      </c>
      <c r="D55" s="365" t="str">
        <f t="shared" ca="1" si="17"/>
        <v/>
      </c>
      <c r="E55" s="366" t="str">
        <f t="shared" ca="1" si="18"/>
        <v/>
      </c>
      <c r="F55" s="367">
        <f t="shared" ca="1" si="19"/>
        <v>0</v>
      </c>
      <c r="G55" s="367" t="e">
        <f t="shared" ca="1" si="20"/>
        <v>#VALUE!</v>
      </c>
      <c r="I55" s="626"/>
    </row>
    <row r="56" spans="1:9" ht="30" customHeight="1" x14ac:dyDescent="0.2">
      <c r="A56" s="37">
        <f ca="1">INDIRECT("Datos!B"&amp;MATCH("RUBRO ITEM",Datos!B:B,0)+ROW()-MATCH("RUBRO ITEM",A:A,0)-1)</f>
        <v>0</v>
      </c>
      <c r="B56" s="364" t="str">
        <f t="shared" ca="1" si="21"/>
        <v/>
      </c>
      <c r="C56" s="132" t="str">
        <f t="shared" ca="1" si="16"/>
        <v/>
      </c>
      <c r="D56" s="365" t="str">
        <f t="shared" ca="1" si="17"/>
        <v/>
      </c>
      <c r="E56" s="366" t="str">
        <f t="shared" ca="1" si="18"/>
        <v/>
      </c>
      <c r="F56" s="367">
        <f t="shared" ca="1" si="19"/>
        <v>0</v>
      </c>
      <c r="G56" s="367" t="e">
        <f t="shared" ca="1" si="20"/>
        <v>#VALUE!</v>
      </c>
      <c r="I56" s="626"/>
    </row>
    <row r="57" spans="1:9" ht="30" customHeight="1" x14ac:dyDescent="0.2">
      <c r="A57" s="37">
        <f ca="1">INDIRECT("Datos!B"&amp;MATCH("RUBRO ITEM",Datos!B:B,0)+ROW()-MATCH("RUBRO ITEM",A:A,0)-1)</f>
        <v>0</v>
      </c>
      <c r="B57" s="364" t="str">
        <f t="shared" ca="1" si="21"/>
        <v/>
      </c>
      <c r="C57" s="132" t="str">
        <f t="shared" ca="1" si="16"/>
        <v/>
      </c>
      <c r="D57" s="365" t="str">
        <f t="shared" ca="1" si="17"/>
        <v/>
      </c>
      <c r="E57" s="366" t="str">
        <f t="shared" ca="1" si="18"/>
        <v/>
      </c>
      <c r="F57" s="367">
        <f t="shared" ca="1" si="19"/>
        <v>0</v>
      </c>
      <c r="G57" s="367" t="e">
        <f t="shared" ca="1" si="20"/>
        <v>#VALUE!</v>
      </c>
      <c r="I57" s="626"/>
    </row>
    <row r="58" spans="1:9" ht="30" customHeight="1" x14ac:dyDescent="0.2">
      <c r="A58" s="37">
        <f ca="1">INDIRECT("Datos!B"&amp;MATCH("RUBRO ITEM",Datos!B:B,0)+ROW()-MATCH("RUBRO ITEM",A:A,0)-1)</f>
        <v>0</v>
      </c>
      <c r="B58" s="364" t="str">
        <f t="shared" ca="1" si="21"/>
        <v/>
      </c>
      <c r="C58" s="132" t="str">
        <f t="shared" ca="1" si="16"/>
        <v/>
      </c>
      <c r="D58" s="365" t="str">
        <f t="shared" ca="1" si="17"/>
        <v/>
      </c>
      <c r="E58" s="366" t="str">
        <f t="shared" ca="1" si="18"/>
        <v/>
      </c>
      <c r="F58" s="367">
        <f t="shared" ca="1" si="19"/>
        <v>0</v>
      </c>
      <c r="G58" s="367" t="e">
        <f t="shared" ca="1" si="20"/>
        <v>#VALUE!</v>
      </c>
      <c r="I58" s="626"/>
    </row>
    <row r="59" spans="1:9" ht="30" customHeight="1" x14ac:dyDescent="0.2">
      <c r="A59" s="37">
        <f ca="1">INDIRECT("Datos!B"&amp;MATCH("RUBRO ITEM",Datos!B:B,0)+ROW()-MATCH("RUBRO ITEM",A:A,0)-1)</f>
        <v>0</v>
      </c>
      <c r="B59" s="364" t="str">
        <f t="shared" ca="1" si="21"/>
        <v/>
      </c>
      <c r="C59" s="132" t="str">
        <f t="shared" ca="1" si="16"/>
        <v/>
      </c>
      <c r="D59" s="365" t="str">
        <f t="shared" ca="1" si="17"/>
        <v/>
      </c>
      <c r="E59" s="366" t="str">
        <f t="shared" ca="1" si="18"/>
        <v/>
      </c>
      <c r="F59" s="367">
        <f t="shared" ca="1" si="19"/>
        <v>0</v>
      </c>
      <c r="G59" s="367" t="e">
        <f t="shared" ca="1" si="20"/>
        <v>#VALUE!</v>
      </c>
      <c r="I59" s="626"/>
    </row>
    <row r="60" spans="1:9" ht="30" customHeight="1" x14ac:dyDescent="0.2">
      <c r="A60" s="37">
        <f ca="1">INDIRECT("Datos!B"&amp;MATCH("RUBRO ITEM",Datos!B:B,0)+ROW()-MATCH("RUBRO ITEM",A:A,0)-1)</f>
        <v>0</v>
      </c>
      <c r="B60" s="364" t="str">
        <f t="shared" ca="1" si="21"/>
        <v/>
      </c>
      <c r="C60" s="132" t="str">
        <f t="shared" ca="1" si="16"/>
        <v/>
      </c>
      <c r="D60" s="365" t="str">
        <f t="shared" ca="1" si="17"/>
        <v/>
      </c>
      <c r="E60" s="366" t="str">
        <f t="shared" ca="1" si="18"/>
        <v/>
      </c>
      <c r="F60" s="367">
        <f t="shared" ca="1" si="19"/>
        <v>0</v>
      </c>
      <c r="G60" s="367" t="e">
        <f t="shared" ca="1" si="20"/>
        <v>#VALUE!</v>
      </c>
      <c r="I60" s="626"/>
    </row>
    <row r="61" spans="1:9" ht="30" customHeight="1" x14ac:dyDescent="0.2">
      <c r="A61" s="37">
        <f ca="1">INDIRECT("Datos!B"&amp;MATCH("RUBRO ITEM",Datos!B:B,0)+ROW()-MATCH("RUBRO ITEM",A:A,0)-1)</f>
        <v>0</v>
      </c>
      <c r="B61" s="364" t="str">
        <f t="shared" ca="1" si="21"/>
        <v/>
      </c>
      <c r="C61" s="132" t="str">
        <f t="shared" ca="1" si="16"/>
        <v/>
      </c>
      <c r="D61" s="365" t="str">
        <f t="shared" ca="1" si="17"/>
        <v/>
      </c>
      <c r="E61" s="366" t="str">
        <f t="shared" ca="1" si="18"/>
        <v/>
      </c>
      <c r="F61" s="367">
        <f t="shared" ca="1" si="19"/>
        <v>0</v>
      </c>
      <c r="G61" s="367" t="e">
        <f t="shared" ca="1" si="20"/>
        <v>#VALUE!</v>
      </c>
      <c r="I61" s="626"/>
    </row>
    <row r="62" spans="1:9" ht="30" customHeight="1" x14ac:dyDescent="0.2">
      <c r="A62" s="37">
        <f ca="1">INDIRECT("Datos!B"&amp;MATCH("RUBRO ITEM",Datos!B:B,0)+ROW()-MATCH("RUBRO ITEM",A:A,0)-1)</f>
        <v>0</v>
      </c>
      <c r="B62" s="364" t="str">
        <f t="shared" ca="1" si="21"/>
        <v/>
      </c>
      <c r="C62" s="132" t="str">
        <f t="shared" ca="1" si="16"/>
        <v/>
      </c>
      <c r="D62" s="365" t="str">
        <f t="shared" ca="1" si="17"/>
        <v/>
      </c>
      <c r="E62" s="366" t="str">
        <f t="shared" ca="1" si="18"/>
        <v/>
      </c>
      <c r="F62" s="367">
        <f t="shared" ca="1" si="19"/>
        <v>0</v>
      </c>
      <c r="G62" s="367" t="e">
        <f t="shared" ca="1" si="20"/>
        <v>#VALUE!</v>
      </c>
      <c r="I62" s="626"/>
    </row>
    <row r="63" spans="1:9" ht="30" customHeight="1" x14ac:dyDescent="0.2">
      <c r="A63" s="37">
        <f ca="1">INDIRECT("Datos!B"&amp;MATCH("RUBRO ITEM",Datos!B:B,0)+ROW()-MATCH("RUBRO ITEM",A:A,0)-1)</f>
        <v>0</v>
      </c>
      <c r="B63" s="364" t="str">
        <f t="shared" ca="1" si="21"/>
        <v/>
      </c>
      <c r="C63" s="132" t="str">
        <f t="shared" ca="1" si="16"/>
        <v/>
      </c>
      <c r="D63" s="365" t="str">
        <f t="shared" ca="1" si="17"/>
        <v/>
      </c>
      <c r="E63" s="366" t="str">
        <f t="shared" ca="1" si="18"/>
        <v/>
      </c>
      <c r="F63" s="367">
        <f t="shared" ca="1" si="19"/>
        <v>0</v>
      </c>
      <c r="G63" s="367" t="e">
        <f t="shared" ca="1" si="20"/>
        <v>#VALUE!</v>
      </c>
      <c r="I63" s="626"/>
    </row>
    <row r="64" spans="1:9" ht="30" customHeight="1" x14ac:dyDescent="0.2">
      <c r="A64" s="37">
        <f ca="1">INDIRECT("Datos!B"&amp;MATCH("RUBRO ITEM",Datos!B:B,0)+ROW()-MATCH("RUBRO ITEM",A:A,0)-1)</f>
        <v>0</v>
      </c>
      <c r="B64" s="364" t="str">
        <f t="shared" ca="1" si="21"/>
        <v/>
      </c>
      <c r="C64" s="132" t="str">
        <f t="shared" ca="1" si="16"/>
        <v/>
      </c>
      <c r="D64" s="365" t="str">
        <f t="shared" ca="1" si="17"/>
        <v/>
      </c>
      <c r="E64" s="366" t="str">
        <f t="shared" ca="1" si="18"/>
        <v/>
      </c>
      <c r="F64" s="367">
        <f t="shared" ca="1" si="19"/>
        <v>0</v>
      </c>
      <c r="G64" s="367" t="e">
        <f t="shared" ca="1" si="20"/>
        <v>#VALUE!</v>
      </c>
      <c r="I64" s="626"/>
    </row>
    <row r="65" spans="1:9" ht="30" customHeight="1" x14ac:dyDescent="0.2">
      <c r="A65" s="37">
        <f ca="1">INDIRECT("Datos!B"&amp;MATCH("RUBRO ITEM",Datos!B:B,0)+ROW()-MATCH("RUBRO ITEM",A:A,0)-1)</f>
        <v>0</v>
      </c>
      <c r="B65" s="364" t="str">
        <f t="shared" ca="1" si="21"/>
        <v/>
      </c>
      <c r="C65" s="132" t="str">
        <f t="shared" ca="1" si="16"/>
        <v/>
      </c>
      <c r="D65" s="365" t="str">
        <f t="shared" ca="1" si="17"/>
        <v/>
      </c>
      <c r="E65" s="366" t="str">
        <f t="shared" ca="1" si="18"/>
        <v/>
      </c>
      <c r="F65" s="367">
        <f t="shared" ca="1" si="19"/>
        <v>0</v>
      </c>
      <c r="G65" s="367" t="e">
        <f t="shared" ca="1" si="20"/>
        <v>#VALUE!</v>
      </c>
      <c r="I65" s="626"/>
    </row>
    <row r="66" spans="1:9" ht="30" customHeight="1" x14ac:dyDescent="0.2">
      <c r="A66" s="37">
        <f ca="1">INDIRECT("Datos!B"&amp;MATCH("RUBRO ITEM",Datos!B:B,0)+ROW()-MATCH("RUBRO ITEM",A:A,0)-1)</f>
        <v>0</v>
      </c>
      <c r="B66" s="364" t="str">
        <f t="shared" ca="1" si="21"/>
        <v/>
      </c>
      <c r="C66" s="132" t="str">
        <f t="shared" ca="1" si="16"/>
        <v/>
      </c>
      <c r="D66" s="365" t="str">
        <f t="shared" ca="1" si="17"/>
        <v/>
      </c>
      <c r="E66" s="366" t="str">
        <f t="shared" ca="1" si="18"/>
        <v/>
      </c>
      <c r="F66" s="367">
        <f t="shared" ca="1" si="19"/>
        <v>0</v>
      </c>
      <c r="G66" s="367" t="e">
        <f t="shared" ca="1" si="20"/>
        <v>#VALUE!</v>
      </c>
      <c r="I66" s="626"/>
    </row>
    <row r="67" spans="1:9" ht="30" customHeight="1" x14ac:dyDescent="0.2">
      <c r="A67" s="37">
        <f ca="1">INDIRECT("Datos!B"&amp;MATCH("RUBRO ITEM",Datos!B:B,0)+ROW()-MATCH("RUBRO ITEM",A:A,0)-1)</f>
        <v>0</v>
      </c>
      <c r="B67" s="364" t="str">
        <f t="shared" ca="1" si="21"/>
        <v/>
      </c>
      <c r="C67" s="132" t="str">
        <f t="shared" ca="1" si="16"/>
        <v/>
      </c>
      <c r="D67" s="365" t="str">
        <f t="shared" ca="1" si="17"/>
        <v/>
      </c>
      <c r="E67" s="366" t="str">
        <f t="shared" ca="1" si="18"/>
        <v/>
      </c>
      <c r="F67" s="367">
        <f t="shared" ca="1" si="19"/>
        <v>0</v>
      </c>
      <c r="G67" s="367" t="e">
        <f t="shared" ca="1" si="20"/>
        <v>#VALUE!</v>
      </c>
      <c r="I67" s="626"/>
    </row>
    <row r="68" spans="1:9" ht="30" customHeight="1" x14ac:dyDescent="0.2">
      <c r="A68" s="37">
        <f ca="1">INDIRECT("Datos!B"&amp;MATCH("RUBRO ITEM",Datos!B:B,0)+ROW()-MATCH("RUBRO ITEM",A:A,0)-1)</f>
        <v>0</v>
      </c>
      <c r="B68" s="364" t="str">
        <f t="shared" ca="1" si="21"/>
        <v/>
      </c>
      <c r="C68" s="132" t="str">
        <f t="shared" ca="1" si="16"/>
        <v/>
      </c>
      <c r="D68" s="365" t="str">
        <f t="shared" ca="1" si="17"/>
        <v/>
      </c>
      <c r="E68" s="366" t="str">
        <f t="shared" ca="1" si="18"/>
        <v/>
      </c>
      <c r="F68" s="367">
        <f t="shared" ca="1" si="19"/>
        <v>0</v>
      </c>
      <c r="G68" s="367" t="e">
        <f t="shared" ca="1" si="20"/>
        <v>#VALUE!</v>
      </c>
      <c r="I68" s="626"/>
    </row>
    <row r="69" spans="1:9" ht="30" customHeight="1" x14ac:dyDescent="0.2">
      <c r="A69" s="37">
        <f ca="1">INDIRECT("Datos!B"&amp;MATCH("RUBRO ITEM",Datos!B:B,0)+ROW()-MATCH("RUBRO ITEM",A:A,0)-1)</f>
        <v>0</v>
      </c>
      <c r="B69" s="364" t="str">
        <f t="shared" ca="1" si="21"/>
        <v/>
      </c>
      <c r="C69" s="132" t="str">
        <f t="shared" ca="1" si="16"/>
        <v/>
      </c>
      <c r="D69" s="365" t="str">
        <f t="shared" ca="1" si="17"/>
        <v/>
      </c>
      <c r="E69" s="366" t="str">
        <f t="shared" ca="1" si="18"/>
        <v/>
      </c>
      <c r="F69" s="367">
        <f t="shared" ca="1" si="19"/>
        <v>0</v>
      </c>
      <c r="G69" s="367" t="e">
        <f t="shared" ca="1" si="20"/>
        <v>#VALUE!</v>
      </c>
      <c r="I69" s="626"/>
    </row>
    <row r="70" spans="1:9" ht="30" customHeight="1" x14ac:dyDescent="0.2">
      <c r="A70" s="37">
        <f ca="1">INDIRECT("Datos!B"&amp;MATCH("RUBRO ITEM",Datos!B:B,0)+ROW()-MATCH("RUBRO ITEM",A:A,0)-1)</f>
        <v>0</v>
      </c>
      <c r="B70" s="364" t="str">
        <f t="shared" ca="1" si="21"/>
        <v/>
      </c>
      <c r="C70" s="132" t="str">
        <f t="shared" ca="1" si="16"/>
        <v/>
      </c>
      <c r="D70" s="365" t="str">
        <f t="shared" ca="1" si="17"/>
        <v/>
      </c>
      <c r="E70" s="366" t="str">
        <f t="shared" ca="1" si="18"/>
        <v/>
      </c>
      <c r="F70" s="367">
        <f t="shared" ca="1" si="19"/>
        <v>0</v>
      </c>
      <c r="G70" s="367" t="e">
        <f t="shared" ca="1" si="20"/>
        <v>#VALUE!</v>
      </c>
      <c r="I70" s="626"/>
    </row>
    <row r="71" spans="1:9" ht="30" customHeight="1" x14ac:dyDescent="0.2">
      <c r="A71" s="37">
        <f ca="1">INDIRECT("Datos!B"&amp;MATCH("RUBRO ITEM",Datos!B:B,0)+ROW()-MATCH("RUBRO ITEM",A:A,0)-1)</f>
        <v>0</v>
      </c>
      <c r="B71" s="364" t="str">
        <f t="shared" ca="1" si="21"/>
        <v/>
      </c>
      <c r="C71" s="132" t="str">
        <f t="shared" ca="1" si="16"/>
        <v/>
      </c>
      <c r="D71" s="365" t="str">
        <f t="shared" ca="1" si="17"/>
        <v/>
      </c>
      <c r="E71" s="366" t="str">
        <f t="shared" ca="1" si="18"/>
        <v/>
      </c>
      <c r="F71" s="367">
        <f t="shared" ca="1" si="19"/>
        <v>0</v>
      </c>
      <c r="G71" s="367" t="e">
        <f t="shared" ca="1" si="20"/>
        <v>#VALUE!</v>
      </c>
      <c r="I71" s="626"/>
    </row>
    <row r="72" spans="1:9" ht="30" customHeight="1" x14ac:dyDescent="0.2">
      <c r="A72" s="37">
        <f ca="1">INDIRECT("Datos!B"&amp;MATCH("RUBRO ITEM",Datos!B:B,0)+ROW()-MATCH("RUBRO ITEM",A:A,0)-1)</f>
        <v>0</v>
      </c>
      <c r="B72" s="364" t="str">
        <f t="shared" ca="1" si="21"/>
        <v/>
      </c>
      <c r="C72" s="132" t="str">
        <f t="shared" ca="1" si="16"/>
        <v/>
      </c>
      <c r="D72" s="365" t="str">
        <f t="shared" ca="1" si="17"/>
        <v/>
      </c>
      <c r="E72" s="366" t="str">
        <f t="shared" ca="1" si="18"/>
        <v/>
      </c>
      <c r="F72" s="367">
        <f t="shared" ca="1" si="19"/>
        <v>0</v>
      </c>
      <c r="G72" s="367" t="e">
        <f t="shared" ca="1" si="20"/>
        <v>#VALUE!</v>
      </c>
      <c r="I72" s="626"/>
    </row>
    <row r="73" spans="1:9" ht="30" customHeight="1" x14ac:dyDescent="0.2">
      <c r="A73" s="37">
        <f ca="1">INDIRECT("Datos!B"&amp;MATCH("RUBRO ITEM",Datos!B:B,0)+ROW()-MATCH("RUBRO ITEM",A:A,0)-1)</f>
        <v>0</v>
      </c>
      <c r="B73" s="364" t="str">
        <f t="shared" ca="1" si="21"/>
        <v/>
      </c>
      <c r="C73" s="132" t="str">
        <f t="shared" ca="1" si="16"/>
        <v/>
      </c>
      <c r="D73" s="365" t="str">
        <f t="shared" ca="1" si="17"/>
        <v/>
      </c>
      <c r="E73" s="366" t="str">
        <f t="shared" ca="1" si="18"/>
        <v/>
      </c>
      <c r="F73" s="367">
        <f t="shared" ca="1" si="19"/>
        <v>0</v>
      </c>
      <c r="G73" s="367" t="e">
        <f t="shared" ca="1" si="20"/>
        <v>#VALUE!</v>
      </c>
      <c r="I73" s="626"/>
    </row>
    <row r="74" spans="1:9" ht="30" customHeight="1" x14ac:dyDescent="0.2">
      <c r="A74" s="37">
        <f ca="1">INDIRECT("Datos!B"&amp;MATCH("RUBRO ITEM",Datos!B:B,0)+ROW()-MATCH("RUBRO ITEM",A:A,0)-1)</f>
        <v>0</v>
      </c>
      <c r="B74" s="364" t="str">
        <f t="shared" ca="1" si="21"/>
        <v/>
      </c>
      <c r="C74" s="132" t="str">
        <f t="shared" ca="1" si="16"/>
        <v/>
      </c>
      <c r="D74" s="365" t="str">
        <f t="shared" ca="1" si="17"/>
        <v/>
      </c>
      <c r="E74" s="366" t="str">
        <f t="shared" ca="1" si="18"/>
        <v/>
      </c>
      <c r="F74" s="367">
        <f t="shared" ca="1" si="19"/>
        <v>0</v>
      </c>
      <c r="G74" s="367" t="e">
        <f t="shared" ca="1" si="20"/>
        <v>#VALUE!</v>
      </c>
      <c r="I74" s="626"/>
    </row>
    <row r="75" spans="1:9" ht="30" customHeight="1" x14ac:dyDescent="0.2">
      <c r="A75" s="37">
        <f ca="1">INDIRECT("Datos!B"&amp;MATCH("RUBRO ITEM",Datos!B:B,0)+ROW()-MATCH("RUBRO ITEM",A:A,0)-1)</f>
        <v>0</v>
      </c>
      <c r="B75" s="364" t="str">
        <f t="shared" ca="1" si="21"/>
        <v/>
      </c>
      <c r="C75" s="132" t="str">
        <f t="shared" ca="1" si="16"/>
        <v/>
      </c>
      <c r="D75" s="365" t="str">
        <f t="shared" ca="1" si="17"/>
        <v/>
      </c>
      <c r="E75" s="366" t="str">
        <f t="shared" ca="1" si="18"/>
        <v/>
      </c>
      <c r="F75" s="367">
        <f t="shared" ca="1" si="19"/>
        <v>0</v>
      </c>
      <c r="G75" s="367" t="e">
        <f t="shared" ca="1" si="20"/>
        <v>#VALUE!</v>
      </c>
      <c r="I75" s="626"/>
    </row>
    <row r="76" spans="1:9" ht="19.5" customHeight="1" x14ac:dyDescent="0.2">
      <c r="A76" s="372"/>
      <c r="B76" s="133"/>
      <c r="C76" s="134"/>
      <c r="D76" s="368"/>
      <c r="E76" s="369"/>
      <c r="F76" s="135"/>
      <c r="G76" s="373"/>
    </row>
    <row r="77" spans="1:9" ht="19.5" customHeight="1" x14ac:dyDescent="0.2">
      <c r="A77" s="372"/>
      <c r="B77" s="713" t="s">
        <v>961</v>
      </c>
      <c r="C77" s="713"/>
      <c r="D77" s="713"/>
      <c r="E77" s="713"/>
      <c r="F77" s="374"/>
      <c r="G77" s="136" t="e">
        <f ca="1">ROUND(SUM(G16:G76),2)</f>
        <v>#VALUE!</v>
      </c>
    </row>
    <row r="78" spans="1:9" ht="19.5" customHeight="1" x14ac:dyDescent="0.2">
      <c r="A78" s="137" t="s">
        <v>3</v>
      </c>
      <c r="F78" s="138"/>
    </row>
    <row r="79" spans="1:9" ht="37.5" customHeight="1" x14ac:dyDescent="0.2">
      <c r="A79" s="716" t="str">
        <f ca="1">IF(Monto_Oferta=0,"IMPORTA LA PRESENTE PROPUESTA EN LA SUMA DE: _____________________","IMPORTA LA PRESENTE PROPUESTA EN LA SUMA DE: "&amp;CONVERTIRNUM(Monto_Oferta))</f>
        <v>IMPORTA LA PRESENTE PROPUESTA EN LA SUMA DE: _____________________</v>
      </c>
      <c r="B79" s="716"/>
      <c r="C79" s="716"/>
      <c r="D79" s="716"/>
      <c r="E79" s="716"/>
      <c r="F79" s="716"/>
      <c r="G79" s="716"/>
    </row>
    <row r="80" spans="1:9" ht="19.5" customHeight="1" x14ac:dyDescent="0.2">
      <c r="A80" s="139"/>
    </row>
    <row r="81" spans="1:7" ht="19.5" customHeight="1" x14ac:dyDescent="0.2">
      <c r="B81" s="714" t="s">
        <v>964</v>
      </c>
      <c r="C81" s="714"/>
      <c r="D81" s="714"/>
      <c r="E81" s="714"/>
      <c r="F81" s="714"/>
      <c r="G81" s="714"/>
    </row>
    <row r="82" spans="1:7" ht="19.5" customHeight="1" x14ac:dyDescent="0.2">
      <c r="B82" s="714" t="s">
        <v>962</v>
      </c>
      <c r="C82" s="714"/>
      <c r="D82" s="714"/>
      <c r="E82" s="714"/>
      <c r="F82" s="714"/>
      <c r="G82" s="714"/>
    </row>
    <row r="83" spans="1:7" ht="19.5" customHeight="1" x14ac:dyDescent="0.2">
      <c r="B83" s="400"/>
      <c r="C83" s="400"/>
      <c r="D83" s="400"/>
      <c r="E83" s="400"/>
      <c r="F83" s="400"/>
      <c r="G83" s="400"/>
    </row>
    <row r="84" spans="1:7" ht="19.5" customHeight="1" x14ac:dyDescent="0.2">
      <c r="B84" s="400"/>
      <c r="C84" s="400"/>
      <c r="D84" s="400"/>
      <c r="E84" s="400"/>
      <c r="F84" s="400"/>
      <c r="G84" s="400"/>
    </row>
    <row r="85" spans="1:7" ht="19.5" customHeight="1" x14ac:dyDescent="0.2">
      <c r="B85" s="370" t="str">
        <f>"ACLARACIÓN DE LAS FIRMAS SIN ABREVIATURAS:                                               "&amp;Contratista_Firma1&amp;"                                                               "&amp;Contratista_Firma2</f>
        <v xml:space="preserve">ACLARACIÓN DE LAS FIRMAS SIN ABREVIATURAS:                                                                                                              </v>
      </c>
      <c r="C85" s="370"/>
      <c r="D85" s="371"/>
      <c r="E85" s="370"/>
      <c r="F85" s="371"/>
      <c r="G85" s="370"/>
    </row>
    <row r="86" spans="1:7" ht="19.5" customHeight="1" x14ac:dyDescent="0.2">
      <c r="D86" s="140">
        <v>0</v>
      </c>
      <c r="F86" s="140">
        <v>0</v>
      </c>
    </row>
    <row r="90" spans="1:7" ht="19.5" customHeight="1" x14ac:dyDescent="0.2">
      <c r="A90" s="141" t="str">
        <f xml:space="preserve"> "_____ que suscribe(n) ____________________  en su carácter de  ____________ "&amp;" declara(n) que ha(n) dado cumplimiento a lo establecido en la documentación correspondiente, ha examinado el terreno, terminos de referencia, Pliego de Condiciones " &amp; "relativas al relevamiento  indicado en el título y se compromete(n) a realizarlo en un todo de acuerdo con los mencionados documentos que aclara(n) conocer en todas sus partes, " &amp; "ofreciendo ejecutar el relevamiento correspondiente a los precios unitarios que consignan a continuación:"</f>
        <v>_____ que suscribe(n) ____________________  en su carácter de  ____________  declara(n) que ha(n) dado cumplimiento a lo establecido en la documentación correspondiente, ha examinado el terreno, terminos de referencia, Pliego de Condiciones relativas al relevamiento  indicado en el título y se compromete(n) a realizarlo en un todo de acuerdo con los mencionados documentos que aclara(n) conocer en todas sus partes, ofreciendo ejecutar el relevamiento correspondiente a los precios unitarios que consignan a continuación:</v>
      </c>
    </row>
    <row r="91" spans="1:7" ht="19.5" customHeight="1" x14ac:dyDescent="0.2">
      <c r="A91" s="141" t="s">
        <v>1965</v>
      </c>
    </row>
    <row r="92" spans="1:7" ht="19.5" customHeight="1" x14ac:dyDescent="0.2">
      <c r="A92" s="141" t="s">
        <v>963</v>
      </c>
    </row>
  </sheetData>
  <sheetProtection formatCells="0" selectLockedCells="1"/>
  <mergeCells count="17">
    <mergeCell ref="B77:E77"/>
    <mergeCell ref="B81:G81"/>
    <mergeCell ref="B82:G82"/>
    <mergeCell ref="B11:G11"/>
    <mergeCell ref="G13:G14"/>
    <mergeCell ref="A79:G79"/>
    <mergeCell ref="A1:G1"/>
    <mergeCell ref="A13:A14"/>
    <mergeCell ref="B13:B14"/>
    <mergeCell ref="C13:C14"/>
    <mergeCell ref="D13:D14"/>
    <mergeCell ref="E13:F13"/>
    <mergeCell ref="A2:G2"/>
    <mergeCell ref="A3:G3"/>
    <mergeCell ref="A4:G4"/>
    <mergeCell ref="A5:G5"/>
    <mergeCell ref="A6:G6"/>
  </mergeCells>
  <conditionalFormatting sqref="A16:A78">
    <cfRule type="expression" dxfId="135" priority="28" stopIfTrue="1">
      <formula>#REF!&gt;0</formula>
    </cfRule>
    <cfRule type="expression" dxfId="134" priority="29" stopIfTrue="1">
      <formula>#REF!&gt;0</formula>
    </cfRule>
    <cfRule type="expression" dxfId="133" priority="30" stopIfTrue="1">
      <formula>#REF!&gt;0</formula>
    </cfRule>
  </conditionalFormatting>
  <conditionalFormatting sqref="B76">
    <cfRule type="expression" dxfId="132" priority="31" stopIfTrue="1">
      <formula>#REF!&gt;0</formula>
    </cfRule>
    <cfRule type="expression" dxfId="131" priority="32" stopIfTrue="1">
      <formula>#REF!&gt;0</formula>
    </cfRule>
    <cfRule type="expression" dxfId="130" priority="33" stopIfTrue="1">
      <formula>#REF!&gt;0</formula>
    </cfRule>
  </conditionalFormatting>
  <conditionalFormatting sqref="B16:B75">
    <cfRule type="expression" dxfId="129" priority="1" stopIfTrue="1">
      <formula>#REF!&gt;0</formula>
    </cfRule>
    <cfRule type="expression" dxfId="128" priority="2" stopIfTrue="1">
      <formula>#REF!&gt;0</formula>
    </cfRule>
    <cfRule type="expression" dxfId="127" priority="3" stopIfTrue="1">
      <formula>#REF!&gt;0</formula>
    </cfRule>
  </conditionalFormatting>
  <pageMargins left="0.98425196850393704" right="0.59055118110236227" top="1.3779527559055118" bottom="1.1811023622047245" header="0.39370078740157483" footer="0.39370078740157483"/>
  <pageSetup paperSize="9" scale="36" fitToWidth="0" fitToHeight="0" orientation="portrait" r:id="rId1"/>
  <headerFooter>
    <oddHeader>&amp;C&amp;G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N60"/>
  <sheetViews>
    <sheetView showGridLines="0" showZeros="0" tabSelected="1" view="pageBreakPreview" zoomScaleNormal="90" zoomScaleSheetLayoutView="100" workbookViewId="0">
      <selection activeCell="B41" sqref="B41"/>
    </sheetView>
  </sheetViews>
  <sheetFormatPr baseColWidth="10" defaultColWidth="11.42578125" defaultRowHeight="12.75" x14ac:dyDescent="0.2"/>
  <cols>
    <col min="1" max="1" width="8.7109375" style="85" customWidth="1"/>
    <col min="2" max="3" width="30.7109375" style="85" customWidth="1"/>
    <col min="4" max="4" width="6.7109375" style="85" customWidth="1"/>
    <col min="5" max="5" width="15.28515625" style="85" customWidth="1"/>
    <col min="6" max="7" width="17.7109375" style="85" customWidth="1"/>
    <col min="8" max="8" width="22.7109375" style="85" customWidth="1"/>
    <col min="9" max="9" width="14.7109375" style="85" customWidth="1"/>
    <col min="10" max="10" width="6.42578125" style="85" customWidth="1"/>
    <col min="11" max="12" width="14.5703125" style="85" bestFit="1" customWidth="1"/>
    <col min="13" max="16384" width="11.42578125" style="85"/>
  </cols>
  <sheetData>
    <row r="1" spans="1:13" ht="20.100000000000001" customHeight="1" x14ac:dyDescent="0.2">
      <c r="A1" s="84" t="s">
        <v>8</v>
      </c>
      <c r="B1" s="84"/>
      <c r="C1" s="84" t="str">
        <f>Comitente</f>
        <v>DEPARTAMENTO DE HIDRAULICA</v>
      </c>
      <c r="D1" s="84"/>
      <c r="E1" s="84"/>
      <c r="F1" s="84"/>
      <c r="G1" s="84"/>
      <c r="I1" s="86"/>
    </row>
    <row r="2" spans="1:13" s="62" customFormat="1" ht="20.100000000000001" customHeight="1" x14ac:dyDescent="0.2">
      <c r="A2" s="87" t="s">
        <v>1951</v>
      </c>
      <c r="B2" s="87"/>
      <c r="C2" s="84" t="str">
        <f>Obra</f>
        <v>Encamisado Parcial del Canal de Calle América</v>
      </c>
      <c r="D2" s="88"/>
      <c r="E2" s="88"/>
      <c r="F2" s="88"/>
      <c r="G2" s="88"/>
      <c r="I2" s="88"/>
    </row>
    <row r="3" spans="1:13" s="62" customFormat="1" ht="20.100000000000001" customHeight="1" x14ac:dyDescent="0.2">
      <c r="A3" s="87" t="s">
        <v>13</v>
      </c>
      <c r="B3" s="87"/>
      <c r="C3" s="89" t="str">
        <f>Ubicación</f>
        <v>Departamento Rawson</v>
      </c>
      <c r="D3" s="89"/>
      <c r="E3" s="89"/>
      <c r="F3" s="89"/>
      <c r="G3" s="89"/>
      <c r="I3" s="89"/>
    </row>
    <row r="4" spans="1:13" s="62" customFormat="1" ht="20.100000000000001" customHeight="1" x14ac:dyDescent="0.2">
      <c r="A4" s="87" t="s">
        <v>1949</v>
      </c>
      <c r="B4" s="90"/>
      <c r="C4" s="91" t="str">
        <f>Licitación_N°</f>
        <v>___/2023</v>
      </c>
    </row>
    <row r="5" spans="1:13" s="62" customFormat="1" ht="20.100000000000001" customHeight="1" x14ac:dyDescent="0.2">
      <c r="A5" s="87" t="s">
        <v>30</v>
      </c>
      <c r="B5" s="90"/>
      <c r="C5" s="92" t="str">
        <f>Expediente_N°</f>
        <v>506-000095-2023</v>
      </c>
    </row>
    <row r="6" spans="1:13" s="62" customFormat="1" ht="20.100000000000001" customHeight="1" x14ac:dyDescent="0.2">
      <c r="A6" s="87" t="s">
        <v>15</v>
      </c>
      <c r="B6" s="90"/>
      <c r="C6" s="93">
        <f>+P_Oficial</f>
        <v>214031821.09720469</v>
      </c>
    </row>
    <row r="7" spans="1:13" s="62" customFormat="1" ht="20.100000000000001" customHeight="1" x14ac:dyDescent="0.2">
      <c r="A7" s="87" t="s">
        <v>891</v>
      </c>
      <c r="B7" s="90"/>
      <c r="C7" s="94">
        <f>Anticipo_Financiero</f>
        <v>0.3</v>
      </c>
    </row>
    <row r="8" spans="1:13" s="62" customFormat="1" ht="20.100000000000001" customHeight="1" x14ac:dyDescent="0.2">
      <c r="A8" s="87" t="s">
        <v>1955</v>
      </c>
      <c r="B8" s="90"/>
      <c r="C8" s="95" t="str">
        <f>Fecha_Base</f>
        <v>X/X/2023</v>
      </c>
    </row>
    <row r="9" spans="1:13" s="62" customFormat="1" ht="20.100000000000001" customHeight="1" x14ac:dyDescent="0.2">
      <c r="A9" s="87" t="s">
        <v>1950</v>
      </c>
      <c r="B9" s="90"/>
      <c r="C9" s="96">
        <f>Plazo_Obra</f>
        <v>150</v>
      </c>
    </row>
    <row r="10" spans="1:13" s="62" customFormat="1" ht="20.100000000000001" customHeight="1" x14ac:dyDescent="0.2">
      <c r="A10" s="87" t="s">
        <v>1952</v>
      </c>
      <c r="B10" s="90"/>
      <c r="C10" s="87">
        <f>Contratista</f>
        <v>0</v>
      </c>
    </row>
    <row r="11" spans="1:13" s="62" customFormat="1" ht="20.100000000000001" customHeight="1" x14ac:dyDescent="0.2">
      <c r="A11" s="87" t="s">
        <v>41</v>
      </c>
      <c r="B11" s="90"/>
      <c r="C11" s="97">
        <f ca="1">Monto_Oferta</f>
        <v>0</v>
      </c>
    </row>
    <row r="12" spans="1:13" ht="20.100000000000001" customHeight="1" x14ac:dyDescent="0.2"/>
    <row r="13" spans="1:13" ht="20.100000000000001" customHeight="1" x14ac:dyDescent="0.2">
      <c r="A13" s="98" t="s">
        <v>40</v>
      </c>
      <c r="B13" s="99"/>
      <c r="C13" s="99"/>
      <c r="D13" s="99"/>
      <c r="E13" s="99"/>
      <c r="F13" s="99"/>
      <c r="G13" s="99"/>
      <c r="H13" s="100"/>
      <c r="I13" s="101"/>
      <c r="M13" s="696"/>
    </row>
    <row r="14" spans="1:13" ht="20.100000000000001" customHeight="1" x14ac:dyDescent="0.2">
      <c r="L14" s="696"/>
    </row>
    <row r="15" spans="1:13" ht="42.75" customHeight="1" x14ac:dyDescent="0.2">
      <c r="A15" s="418" t="s">
        <v>892</v>
      </c>
      <c r="B15" s="717" t="s">
        <v>0</v>
      </c>
      <c r="C15" s="718"/>
      <c r="D15" s="418" t="s">
        <v>1</v>
      </c>
      <c r="E15" s="418" t="s">
        <v>2</v>
      </c>
      <c r="F15" s="416" t="s">
        <v>934</v>
      </c>
      <c r="G15" s="416" t="s">
        <v>935</v>
      </c>
      <c r="H15" s="416" t="s">
        <v>913</v>
      </c>
      <c r="I15" s="416" t="s">
        <v>11</v>
      </c>
    </row>
    <row r="16" spans="1:13" ht="20.100000000000001" customHeight="1" x14ac:dyDescent="0.2">
      <c r="A16" s="50"/>
      <c r="B16" s="407"/>
      <c r="C16" s="407"/>
      <c r="D16" s="50"/>
      <c r="E16" s="50"/>
      <c r="F16" s="407"/>
      <c r="G16" s="407"/>
      <c r="H16" s="53"/>
      <c r="I16" s="102"/>
    </row>
    <row r="17" spans="1:14" ht="20.100000000000001" customHeight="1" x14ac:dyDescent="0.2">
      <c r="A17" s="413">
        <f ca="1">INDIRECT("Datos!B"&amp;MATCH("RUBRO ITEM",Datos!B:B,0)+ROW()-MATCH("RUBRO ITEM",A:A,0))</f>
        <v>1</v>
      </c>
      <c r="B17" s="698" t="str">
        <f t="shared" ref="B17:B26" ca="1" si="0">IFERROR(VLOOKUP(A17,T_Datos,2,FALSE),"")</f>
        <v>PROYECTO EJECUTIVO</v>
      </c>
      <c r="C17" s="103"/>
      <c r="D17" s="104">
        <f t="shared" ref="D17:D26" ca="1" si="1">IFERROR(VLOOKUP(A17,T_Datos,3,FALSE),"")</f>
        <v>0</v>
      </c>
      <c r="E17" s="105">
        <f t="shared" ref="E17:E26" ca="1" si="2">IFERROR(VLOOKUP(A17,T_Datos,4,FALSE),0)</f>
        <v>0</v>
      </c>
      <c r="F17" s="106">
        <f t="shared" ref="F17" ca="1" si="3">IFERROR(VLOOKUP(A17,T_Analisis_Precios,7,FALSE),0)</f>
        <v>0</v>
      </c>
      <c r="G17" s="494"/>
      <c r="H17" s="494">
        <f ca="1">ROUND(E17*G17,2)</f>
        <v>0</v>
      </c>
      <c r="I17" s="107">
        <f t="shared" ref="I17" ca="1" si="4">IFERROR(H17/Monto_Oferta,0)</f>
        <v>0</v>
      </c>
    </row>
    <row r="18" spans="1:14" ht="20.100000000000001" customHeight="1" x14ac:dyDescent="0.2">
      <c r="A18" s="83" t="str">
        <f ca="1">INDIRECT("Datos!B"&amp;MATCH("RUBRO ITEM",Datos!B:B,0)+ROW()-MATCH("RUBRO ITEM",A:A,0))</f>
        <v>1.1</v>
      </c>
      <c r="B18" s="51" t="str">
        <f t="shared" ca="1" si="0"/>
        <v>Elaboración Proyecto Ejecutivo</v>
      </c>
      <c r="C18" s="103"/>
      <c r="D18" s="104" t="str">
        <f t="shared" ca="1" si="1"/>
        <v>Gl</v>
      </c>
      <c r="E18" s="105">
        <f t="shared" ca="1" si="2"/>
        <v>0</v>
      </c>
      <c r="F18" s="106">
        <f t="shared" ref="F18:F26" ca="1" si="5">IFERROR(VLOOKUP(A18,T_Analisis_Precios,7,FALSE),0)</f>
        <v>0</v>
      </c>
      <c r="G18" s="494">
        <f t="shared" ref="G18:G26" ca="1" si="6">ROUND(F18*Coeficiente_Paso,2)</f>
        <v>0</v>
      </c>
      <c r="H18" s="494">
        <f t="shared" ref="H18:H26" ca="1" si="7">ROUND(E18*G18,2)</f>
        <v>0</v>
      </c>
      <c r="I18" s="107">
        <f t="shared" ref="I18:I26" ca="1" si="8">IFERROR(H18/Monto_Oferta,0)</f>
        <v>0</v>
      </c>
    </row>
    <row r="19" spans="1:14" ht="20.100000000000001" customHeight="1" x14ac:dyDescent="0.2">
      <c r="A19" s="413">
        <f ca="1">INDIRECT("Datos!B"&amp;MATCH("RUBRO ITEM",Datos!B:B,0)+ROW()-MATCH("RUBRO ITEM",A:A,0))</f>
        <v>2</v>
      </c>
      <c r="B19" s="698" t="str">
        <f t="shared" ca="1" si="0"/>
        <v>CANAL AMÉRICA</v>
      </c>
      <c r="C19" s="103"/>
      <c r="D19" s="104">
        <f t="shared" ca="1" si="1"/>
        <v>0</v>
      </c>
      <c r="E19" s="105">
        <f ca="1">IFERROR(VLOOKUP(A19,T_Datos,4,FALSE),0)</f>
        <v>0</v>
      </c>
      <c r="F19" s="106">
        <f ca="1">IFERROR(VLOOKUP(A19,T_Analisis_Precios,7,FALSE),0)</f>
        <v>0</v>
      </c>
      <c r="G19" s="494">
        <f ca="1">ROUND(F19*Coeficiente_Paso,2)</f>
        <v>0</v>
      </c>
      <c r="H19" s="494">
        <f t="shared" ca="1" si="7"/>
        <v>0</v>
      </c>
      <c r="I19" s="107">
        <f t="shared" ca="1" si="8"/>
        <v>0</v>
      </c>
      <c r="K19" s="629"/>
      <c r="L19" s="621"/>
      <c r="N19" s="621"/>
    </row>
    <row r="20" spans="1:14" ht="20.100000000000001" customHeight="1" x14ac:dyDescent="0.2">
      <c r="A20" s="83" t="str">
        <f ca="1">INDIRECT("Datos!B"&amp;MATCH("RUBRO ITEM",Datos!B:B,0)+ROW()-MATCH("RUBRO ITEM",A:A,0))</f>
        <v>2.1</v>
      </c>
      <c r="B20" s="51" t="str">
        <f t="shared" ca="1" si="0"/>
        <v>Preparación y Limpieza del Terreno</v>
      </c>
      <c r="C20" s="103"/>
      <c r="D20" s="104" t="str">
        <f t="shared" ca="1" si="1"/>
        <v>Gl</v>
      </c>
      <c r="E20" s="105">
        <f t="shared" ca="1" si="2"/>
        <v>0</v>
      </c>
      <c r="F20" s="106">
        <f t="shared" ca="1" si="5"/>
        <v>0</v>
      </c>
      <c r="G20" s="494">
        <f t="shared" ca="1" si="6"/>
        <v>0</v>
      </c>
      <c r="H20" s="494">
        <f t="shared" ca="1" si="7"/>
        <v>0</v>
      </c>
      <c r="I20" s="107">
        <f t="shared" ca="1" si="8"/>
        <v>0</v>
      </c>
      <c r="K20" s="629"/>
    </row>
    <row r="21" spans="1:14" ht="20.100000000000001" customHeight="1" x14ac:dyDescent="0.2">
      <c r="A21" s="83" t="str">
        <f ca="1">INDIRECT("Datos!B"&amp;MATCH("RUBRO ITEM",Datos!B:B,0)+ROW()-MATCH("RUBRO ITEM",A:A,0))</f>
        <v>2.2</v>
      </c>
      <c r="B21" s="51" t="str">
        <f t="shared" ca="1" si="0"/>
        <v>Nivelación y Replanteo</v>
      </c>
      <c r="C21" s="103"/>
      <c r="D21" s="104" t="str">
        <f t="shared" ca="1" si="1"/>
        <v>Gl</v>
      </c>
      <c r="E21" s="105">
        <f t="shared" ca="1" si="2"/>
        <v>0</v>
      </c>
      <c r="F21" s="106">
        <f t="shared" ca="1" si="5"/>
        <v>0</v>
      </c>
      <c r="G21" s="494">
        <f t="shared" ca="1" si="6"/>
        <v>0</v>
      </c>
      <c r="H21" s="494">
        <f t="shared" ca="1" si="7"/>
        <v>0</v>
      </c>
      <c r="I21" s="107">
        <f t="shared" ca="1" si="8"/>
        <v>0</v>
      </c>
      <c r="K21" s="629"/>
    </row>
    <row r="22" spans="1:14" ht="20.100000000000001" customHeight="1" x14ac:dyDescent="0.2">
      <c r="A22" s="83" t="str">
        <f ca="1">INDIRECT("Datos!B"&amp;MATCH("RUBRO ITEM",Datos!B:B,0)+ROW()-MATCH("RUBRO ITEM",A:A,0))</f>
        <v>2.3</v>
      </c>
      <c r="B22" s="51" t="str">
        <f t="shared" ca="1" si="0"/>
        <v>Demolición de las Bocas del Sifón</v>
      </c>
      <c r="C22" s="103"/>
      <c r="D22" s="104" t="str">
        <f t="shared" ca="1" si="1"/>
        <v>Gl</v>
      </c>
      <c r="E22" s="105">
        <f t="shared" ca="1" si="2"/>
        <v>0</v>
      </c>
      <c r="F22" s="106">
        <f t="shared" ca="1" si="5"/>
        <v>0</v>
      </c>
      <c r="G22" s="494">
        <f t="shared" ca="1" si="6"/>
        <v>0</v>
      </c>
      <c r="H22" s="494">
        <f t="shared" ca="1" si="7"/>
        <v>0</v>
      </c>
      <c r="I22" s="107">
        <f t="shared" ca="1" si="8"/>
        <v>0</v>
      </c>
      <c r="K22" s="629"/>
    </row>
    <row r="23" spans="1:14" ht="20.100000000000001" customHeight="1" x14ac:dyDescent="0.2">
      <c r="A23" s="83" t="str">
        <f ca="1">INDIRECT("Datos!B"&amp;MATCH("RUBRO ITEM",Datos!B:B,0)+ROW()-MATCH("RUBRO ITEM",A:A,0))</f>
        <v>2.4</v>
      </c>
      <c r="B23" s="51" t="str">
        <f t="shared" ca="1" si="0"/>
        <v>Extracción de Membrana</v>
      </c>
      <c r="C23" s="103"/>
      <c r="D23" s="104" t="str">
        <f t="shared" ca="1" si="1"/>
        <v>ML</v>
      </c>
      <c r="E23" s="105">
        <f t="shared" ca="1" si="2"/>
        <v>0</v>
      </c>
      <c r="F23" s="106">
        <f t="shared" ca="1" si="5"/>
        <v>0</v>
      </c>
      <c r="G23" s="494">
        <f t="shared" ca="1" si="6"/>
        <v>0</v>
      </c>
      <c r="H23" s="494">
        <f t="shared" ca="1" si="7"/>
        <v>0</v>
      </c>
      <c r="I23" s="107">
        <f t="shared" ca="1" si="8"/>
        <v>0</v>
      </c>
      <c r="K23" s="629"/>
    </row>
    <row r="24" spans="1:14" ht="20.100000000000001" customHeight="1" x14ac:dyDescent="0.2">
      <c r="A24" s="83" t="str">
        <f ca="1">INDIRECT("Datos!B"&amp;MATCH("RUBRO ITEM",Datos!B:B,0)+ROW()-MATCH("RUBRO ITEM",A:A,0))</f>
        <v>2.5</v>
      </c>
      <c r="B24" s="51" t="str">
        <f t="shared" ca="1" si="0"/>
        <v>Relleno y Compactación con Cama de Asiento</v>
      </c>
      <c r="C24" s="103"/>
      <c r="D24" s="104" t="str">
        <f t="shared" ca="1" si="1"/>
        <v>M3</v>
      </c>
      <c r="E24" s="105">
        <f ca="1">IFERROR(VLOOKUP(A24,T_Datos,4,FALSE),0)</f>
        <v>0</v>
      </c>
      <c r="F24" s="106">
        <f t="shared" ca="1" si="5"/>
        <v>0</v>
      </c>
      <c r="G24" s="494">
        <f t="shared" ca="1" si="6"/>
        <v>0</v>
      </c>
      <c r="H24" s="494">
        <f t="shared" ca="1" si="7"/>
        <v>0</v>
      </c>
      <c r="I24" s="107">
        <f t="shared" ca="1" si="8"/>
        <v>0</v>
      </c>
      <c r="K24" s="629"/>
      <c r="L24" s="621"/>
      <c r="N24" s="621"/>
    </row>
    <row r="25" spans="1:14" ht="20.100000000000001" customHeight="1" x14ac:dyDescent="0.2">
      <c r="A25" s="83" t="str">
        <f ca="1">INDIRECT("Datos!B"&amp;MATCH("RUBRO ITEM",Datos!B:B,0)+ROW()-MATCH("RUBRO ITEM",A:A,0))</f>
        <v>2.6</v>
      </c>
      <c r="B25" s="51" t="str">
        <f t="shared" ca="1" si="0"/>
        <v>Excavación Caja del Canal</v>
      </c>
      <c r="C25" s="103"/>
      <c r="D25" s="104" t="str">
        <f t="shared" ca="1" si="1"/>
        <v>M3</v>
      </c>
      <c r="E25" s="105">
        <f t="shared" ca="1" si="2"/>
        <v>0</v>
      </c>
      <c r="F25" s="106">
        <f t="shared" ca="1" si="5"/>
        <v>0</v>
      </c>
      <c r="G25" s="494">
        <f t="shared" ca="1" si="6"/>
        <v>0</v>
      </c>
      <c r="H25" s="494">
        <f t="shared" ca="1" si="7"/>
        <v>0</v>
      </c>
      <c r="I25" s="107">
        <f t="shared" ca="1" si="8"/>
        <v>0</v>
      </c>
      <c r="K25" s="629"/>
    </row>
    <row r="26" spans="1:14" ht="20.100000000000001" customHeight="1" x14ac:dyDescent="0.2">
      <c r="A26" s="83" t="str">
        <f ca="1">INDIRECT("Datos!B"&amp;MATCH("RUBRO ITEM",Datos!B:B,0)+ROW()-MATCH("RUBRO ITEM",A:A,0))</f>
        <v>2.7</v>
      </c>
      <c r="B26" s="51" t="str">
        <f t="shared" ca="1" si="0"/>
        <v>Hormigón de Limpieza</v>
      </c>
      <c r="C26" s="103"/>
      <c r="D26" s="104" t="str">
        <f t="shared" ca="1" si="1"/>
        <v>M3</v>
      </c>
      <c r="E26" s="105">
        <f t="shared" ca="1" si="2"/>
        <v>0</v>
      </c>
      <c r="F26" s="106">
        <f t="shared" ca="1" si="5"/>
        <v>0</v>
      </c>
      <c r="G26" s="494">
        <f t="shared" ca="1" si="6"/>
        <v>0</v>
      </c>
      <c r="H26" s="494">
        <f t="shared" ca="1" si="7"/>
        <v>0</v>
      </c>
      <c r="I26" s="107">
        <f t="shared" ca="1" si="8"/>
        <v>0</v>
      </c>
      <c r="K26" s="629"/>
    </row>
    <row r="27" spans="1:14" ht="20.100000000000001" customHeight="1" x14ac:dyDescent="0.2">
      <c r="A27" s="83" t="str">
        <f ca="1">INDIRECT("Datos!B"&amp;MATCH("RUBRO ITEM",Datos!B:B,0)+ROW()-MATCH("RUBRO ITEM",A:A,0))</f>
        <v>2.8</v>
      </c>
      <c r="B27" s="51" t="str">
        <f t="shared" ref="B27:B35" ca="1" si="9">IFERROR(VLOOKUP(A27,T_Datos,2,FALSE),"")</f>
        <v>Hormigón H21</v>
      </c>
      <c r="C27" s="103"/>
      <c r="D27" s="104" t="str">
        <f t="shared" ref="D27:D35" ca="1" si="10">IFERROR(VLOOKUP(A27,T_Datos,3,FALSE),"")</f>
        <v>M3</v>
      </c>
      <c r="E27" s="105">
        <f t="shared" ref="E27:E35" ca="1" si="11">IFERROR(VLOOKUP(A27,T_Datos,4,FALSE),0)</f>
        <v>0</v>
      </c>
      <c r="F27" s="106">
        <f t="shared" ref="F27:F35" ca="1" si="12">IFERROR(VLOOKUP(A27,T_Analisis_Precios,7,FALSE),0)</f>
        <v>0</v>
      </c>
      <c r="G27" s="494">
        <f t="shared" ref="G27:G35" ca="1" si="13">ROUND(F27*Coeficiente_Paso,2)</f>
        <v>0</v>
      </c>
      <c r="H27" s="494">
        <f t="shared" ref="H27:H35" ca="1" si="14">ROUND(E27*G27,2)</f>
        <v>0</v>
      </c>
      <c r="I27" s="107">
        <f t="shared" ref="I27:I35" ca="1" si="15">IFERROR(H27/Monto_Oferta,0)</f>
        <v>0</v>
      </c>
      <c r="K27" s="629"/>
    </row>
    <row r="28" spans="1:14" ht="20.100000000000001" customHeight="1" x14ac:dyDescent="0.2">
      <c r="A28" s="83" t="str">
        <f ca="1">INDIRECT("Datos!B"&amp;MATCH("RUBRO ITEM",Datos!B:B,0)+ROW()-MATCH("RUBRO ITEM",A:A,0))</f>
        <v>2.9</v>
      </c>
      <c r="B28" s="51" t="str">
        <f t="shared" ca="1" si="9"/>
        <v>Armadura Colocada en Obra</v>
      </c>
      <c r="C28" s="103"/>
      <c r="D28" s="104" t="str">
        <f t="shared" ca="1" si="10"/>
        <v>KG</v>
      </c>
      <c r="E28" s="105">
        <f t="shared" ca="1" si="11"/>
        <v>0</v>
      </c>
      <c r="F28" s="106">
        <f t="shared" ca="1" si="12"/>
        <v>0</v>
      </c>
      <c r="G28" s="494">
        <f t="shared" ca="1" si="13"/>
        <v>0</v>
      </c>
      <c r="H28" s="494">
        <f t="shared" ca="1" si="14"/>
        <v>0</v>
      </c>
      <c r="I28" s="107">
        <f t="shared" ca="1" si="15"/>
        <v>0</v>
      </c>
      <c r="K28" s="629"/>
    </row>
    <row r="29" spans="1:14" ht="20.100000000000001" customHeight="1" x14ac:dyDescent="0.2">
      <c r="A29" s="83" t="str">
        <f ca="1">INDIRECT("Datos!B"&amp;MATCH("RUBRO ITEM",Datos!B:B,0)+ROW()-MATCH("RUBRO ITEM",A:A,0))</f>
        <v>2.10</v>
      </c>
      <c r="B29" s="51" t="str">
        <f t="shared" ca="1" si="9"/>
        <v>Juntas de Contracción y Dilatación</v>
      </c>
      <c r="C29" s="103"/>
      <c r="D29" s="104" t="str">
        <f t="shared" ca="1" si="10"/>
        <v>ML</v>
      </c>
      <c r="E29" s="105">
        <f t="shared" ca="1" si="11"/>
        <v>0</v>
      </c>
      <c r="F29" s="106">
        <f t="shared" ca="1" si="12"/>
        <v>0</v>
      </c>
      <c r="G29" s="494">
        <f t="shared" ca="1" si="13"/>
        <v>0</v>
      </c>
      <c r="H29" s="494">
        <f t="shared" ca="1" si="14"/>
        <v>0</v>
      </c>
      <c r="I29" s="107">
        <f t="shared" ca="1" si="15"/>
        <v>0</v>
      </c>
      <c r="K29" s="629"/>
    </row>
    <row r="30" spans="1:14" ht="20.100000000000001" customHeight="1" x14ac:dyDescent="0.2">
      <c r="A30" s="83" t="str">
        <f ca="1">INDIRECT("Datos!B"&amp;MATCH("RUBRO ITEM",Datos!B:B,0)+ROW()-MATCH("RUBRO ITEM",A:A,0))</f>
        <v>2.11</v>
      </c>
      <c r="B30" s="51" t="str">
        <f t="shared" ca="1" si="9"/>
        <v>Colocación de Membrana de 400 micrones</v>
      </c>
      <c r="C30" s="103"/>
      <c r="D30" s="104" t="str">
        <f t="shared" ca="1" si="10"/>
        <v>M2</v>
      </c>
      <c r="E30" s="105">
        <f t="shared" ca="1" si="11"/>
        <v>0</v>
      </c>
      <c r="F30" s="106">
        <f t="shared" ca="1" si="12"/>
        <v>0</v>
      </c>
      <c r="G30" s="494">
        <f t="shared" ca="1" si="13"/>
        <v>0</v>
      </c>
      <c r="H30" s="494">
        <f t="shared" ca="1" si="14"/>
        <v>0</v>
      </c>
      <c r="I30" s="107">
        <f t="shared" ca="1" si="15"/>
        <v>0</v>
      </c>
      <c r="K30" s="629"/>
    </row>
    <row r="31" spans="1:14" ht="20.100000000000001" customHeight="1" x14ac:dyDescent="0.2">
      <c r="A31" s="413">
        <f ca="1">INDIRECT("Datos!B"&amp;MATCH("RUBRO ITEM",Datos!B:B,0)+ROW()-MATCH("RUBRO ITEM",A:A,0))</f>
        <v>3</v>
      </c>
      <c r="B31" s="698" t="str">
        <f t="shared" ca="1" si="9"/>
        <v>PUENTES DE HORMIGÓN</v>
      </c>
      <c r="C31" s="103"/>
      <c r="D31" s="104">
        <f t="shared" ca="1" si="10"/>
        <v>0</v>
      </c>
      <c r="E31" s="105">
        <f t="shared" ca="1" si="11"/>
        <v>0</v>
      </c>
      <c r="F31" s="106">
        <f t="shared" ca="1" si="12"/>
        <v>0</v>
      </c>
      <c r="G31" s="494">
        <f t="shared" ca="1" si="13"/>
        <v>0</v>
      </c>
      <c r="H31" s="494">
        <f t="shared" ca="1" si="14"/>
        <v>0</v>
      </c>
      <c r="I31" s="107">
        <f t="shared" ca="1" si="15"/>
        <v>0</v>
      </c>
      <c r="K31" s="629"/>
    </row>
    <row r="32" spans="1:14" ht="20.100000000000001" customHeight="1" x14ac:dyDescent="0.2">
      <c r="A32" s="83" t="str">
        <f ca="1">INDIRECT("Datos!B"&amp;MATCH("RUBRO ITEM",Datos!B:B,0)+ROW()-MATCH("RUBRO ITEM",A:A,0))</f>
        <v>3.1</v>
      </c>
      <c r="B32" s="51" t="str">
        <f t="shared" ca="1" si="9"/>
        <v>Preparación y Limpieza del Terreno</v>
      </c>
      <c r="C32" s="103"/>
      <c r="D32" s="104" t="str">
        <f t="shared" ca="1" si="10"/>
        <v>Gl</v>
      </c>
      <c r="E32" s="105">
        <f t="shared" ca="1" si="11"/>
        <v>0</v>
      </c>
      <c r="F32" s="106">
        <f t="shared" ca="1" si="12"/>
        <v>0</v>
      </c>
      <c r="G32" s="494">
        <f t="shared" ca="1" si="13"/>
        <v>0</v>
      </c>
      <c r="H32" s="494">
        <f t="shared" ca="1" si="14"/>
        <v>0</v>
      </c>
      <c r="I32" s="107">
        <f t="shared" ca="1" si="15"/>
        <v>0</v>
      </c>
      <c r="K32" s="629"/>
    </row>
    <row r="33" spans="1:11" ht="20.100000000000001" customHeight="1" x14ac:dyDescent="0.2">
      <c r="A33" s="83" t="str">
        <f ca="1">INDIRECT("Datos!B"&amp;MATCH("RUBRO ITEM",Datos!B:B,0)+ROW()-MATCH("RUBRO ITEM",A:A,0))</f>
        <v>3.2</v>
      </c>
      <c r="B33" s="51" t="str">
        <f t="shared" ca="1" si="9"/>
        <v>Nivelación y Replanteo</v>
      </c>
      <c r="C33" s="103"/>
      <c r="D33" s="104" t="str">
        <f t="shared" ca="1" si="10"/>
        <v>Gl</v>
      </c>
      <c r="E33" s="105">
        <f t="shared" ca="1" si="11"/>
        <v>0</v>
      </c>
      <c r="F33" s="106">
        <f t="shared" ca="1" si="12"/>
        <v>0</v>
      </c>
      <c r="G33" s="494">
        <f t="shared" ca="1" si="13"/>
        <v>0</v>
      </c>
      <c r="H33" s="494">
        <f t="shared" ca="1" si="14"/>
        <v>0</v>
      </c>
      <c r="I33" s="107">
        <f t="shared" ca="1" si="15"/>
        <v>0</v>
      </c>
      <c r="K33" s="629"/>
    </row>
    <row r="34" spans="1:11" ht="20.100000000000001" customHeight="1" x14ac:dyDescent="0.2">
      <c r="A34" s="83" t="str">
        <f ca="1">INDIRECT("Datos!B"&amp;MATCH("RUBRO ITEM",Datos!B:B,0)+ROW()-MATCH("RUBRO ITEM",A:A,0))</f>
        <v>3.3</v>
      </c>
      <c r="B34" s="51" t="str">
        <f t="shared" ca="1" si="9"/>
        <v>Demolición de Puentes</v>
      </c>
      <c r="C34" s="103"/>
      <c r="D34" s="104" t="str">
        <f t="shared" ca="1" si="10"/>
        <v>Gl</v>
      </c>
      <c r="E34" s="105">
        <f t="shared" ca="1" si="11"/>
        <v>0</v>
      </c>
      <c r="F34" s="106">
        <f t="shared" ca="1" si="12"/>
        <v>0</v>
      </c>
      <c r="G34" s="494">
        <f t="shared" ca="1" si="13"/>
        <v>0</v>
      </c>
      <c r="H34" s="494">
        <f t="shared" ca="1" si="14"/>
        <v>0</v>
      </c>
      <c r="I34" s="107">
        <f t="shared" ca="1" si="15"/>
        <v>0</v>
      </c>
      <c r="K34" s="629"/>
    </row>
    <row r="35" spans="1:11" ht="20.100000000000001" customHeight="1" x14ac:dyDescent="0.2">
      <c r="A35" s="83" t="str">
        <f ca="1">INDIRECT("Datos!B"&amp;MATCH("RUBRO ITEM",Datos!B:B,0)+ROW()-MATCH("RUBRO ITEM",A:A,0))</f>
        <v>3.4</v>
      </c>
      <c r="B35" s="51" t="str">
        <f t="shared" ca="1" si="9"/>
        <v>Relleno y Compactación con Cama de Asiento</v>
      </c>
      <c r="C35" s="103"/>
      <c r="D35" s="104" t="str">
        <f t="shared" ca="1" si="10"/>
        <v>M3</v>
      </c>
      <c r="E35" s="105">
        <f t="shared" ca="1" si="11"/>
        <v>0</v>
      </c>
      <c r="F35" s="106">
        <f t="shared" ca="1" si="12"/>
        <v>0</v>
      </c>
      <c r="G35" s="494">
        <f t="shared" ca="1" si="13"/>
        <v>0</v>
      </c>
      <c r="H35" s="494">
        <f t="shared" ca="1" si="14"/>
        <v>0</v>
      </c>
      <c r="I35" s="107">
        <f t="shared" ca="1" si="15"/>
        <v>0</v>
      </c>
      <c r="K35" s="629"/>
    </row>
    <row r="36" spans="1:11" ht="20.100000000000001" customHeight="1" x14ac:dyDescent="0.2">
      <c r="A36" s="83" t="str">
        <f ca="1">INDIRECT("Datos!B"&amp;MATCH("RUBRO ITEM",Datos!B:B,0)+ROW()-MATCH("RUBRO ITEM",A:A,0))</f>
        <v>3.5</v>
      </c>
      <c r="B36" s="51" t="str">
        <f t="shared" ref="B36:B40" ca="1" si="16">IFERROR(VLOOKUP(A36,T_Datos,2,FALSE),"")</f>
        <v>Excavación Cimiento</v>
      </c>
      <c r="C36" s="103"/>
      <c r="D36" s="104" t="str">
        <f t="shared" ref="D36:D40" ca="1" si="17">IFERROR(VLOOKUP(A36,T_Datos,3,FALSE),"")</f>
        <v>M3</v>
      </c>
      <c r="E36" s="105">
        <f t="shared" ref="E36:E40" ca="1" si="18">IFERROR(VLOOKUP(A36,T_Datos,4,FALSE),0)</f>
        <v>0</v>
      </c>
      <c r="F36" s="106">
        <f t="shared" ref="F36:F40" ca="1" si="19">IFERROR(VLOOKUP(A36,T_Analisis_Precios,7,FALSE),0)</f>
        <v>0</v>
      </c>
      <c r="G36" s="494">
        <f t="shared" ref="G36:G40" ca="1" si="20">ROUND(F36*Coeficiente_Paso,2)</f>
        <v>0</v>
      </c>
      <c r="H36" s="494">
        <f t="shared" ref="H36:H40" ca="1" si="21">ROUND(E36*G36,2)</f>
        <v>0</v>
      </c>
      <c r="I36" s="107">
        <f t="shared" ref="I36:I40" ca="1" si="22">IFERROR(H36/Monto_Oferta,0)</f>
        <v>0</v>
      </c>
      <c r="K36" s="629"/>
    </row>
    <row r="37" spans="1:11" ht="20.100000000000001" customHeight="1" x14ac:dyDescent="0.2">
      <c r="A37" s="83" t="str">
        <f ca="1">INDIRECT("Datos!B"&amp;MATCH("RUBRO ITEM",Datos!B:B,0)+ROW()-MATCH("RUBRO ITEM",A:A,0))</f>
        <v>3.6</v>
      </c>
      <c r="B37" s="51" t="str">
        <f t="shared" ca="1" si="16"/>
        <v>Hormigón de Limpieza</v>
      </c>
      <c r="C37" s="103"/>
      <c r="D37" s="104" t="str">
        <f t="shared" ca="1" si="17"/>
        <v>M3</v>
      </c>
      <c r="E37" s="105">
        <f t="shared" ca="1" si="18"/>
        <v>0</v>
      </c>
      <c r="F37" s="106">
        <f t="shared" ca="1" si="19"/>
        <v>0</v>
      </c>
      <c r="G37" s="494">
        <f t="shared" ca="1" si="20"/>
        <v>0</v>
      </c>
      <c r="H37" s="494">
        <f t="shared" ca="1" si="21"/>
        <v>0</v>
      </c>
      <c r="I37" s="107">
        <f t="shared" ca="1" si="22"/>
        <v>0</v>
      </c>
      <c r="K37" s="629"/>
    </row>
    <row r="38" spans="1:11" ht="20.100000000000001" customHeight="1" x14ac:dyDescent="0.2">
      <c r="A38" s="83" t="str">
        <f ca="1">INDIRECT("Datos!B"&amp;MATCH("RUBRO ITEM",Datos!B:B,0)+ROW()-MATCH("RUBRO ITEM",A:A,0))</f>
        <v>3.7</v>
      </c>
      <c r="B38" s="51" t="str">
        <f t="shared" ca="1" si="16"/>
        <v>Hormigón H21</v>
      </c>
      <c r="C38" s="103"/>
      <c r="D38" s="104" t="str">
        <f t="shared" ca="1" si="17"/>
        <v>M3</v>
      </c>
      <c r="E38" s="105">
        <f t="shared" ca="1" si="18"/>
        <v>0</v>
      </c>
      <c r="F38" s="106">
        <f t="shared" ca="1" si="19"/>
        <v>0</v>
      </c>
      <c r="G38" s="494">
        <f t="shared" ca="1" si="20"/>
        <v>0</v>
      </c>
      <c r="H38" s="494">
        <f t="shared" ca="1" si="21"/>
        <v>0</v>
      </c>
      <c r="I38" s="107">
        <f t="shared" ca="1" si="22"/>
        <v>0</v>
      </c>
      <c r="K38" s="629"/>
    </row>
    <row r="39" spans="1:11" ht="20.100000000000001" customHeight="1" x14ac:dyDescent="0.2">
      <c r="A39" s="83" t="str">
        <f ca="1">INDIRECT("Datos!B"&amp;MATCH("RUBRO ITEM",Datos!B:B,0)+ROW()-MATCH("RUBRO ITEM",A:A,0))</f>
        <v>3.8</v>
      </c>
      <c r="B39" s="51" t="str">
        <f t="shared" ca="1" si="16"/>
        <v>Armadura Colocada en Obra</v>
      </c>
      <c r="C39" s="103"/>
      <c r="D39" s="104" t="str">
        <f t="shared" ca="1" si="17"/>
        <v>KG</v>
      </c>
      <c r="E39" s="105">
        <f t="shared" ca="1" si="18"/>
        <v>0</v>
      </c>
      <c r="F39" s="106">
        <f t="shared" ca="1" si="19"/>
        <v>0</v>
      </c>
      <c r="G39" s="494">
        <f t="shared" ca="1" si="20"/>
        <v>0</v>
      </c>
      <c r="H39" s="494">
        <f t="shared" ca="1" si="21"/>
        <v>0</v>
      </c>
      <c r="I39" s="107">
        <f t="shared" ca="1" si="22"/>
        <v>0</v>
      </c>
      <c r="K39" s="629"/>
    </row>
    <row r="40" spans="1:11" ht="20.100000000000001" customHeight="1" x14ac:dyDescent="0.2">
      <c r="A40" s="83">
        <f ca="1">INDIRECT("Datos!B"&amp;MATCH("RUBRO ITEM",Datos!B:B,0)+ROW()-MATCH("RUBRO ITEM",A:A,0))</f>
        <v>4</v>
      </c>
      <c r="B40" s="698" t="str">
        <f t="shared" ca="1" si="16"/>
        <v>FORTALECIMIENTO INSTITUCIONAL</v>
      </c>
      <c r="C40" s="103"/>
      <c r="D40" s="104">
        <f t="shared" ca="1" si="17"/>
        <v>0</v>
      </c>
      <c r="E40" s="105">
        <f t="shared" ca="1" si="18"/>
        <v>0</v>
      </c>
      <c r="F40" s="106">
        <f t="shared" ca="1" si="19"/>
        <v>0</v>
      </c>
      <c r="G40" s="494">
        <f t="shared" ca="1" si="20"/>
        <v>0</v>
      </c>
      <c r="H40" s="494">
        <f t="shared" ca="1" si="21"/>
        <v>0</v>
      </c>
      <c r="I40" s="107">
        <f t="shared" ca="1" si="22"/>
        <v>0</v>
      </c>
      <c r="K40" s="629"/>
    </row>
    <row r="41" spans="1:11" ht="20.100000000000001" customHeight="1" x14ac:dyDescent="0.2">
      <c r="A41" s="83" t="str">
        <f ca="1">INDIRECT("Datos!B"&amp;MATCH("RUBRO ITEM",Datos!B:B,0)+ROW()-MATCH("RUBRO ITEM",A:A,0))</f>
        <v>4.1</v>
      </c>
      <c r="B41" s="51" t="str">
        <f t="shared" ref="B41:B45" ca="1" si="23">IFERROR(VLOOKUP(A41,T_Datos,2,FALSE),"")</f>
        <v>Camioneta 0 km.</v>
      </c>
      <c r="C41" s="103"/>
      <c r="D41" s="104" t="str">
        <f t="shared" ref="D41:D45" ca="1" si="24">IFERROR(VLOOKUP(A41,T_Datos,3,FALSE),"")</f>
        <v>UN.</v>
      </c>
      <c r="E41" s="105"/>
      <c r="F41" s="700"/>
      <c r="G41" s="701"/>
      <c r="H41" s="494"/>
      <c r="I41" s="107"/>
      <c r="K41" s="629"/>
    </row>
    <row r="42" spans="1:11" ht="20.100000000000001" customHeight="1" x14ac:dyDescent="0.2">
      <c r="A42" s="83" t="str">
        <f ca="1">INDIRECT("Datos!B"&amp;MATCH("RUBRO ITEM",Datos!B:B,0)+ROW()-MATCH("RUBRO ITEM",A:A,0))</f>
        <v>4.2</v>
      </c>
      <c r="B42" s="51" t="str">
        <f t="shared" ca="1" si="23"/>
        <v xml:space="preserve">Equipo de computación PC Core I7 10400 16gb RAM 240 Ssd + 2TR HD, con Monitor 24 W10 LISTA PARA USAR CON ANTIVIRUS con teclado y mouse inalámbrico. </v>
      </c>
      <c r="C42" s="103"/>
      <c r="D42" s="104" t="str">
        <f t="shared" ca="1" si="24"/>
        <v>UN.</v>
      </c>
      <c r="E42" s="105"/>
      <c r="F42" s="700"/>
      <c r="G42" s="701"/>
      <c r="H42" s="494"/>
      <c r="I42" s="107"/>
      <c r="K42" s="629"/>
    </row>
    <row r="43" spans="1:11" ht="20.100000000000001" customHeight="1" x14ac:dyDescent="0.2">
      <c r="A43" s="83" t="str">
        <f ca="1">INDIRECT("Datos!B"&amp;MATCH("RUBRO ITEM",Datos!B:B,0)+ROW()-MATCH("RUBRO ITEM",A:A,0))</f>
        <v>4.3</v>
      </c>
      <c r="B43" s="51" t="str">
        <f t="shared" ca="1" si="23"/>
        <v>Dron</v>
      </c>
      <c r="C43" s="103"/>
      <c r="D43" s="104" t="str">
        <f t="shared" ca="1" si="24"/>
        <v>UN.</v>
      </c>
      <c r="E43" s="105"/>
      <c r="F43" s="700"/>
      <c r="G43" s="701"/>
      <c r="H43" s="494"/>
      <c r="I43" s="107"/>
      <c r="K43" s="629"/>
    </row>
    <row r="44" spans="1:11" ht="20.100000000000001" customHeight="1" x14ac:dyDescent="0.2">
      <c r="A44" s="83" t="str">
        <f ca="1">INDIRECT("Datos!B"&amp;MATCH("RUBRO ITEM",Datos!B:B,0)+ROW()-MATCH("RUBRO ITEM",A:A,0))</f>
        <v>4.4</v>
      </c>
      <c r="B44" s="51" t="str">
        <f t="shared" ca="1" si="23"/>
        <v>GPS diferencial</v>
      </c>
      <c r="C44" s="103"/>
      <c r="D44" s="104" t="str">
        <f t="shared" ca="1" si="24"/>
        <v>UN.</v>
      </c>
      <c r="E44" s="105"/>
      <c r="F44" s="700"/>
      <c r="G44" s="701"/>
      <c r="H44" s="494"/>
      <c r="I44" s="107"/>
      <c r="K44" s="629"/>
    </row>
    <row r="45" spans="1:11" ht="20.100000000000001" customHeight="1" x14ac:dyDescent="0.2">
      <c r="A45" s="83" t="str">
        <f ca="1">INDIRECT("Datos!B"&amp;MATCH("RUBRO ITEM",Datos!B:B,0)+ROW()-MATCH("RUBRO ITEM",A:A,0))</f>
        <v>4.5</v>
      </c>
      <c r="B45" s="51" t="str">
        <f t="shared" ca="1" si="23"/>
        <v>Nivel Óptico</v>
      </c>
      <c r="C45" s="103"/>
      <c r="D45" s="104">
        <f t="shared" ca="1" si="24"/>
        <v>0</v>
      </c>
      <c r="E45" s="105"/>
      <c r="F45" s="700"/>
      <c r="G45" s="701"/>
      <c r="H45" s="494"/>
      <c r="I45" s="107"/>
      <c r="K45" s="629"/>
    </row>
    <row r="46" spans="1:11" ht="20.100000000000001" customHeight="1" x14ac:dyDescent="0.2">
      <c r="A46" s="495" t="s">
        <v>3</v>
      </c>
      <c r="B46" s="405" t="s">
        <v>1705</v>
      </c>
      <c r="C46" s="108"/>
      <c r="D46" s="108"/>
      <c r="E46" s="414" t="s">
        <v>940</v>
      </c>
      <c r="F46" s="406"/>
      <c r="G46" s="415">
        <v>0</v>
      </c>
      <c r="H46" s="329">
        <f ca="1">SUM(H17:H40)</f>
        <v>0</v>
      </c>
      <c r="I46" s="329">
        <f ca="1">SUM(I17:I40)</f>
        <v>0</v>
      </c>
      <c r="K46" s="629"/>
    </row>
    <row r="47" spans="1:11" ht="20.100000000000001" customHeight="1" x14ac:dyDescent="0.2">
      <c r="A47" s="53"/>
      <c r="B47" s="53"/>
      <c r="C47" s="53"/>
      <c r="D47" s="53"/>
      <c r="E47" s="53"/>
      <c r="F47" s="53"/>
      <c r="G47" s="496"/>
      <c r="H47" s="53"/>
      <c r="K47" s="629"/>
    </row>
    <row r="48" spans="1:11" ht="20.100000000000001" customHeight="1" x14ac:dyDescent="0.2">
      <c r="A48" s="456" t="s">
        <v>893</v>
      </c>
      <c r="B48" s="457" t="s">
        <v>1717</v>
      </c>
      <c r="C48" s="457"/>
      <c r="D48" s="458"/>
      <c r="E48" s="497"/>
      <c r="F48" s="459"/>
      <c r="G48" s="497"/>
      <c r="H48" s="460">
        <f ca="1">ROUND(Monto_Oferta/Coeficiente_Paso,2)</f>
        <v>0</v>
      </c>
      <c r="I48" s="109"/>
      <c r="K48" s="629"/>
    </row>
    <row r="49" spans="1:14" ht="20.100000000000001" customHeight="1" x14ac:dyDescent="0.2">
      <c r="A49" s="461" t="s">
        <v>894</v>
      </c>
      <c r="B49" s="113" t="str">
        <f>"COSTO FINANCIERO  "&amp;ROUND(Costo_Financiero*100,2)&amp;" % de ( 1 )"</f>
        <v>COSTO FINANCIERO  0 % de ( 1 )</v>
      </c>
      <c r="C49" s="113"/>
      <c r="D49" s="462"/>
      <c r="E49" s="498">
        <f>Costo_Financiero</f>
        <v>0</v>
      </c>
      <c r="F49" s="52"/>
      <c r="G49" s="53"/>
      <c r="H49" s="463">
        <f ca="1">ROUND(H48*Costo_Financiero,2)</f>
        <v>0</v>
      </c>
      <c r="I49" s="109"/>
      <c r="K49" s="629"/>
    </row>
    <row r="50" spans="1:14" ht="20.100000000000001" customHeight="1" x14ac:dyDescent="0.2">
      <c r="A50" s="461" t="s">
        <v>895</v>
      </c>
      <c r="B50" s="113" t="s">
        <v>1718</v>
      </c>
      <c r="C50" s="113"/>
      <c r="D50" s="462"/>
      <c r="E50" s="53"/>
      <c r="F50" s="52"/>
      <c r="G50" s="53"/>
      <c r="H50" s="463">
        <f ca="1">H48+H49</f>
        <v>0</v>
      </c>
      <c r="I50" s="109"/>
      <c r="K50" s="629"/>
    </row>
    <row r="51" spans="1:14" ht="20.100000000000001" customHeight="1" x14ac:dyDescent="0.2">
      <c r="A51" s="461" t="s">
        <v>896</v>
      </c>
      <c r="B51" s="110" t="str">
        <f>CONCATENATE("GASTOS GENERALES  ",ROUND(Gasto_Generales_Porcentaje,3)," % de ( 3 )")</f>
        <v>GASTOS GENERALES  0 % de ( 3 )</v>
      </c>
      <c r="C51" s="110"/>
      <c r="D51" s="111"/>
      <c r="E51" s="498">
        <f>Gasto_Generales_Porcentaje</f>
        <v>0</v>
      </c>
      <c r="F51" s="52"/>
      <c r="G51" s="53"/>
      <c r="H51" s="463">
        <f ca="1">ROUND(H50*E51,2)</f>
        <v>0</v>
      </c>
      <c r="I51" s="111"/>
      <c r="K51" s="629"/>
    </row>
    <row r="52" spans="1:14" ht="20.100000000000001" customHeight="1" x14ac:dyDescent="0.2">
      <c r="A52" s="461" t="s">
        <v>897</v>
      </c>
      <c r="B52" s="110" t="str">
        <f>CONCATENATE("BENEFICIOS  ",ROUND(Beneficio*100,2)," % de ( 3 )")</f>
        <v>BENEFICIOS  0 % de ( 3 )</v>
      </c>
      <c r="C52" s="110"/>
      <c r="D52" s="111"/>
      <c r="E52" s="498">
        <f>Beneficio</f>
        <v>0</v>
      </c>
      <c r="F52" s="52"/>
      <c r="G52" s="53"/>
      <c r="H52" s="463">
        <f ca="1">ROUND(H50*Beneficio,2)</f>
        <v>0</v>
      </c>
      <c r="I52" s="111"/>
      <c r="K52" s="629"/>
    </row>
    <row r="53" spans="1:14" ht="20.100000000000001" customHeight="1" x14ac:dyDescent="0.2">
      <c r="A53" s="461">
        <v>6</v>
      </c>
      <c r="B53" s="113" t="s">
        <v>1719</v>
      </c>
      <c r="C53" s="113"/>
      <c r="D53" s="111"/>
      <c r="E53" s="53"/>
      <c r="F53" s="52"/>
      <c r="G53" s="53"/>
      <c r="H53" s="463">
        <f ca="1">H50+H51+H52</f>
        <v>0</v>
      </c>
      <c r="I53" s="111"/>
      <c r="K53" s="629"/>
    </row>
    <row r="54" spans="1:14" ht="20.100000000000001" customHeight="1" x14ac:dyDescent="0.2">
      <c r="A54" s="461" t="s">
        <v>1720</v>
      </c>
      <c r="B54" s="110" t="str">
        <f>CONCATENATE("INGRESOS BRUTOS Y LOTE HOGAR  ",ROUND(Ingresos_Brutos*100,2)," % de ( 6 )")</f>
        <v>INGRESOS BRUTOS Y LOTE HOGAR  0 % de ( 6 )</v>
      </c>
      <c r="C54" s="110"/>
      <c r="D54" s="111"/>
      <c r="E54" s="498">
        <f>Ingresos_Brutos</f>
        <v>0</v>
      </c>
      <c r="F54" s="52"/>
      <c r="G54" s="53"/>
      <c r="H54" s="463">
        <f ca="1">ROUND(Ingresos_Brutos*H53,2)</f>
        <v>0</v>
      </c>
      <c r="I54" s="111"/>
      <c r="K54" s="629"/>
    </row>
    <row r="55" spans="1:14" ht="20.100000000000001" customHeight="1" x14ac:dyDescent="0.2">
      <c r="A55" s="464" t="s">
        <v>1721</v>
      </c>
      <c r="B55" s="465" t="str">
        <f>CONCATENATE("IMPUESTO AL VALOR AGREGADO ",IVA*100," % de ( 6 )")</f>
        <v>IMPUESTO AL VALOR AGREGADO 0 % de ( 6 )</v>
      </c>
      <c r="C55" s="465"/>
      <c r="D55" s="466"/>
      <c r="E55" s="499">
        <f>IVA</f>
        <v>0</v>
      </c>
      <c r="F55" s="467"/>
      <c r="G55" s="500"/>
      <c r="H55" s="468">
        <f ca="1">ROUND(IVA*H53,2)</f>
        <v>0</v>
      </c>
      <c r="I55" s="111"/>
    </row>
    <row r="56" spans="1:14" ht="20.100000000000001" customHeight="1" x14ac:dyDescent="0.2">
      <c r="A56" s="114"/>
      <c r="B56" s="110"/>
      <c r="C56" s="110"/>
      <c r="D56" s="111"/>
      <c r="E56" s="112"/>
      <c r="F56" s="52"/>
      <c r="H56" s="115"/>
      <c r="I56" s="111"/>
    </row>
    <row r="57" spans="1:14" ht="20.100000000000001" customHeight="1" x14ac:dyDescent="0.2">
      <c r="A57" s="116"/>
      <c r="B57" s="116" t="s">
        <v>1722</v>
      </c>
      <c r="C57" s="116"/>
      <c r="D57" s="111"/>
      <c r="F57" s="52"/>
      <c r="H57" s="501">
        <f ca="1">Monto_Oferta</f>
        <v>0</v>
      </c>
      <c r="I57" s="111"/>
      <c r="J57" s="621"/>
      <c r="K57" s="629"/>
      <c r="L57" s="629"/>
      <c r="N57" s="621"/>
    </row>
    <row r="58" spans="1:14" ht="20.100000000000001" customHeight="1" x14ac:dyDescent="0.2">
      <c r="I58" s="117"/>
    </row>
    <row r="59" spans="1:14" ht="60" customHeight="1" x14ac:dyDescent="0.2">
      <c r="A59" s="719" t="str">
        <f ca="1">"El presente presupuesto asciende a la suma de: " &amp; UPPER(CONVERTIRNUM(Monto_Oferta))</f>
        <v>El presente presupuesto asciende a la suma de: CERO PESOS CON 00/100</v>
      </c>
      <c r="B59" s="719"/>
      <c r="C59" s="719"/>
      <c r="D59" s="719"/>
      <c r="E59" s="719"/>
      <c r="F59" s="719"/>
      <c r="G59" s="719"/>
      <c r="H59" s="719"/>
      <c r="I59" s="719"/>
    </row>
    <row r="60" spans="1:14" x14ac:dyDescent="0.2">
      <c r="A60" s="53" t="s">
        <v>915</v>
      </c>
    </row>
  </sheetData>
  <mergeCells count="2">
    <mergeCell ref="B15:C15"/>
    <mergeCell ref="A59:I59"/>
  </mergeCells>
  <conditionalFormatting sqref="I58 A56:D57">
    <cfRule type="expression" dxfId="126" priority="316" stopIfTrue="1">
      <formula>#REF!=1</formula>
    </cfRule>
  </conditionalFormatting>
  <conditionalFormatting sqref="C17:C45">
    <cfRule type="expression" dxfId="125" priority="320" stopIfTrue="1">
      <formula>#REF!&gt;0</formula>
    </cfRule>
    <cfRule type="expression" dxfId="124" priority="321" stopIfTrue="1">
      <formula>#REF!&gt;0</formula>
    </cfRule>
    <cfRule type="expression" dxfId="123" priority="322" stopIfTrue="1">
      <formula>#REF!&gt;0</formula>
    </cfRule>
  </conditionalFormatting>
  <conditionalFormatting sqref="B56:C57 A56">
    <cfRule type="expression" dxfId="122" priority="323" stopIfTrue="1">
      <formula>#REF!=1</formula>
    </cfRule>
  </conditionalFormatting>
  <conditionalFormatting sqref="F56:F57 H56:I57 A56:D57">
    <cfRule type="expression" dxfId="121" priority="324" stopIfTrue="1">
      <formula>#REF!=1</formula>
    </cfRule>
  </conditionalFormatting>
  <conditionalFormatting sqref="I56 A56">
    <cfRule type="expression" dxfId="120" priority="314" stopIfTrue="1">
      <formula>#REF!=1</formula>
    </cfRule>
  </conditionalFormatting>
  <conditionalFormatting sqref="I57">
    <cfRule type="expression" dxfId="119" priority="311" stopIfTrue="1">
      <formula>#REF!=1</formula>
    </cfRule>
  </conditionalFormatting>
  <conditionalFormatting sqref="E17:E45 B17:B45">
    <cfRule type="expression" dxfId="118" priority="71" stopIfTrue="1">
      <formula>#REF!&gt;0</formula>
    </cfRule>
    <cfRule type="expression" dxfId="117" priority="72" stopIfTrue="1">
      <formula>#REF!&gt;0</formula>
    </cfRule>
    <cfRule type="expression" dxfId="116" priority="73" stopIfTrue="1">
      <formula>#REF!&gt;0</formula>
    </cfRule>
  </conditionalFormatting>
  <conditionalFormatting sqref="A46">
    <cfRule type="expression" dxfId="115" priority="47" stopIfTrue="1">
      <formula>#REF!&gt;0</formula>
    </cfRule>
    <cfRule type="expression" dxfId="114" priority="48" stopIfTrue="1">
      <formula>#REF!&gt;0</formula>
    </cfRule>
    <cfRule type="expression" dxfId="113" priority="49" stopIfTrue="1">
      <formula>#REF!&gt;0</formula>
    </cfRule>
  </conditionalFormatting>
  <conditionalFormatting sqref="A17:A45">
    <cfRule type="expression" dxfId="112" priority="42" stopIfTrue="1">
      <formula>#REF!&gt;0</formula>
    </cfRule>
    <cfRule type="expression" dxfId="111" priority="43" stopIfTrue="1">
      <formula>#REF!&gt;0</formula>
    </cfRule>
    <cfRule type="expression" dxfId="110" priority="44" stopIfTrue="1">
      <formula>#REF!&gt;0</formula>
    </cfRule>
  </conditionalFormatting>
  <conditionalFormatting sqref="A51:D55">
    <cfRule type="expression" dxfId="109" priority="39" stopIfTrue="1">
      <formula>#REF!=1</formula>
    </cfRule>
  </conditionalFormatting>
  <conditionalFormatting sqref="A50:D50 B51:C52 B54:C55 A52 A54">
    <cfRule type="expression" dxfId="108" priority="40" stopIfTrue="1">
      <formula>#REF!=1</formula>
    </cfRule>
  </conditionalFormatting>
  <conditionalFormatting sqref="D50:D55 B50:C52 B54:C55 A50:A55 F50:F55 H51:I52 H54:I55 I53 I50">
    <cfRule type="expression" dxfId="107" priority="41" stopIfTrue="1">
      <formula>#REF!=1</formula>
    </cfRule>
  </conditionalFormatting>
  <conditionalFormatting sqref="I51">
    <cfRule type="expression" dxfId="106" priority="38" stopIfTrue="1">
      <formula>#REF!=1</formula>
    </cfRule>
  </conditionalFormatting>
  <conditionalFormatting sqref="I53">
    <cfRule type="expression" dxfId="105" priority="37" stopIfTrue="1">
      <formula>#REF!=1</formula>
    </cfRule>
  </conditionalFormatting>
  <conditionalFormatting sqref="I55">
    <cfRule type="expression" dxfId="104" priority="36" stopIfTrue="1">
      <formula>#REF!=1</formula>
    </cfRule>
  </conditionalFormatting>
  <conditionalFormatting sqref="I54">
    <cfRule type="expression" dxfId="103" priority="35" stopIfTrue="1">
      <formula>#REF!=1</formula>
    </cfRule>
  </conditionalFormatting>
  <conditionalFormatting sqref="I52">
    <cfRule type="expression" dxfId="102" priority="34" stopIfTrue="1">
      <formula>#REF!=1</formula>
    </cfRule>
  </conditionalFormatting>
  <conditionalFormatting sqref="A50 A52 A54">
    <cfRule type="expression" dxfId="101" priority="33" stopIfTrue="1">
      <formula>#REF!=1</formula>
    </cfRule>
  </conditionalFormatting>
  <conditionalFormatting sqref="B50:C50">
    <cfRule type="expression" dxfId="100" priority="32" stopIfTrue="1">
      <formula>#REF!=1</formula>
    </cfRule>
  </conditionalFormatting>
  <conditionalFormatting sqref="B53:C53">
    <cfRule type="expression" dxfId="99" priority="31" stopIfTrue="1">
      <formula>#REF!=1</formula>
    </cfRule>
  </conditionalFormatting>
  <conditionalFormatting sqref="B55:C55">
    <cfRule type="expression" dxfId="98" priority="30" stopIfTrue="1">
      <formula>#REF!=1</formula>
    </cfRule>
  </conditionalFormatting>
  <conditionalFormatting sqref="A51 A53 A55">
    <cfRule type="expression" dxfId="97" priority="29" stopIfTrue="1">
      <formula>#REF!=1</formula>
    </cfRule>
  </conditionalFormatting>
  <conditionalFormatting sqref="A51 A53 A55">
    <cfRule type="expression" dxfId="96" priority="28" stopIfTrue="1">
      <formula>#REF!=1</formula>
    </cfRule>
  </conditionalFormatting>
  <conditionalFormatting sqref="B54:C54">
    <cfRule type="expression" dxfId="95" priority="27" stopIfTrue="1">
      <formula>#REF!=1</formula>
    </cfRule>
  </conditionalFormatting>
  <conditionalFormatting sqref="H53">
    <cfRule type="expression" dxfId="94" priority="26" stopIfTrue="1">
      <formula>#REF!=1</formula>
    </cfRule>
  </conditionalFormatting>
  <conditionalFormatting sqref="H50">
    <cfRule type="expression" dxfId="93" priority="25" stopIfTrue="1">
      <formula>#REF!=1</formula>
    </cfRule>
  </conditionalFormatting>
  <conditionalFormatting sqref="A48:D49">
    <cfRule type="expression" dxfId="92" priority="23" stopIfTrue="1">
      <formula>#REF!=1</formula>
    </cfRule>
  </conditionalFormatting>
  <conditionalFormatting sqref="A48:D49 F48:F49 I48:I49 A50">
    <cfRule type="expression" dxfId="91" priority="24" stopIfTrue="1">
      <formula>#REF!=1</formula>
    </cfRule>
  </conditionalFormatting>
  <conditionalFormatting sqref="A48:A50">
    <cfRule type="expression" dxfId="90" priority="22" stopIfTrue="1">
      <formula>#REF!=1</formula>
    </cfRule>
  </conditionalFormatting>
  <conditionalFormatting sqref="B48:C49">
    <cfRule type="expression" dxfId="89" priority="21" stopIfTrue="1">
      <formula>#REF!=1</formula>
    </cfRule>
  </conditionalFormatting>
  <conditionalFormatting sqref="H48">
    <cfRule type="expression" dxfId="88" priority="20" stopIfTrue="1">
      <formula>#REF!=1</formula>
    </cfRule>
  </conditionalFormatting>
  <conditionalFormatting sqref="H49">
    <cfRule type="expression" dxfId="87" priority="19" stopIfTrue="1">
      <formula>#REF!=1</formula>
    </cfRule>
  </conditionalFormatting>
  <pageMargins left="1.1811023622047245" right="0.78740157480314965" top="0.98425196850393704" bottom="0.78740157480314965" header="0.39370078740157483" footer="0.39370078740157483"/>
  <pageSetup paperSize="9" scale="47"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J3374"/>
  <sheetViews>
    <sheetView showGridLines="0" showZeros="0" view="pageBreakPreview" topLeftCell="A124" zoomScaleNormal="120" zoomScaleSheetLayoutView="100" workbookViewId="0">
      <selection activeCell="J17" sqref="J17"/>
    </sheetView>
  </sheetViews>
  <sheetFormatPr baseColWidth="10" defaultColWidth="11.42578125" defaultRowHeight="19.899999999999999" customHeight="1" x14ac:dyDescent="0.2"/>
  <cols>
    <col min="1" max="1" width="20.7109375" style="419" customWidth="1"/>
    <col min="2" max="2" width="25.7109375" style="419" customWidth="1"/>
    <col min="3" max="3" width="40.7109375" style="419" customWidth="1"/>
    <col min="4" max="4" width="10.7109375" style="419" customWidth="1"/>
    <col min="5" max="5" width="12.7109375" style="419" customWidth="1"/>
    <col min="6" max="7" width="15.7109375" style="454" customWidth="1"/>
    <col min="8" max="8" width="11.7109375" style="419" bestFit="1" customWidth="1"/>
    <col min="9" max="16384" width="11.42578125" style="419"/>
  </cols>
  <sheetData>
    <row r="1" spans="1:8" ht="19.899999999999999" customHeight="1" x14ac:dyDescent="0.2">
      <c r="A1" s="730" t="s">
        <v>31</v>
      </c>
      <c r="B1" s="731"/>
      <c r="C1" s="731"/>
      <c r="D1" s="731"/>
      <c r="E1" s="731"/>
      <c r="F1" s="731"/>
      <c r="G1" s="732"/>
      <c r="H1" s="46"/>
    </row>
    <row r="2" spans="1:8" ht="19.899999999999999" customHeight="1" x14ac:dyDescent="0.2">
      <c r="A2" s="469" t="s">
        <v>711</v>
      </c>
      <c r="B2" s="420" t="str">
        <f>Comitente</f>
        <v>DEPARTAMENTO DE HIDRAULICA</v>
      </c>
      <c r="C2" s="421"/>
      <c r="D2" s="422"/>
      <c r="E2" s="422"/>
      <c r="F2" s="423"/>
      <c r="G2" s="470"/>
      <c r="H2" s="46"/>
    </row>
    <row r="3" spans="1:8" ht="19.899999999999999" customHeight="1" x14ac:dyDescent="0.2">
      <c r="A3" s="469" t="s">
        <v>712</v>
      </c>
      <c r="B3" s="420">
        <f>Contratista</f>
        <v>0</v>
      </c>
      <c r="C3" s="424"/>
      <c r="D3" s="424"/>
      <c r="E3" s="424"/>
      <c r="F3" s="420"/>
      <c r="G3" s="471"/>
      <c r="H3" s="46"/>
    </row>
    <row r="4" spans="1:8" ht="19.899999999999999" customHeight="1" x14ac:dyDescent="0.2">
      <c r="A4" s="469" t="s">
        <v>21</v>
      </c>
      <c r="B4" s="420" t="str">
        <f>Obra</f>
        <v>Encamisado Parcial del Canal de Calle América</v>
      </c>
      <c r="C4" s="424"/>
      <c r="D4" s="424"/>
      <c r="E4" s="424"/>
      <c r="F4" s="420" t="s">
        <v>32</v>
      </c>
      <c r="G4" s="471" t="str">
        <f>Fecha_Base</f>
        <v>X/X/2023</v>
      </c>
      <c r="H4" s="46"/>
    </row>
    <row r="5" spans="1:8" ht="19.899999999999999" customHeight="1" x14ac:dyDescent="0.2">
      <c r="A5" s="472" t="s">
        <v>710</v>
      </c>
      <c r="B5" s="425" t="str">
        <f>Ubicación</f>
        <v>Departamento Rawson</v>
      </c>
      <c r="C5" s="425"/>
      <c r="D5" s="426"/>
      <c r="E5" s="427"/>
      <c r="F5" s="428"/>
      <c r="G5" s="473"/>
      <c r="H5" s="46"/>
    </row>
    <row r="6" spans="1:8" ht="19.899999999999999" customHeight="1" x14ac:dyDescent="0.2">
      <c r="A6" s="472" t="s">
        <v>33</v>
      </c>
      <c r="B6" s="429">
        <f>IFERROR(VALUE(LEFT(B7,FIND(".",B7)-1)),"")</f>
        <v>1</v>
      </c>
      <c r="C6" s="139" t="str">
        <f ca="1">IFERROR(VLOOKUP(B6,T_Computo_Presupuesto,2,FALSE),0)</f>
        <v>PROYECTO EJECUTIVO</v>
      </c>
      <c r="D6" s="139"/>
      <c r="E6" s="427"/>
      <c r="F6" s="428"/>
      <c r="G6" s="473"/>
      <c r="H6" s="46"/>
    </row>
    <row r="7" spans="1:8" ht="19.899999999999999" customHeight="1" x14ac:dyDescent="0.2">
      <c r="A7" s="472" t="s">
        <v>22</v>
      </c>
      <c r="B7" s="430" t="str">
        <f>IFERROR(VLOOKUP(COUNTIF($A$1:A7,"ANALISIS DE PRECIOS"),T_NumeroItem,2,FALSE),"")</f>
        <v>1.1</v>
      </c>
      <c r="C7" s="733" t="str">
        <f ca="1">IFERROR(VLOOKUP(B7,T_Computo_Presupuesto,2,FALSE),0)</f>
        <v>Elaboración Proyecto Ejecutivo</v>
      </c>
      <c r="D7" s="733"/>
      <c r="E7" s="733"/>
      <c r="F7" s="425" t="s">
        <v>23</v>
      </c>
      <c r="G7" s="474" t="str">
        <f ca="1">IFERROR(VLOOKUP(B7,T_Computo_Presupuesto,4,FALSE),0)</f>
        <v>Gl</v>
      </c>
      <c r="H7" s="46"/>
    </row>
    <row r="8" spans="1:8" ht="19.899999999999999" customHeight="1" x14ac:dyDescent="0.2">
      <c r="A8" s="472"/>
      <c r="B8" s="425"/>
      <c r="C8" s="139"/>
      <c r="D8" s="426"/>
      <c r="E8" s="427"/>
      <c r="F8" s="139"/>
      <c r="G8" s="475"/>
      <c r="H8" s="46"/>
    </row>
    <row r="9" spans="1:8" ht="19.899999999999999" customHeight="1" x14ac:dyDescent="0.2">
      <c r="A9" s="476"/>
      <c r="B9" s="431"/>
      <c r="C9" s="432" t="s">
        <v>967</v>
      </c>
      <c r="D9" s="431"/>
      <c r="E9" s="431"/>
      <c r="F9" s="431"/>
      <c r="G9" s="477"/>
      <c r="H9" s="46"/>
    </row>
    <row r="10" spans="1:8" ht="19.899999999999999" customHeight="1" x14ac:dyDescent="0.2">
      <c r="A10" s="472"/>
      <c r="B10" s="433"/>
      <c r="C10" s="139"/>
      <c r="D10" s="426"/>
      <c r="E10" s="427"/>
      <c r="F10" s="425"/>
      <c r="G10" s="474"/>
      <c r="H10" s="46"/>
    </row>
    <row r="11" spans="1:8" ht="19.899999999999999" customHeight="1" x14ac:dyDescent="0.2">
      <c r="A11" s="472"/>
      <c r="B11" s="433"/>
      <c r="C11" s="434" t="s">
        <v>968</v>
      </c>
      <c r="D11" s="435" t="s">
        <v>24</v>
      </c>
      <c r="E11" s="435" t="s">
        <v>969</v>
      </c>
      <c r="F11" s="435" t="s">
        <v>970</v>
      </c>
      <c r="G11" s="434" t="s">
        <v>971</v>
      </c>
    </row>
    <row r="12" spans="1:8" ht="19.899999999999999" customHeight="1" x14ac:dyDescent="0.2">
      <c r="A12" s="472"/>
      <c r="B12" s="433"/>
      <c r="C12" s="436">
        <f>+Equipos!A14</f>
        <v>0</v>
      </c>
      <c r="D12" s="437"/>
      <c r="E12" s="438">
        <f t="shared" ref="E12:E21" si="0">IFERROR(VLOOKUP(C12,T_Equipos,4,FALSE),0)</f>
        <v>0</v>
      </c>
      <c r="F12" s="439">
        <f t="shared" ref="F12:F21" si="1">IFERROR(VLOOKUP(C12,T_Equipos,5,FALSE),0)</f>
        <v>0</v>
      </c>
      <c r="G12" s="439">
        <f>ROUND(D12*F12,2)</f>
        <v>0</v>
      </c>
    </row>
    <row r="13" spans="1:8" ht="19.899999999999999" customHeight="1" x14ac:dyDescent="0.2">
      <c r="A13" s="472"/>
      <c r="B13" s="433"/>
      <c r="C13" s="436">
        <f>+Equipos!A19</f>
        <v>0</v>
      </c>
      <c r="D13" s="437"/>
      <c r="E13" s="438">
        <f t="shared" si="0"/>
        <v>0</v>
      </c>
      <c r="F13" s="439">
        <f t="shared" si="1"/>
        <v>0</v>
      </c>
      <c r="G13" s="439">
        <f>ROUND(D13*F13,2)</f>
        <v>0</v>
      </c>
    </row>
    <row r="14" spans="1:8" ht="19.899999999999999" customHeight="1" x14ac:dyDescent="0.2">
      <c r="A14" s="472"/>
      <c r="B14" s="433"/>
      <c r="C14" s="436">
        <f>+Equipos!A13</f>
        <v>0</v>
      </c>
      <c r="D14" s="437"/>
      <c r="E14" s="438">
        <f t="shared" si="0"/>
        <v>0</v>
      </c>
      <c r="F14" s="439">
        <f t="shared" si="1"/>
        <v>0</v>
      </c>
      <c r="G14" s="439">
        <f>ROUND(D14*F14,2)</f>
        <v>0</v>
      </c>
    </row>
    <row r="15" spans="1:8" ht="19.899999999999999" customHeight="1" x14ac:dyDescent="0.2">
      <c r="A15" s="472"/>
      <c r="B15" s="433"/>
      <c r="C15" s="436">
        <f>+Equipos!A22</f>
        <v>0</v>
      </c>
      <c r="D15" s="437"/>
      <c r="E15" s="438">
        <f t="shared" si="0"/>
        <v>0</v>
      </c>
      <c r="F15" s="439">
        <f t="shared" si="1"/>
        <v>0</v>
      </c>
      <c r="G15" s="439">
        <f>ROUND(D15*F15,2)</f>
        <v>0</v>
      </c>
    </row>
    <row r="16" spans="1:8" ht="19.899999999999999" customHeight="1" x14ac:dyDescent="0.2">
      <c r="A16" s="472"/>
      <c r="B16" s="433"/>
      <c r="C16" s="436"/>
      <c r="D16" s="437"/>
      <c r="E16" s="438">
        <f t="shared" si="0"/>
        <v>0</v>
      </c>
      <c r="F16" s="439">
        <f t="shared" si="1"/>
        <v>0</v>
      </c>
      <c r="G16" s="439">
        <f t="shared" ref="G16:G21" si="2">ROUND(D16*F16,2)</f>
        <v>0</v>
      </c>
    </row>
    <row r="17" spans="1:7" ht="19.899999999999999" customHeight="1" x14ac:dyDescent="0.2">
      <c r="A17" s="472"/>
      <c r="B17" s="433"/>
      <c r="C17" s="436"/>
      <c r="D17" s="437"/>
      <c r="E17" s="438">
        <f t="shared" si="0"/>
        <v>0</v>
      </c>
      <c r="F17" s="439">
        <f t="shared" si="1"/>
        <v>0</v>
      </c>
      <c r="G17" s="439">
        <f t="shared" si="2"/>
        <v>0</v>
      </c>
    </row>
    <row r="18" spans="1:7" ht="19.899999999999999" customHeight="1" x14ac:dyDescent="0.2">
      <c r="A18" s="472"/>
      <c r="B18" s="433"/>
      <c r="C18" s="436"/>
      <c r="D18" s="437"/>
      <c r="E18" s="438">
        <f t="shared" si="0"/>
        <v>0</v>
      </c>
      <c r="F18" s="439">
        <f t="shared" si="1"/>
        <v>0</v>
      </c>
      <c r="G18" s="439">
        <f t="shared" si="2"/>
        <v>0</v>
      </c>
    </row>
    <row r="19" spans="1:7" ht="19.899999999999999" customHeight="1" x14ac:dyDescent="0.2">
      <c r="A19" s="472"/>
      <c r="B19" s="433"/>
      <c r="C19" s="436"/>
      <c r="D19" s="437"/>
      <c r="E19" s="438">
        <f t="shared" si="0"/>
        <v>0</v>
      </c>
      <c r="F19" s="439">
        <f t="shared" si="1"/>
        <v>0</v>
      </c>
      <c r="G19" s="439">
        <f t="shared" si="2"/>
        <v>0</v>
      </c>
    </row>
    <row r="20" spans="1:7" ht="19.899999999999999" customHeight="1" x14ac:dyDescent="0.2">
      <c r="A20" s="472"/>
      <c r="B20" s="433"/>
      <c r="C20" s="436"/>
      <c r="D20" s="437"/>
      <c r="E20" s="438">
        <f t="shared" si="0"/>
        <v>0</v>
      </c>
      <c r="F20" s="439">
        <f t="shared" si="1"/>
        <v>0</v>
      </c>
      <c r="G20" s="439">
        <f t="shared" si="2"/>
        <v>0</v>
      </c>
    </row>
    <row r="21" spans="1:7" ht="19.899999999999999" customHeight="1" x14ac:dyDescent="0.2">
      <c r="A21" s="472"/>
      <c r="B21" s="433"/>
      <c r="C21" s="436"/>
      <c r="D21" s="437"/>
      <c r="E21" s="438">
        <f t="shared" si="0"/>
        <v>0</v>
      </c>
      <c r="F21" s="439">
        <f t="shared" si="1"/>
        <v>0</v>
      </c>
      <c r="G21" s="439">
        <f t="shared" si="2"/>
        <v>0</v>
      </c>
    </row>
    <row r="22" spans="1:7" ht="19.899999999999999" customHeight="1" x14ac:dyDescent="0.2">
      <c r="A22" s="472"/>
      <c r="B22" s="433"/>
      <c r="C22" s="139"/>
      <c r="D22" s="139"/>
      <c r="E22" s="440"/>
      <c r="F22" s="425"/>
      <c r="G22" s="474"/>
    </row>
    <row r="23" spans="1:7" ht="19.899999999999999" customHeight="1" x14ac:dyDescent="0.2">
      <c r="A23" s="472"/>
      <c r="B23" s="139"/>
      <c r="C23" s="422" t="s">
        <v>972</v>
      </c>
      <c r="D23" s="425" t="s">
        <v>969</v>
      </c>
      <c r="E23" s="491">
        <f>SUMPRODUCT(D12:D21,E12:E21)</f>
        <v>0</v>
      </c>
      <c r="F23" s="425" t="s">
        <v>973</v>
      </c>
      <c r="G23" s="492">
        <f>SUM(G12:G21)</f>
        <v>0</v>
      </c>
    </row>
    <row r="24" spans="1:7" ht="19.899999999999999" customHeight="1" x14ac:dyDescent="0.2">
      <c r="A24" s="472"/>
      <c r="B24" s="433"/>
      <c r="C24" s="441"/>
      <c r="D24" s="440"/>
      <c r="E24" s="427"/>
      <c r="F24" s="425"/>
      <c r="G24" s="478"/>
    </row>
    <row r="25" spans="1:7" ht="19.899999999999999" customHeight="1" x14ac:dyDescent="0.2">
      <c r="A25" s="479"/>
      <c r="B25" s="433"/>
      <c r="C25" s="425" t="s">
        <v>974</v>
      </c>
      <c r="D25" s="442">
        <f>IFERROR(VLOOKUP(COUNTIF($A$1:A25,"ANALISIS DE PRECIOS"),T_Rendimiento_Equipo,5,FALSE),0)</f>
        <v>0</v>
      </c>
      <c r="E25" s="443" t="str">
        <f ca="1">G7&amp;"/día"</f>
        <v>Gl/día</v>
      </c>
      <c r="F25" s="419"/>
      <c r="G25" s="474"/>
    </row>
    <row r="26" spans="1:7" ht="19.899999999999999" customHeight="1" x14ac:dyDescent="0.2">
      <c r="A26" s="472"/>
      <c r="B26" s="433"/>
      <c r="C26" s="139"/>
      <c r="D26" s="426"/>
      <c r="E26" s="427"/>
      <c r="F26" s="425"/>
      <c r="G26" s="474"/>
    </row>
    <row r="27" spans="1:7" ht="19.899999999999999" customHeight="1" x14ac:dyDescent="0.2">
      <c r="A27" s="720" t="s">
        <v>576</v>
      </c>
      <c r="B27" s="721"/>
      <c r="C27" s="722" t="s">
        <v>0</v>
      </c>
      <c r="D27" s="734" t="s">
        <v>1724</v>
      </c>
      <c r="E27" s="734" t="s">
        <v>1723</v>
      </c>
      <c r="F27" s="726" t="s">
        <v>975</v>
      </c>
      <c r="G27" s="728" t="s">
        <v>26</v>
      </c>
    </row>
    <row r="28" spans="1:7" ht="19.899999999999999" customHeight="1" x14ac:dyDescent="0.2">
      <c r="A28" s="444" t="s">
        <v>577</v>
      </c>
      <c r="B28" s="444" t="s">
        <v>578</v>
      </c>
      <c r="C28" s="723"/>
      <c r="D28" s="735"/>
      <c r="E28" s="725"/>
      <c r="F28" s="727"/>
      <c r="G28" s="729"/>
    </row>
    <row r="29" spans="1:7" ht="19.899999999999999" customHeight="1" x14ac:dyDescent="0.2">
      <c r="A29" s="480"/>
      <c r="B29" s="139"/>
      <c r="C29" s="422" t="s">
        <v>976</v>
      </c>
      <c r="D29" s="427"/>
      <c r="E29" s="427"/>
      <c r="F29" s="139"/>
      <c r="G29" s="481"/>
    </row>
    <row r="30" spans="1:7" ht="19.899999999999999" customHeight="1" x14ac:dyDescent="0.2">
      <c r="A30" s="482">
        <f t="shared" ref="A30:A38" si="3">IFERROR(VLOOKUP(C30,T_Insumos,4,FALSE),0)</f>
        <v>0</v>
      </c>
      <c r="B30" s="445">
        <f t="shared" ref="B30:B38" si="4">IFERROR(VLOOKUP(C30,T_Insumos,5,FALSE),0)</f>
        <v>0</v>
      </c>
      <c r="C30" s="436">
        <f>+Insumos!A15</f>
        <v>0</v>
      </c>
      <c r="D30" s="446">
        <f t="shared" ref="D30:D38" si="5">IFERROR(VLOOKUP(C30,T_Insumos,3,FALSE),0)</f>
        <v>0</v>
      </c>
      <c r="E30" s="439">
        <f>D30*$G$23</f>
        <v>0</v>
      </c>
      <c r="F30" s="442">
        <f>IF(C30="",0,IFERROR(VLOOKUP(COUNTIF($A$1:A30,"ANALISIS DE PRECIOS"),T_Rendimiento_Equipo,5,FALSE),0))</f>
        <v>0</v>
      </c>
      <c r="G30" s="439">
        <f>IFERROR(ROUND(E30/F30,2),0)</f>
        <v>0</v>
      </c>
    </row>
    <row r="31" spans="1:7" ht="19.899999999999999" customHeight="1" x14ac:dyDescent="0.2">
      <c r="A31" s="482">
        <f t="shared" si="3"/>
        <v>0</v>
      </c>
      <c r="B31" s="445">
        <f t="shared" si="4"/>
        <v>0</v>
      </c>
      <c r="C31" s="436">
        <f>+Insumos!A16</f>
        <v>0</v>
      </c>
      <c r="D31" s="446">
        <f t="shared" si="5"/>
        <v>0</v>
      </c>
      <c r="E31" s="439">
        <f t="shared" ref="E31:E32" si="6">D31*$G$23</f>
        <v>0</v>
      </c>
      <c r="F31" s="442">
        <f>IF(C31="",0,IFERROR(VLOOKUP(COUNTIF($A$1:A31,"ANALISIS DE PRECIOS"),T_Rendimiento_Equipo,5,FALSE),0))</f>
        <v>0</v>
      </c>
      <c r="G31" s="439">
        <f t="shared" ref="G31:G38" si="7">IFERROR(ROUND(E31/F31,2),0)</f>
        <v>0</v>
      </c>
    </row>
    <row r="32" spans="1:7" ht="19.899999999999999" customHeight="1" x14ac:dyDescent="0.2">
      <c r="A32" s="482">
        <f t="shared" si="3"/>
        <v>0</v>
      </c>
      <c r="B32" s="445">
        <f t="shared" si="4"/>
        <v>0</v>
      </c>
      <c r="C32" s="436">
        <f>+Insumos!A17</f>
        <v>0</v>
      </c>
      <c r="D32" s="446">
        <f t="shared" si="5"/>
        <v>0</v>
      </c>
      <c r="E32" s="439">
        <f t="shared" si="6"/>
        <v>0</v>
      </c>
      <c r="F32" s="442">
        <f>IF(C32="",0,IFERROR(VLOOKUP(COUNTIF($A$1:A32,"ANALISIS DE PRECIOS"),T_Rendimiento_Equipo,5,FALSE),0))</f>
        <v>0</v>
      </c>
      <c r="G32" s="439">
        <f t="shared" si="7"/>
        <v>0</v>
      </c>
    </row>
    <row r="33" spans="1:7" ht="19.899999999999999" customHeight="1" x14ac:dyDescent="0.2">
      <c r="A33" s="482">
        <f t="shared" si="3"/>
        <v>0</v>
      </c>
      <c r="B33" s="445">
        <f t="shared" si="4"/>
        <v>0</v>
      </c>
      <c r="C33" s="436">
        <f>+Insumos!A18</f>
        <v>0</v>
      </c>
      <c r="D33" s="446">
        <f t="shared" si="5"/>
        <v>0</v>
      </c>
      <c r="E33" s="439">
        <f>D33*$E$23</f>
        <v>0</v>
      </c>
      <c r="F33" s="442">
        <f>IF(C33="",0,IFERROR(VLOOKUP(COUNTIF($A$1:A33,"ANALISIS DE PRECIOS"),T_Rendimiento_Equipo,5,FALSE),0))</f>
        <v>0</v>
      </c>
      <c r="G33" s="439">
        <f t="shared" si="7"/>
        <v>0</v>
      </c>
    </row>
    <row r="34" spans="1:7" ht="19.899999999999999" customHeight="1" x14ac:dyDescent="0.2">
      <c r="A34" s="482">
        <f t="shared" si="3"/>
        <v>0</v>
      </c>
      <c r="B34" s="445">
        <f t="shared" si="4"/>
        <v>0</v>
      </c>
      <c r="C34" s="447"/>
      <c r="D34" s="446">
        <f t="shared" si="5"/>
        <v>0</v>
      </c>
      <c r="E34" s="439"/>
      <c r="F34" s="442">
        <f>IF(C34="",0,IFERROR(VLOOKUP(COUNTIF($A$1:A34,"ANALISIS DE PRECIOS"),T_Rendimiento_Equipo,5,FALSE),0))</f>
        <v>0</v>
      </c>
      <c r="G34" s="439">
        <f t="shared" si="7"/>
        <v>0</v>
      </c>
    </row>
    <row r="35" spans="1:7" ht="19.899999999999999" customHeight="1" x14ac:dyDescent="0.2">
      <c r="A35" s="482">
        <f t="shared" si="3"/>
        <v>0</v>
      </c>
      <c r="B35" s="445">
        <f t="shared" si="4"/>
        <v>0</v>
      </c>
      <c r="C35" s="447"/>
      <c r="D35" s="446">
        <f t="shared" si="5"/>
        <v>0</v>
      </c>
      <c r="E35" s="439"/>
      <c r="F35" s="442">
        <f>IF(C35="",0,IFERROR(VLOOKUP(COUNTIF($A$1:A35,"ANALISIS DE PRECIOS"),T_Rendimiento_Equipo,5,FALSE),0))</f>
        <v>0</v>
      </c>
      <c r="G35" s="439">
        <f t="shared" si="7"/>
        <v>0</v>
      </c>
    </row>
    <row r="36" spans="1:7" ht="19.899999999999999" customHeight="1" x14ac:dyDescent="0.2">
      <c r="A36" s="482">
        <f t="shared" si="3"/>
        <v>0</v>
      </c>
      <c r="B36" s="445">
        <f t="shared" si="4"/>
        <v>0</v>
      </c>
      <c r="C36" s="447"/>
      <c r="D36" s="446">
        <f t="shared" si="5"/>
        <v>0</v>
      </c>
      <c r="E36" s="439"/>
      <c r="F36" s="442">
        <f>IF(C36="",0,IFERROR(VLOOKUP(COUNTIF($A$1:A36,"ANALISIS DE PRECIOS"),T_Rendimiento_Equipo,5,FALSE),0))</f>
        <v>0</v>
      </c>
      <c r="G36" s="439">
        <f t="shared" si="7"/>
        <v>0</v>
      </c>
    </row>
    <row r="37" spans="1:7" ht="19.899999999999999" customHeight="1" x14ac:dyDescent="0.2">
      <c r="A37" s="482">
        <f t="shared" si="3"/>
        <v>0</v>
      </c>
      <c r="B37" s="445">
        <f t="shared" si="4"/>
        <v>0</v>
      </c>
      <c r="C37" s="447"/>
      <c r="D37" s="446">
        <f t="shared" si="5"/>
        <v>0</v>
      </c>
      <c r="E37" s="439"/>
      <c r="F37" s="442">
        <f>IF(C37="",0,IFERROR(VLOOKUP(COUNTIF($A$1:A37,"ANALISIS DE PRECIOS"),T_Rendimiento_Equipo,5,FALSE),0))</f>
        <v>0</v>
      </c>
      <c r="G37" s="439">
        <f t="shared" si="7"/>
        <v>0</v>
      </c>
    </row>
    <row r="38" spans="1:7" ht="19.899999999999999" customHeight="1" x14ac:dyDescent="0.2">
      <c r="A38" s="482">
        <f t="shared" si="3"/>
        <v>0</v>
      </c>
      <c r="B38" s="445">
        <f t="shared" si="4"/>
        <v>0</v>
      </c>
      <c r="C38" s="436"/>
      <c r="D38" s="446">
        <f t="shared" si="5"/>
        <v>0</v>
      </c>
      <c r="E38" s="439"/>
      <c r="F38" s="442">
        <f>IF(C38="",0,IFERROR(VLOOKUP(COUNTIF($A$1:A38,"ANALISIS DE PRECIOS"),T_Rendimiento_Equipo,5,FALSE),0))</f>
        <v>0</v>
      </c>
      <c r="G38" s="439">
        <f t="shared" si="7"/>
        <v>0</v>
      </c>
    </row>
    <row r="39" spans="1:7" ht="19.899999999999999" customHeight="1" x14ac:dyDescent="0.2">
      <c r="A39" s="483"/>
      <c r="B39" s="426"/>
      <c r="C39" s="139"/>
      <c r="D39" s="426"/>
      <c r="E39" s="427"/>
      <c r="F39" s="448" t="s">
        <v>27</v>
      </c>
      <c r="G39" s="484">
        <f>SUBTOTAL(9,G30:G38)</f>
        <v>0</v>
      </c>
    </row>
    <row r="40" spans="1:7" ht="19.899999999999999" customHeight="1" x14ac:dyDescent="0.2">
      <c r="A40" s="480"/>
      <c r="B40" s="139"/>
      <c r="C40" s="422" t="s">
        <v>713</v>
      </c>
      <c r="D40" s="426"/>
      <c r="E40" s="427"/>
      <c r="F40" s="428"/>
      <c r="G40" s="481"/>
    </row>
    <row r="41" spans="1:7" ht="19.899999999999999" customHeight="1" x14ac:dyDescent="0.2">
      <c r="A41" s="720" t="s">
        <v>576</v>
      </c>
      <c r="B41" s="721"/>
      <c r="C41" s="722" t="s">
        <v>0</v>
      </c>
      <c r="D41" s="724" t="s">
        <v>24</v>
      </c>
      <c r="E41" s="724" t="s">
        <v>1964</v>
      </c>
      <c r="F41" s="726" t="s">
        <v>975</v>
      </c>
      <c r="G41" s="728" t="s">
        <v>26</v>
      </c>
    </row>
    <row r="42" spans="1:7" ht="19.899999999999999" customHeight="1" x14ac:dyDescent="0.2">
      <c r="A42" s="444" t="s">
        <v>577</v>
      </c>
      <c r="B42" s="444" t="s">
        <v>578</v>
      </c>
      <c r="C42" s="723"/>
      <c r="D42" s="725"/>
      <c r="E42" s="725"/>
      <c r="F42" s="727"/>
      <c r="G42" s="729"/>
    </row>
    <row r="43" spans="1:7" ht="19.899999999999999" customHeight="1" x14ac:dyDescent="0.2">
      <c r="A43" s="482">
        <f t="shared" ref="A43:A49" si="8">IFERROR(VLOOKUP(C43,T_Insumos,4,FALSE),0)</f>
        <v>0</v>
      </c>
      <c r="B43" s="445">
        <f t="shared" ref="B43:B49" si="9">IFERROR(VLOOKUP(C43,T_Insumos,5,FALSE),0)</f>
        <v>0</v>
      </c>
      <c r="C43" s="449">
        <f>+Insumos!A4</f>
        <v>0</v>
      </c>
      <c r="D43" s="442"/>
      <c r="E43" s="439">
        <f t="shared" ref="E43:E49" si="10">IFERROR(VLOOKUP(C43,T_Insumos,3,FALSE),0)</f>
        <v>0</v>
      </c>
      <c r="F43" s="442">
        <f>IF(C43="",0,IFERROR(VLOOKUP(COUNTIF($A$1:A43,"ANALISIS DE PRECIOS"),T_Rendimiento_Equipo,5,FALSE),0))</f>
        <v>0</v>
      </c>
      <c r="G43" s="439">
        <f>IFERROR(ROUND(D43*E43/F43,2),0)</f>
        <v>0</v>
      </c>
    </row>
    <row r="44" spans="1:7" ht="19.899999999999999" customHeight="1" x14ac:dyDescent="0.2">
      <c r="A44" s="482">
        <f t="shared" si="8"/>
        <v>0</v>
      </c>
      <c r="B44" s="445">
        <f t="shared" si="9"/>
        <v>0</v>
      </c>
      <c r="C44" s="449">
        <f>+Insumos!A5</f>
        <v>0</v>
      </c>
      <c r="D44" s="442"/>
      <c r="E44" s="439">
        <f t="shared" si="10"/>
        <v>0</v>
      </c>
      <c r="F44" s="442">
        <f>IF(C44="",0,IFERROR(VLOOKUP(COUNTIF($A$1:A44,"ANALISIS DE PRECIOS"),T_Rendimiento_Equipo,5,FALSE),0))</f>
        <v>0</v>
      </c>
      <c r="G44" s="439">
        <f t="shared" ref="G44:G49" si="11">IFERROR(ROUND(D44*E44/F44,2),0)</f>
        <v>0</v>
      </c>
    </row>
    <row r="45" spans="1:7" ht="19.899999999999999" customHeight="1" x14ac:dyDescent="0.2">
      <c r="A45" s="482">
        <f t="shared" si="8"/>
        <v>0</v>
      </c>
      <c r="B45" s="445">
        <f t="shared" si="9"/>
        <v>0</v>
      </c>
      <c r="C45" s="449">
        <f>+Insumos!A6</f>
        <v>0</v>
      </c>
      <c r="D45" s="442"/>
      <c r="E45" s="439">
        <f t="shared" si="10"/>
        <v>0</v>
      </c>
      <c r="F45" s="442">
        <f>IF(C45="",0,IFERROR(VLOOKUP(COUNTIF($A$1:A45,"ANALISIS DE PRECIOS"),T_Rendimiento_Equipo,5,FALSE),0))</f>
        <v>0</v>
      </c>
      <c r="G45" s="439">
        <f t="shared" si="11"/>
        <v>0</v>
      </c>
    </row>
    <row r="46" spans="1:7" ht="19.899999999999999" customHeight="1" x14ac:dyDescent="0.2">
      <c r="A46" s="482">
        <f t="shared" si="8"/>
        <v>0</v>
      </c>
      <c r="B46" s="445">
        <f t="shared" si="9"/>
        <v>0</v>
      </c>
      <c r="C46" s="449">
        <f>+Insumos!A7</f>
        <v>0</v>
      </c>
      <c r="D46" s="442"/>
      <c r="E46" s="439">
        <f t="shared" si="10"/>
        <v>0</v>
      </c>
      <c r="F46" s="442">
        <f>IF(C46="",0,IFERROR(VLOOKUP(COUNTIF($A$1:A46,"ANALISIS DE PRECIOS"),T_Rendimiento_Equipo,5,FALSE),0))</f>
        <v>0</v>
      </c>
      <c r="G46" s="439">
        <f t="shared" si="11"/>
        <v>0</v>
      </c>
    </row>
    <row r="47" spans="1:7" ht="19.899999999999999" customHeight="1" x14ac:dyDescent="0.2">
      <c r="A47" s="482">
        <f t="shared" si="8"/>
        <v>0</v>
      </c>
      <c r="B47" s="445">
        <f t="shared" si="9"/>
        <v>0</v>
      </c>
      <c r="C47" s="436"/>
      <c r="D47" s="442"/>
      <c r="E47" s="439">
        <f t="shared" si="10"/>
        <v>0</v>
      </c>
      <c r="F47" s="442">
        <f>IF(C47="",0,IFERROR(VLOOKUP(COUNTIF($A$1:A47,"ANALISIS DE PRECIOS"),T_Rendimiento_Equipo,5,FALSE),0))</f>
        <v>0</v>
      </c>
      <c r="G47" s="439">
        <f t="shared" si="11"/>
        <v>0</v>
      </c>
    </row>
    <row r="48" spans="1:7" ht="19.899999999999999" customHeight="1" x14ac:dyDescent="0.2">
      <c r="A48" s="482">
        <f t="shared" si="8"/>
        <v>0</v>
      </c>
      <c r="B48" s="445">
        <f t="shared" si="9"/>
        <v>0</v>
      </c>
      <c r="C48" s="436"/>
      <c r="D48" s="450"/>
      <c r="E48" s="439">
        <f t="shared" si="10"/>
        <v>0</v>
      </c>
      <c r="F48" s="442">
        <f>IF(C48="",0,IFERROR(VLOOKUP(COUNTIF($A$1:A48,"ANALISIS DE PRECIOS"),T_Rendimiento_Equipo,5,FALSE),0))</f>
        <v>0</v>
      </c>
      <c r="G48" s="439">
        <f t="shared" si="11"/>
        <v>0</v>
      </c>
    </row>
    <row r="49" spans="1:8" ht="19.899999999999999" customHeight="1" x14ac:dyDescent="0.2">
      <c r="A49" s="482">
        <f t="shared" si="8"/>
        <v>0</v>
      </c>
      <c r="B49" s="445">
        <f t="shared" si="9"/>
        <v>0</v>
      </c>
      <c r="C49" s="445"/>
      <c r="D49" s="451"/>
      <c r="E49" s="439">
        <f t="shared" si="10"/>
        <v>0</v>
      </c>
      <c r="F49" s="442">
        <f>IF(C49="",0,IFERROR(VLOOKUP(COUNTIF($A$1:A49,"ANALISIS DE PRECIOS"),T_Rendimiento_Equipo,5,FALSE),0))</f>
        <v>0</v>
      </c>
      <c r="G49" s="439">
        <f t="shared" si="11"/>
        <v>0</v>
      </c>
    </row>
    <row r="50" spans="1:8" ht="19.899999999999999" customHeight="1" x14ac:dyDescent="0.2">
      <c r="A50" s="483"/>
      <c r="B50" s="426"/>
      <c r="C50" s="139"/>
      <c r="D50" s="426"/>
      <c r="E50" s="427"/>
      <c r="F50" s="448" t="s">
        <v>28</v>
      </c>
      <c r="G50" s="485">
        <f>SUBTOTAL(9,G43:G49)</f>
        <v>0</v>
      </c>
      <c r="H50" s="616"/>
    </row>
    <row r="51" spans="1:8" ht="19.899999999999999" customHeight="1" x14ac:dyDescent="0.2">
      <c r="A51" s="480"/>
      <c r="B51" s="139"/>
      <c r="C51" s="422" t="s">
        <v>982</v>
      </c>
      <c r="D51" s="426"/>
      <c r="E51" s="427"/>
      <c r="F51" s="428"/>
      <c r="G51" s="481"/>
    </row>
    <row r="52" spans="1:8" ht="19.899999999999999" customHeight="1" x14ac:dyDescent="0.2">
      <c r="A52" s="720" t="s">
        <v>576</v>
      </c>
      <c r="B52" s="721"/>
      <c r="C52" s="722" t="s">
        <v>0</v>
      </c>
      <c r="D52" s="722" t="s">
        <v>1725</v>
      </c>
      <c r="E52" s="724" t="s">
        <v>24</v>
      </c>
      <c r="F52" s="726" t="s">
        <v>25</v>
      </c>
      <c r="G52" s="728" t="s">
        <v>26</v>
      </c>
    </row>
    <row r="53" spans="1:8" ht="19.899999999999999" customHeight="1" x14ac:dyDescent="0.2">
      <c r="A53" s="444" t="s">
        <v>577</v>
      </c>
      <c r="B53" s="444" t="s">
        <v>578</v>
      </c>
      <c r="C53" s="723"/>
      <c r="D53" s="723"/>
      <c r="E53" s="725"/>
      <c r="F53" s="727"/>
      <c r="G53" s="729"/>
    </row>
    <row r="54" spans="1:8" ht="19.899999999999999" customHeight="1" x14ac:dyDescent="0.2">
      <c r="A54" s="482">
        <f t="shared" ref="A54:A64" si="12">IFERROR(VLOOKUP(C54,T_Insumos,4,FALSE),0)</f>
        <v>0</v>
      </c>
      <c r="B54" s="445">
        <f t="shared" ref="B54:B64" si="13">IFERROR(VLOOKUP(C54,T_Insumos,5,FALSE),0)</f>
        <v>0</v>
      </c>
      <c r="C54" s="445"/>
      <c r="D54" s="493">
        <f t="shared" ref="D54:D64" si="14">IFERROR(VLOOKUP(C54,T_Insumos,2,FALSE),0)</f>
        <v>0</v>
      </c>
      <c r="E54" s="437"/>
      <c r="F54" s="439">
        <f t="shared" ref="F54:F64" si="15">IFERROR(VLOOKUP(C54,T_Insumos,3,FALSE),0)</f>
        <v>0</v>
      </c>
      <c r="G54" s="439">
        <f>ROUND(E54*F54,2)</f>
        <v>0</v>
      </c>
    </row>
    <row r="55" spans="1:8" s="452" customFormat="1" ht="19.899999999999999" customHeight="1" x14ac:dyDescent="0.2">
      <c r="A55" s="482">
        <f t="shared" si="12"/>
        <v>0</v>
      </c>
      <c r="B55" s="445">
        <f t="shared" si="13"/>
        <v>0</v>
      </c>
      <c r="C55" s="445"/>
      <c r="D55" s="493">
        <f t="shared" si="14"/>
        <v>0</v>
      </c>
      <c r="E55" s="437"/>
      <c r="F55" s="439">
        <f t="shared" si="15"/>
        <v>0</v>
      </c>
      <c r="G55" s="439">
        <f t="shared" ref="G55:G64" si="16">ROUND(E55*F55,2)</f>
        <v>0</v>
      </c>
    </row>
    <row r="56" spans="1:8" ht="19.899999999999999" customHeight="1" x14ac:dyDescent="0.2">
      <c r="A56" s="482">
        <f t="shared" si="12"/>
        <v>0</v>
      </c>
      <c r="B56" s="445">
        <f t="shared" si="13"/>
        <v>0</v>
      </c>
      <c r="C56" s="445"/>
      <c r="D56" s="493">
        <f t="shared" si="14"/>
        <v>0</v>
      </c>
      <c r="E56" s="437"/>
      <c r="F56" s="439">
        <f t="shared" si="15"/>
        <v>0</v>
      </c>
      <c r="G56" s="439">
        <f t="shared" si="16"/>
        <v>0</v>
      </c>
    </row>
    <row r="57" spans="1:8" ht="19.899999999999999" customHeight="1" x14ac:dyDescent="0.2">
      <c r="A57" s="482">
        <f t="shared" si="12"/>
        <v>0</v>
      </c>
      <c r="B57" s="445">
        <f t="shared" si="13"/>
        <v>0</v>
      </c>
      <c r="C57" s="445"/>
      <c r="D57" s="493">
        <f t="shared" si="14"/>
        <v>0</v>
      </c>
      <c r="E57" s="437"/>
      <c r="F57" s="439">
        <f t="shared" si="15"/>
        <v>0</v>
      </c>
      <c r="G57" s="439">
        <f t="shared" si="16"/>
        <v>0</v>
      </c>
    </row>
    <row r="58" spans="1:8" ht="19.899999999999999" customHeight="1" x14ac:dyDescent="0.2">
      <c r="A58" s="482">
        <f t="shared" si="12"/>
        <v>0</v>
      </c>
      <c r="B58" s="445">
        <f t="shared" si="13"/>
        <v>0</v>
      </c>
      <c r="C58" s="445"/>
      <c r="D58" s="493">
        <f t="shared" si="14"/>
        <v>0</v>
      </c>
      <c r="E58" s="437"/>
      <c r="F58" s="439">
        <f t="shared" si="15"/>
        <v>0</v>
      </c>
      <c r="G58" s="439">
        <f t="shared" si="16"/>
        <v>0</v>
      </c>
    </row>
    <row r="59" spans="1:8" ht="19.899999999999999" customHeight="1" x14ac:dyDescent="0.2">
      <c r="A59" s="482">
        <f t="shared" si="12"/>
        <v>0</v>
      </c>
      <c r="B59" s="445">
        <f t="shared" si="13"/>
        <v>0</v>
      </c>
      <c r="C59" s="445"/>
      <c r="D59" s="493">
        <f t="shared" si="14"/>
        <v>0</v>
      </c>
      <c r="E59" s="437"/>
      <c r="F59" s="439">
        <f t="shared" si="15"/>
        <v>0</v>
      </c>
      <c r="G59" s="439">
        <f t="shared" si="16"/>
        <v>0</v>
      </c>
    </row>
    <row r="60" spans="1:8" ht="19.899999999999999" customHeight="1" x14ac:dyDescent="0.2">
      <c r="A60" s="482">
        <f t="shared" si="12"/>
        <v>0</v>
      </c>
      <c r="B60" s="445">
        <f t="shared" si="13"/>
        <v>0</v>
      </c>
      <c r="C60" s="445"/>
      <c r="D60" s="493">
        <f t="shared" si="14"/>
        <v>0</v>
      </c>
      <c r="E60" s="437"/>
      <c r="F60" s="439">
        <f t="shared" si="15"/>
        <v>0</v>
      </c>
      <c r="G60" s="439">
        <f t="shared" si="16"/>
        <v>0</v>
      </c>
    </row>
    <row r="61" spans="1:8" ht="19.899999999999999" customHeight="1" x14ac:dyDescent="0.2">
      <c r="A61" s="482">
        <f t="shared" si="12"/>
        <v>0</v>
      </c>
      <c r="B61" s="445">
        <f t="shared" si="13"/>
        <v>0</v>
      </c>
      <c r="C61" s="445"/>
      <c r="D61" s="493">
        <f t="shared" si="14"/>
        <v>0</v>
      </c>
      <c r="E61" s="437"/>
      <c r="F61" s="439">
        <f t="shared" si="15"/>
        <v>0</v>
      </c>
      <c r="G61" s="439">
        <f t="shared" si="16"/>
        <v>0</v>
      </c>
    </row>
    <row r="62" spans="1:8" ht="19.899999999999999" customHeight="1" x14ac:dyDescent="0.2">
      <c r="A62" s="482">
        <f t="shared" si="12"/>
        <v>0</v>
      </c>
      <c r="B62" s="445">
        <f t="shared" si="13"/>
        <v>0</v>
      </c>
      <c r="C62" s="445"/>
      <c r="D62" s="493">
        <f t="shared" si="14"/>
        <v>0</v>
      </c>
      <c r="E62" s="437"/>
      <c r="F62" s="439">
        <f t="shared" si="15"/>
        <v>0</v>
      </c>
      <c r="G62" s="439">
        <f t="shared" si="16"/>
        <v>0</v>
      </c>
    </row>
    <row r="63" spans="1:8" ht="19.899999999999999" customHeight="1" x14ac:dyDescent="0.2">
      <c r="A63" s="482">
        <f t="shared" si="12"/>
        <v>0</v>
      </c>
      <c r="B63" s="445">
        <f t="shared" si="13"/>
        <v>0</v>
      </c>
      <c r="C63" s="445"/>
      <c r="D63" s="493">
        <f t="shared" si="14"/>
        <v>0</v>
      </c>
      <c r="E63" s="437"/>
      <c r="F63" s="439">
        <f t="shared" si="15"/>
        <v>0</v>
      </c>
      <c r="G63" s="439">
        <f t="shared" si="16"/>
        <v>0</v>
      </c>
    </row>
    <row r="64" spans="1:8" ht="19.899999999999999" customHeight="1" x14ac:dyDescent="0.2">
      <c r="A64" s="482">
        <f t="shared" si="12"/>
        <v>0</v>
      </c>
      <c r="B64" s="445">
        <f t="shared" si="13"/>
        <v>0</v>
      </c>
      <c r="C64" s="445"/>
      <c r="D64" s="493">
        <f t="shared" si="14"/>
        <v>0</v>
      </c>
      <c r="E64" s="437"/>
      <c r="F64" s="439">
        <f t="shared" si="15"/>
        <v>0</v>
      </c>
      <c r="G64" s="439">
        <f t="shared" si="16"/>
        <v>0</v>
      </c>
    </row>
    <row r="65" spans="1:8" ht="19.899999999999999" customHeight="1" x14ac:dyDescent="0.2">
      <c r="A65" s="480"/>
      <c r="B65" s="139"/>
      <c r="C65" s="139"/>
      <c r="D65" s="426"/>
      <c r="E65" s="427"/>
      <c r="F65" s="448" t="s">
        <v>29</v>
      </c>
      <c r="G65" s="485">
        <f>SUBTOTAL(9,G54:G64)</f>
        <v>0</v>
      </c>
    </row>
    <row r="66" spans="1:8" ht="19.899999999999999" customHeight="1" x14ac:dyDescent="0.2">
      <c r="A66" s="480"/>
      <c r="B66" s="139"/>
      <c r="C66" s="422" t="s">
        <v>983</v>
      </c>
      <c r="D66" s="426"/>
      <c r="E66" s="427"/>
      <c r="F66" s="428"/>
      <c r="G66" s="481"/>
    </row>
    <row r="67" spans="1:8" ht="19.899999999999999" customHeight="1" x14ac:dyDescent="0.2">
      <c r="A67" s="720" t="s">
        <v>576</v>
      </c>
      <c r="B67" s="721"/>
      <c r="C67" s="722" t="s">
        <v>0</v>
      </c>
      <c r="D67" s="722" t="s">
        <v>1725</v>
      </c>
      <c r="E67" s="724" t="s">
        <v>24</v>
      </c>
      <c r="F67" s="726" t="s">
        <v>25</v>
      </c>
      <c r="G67" s="728" t="s">
        <v>26</v>
      </c>
    </row>
    <row r="68" spans="1:8" ht="19.899999999999999" customHeight="1" x14ac:dyDescent="0.2">
      <c r="A68" s="444" t="s">
        <v>577</v>
      </c>
      <c r="B68" s="444" t="s">
        <v>578</v>
      </c>
      <c r="C68" s="723"/>
      <c r="D68" s="723"/>
      <c r="E68" s="725"/>
      <c r="F68" s="727"/>
      <c r="G68" s="729"/>
    </row>
    <row r="69" spans="1:8" ht="19.899999999999999" customHeight="1" x14ac:dyDescent="0.2">
      <c r="A69" s="482">
        <f>IFERROR(VLOOKUP(C69,T_Insumos,4,FALSE),0)</f>
        <v>0</v>
      </c>
      <c r="B69" s="445">
        <f>IFERROR(VLOOKUP(C69,T_Insumos,5,FALSE),0)</f>
        <v>0</v>
      </c>
      <c r="C69" s="436"/>
      <c r="D69" s="493">
        <f>IF(C69=0,0,"$/tnkm")</f>
        <v>0</v>
      </c>
      <c r="E69" s="437"/>
      <c r="F69" s="439">
        <f>IFERROR(VLOOKUP(C69,T_Insumos,3,FALSE),0)</f>
        <v>0</v>
      </c>
      <c r="G69" s="439">
        <f>ROUND(E69*F69,2)</f>
        <v>0</v>
      </c>
    </row>
    <row r="70" spans="1:8" ht="19.899999999999999" customHeight="1" x14ac:dyDescent="0.2">
      <c r="A70" s="482">
        <f>IFERROR(VLOOKUP(C70,T_Insumos,4,FALSE),0)</f>
        <v>0</v>
      </c>
      <c r="B70" s="445">
        <f>IFERROR(VLOOKUP(C70,T_Insumos,5,FALSE),0)</f>
        <v>0</v>
      </c>
      <c r="C70" s="436"/>
      <c r="D70" s="493">
        <f>IF(C70=0,0,"$/tnkm")</f>
        <v>0</v>
      </c>
      <c r="E70" s="453"/>
      <c r="F70" s="439">
        <f>IFERROR(VLOOKUP(C70,T_Insumos,3,FALSE),0)</f>
        <v>0</v>
      </c>
      <c r="G70" s="439">
        <f t="shared" ref="G70" si="17">ROUND(E70*F70,2)</f>
        <v>0</v>
      </c>
    </row>
    <row r="71" spans="1:8" ht="19.899999999999999" customHeight="1" x14ac:dyDescent="0.2">
      <c r="A71" s="480"/>
      <c r="B71" s="139"/>
      <c r="C71" s="139"/>
      <c r="D71" s="426"/>
      <c r="E71" s="427"/>
      <c r="F71" s="448" t="s">
        <v>984</v>
      </c>
      <c r="G71" s="485">
        <f>SUBTOTAL(9,G69:G70)</f>
        <v>0</v>
      </c>
      <c r="H71" s="46"/>
    </row>
    <row r="72" spans="1:8" ht="19.899999999999999" customHeight="1" x14ac:dyDescent="0.2">
      <c r="A72" s="483"/>
      <c r="B72" s="426"/>
      <c r="C72" s="139"/>
      <c r="D72" s="426"/>
      <c r="E72" s="427"/>
      <c r="F72" s="428"/>
      <c r="G72" s="481"/>
      <c r="H72" s="46"/>
    </row>
    <row r="73" spans="1:8" ht="19.899999999999999" customHeight="1" x14ac:dyDescent="0.2">
      <c r="A73" s="541" t="str">
        <f>B7</f>
        <v>1.1</v>
      </c>
      <c r="B73" s="538" t="str">
        <f ca="1">C7</f>
        <v>Elaboración Proyecto Ejecutivo</v>
      </c>
      <c r="C73" s="426"/>
      <c r="D73" s="426" t="s">
        <v>1704</v>
      </c>
      <c r="E73" s="539"/>
      <c r="F73" s="540" t="str">
        <f ca="1">"$/"&amp;G7</f>
        <v>$/Gl</v>
      </c>
      <c r="G73" s="490">
        <f>SUBTOTAL(9,G30:G72)</f>
        <v>0</v>
      </c>
      <c r="H73" s="46"/>
    </row>
    <row r="74" spans="1:8" ht="19.899999999999999" customHeight="1" x14ac:dyDescent="0.2">
      <c r="A74" s="486"/>
      <c r="B74" s="487"/>
      <c r="C74" s="488"/>
      <c r="D74" s="488" t="s">
        <v>1900</v>
      </c>
      <c r="E74" s="489"/>
      <c r="F74" s="542" t="str">
        <f ca="1">"$/"&amp;G7</f>
        <v>$/Gl</v>
      </c>
      <c r="G74" s="490">
        <f>ROUND(G73*Coeficiente_Paso,2)</f>
        <v>0</v>
      </c>
      <c r="H74" s="46"/>
    </row>
    <row r="75" spans="1:8" ht="19.899999999999999" customHeight="1" x14ac:dyDescent="0.2">
      <c r="A75" s="139"/>
      <c r="B75" s="139"/>
      <c r="C75" s="139"/>
      <c r="D75" s="139"/>
      <c r="E75" s="139"/>
      <c r="F75" s="139"/>
      <c r="G75" s="139"/>
      <c r="H75" s="46"/>
    </row>
    <row r="76" spans="1:8" ht="19.899999999999999" customHeight="1" x14ac:dyDescent="0.2">
      <c r="A76" s="730" t="s">
        <v>31</v>
      </c>
      <c r="B76" s="731"/>
      <c r="C76" s="731"/>
      <c r="D76" s="731"/>
      <c r="E76" s="731"/>
      <c r="F76" s="731"/>
      <c r="G76" s="732"/>
    </row>
    <row r="77" spans="1:8" ht="19.899999999999999" customHeight="1" x14ac:dyDescent="0.2">
      <c r="A77" s="469" t="s">
        <v>711</v>
      </c>
      <c r="B77" s="420" t="str">
        <f>Comitente</f>
        <v>DEPARTAMENTO DE HIDRAULICA</v>
      </c>
      <c r="C77" s="421"/>
      <c r="D77" s="422"/>
      <c r="E77" s="422"/>
      <c r="F77" s="423"/>
      <c r="G77" s="470"/>
    </row>
    <row r="78" spans="1:8" ht="19.899999999999999" customHeight="1" x14ac:dyDescent="0.2">
      <c r="A78" s="469" t="s">
        <v>712</v>
      </c>
      <c r="B78" s="420">
        <f>Contratista</f>
        <v>0</v>
      </c>
      <c r="C78" s="424"/>
      <c r="D78" s="424"/>
      <c r="E78" s="424"/>
      <c r="F78" s="420"/>
      <c r="G78" s="471"/>
    </row>
    <row r="79" spans="1:8" ht="19.899999999999999" customHeight="1" x14ac:dyDescent="0.2">
      <c r="A79" s="469" t="s">
        <v>21</v>
      </c>
      <c r="B79" s="420" t="str">
        <f>Obra</f>
        <v>Encamisado Parcial del Canal de Calle América</v>
      </c>
      <c r="C79" s="424"/>
      <c r="D79" s="424"/>
      <c r="E79" s="424"/>
      <c r="F79" s="420" t="s">
        <v>32</v>
      </c>
      <c r="G79" s="471" t="str">
        <f>Fecha_Base</f>
        <v>X/X/2023</v>
      </c>
    </row>
    <row r="80" spans="1:8" ht="19.899999999999999" customHeight="1" x14ac:dyDescent="0.2">
      <c r="A80" s="472" t="s">
        <v>710</v>
      </c>
      <c r="B80" s="425" t="str">
        <f>Ubicación</f>
        <v>Departamento Rawson</v>
      </c>
      <c r="C80" s="425"/>
      <c r="D80" s="426"/>
      <c r="E80" s="427"/>
      <c r="F80" s="428"/>
      <c r="G80" s="473"/>
    </row>
    <row r="81" spans="1:8" ht="19.899999999999999" customHeight="1" x14ac:dyDescent="0.2">
      <c r="A81" s="472" t="s">
        <v>33</v>
      </c>
      <c r="B81" s="429">
        <f>IFERROR(VALUE(LEFT(B82,FIND(".",B82)-1)),"")</f>
        <v>2</v>
      </c>
      <c r="C81" s="139" t="str">
        <f ca="1">IFERROR(VLOOKUP(B81,T_Computo_Presupuesto,2,FALSE),0)</f>
        <v>CANAL AMÉRICA</v>
      </c>
      <c r="D81" s="139"/>
      <c r="E81" s="427"/>
      <c r="F81" s="428"/>
      <c r="G81" s="473"/>
    </row>
    <row r="82" spans="1:8" ht="19.899999999999999" customHeight="1" x14ac:dyDescent="0.2">
      <c r="A82" s="472" t="s">
        <v>22</v>
      </c>
      <c r="B82" s="430" t="str">
        <f>IFERROR(VLOOKUP(COUNTIF($A$1:A82,"ANALISIS DE PRECIOS"),T_NumeroItem,2,FALSE),"")</f>
        <v>2.1</v>
      </c>
      <c r="C82" s="733" t="str">
        <f ca="1">IFERROR(VLOOKUP(B82,T_Computo_Presupuesto,2,FALSE),0)</f>
        <v>Preparación y Limpieza del Terreno</v>
      </c>
      <c r="D82" s="733"/>
      <c r="E82" s="733"/>
      <c r="F82" s="425" t="s">
        <v>23</v>
      </c>
      <c r="G82" s="474" t="str">
        <f ca="1">IFERROR(VLOOKUP(B82,T_Computo_Presupuesto,4,FALSE),0)</f>
        <v>Gl</v>
      </c>
    </row>
    <row r="83" spans="1:8" ht="19.899999999999999" customHeight="1" x14ac:dyDescent="0.2">
      <c r="A83" s="472"/>
      <c r="B83" s="425"/>
      <c r="C83" s="139"/>
      <c r="D83" s="426"/>
      <c r="E83" s="427"/>
      <c r="F83" s="139"/>
      <c r="G83" s="475"/>
    </row>
    <row r="84" spans="1:8" ht="19.899999999999999" customHeight="1" x14ac:dyDescent="0.2">
      <c r="A84" s="476"/>
      <c r="B84" s="431"/>
      <c r="C84" s="432" t="s">
        <v>967</v>
      </c>
      <c r="D84" s="431"/>
      <c r="E84" s="431"/>
      <c r="F84" s="431"/>
      <c r="G84" s="477"/>
    </row>
    <row r="85" spans="1:8" ht="19.899999999999999" customHeight="1" x14ac:dyDescent="0.2">
      <c r="A85" s="472"/>
      <c r="B85" s="433"/>
      <c r="C85" s="139"/>
      <c r="D85" s="426"/>
      <c r="E85" s="427"/>
      <c r="F85" s="425"/>
      <c r="G85" s="474"/>
    </row>
    <row r="86" spans="1:8" ht="19.899999999999999" customHeight="1" x14ac:dyDescent="0.2">
      <c r="A86" s="472"/>
      <c r="B86" s="433"/>
      <c r="C86" s="434" t="s">
        <v>968</v>
      </c>
      <c r="D86" s="435" t="s">
        <v>24</v>
      </c>
      <c r="E86" s="435" t="s">
        <v>969</v>
      </c>
      <c r="F86" s="435" t="s">
        <v>970</v>
      </c>
      <c r="G86" s="434" t="s">
        <v>971</v>
      </c>
    </row>
    <row r="87" spans="1:8" ht="19.899999999999999" customHeight="1" x14ac:dyDescent="0.2">
      <c r="A87" s="472"/>
      <c r="B87" s="433"/>
      <c r="C87" s="436">
        <f>+Equipos!A21</f>
        <v>0</v>
      </c>
      <c r="D87" s="437"/>
      <c r="E87" s="438">
        <f t="shared" ref="E87:E96" si="18">IFERROR(VLOOKUP(C87,T_Equipos,4,FALSE),0)</f>
        <v>0</v>
      </c>
      <c r="F87" s="439">
        <f t="shared" ref="F87:F96" si="19">IFERROR(VLOOKUP(C87,T_Equipos,5,FALSE),0)</f>
        <v>0</v>
      </c>
      <c r="G87" s="439">
        <f>ROUND(D87*F87,2)</f>
        <v>0</v>
      </c>
    </row>
    <row r="88" spans="1:8" ht="19.899999999999999" customHeight="1" x14ac:dyDescent="0.2">
      <c r="A88" s="472"/>
      <c r="B88" s="433"/>
      <c r="C88" s="436">
        <f>+Equipos!A23</f>
        <v>0</v>
      </c>
      <c r="D88" s="437"/>
      <c r="E88" s="438">
        <f t="shared" si="18"/>
        <v>0</v>
      </c>
      <c r="F88" s="439">
        <f t="shared" si="19"/>
        <v>0</v>
      </c>
      <c r="G88" s="439">
        <f>ROUND(D88*F88,2)</f>
        <v>0</v>
      </c>
    </row>
    <row r="89" spans="1:8" ht="19.899999999999999" customHeight="1" x14ac:dyDescent="0.2">
      <c r="A89" s="472"/>
      <c r="B89" s="433"/>
      <c r="C89" s="436">
        <f>+Equipos!A13</f>
        <v>0</v>
      </c>
      <c r="D89" s="437"/>
      <c r="E89" s="438">
        <f t="shared" si="18"/>
        <v>0</v>
      </c>
      <c r="F89" s="439">
        <f t="shared" si="19"/>
        <v>0</v>
      </c>
      <c r="G89" s="439">
        <f>ROUND(D89*F89,2)</f>
        <v>0</v>
      </c>
    </row>
    <row r="90" spans="1:8" ht="19.899999999999999" customHeight="1" x14ac:dyDescent="0.2">
      <c r="A90" s="472"/>
      <c r="B90" s="433"/>
      <c r="C90" s="436">
        <f>+Equipos!A15</f>
        <v>0</v>
      </c>
      <c r="D90" s="437"/>
      <c r="E90" s="438">
        <f t="shared" si="18"/>
        <v>0</v>
      </c>
      <c r="F90" s="439">
        <f t="shared" si="19"/>
        <v>0</v>
      </c>
      <c r="G90" s="439">
        <f>ROUND(D90*F90,2)</f>
        <v>0</v>
      </c>
    </row>
    <row r="91" spans="1:8" ht="19.899999999999999" customHeight="1" x14ac:dyDescent="0.2">
      <c r="A91" s="472"/>
      <c r="B91" s="433"/>
      <c r="C91" s="436">
        <f>+Equipos!A25</f>
        <v>0</v>
      </c>
      <c r="D91" s="437"/>
      <c r="E91" s="438">
        <f t="shared" si="18"/>
        <v>0</v>
      </c>
      <c r="F91" s="439">
        <f t="shared" si="19"/>
        <v>0</v>
      </c>
      <c r="G91" s="439">
        <f t="shared" ref="G91:G96" si="20">ROUND(D91*F91,2)</f>
        <v>0</v>
      </c>
    </row>
    <row r="92" spans="1:8" ht="19.899999999999999" customHeight="1" x14ac:dyDescent="0.2">
      <c r="A92" s="472"/>
      <c r="B92" s="433"/>
      <c r="C92" s="436">
        <f>+Equipos!A33</f>
        <v>0</v>
      </c>
      <c r="D92" s="437"/>
      <c r="E92" s="438">
        <f t="shared" si="18"/>
        <v>0</v>
      </c>
      <c r="F92" s="439">
        <f t="shared" si="19"/>
        <v>0</v>
      </c>
      <c r="G92" s="439">
        <f t="shared" si="20"/>
        <v>0</v>
      </c>
    </row>
    <row r="93" spans="1:8" ht="19.899999999999999" customHeight="1" x14ac:dyDescent="0.2">
      <c r="A93" s="472"/>
      <c r="B93" s="433"/>
      <c r="C93" s="436"/>
      <c r="D93" s="437"/>
      <c r="E93" s="438">
        <f t="shared" si="18"/>
        <v>0</v>
      </c>
      <c r="F93" s="439">
        <f t="shared" si="19"/>
        <v>0</v>
      </c>
      <c r="G93" s="439">
        <f t="shared" si="20"/>
        <v>0</v>
      </c>
    </row>
    <row r="94" spans="1:8" ht="19.899999999999999" customHeight="1" x14ac:dyDescent="0.2">
      <c r="A94" s="472"/>
      <c r="B94" s="433"/>
      <c r="C94" s="436"/>
      <c r="D94" s="437"/>
      <c r="E94" s="438">
        <f t="shared" si="18"/>
        <v>0</v>
      </c>
      <c r="F94" s="439">
        <f t="shared" si="19"/>
        <v>0</v>
      </c>
      <c r="G94" s="439">
        <f t="shared" si="20"/>
        <v>0</v>
      </c>
    </row>
    <row r="95" spans="1:8" ht="19.899999999999999" customHeight="1" x14ac:dyDescent="0.2">
      <c r="A95" s="472"/>
      <c r="B95" s="433"/>
      <c r="C95" s="436"/>
      <c r="D95" s="437"/>
      <c r="E95" s="438">
        <f t="shared" si="18"/>
        <v>0</v>
      </c>
      <c r="F95" s="439">
        <f t="shared" si="19"/>
        <v>0</v>
      </c>
      <c r="G95" s="439">
        <f t="shared" si="20"/>
        <v>0</v>
      </c>
    </row>
    <row r="96" spans="1:8" ht="19.899999999999999" customHeight="1" x14ac:dyDescent="0.2">
      <c r="A96" s="472"/>
      <c r="B96" s="433"/>
      <c r="C96" s="436"/>
      <c r="D96" s="437"/>
      <c r="E96" s="438">
        <f t="shared" si="18"/>
        <v>0</v>
      </c>
      <c r="F96" s="439">
        <f t="shared" si="19"/>
        <v>0</v>
      </c>
      <c r="G96" s="439">
        <f t="shared" si="20"/>
        <v>0</v>
      </c>
      <c r="H96" s="617"/>
    </row>
    <row r="97" spans="1:7" ht="19.899999999999999" customHeight="1" x14ac:dyDescent="0.2">
      <c r="A97" s="472"/>
      <c r="B97" s="433"/>
      <c r="C97" s="139"/>
      <c r="D97" s="139"/>
      <c r="E97" s="440"/>
      <c r="F97" s="425"/>
      <c r="G97" s="474"/>
    </row>
    <row r="98" spans="1:7" ht="19.899999999999999" customHeight="1" x14ac:dyDescent="0.2">
      <c r="A98" s="472"/>
      <c r="B98" s="139"/>
      <c r="C98" s="422" t="s">
        <v>972</v>
      </c>
      <c r="D98" s="425" t="s">
        <v>969</v>
      </c>
      <c r="E98" s="491">
        <f>SUMPRODUCT(D87:D96,E87:E96)</f>
        <v>0</v>
      </c>
      <c r="F98" s="425" t="s">
        <v>973</v>
      </c>
      <c r="G98" s="492">
        <f>SUM(G87:G96)</f>
        <v>0</v>
      </c>
    </row>
    <row r="99" spans="1:7" ht="19.899999999999999" customHeight="1" x14ac:dyDescent="0.2">
      <c r="A99" s="472"/>
      <c r="B99" s="433"/>
      <c r="C99" s="441"/>
      <c r="D99" s="440"/>
      <c r="E99" s="427"/>
      <c r="F99" s="425"/>
      <c r="G99" s="478"/>
    </row>
    <row r="100" spans="1:7" ht="19.899999999999999" customHeight="1" x14ac:dyDescent="0.2">
      <c r="A100" s="479"/>
      <c r="B100" s="433"/>
      <c r="C100" s="425" t="s">
        <v>974</v>
      </c>
      <c r="D100" s="442">
        <f>IFERROR(VLOOKUP(COUNTIF($A$1:A100,"ANALISIS DE PRECIOS"),T_Rendimiento_Equipo,5,FALSE),0)</f>
        <v>0</v>
      </c>
      <c r="E100" s="443" t="str">
        <f ca="1">G82&amp;"/día"</f>
        <v>Gl/día</v>
      </c>
      <c r="F100" s="419"/>
      <c r="G100" s="474"/>
    </row>
    <row r="101" spans="1:7" ht="19.899999999999999" customHeight="1" x14ac:dyDescent="0.2">
      <c r="A101" s="472"/>
      <c r="B101" s="433"/>
      <c r="C101" s="139"/>
      <c r="D101" s="426"/>
      <c r="E101" s="427"/>
      <c r="F101" s="425"/>
      <c r="G101" s="474"/>
    </row>
    <row r="102" spans="1:7" ht="19.899999999999999" customHeight="1" x14ac:dyDescent="0.2">
      <c r="A102" s="720" t="s">
        <v>576</v>
      </c>
      <c r="B102" s="721"/>
      <c r="C102" s="722" t="s">
        <v>0</v>
      </c>
      <c r="D102" s="734" t="s">
        <v>1724</v>
      </c>
      <c r="E102" s="734" t="s">
        <v>1723</v>
      </c>
      <c r="F102" s="726" t="s">
        <v>975</v>
      </c>
      <c r="G102" s="728" t="s">
        <v>26</v>
      </c>
    </row>
    <row r="103" spans="1:7" ht="19.899999999999999" customHeight="1" x14ac:dyDescent="0.2">
      <c r="A103" s="444" t="s">
        <v>577</v>
      </c>
      <c r="B103" s="444" t="s">
        <v>578</v>
      </c>
      <c r="C103" s="723"/>
      <c r="D103" s="735"/>
      <c r="E103" s="725"/>
      <c r="F103" s="727"/>
      <c r="G103" s="729"/>
    </row>
    <row r="104" spans="1:7" ht="19.899999999999999" customHeight="1" x14ac:dyDescent="0.2">
      <c r="A104" s="480"/>
      <c r="B104" s="139"/>
      <c r="C104" s="422" t="s">
        <v>976</v>
      </c>
      <c r="D104" s="427"/>
      <c r="E104" s="427"/>
      <c r="F104" s="139"/>
      <c r="G104" s="481"/>
    </row>
    <row r="105" spans="1:7" ht="19.899999999999999" customHeight="1" x14ac:dyDescent="0.2">
      <c r="A105" s="482">
        <f t="shared" ref="A105:A113" si="21">IFERROR(VLOOKUP(C105,T_Insumos,4,FALSE),0)</f>
        <v>0</v>
      </c>
      <c r="B105" s="445">
        <f t="shared" ref="B105:B113" si="22">IFERROR(VLOOKUP(C105,T_Insumos,5,FALSE),0)</f>
        <v>0</v>
      </c>
      <c r="C105" s="436">
        <f>+C30</f>
        <v>0</v>
      </c>
      <c r="D105" s="446">
        <f t="shared" ref="D105:D113" si="23">IFERROR(VLOOKUP(C105,T_Insumos,3,FALSE),0)</f>
        <v>0</v>
      </c>
      <c r="E105" s="439">
        <f>D105*$G$98</f>
        <v>0</v>
      </c>
      <c r="F105" s="442">
        <f>IF(C105="",0,IFERROR(VLOOKUP(COUNTIF($A$1:A105,"ANALISIS DE PRECIOS"),T_Rendimiento_Equipo,5,FALSE),0))</f>
        <v>0</v>
      </c>
      <c r="G105" s="439">
        <f>IFERROR(ROUND(E105/F105,2),0)</f>
        <v>0</v>
      </c>
    </row>
    <row r="106" spans="1:7" ht="19.899999999999999" customHeight="1" x14ac:dyDescent="0.2">
      <c r="A106" s="482">
        <f t="shared" si="21"/>
        <v>0</v>
      </c>
      <c r="B106" s="445">
        <f t="shared" si="22"/>
        <v>0</v>
      </c>
      <c r="C106" s="436">
        <f t="shared" ref="C106:C108" si="24">+C31</f>
        <v>0</v>
      </c>
      <c r="D106" s="446">
        <f t="shared" si="23"/>
        <v>0</v>
      </c>
      <c r="E106" s="439">
        <f t="shared" ref="E106:E107" si="25">D106*$G$98</f>
        <v>0</v>
      </c>
      <c r="F106" s="442">
        <f>IF(C106="",0,IFERROR(VLOOKUP(COUNTIF($A$1:A106,"ANALISIS DE PRECIOS"),T_Rendimiento_Equipo,5,FALSE),0))</f>
        <v>0</v>
      </c>
      <c r="G106" s="439">
        <f t="shared" ref="G106:G113" si="26">IFERROR(ROUND(E106/F106,2),0)</f>
        <v>0</v>
      </c>
    </row>
    <row r="107" spans="1:7" ht="19.899999999999999" customHeight="1" x14ac:dyDescent="0.2">
      <c r="A107" s="482">
        <f t="shared" si="21"/>
        <v>0</v>
      </c>
      <c r="B107" s="445">
        <f t="shared" si="22"/>
        <v>0</v>
      </c>
      <c r="C107" s="436">
        <f t="shared" si="24"/>
        <v>0</v>
      </c>
      <c r="D107" s="446">
        <f t="shared" si="23"/>
        <v>0</v>
      </c>
      <c r="E107" s="439">
        <f t="shared" si="25"/>
        <v>0</v>
      </c>
      <c r="F107" s="442">
        <f>IF(C107="",0,IFERROR(VLOOKUP(COUNTIF($A$1:A107,"ANALISIS DE PRECIOS"),T_Rendimiento_Equipo,5,FALSE),0))</f>
        <v>0</v>
      </c>
      <c r="G107" s="439">
        <f t="shared" si="26"/>
        <v>0</v>
      </c>
    </row>
    <row r="108" spans="1:7" ht="19.899999999999999" customHeight="1" x14ac:dyDescent="0.2">
      <c r="A108" s="482">
        <f t="shared" si="21"/>
        <v>0</v>
      </c>
      <c r="B108" s="445">
        <f t="shared" si="22"/>
        <v>0</v>
      </c>
      <c r="C108" s="436">
        <f t="shared" si="24"/>
        <v>0</v>
      </c>
      <c r="D108" s="446">
        <f t="shared" si="23"/>
        <v>0</v>
      </c>
      <c r="E108" s="439">
        <f>D108*$E$98</f>
        <v>0</v>
      </c>
      <c r="F108" s="442">
        <f>IF(C108="",0,IFERROR(VLOOKUP(COUNTIF($A$1:A108,"ANALISIS DE PRECIOS"),T_Rendimiento_Equipo,5,FALSE),0))</f>
        <v>0</v>
      </c>
      <c r="G108" s="439">
        <f t="shared" si="26"/>
        <v>0</v>
      </c>
    </row>
    <row r="109" spans="1:7" ht="19.899999999999999" customHeight="1" x14ac:dyDescent="0.2">
      <c r="A109" s="482">
        <f t="shared" si="21"/>
        <v>0</v>
      </c>
      <c r="B109" s="445">
        <f t="shared" si="22"/>
        <v>0</v>
      </c>
      <c r="C109" s="447"/>
      <c r="D109" s="446">
        <f t="shared" si="23"/>
        <v>0</v>
      </c>
      <c r="E109" s="439"/>
      <c r="F109" s="442">
        <f>IF(C109="",0,IFERROR(VLOOKUP(COUNTIF($A$1:A109,"ANALISIS DE PRECIOS"),T_Rendimiento_Equipo,5,FALSE),0))</f>
        <v>0</v>
      </c>
      <c r="G109" s="439">
        <f t="shared" si="26"/>
        <v>0</v>
      </c>
    </row>
    <row r="110" spans="1:7" ht="19.899999999999999" customHeight="1" x14ac:dyDescent="0.2">
      <c r="A110" s="482">
        <f t="shared" si="21"/>
        <v>0</v>
      </c>
      <c r="B110" s="445">
        <f t="shared" si="22"/>
        <v>0</v>
      </c>
      <c r="C110" s="447"/>
      <c r="D110" s="446">
        <f t="shared" si="23"/>
        <v>0</v>
      </c>
      <c r="E110" s="439"/>
      <c r="F110" s="442">
        <f>IF(C110="",0,IFERROR(VLOOKUP(COUNTIF($A$1:A110,"ANALISIS DE PRECIOS"),T_Rendimiento_Equipo,5,FALSE),0))</f>
        <v>0</v>
      </c>
      <c r="G110" s="439">
        <f t="shared" si="26"/>
        <v>0</v>
      </c>
    </row>
    <row r="111" spans="1:7" ht="19.899999999999999" customHeight="1" x14ac:dyDescent="0.2">
      <c r="A111" s="482">
        <f t="shared" si="21"/>
        <v>0</v>
      </c>
      <c r="B111" s="445">
        <f t="shared" si="22"/>
        <v>0</v>
      </c>
      <c r="C111" s="447"/>
      <c r="D111" s="446">
        <f t="shared" si="23"/>
        <v>0</v>
      </c>
      <c r="E111" s="439"/>
      <c r="F111" s="442">
        <f>IF(C111="",0,IFERROR(VLOOKUP(COUNTIF($A$1:A111,"ANALISIS DE PRECIOS"),T_Rendimiento_Equipo,5,FALSE),0))</f>
        <v>0</v>
      </c>
      <c r="G111" s="439">
        <f t="shared" si="26"/>
        <v>0</v>
      </c>
    </row>
    <row r="112" spans="1:7" ht="19.899999999999999" customHeight="1" x14ac:dyDescent="0.2">
      <c r="A112" s="482">
        <f t="shared" si="21"/>
        <v>0</v>
      </c>
      <c r="B112" s="445">
        <f t="shared" si="22"/>
        <v>0</v>
      </c>
      <c r="C112" s="447"/>
      <c r="D112" s="446">
        <f t="shared" si="23"/>
        <v>0</v>
      </c>
      <c r="E112" s="439"/>
      <c r="F112" s="442">
        <f>IF(C112="",0,IFERROR(VLOOKUP(COUNTIF($A$1:A112,"ANALISIS DE PRECIOS"),T_Rendimiento_Equipo,5,FALSE),0))</f>
        <v>0</v>
      </c>
      <c r="G112" s="439">
        <f t="shared" si="26"/>
        <v>0</v>
      </c>
    </row>
    <row r="113" spans="1:8" ht="19.899999999999999" customHeight="1" x14ac:dyDescent="0.2">
      <c r="A113" s="482">
        <f t="shared" si="21"/>
        <v>0</v>
      </c>
      <c r="B113" s="445">
        <f t="shared" si="22"/>
        <v>0</v>
      </c>
      <c r="C113" s="436"/>
      <c r="D113" s="446">
        <f t="shared" si="23"/>
        <v>0</v>
      </c>
      <c r="E113" s="439"/>
      <c r="F113" s="442">
        <f>IF(C113="",0,IFERROR(VLOOKUP(COUNTIF($A$1:A113,"ANALISIS DE PRECIOS"),T_Rendimiento_Equipo,5,FALSE),0))</f>
        <v>0</v>
      </c>
      <c r="G113" s="439">
        <f t="shared" si="26"/>
        <v>0</v>
      </c>
    </row>
    <row r="114" spans="1:8" ht="19.899999999999999" customHeight="1" x14ac:dyDescent="0.2">
      <c r="A114" s="483"/>
      <c r="B114" s="426"/>
      <c r="C114" s="139"/>
      <c r="D114" s="426"/>
      <c r="E114" s="427"/>
      <c r="F114" s="448" t="s">
        <v>27</v>
      </c>
      <c r="G114" s="484">
        <f>SUBTOTAL(9,G105:G113)</f>
        <v>0</v>
      </c>
      <c r="H114" s="616"/>
    </row>
    <row r="115" spans="1:8" ht="19.899999999999999" customHeight="1" x14ac:dyDescent="0.2">
      <c r="A115" s="480"/>
      <c r="B115" s="139"/>
      <c r="C115" s="422" t="s">
        <v>713</v>
      </c>
      <c r="D115" s="426"/>
      <c r="E115" s="427"/>
      <c r="F115" s="428"/>
      <c r="G115" s="481"/>
    </row>
    <row r="116" spans="1:8" ht="19.899999999999999" customHeight="1" x14ac:dyDescent="0.2">
      <c r="A116" s="720" t="s">
        <v>576</v>
      </c>
      <c r="B116" s="721"/>
      <c r="C116" s="722" t="s">
        <v>0</v>
      </c>
      <c r="D116" s="724" t="s">
        <v>24</v>
      </c>
      <c r="E116" s="724" t="s">
        <v>1964</v>
      </c>
      <c r="F116" s="726" t="s">
        <v>975</v>
      </c>
      <c r="G116" s="728" t="s">
        <v>26</v>
      </c>
    </row>
    <row r="117" spans="1:8" ht="19.899999999999999" customHeight="1" x14ac:dyDescent="0.2">
      <c r="A117" s="444" t="s">
        <v>577</v>
      </c>
      <c r="B117" s="444" t="s">
        <v>578</v>
      </c>
      <c r="C117" s="723"/>
      <c r="D117" s="725"/>
      <c r="E117" s="725"/>
      <c r="F117" s="727"/>
      <c r="G117" s="729"/>
    </row>
    <row r="118" spans="1:8" ht="19.899999999999999" customHeight="1" x14ac:dyDescent="0.2">
      <c r="A118" s="482">
        <f t="shared" ref="A118:A124" si="27">IFERROR(VLOOKUP(C118,T_Insumos,4,FALSE),0)</f>
        <v>0</v>
      </c>
      <c r="B118" s="445">
        <f t="shared" ref="B118:B124" si="28">IFERROR(VLOOKUP(C118,T_Insumos,5,FALSE),0)</f>
        <v>0</v>
      </c>
      <c r="C118" s="449">
        <f>+C43</f>
        <v>0</v>
      </c>
      <c r="D118" s="442">
        <f>0.09</f>
        <v>0.09</v>
      </c>
      <c r="E118" s="439">
        <f t="shared" ref="E118:E124" si="29">IFERROR(VLOOKUP(C118,T_Insumos,3,FALSE),0)</f>
        <v>0</v>
      </c>
      <c r="F118" s="442">
        <f>IF(C118="",0,IFERROR(VLOOKUP(COUNTIF($A$1:A118,"ANALISIS DE PRECIOS"),T_Rendimiento_Equipo,5,FALSE),0))</f>
        <v>0</v>
      </c>
      <c r="G118" s="439">
        <f>IFERROR(ROUND(D118*E118/F118,2),0)</f>
        <v>0</v>
      </c>
    </row>
    <row r="119" spans="1:8" ht="19.899999999999999" customHeight="1" x14ac:dyDescent="0.2">
      <c r="A119" s="482">
        <f t="shared" si="27"/>
        <v>0</v>
      </c>
      <c r="B119" s="445">
        <f t="shared" si="28"/>
        <v>0</v>
      </c>
      <c r="C119" s="449">
        <f t="shared" ref="C119:C121" si="30">+C44</f>
        <v>0</v>
      </c>
      <c r="D119" s="442">
        <v>3.09</v>
      </c>
      <c r="E119" s="439">
        <f t="shared" si="29"/>
        <v>0</v>
      </c>
      <c r="F119" s="442">
        <f>IF(C119="",0,IFERROR(VLOOKUP(COUNTIF($A$1:A119,"ANALISIS DE PRECIOS"),T_Rendimiento_Equipo,5,FALSE),0))</f>
        <v>0</v>
      </c>
      <c r="G119" s="439">
        <f t="shared" ref="G119:G124" si="31">IFERROR(ROUND(D119*E119/F119,2),0)</f>
        <v>0</v>
      </c>
      <c r="H119" s="616"/>
    </row>
    <row r="120" spans="1:8" ht="19.899999999999999" customHeight="1" x14ac:dyDescent="0.2">
      <c r="A120" s="482">
        <f t="shared" si="27"/>
        <v>0</v>
      </c>
      <c r="B120" s="445">
        <f t="shared" si="28"/>
        <v>0</v>
      </c>
      <c r="C120" s="449">
        <f t="shared" si="30"/>
        <v>0</v>
      </c>
      <c r="D120" s="442"/>
      <c r="E120" s="439">
        <f t="shared" si="29"/>
        <v>0</v>
      </c>
      <c r="F120" s="442">
        <f>IF(C120="",0,IFERROR(VLOOKUP(COUNTIF($A$1:A120,"ANALISIS DE PRECIOS"),T_Rendimiento_Equipo,5,FALSE),0))</f>
        <v>0</v>
      </c>
      <c r="G120" s="439">
        <f t="shared" si="31"/>
        <v>0</v>
      </c>
      <c r="H120" s="615"/>
    </row>
    <row r="121" spans="1:8" ht="19.899999999999999" customHeight="1" x14ac:dyDescent="0.2">
      <c r="A121" s="482">
        <f t="shared" si="27"/>
        <v>0</v>
      </c>
      <c r="B121" s="445">
        <f t="shared" si="28"/>
        <v>0</v>
      </c>
      <c r="C121" s="449">
        <f t="shared" si="30"/>
        <v>0</v>
      </c>
      <c r="D121" s="442">
        <v>4.09</v>
      </c>
      <c r="E121" s="439">
        <f t="shared" si="29"/>
        <v>0</v>
      </c>
      <c r="F121" s="442">
        <f>IF(C121="",0,IFERROR(VLOOKUP(COUNTIF($A$1:A121,"ANALISIS DE PRECIOS"),T_Rendimiento_Equipo,5,FALSE),0))</f>
        <v>0</v>
      </c>
      <c r="G121" s="439">
        <f>IFERROR(ROUND(D121*E121/F121,2),0)</f>
        <v>0</v>
      </c>
    </row>
    <row r="122" spans="1:8" ht="19.899999999999999" customHeight="1" x14ac:dyDescent="0.2">
      <c r="A122" s="482">
        <f t="shared" si="27"/>
        <v>0</v>
      </c>
      <c r="B122" s="445">
        <f t="shared" si="28"/>
        <v>0</v>
      </c>
      <c r="C122" s="436"/>
      <c r="D122" s="442"/>
      <c r="E122" s="439">
        <f t="shared" si="29"/>
        <v>0</v>
      </c>
      <c r="F122" s="442">
        <f>IF(C122="",0,IFERROR(VLOOKUP(COUNTIF($A$1:A122,"ANALISIS DE PRECIOS"),T_Rendimiento_Equipo,5,FALSE),0))</f>
        <v>0</v>
      </c>
      <c r="G122" s="439">
        <f t="shared" si="31"/>
        <v>0</v>
      </c>
    </row>
    <row r="123" spans="1:8" ht="19.899999999999999" customHeight="1" x14ac:dyDescent="0.2">
      <c r="A123" s="482">
        <f t="shared" si="27"/>
        <v>0</v>
      </c>
      <c r="B123" s="445">
        <f t="shared" si="28"/>
        <v>0</v>
      </c>
      <c r="C123" s="436"/>
      <c r="D123" s="450"/>
      <c r="E123" s="439">
        <f t="shared" si="29"/>
        <v>0</v>
      </c>
      <c r="F123" s="442">
        <f>IF(C123="",0,IFERROR(VLOOKUP(COUNTIF($A$1:A123,"ANALISIS DE PRECIOS"),T_Rendimiento_Equipo,5,FALSE),0))</f>
        <v>0</v>
      </c>
      <c r="G123" s="439">
        <f t="shared" si="31"/>
        <v>0</v>
      </c>
    </row>
    <row r="124" spans="1:8" ht="19.899999999999999" customHeight="1" x14ac:dyDescent="0.2">
      <c r="A124" s="482">
        <f t="shared" si="27"/>
        <v>0</v>
      </c>
      <c r="B124" s="445">
        <f t="shared" si="28"/>
        <v>0</v>
      </c>
      <c r="C124" s="445"/>
      <c r="D124" s="451"/>
      <c r="E124" s="439">
        <f t="shared" si="29"/>
        <v>0</v>
      </c>
      <c r="F124" s="442">
        <f>IF(C124="",0,IFERROR(VLOOKUP(COUNTIF($A$1:A124,"ANALISIS DE PRECIOS"),T_Rendimiento_Equipo,5,FALSE),0))</f>
        <v>0</v>
      </c>
      <c r="G124" s="439">
        <f t="shared" si="31"/>
        <v>0</v>
      </c>
    </row>
    <row r="125" spans="1:8" ht="19.899999999999999" customHeight="1" x14ac:dyDescent="0.2">
      <c r="A125" s="483"/>
      <c r="B125" s="426"/>
      <c r="C125" s="139"/>
      <c r="D125" s="426"/>
      <c r="E125" s="427"/>
      <c r="F125" s="448" t="s">
        <v>28</v>
      </c>
      <c r="G125" s="485">
        <f>SUBTOTAL(9,G118:G124)</f>
        <v>0</v>
      </c>
    </row>
    <row r="126" spans="1:8" ht="19.899999999999999" customHeight="1" x14ac:dyDescent="0.2">
      <c r="A126" s="480"/>
      <c r="B126" s="139"/>
      <c r="C126" s="422" t="s">
        <v>982</v>
      </c>
      <c r="D126" s="426"/>
      <c r="E126" s="427"/>
      <c r="F126" s="428"/>
      <c r="G126" s="481"/>
    </row>
    <row r="127" spans="1:8" ht="19.899999999999999" customHeight="1" x14ac:dyDescent="0.2">
      <c r="A127" s="720" t="s">
        <v>576</v>
      </c>
      <c r="B127" s="721"/>
      <c r="C127" s="722" t="s">
        <v>0</v>
      </c>
      <c r="D127" s="722" t="s">
        <v>1725</v>
      </c>
      <c r="E127" s="724" t="s">
        <v>24</v>
      </c>
      <c r="F127" s="726" t="s">
        <v>25</v>
      </c>
      <c r="G127" s="728" t="s">
        <v>26</v>
      </c>
    </row>
    <row r="128" spans="1:8" ht="19.899999999999999" customHeight="1" x14ac:dyDescent="0.2">
      <c r="A128" s="444" t="s">
        <v>577</v>
      </c>
      <c r="B128" s="444" t="s">
        <v>578</v>
      </c>
      <c r="C128" s="723"/>
      <c r="D128" s="723"/>
      <c r="E128" s="725"/>
      <c r="F128" s="727"/>
      <c r="G128" s="729"/>
    </row>
    <row r="129" spans="1:10" ht="19.899999999999999" customHeight="1" x14ac:dyDescent="0.2">
      <c r="A129" s="482">
        <f t="shared" ref="A129:A139" si="32">IFERROR(VLOOKUP(C129,T_Insumos,4,FALSE),0)</f>
        <v>0</v>
      </c>
      <c r="B129" s="445">
        <f t="shared" ref="B129:B139" si="33">IFERROR(VLOOKUP(C129,T_Insumos,5,FALSE),0)</f>
        <v>0</v>
      </c>
      <c r="C129" s="445">
        <f>+Insumos!A64</f>
        <v>0</v>
      </c>
      <c r="D129" s="493">
        <f t="shared" ref="D129:D139" si="34">IFERROR(VLOOKUP(C129,T_Insumos,2,FALSE),0)</f>
        <v>0</v>
      </c>
      <c r="E129" s="437"/>
      <c r="F129" s="439">
        <f t="shared" ref="F129:F139" si="35">IFERROR(VLOOKUP(C129,T_Insumos,3,FALSE),0)</f>
        <v>0</v>
      </c>
      <c r="G129" s="439">
        <f>ROUND(E129*F129,2)</f>
        <v>0</v>
      </c>
    </row>
    <row r="130" spans="1:10" ht="19.899999999999999" customHeight="1" x14ac:dyDescent="0.2">
      <c r="A130" s="482">
        <f t="shared" si="32"/>
        <v>0</v>
      </c>
      <c r="B130" s="445">
        <f t="shared" si="33"/>
        <v>0</v>
      </c>
      <c r="C130" s="445">
        <f>+Insumos!A56</f>
        <v>0</v>
      </c>
      <c r="D130" s="493">
        <f t="shared" si="34"/>
        <v>0</v>
      </c>
      <c r="E130" s="437"/>
      <c r="F130" s="439">
        <f t="shared" si="35"/>
        <v>0</v>
      </c>
      <c r="G130" s="439">
        <f t="shared" ref="G130:G139" si="36">ROUND(E130*F130,2)</f>
        <v>0</v>
      </c>
    </row>
    <row r="131" spans="1:10" ht="19.899999999999999" customHeight="1" x14ac:dyDescent="0.2">
      <c r="A131" s="482">
        <f t="shared" si="32"/>
        <v>0</v>
      </c>
      <c r="B131" s="445">
        <f t="shared" si="33"/>
        <v>0</v>
      </c>
      <c r="C131" s="445">
        <f>+Insumos!A57</f>
        <v>0</v>
      </c>
      <c r="D131" s="493">
        <f t="shared" si="34"/>
        <v>0</v>
      </c>
      <c r="E131" s="437"/>
      <c r="F131" s="439">
        <f t="shared" si="35"/>
        <v>0</v>
      </c>
      <c r="G131" s="439">
        <f t="shared" si="36"/>
        <v>0</v>
      </c>
    </row>
    <row r="132" spans="1:10" ht="19.899999999999999" customHeight="1" x14ac:dyDescent="0.2">
      <c r="A132" s="482">
        <f t="shared" si="32"/>
        <v>0</v>
      </c>
      <c r="B132" s="445">
        <f t="shared" si="33"/>
        <v>0</v>
      </c>
      <c r="C132" s="445">
        <f>+Insumos!A87</f>
        <v>0</v>
      </c>
      <c r="D132" s="493">
        <f t="shared" si="34"/>
        <v>0</v>
      </c>
      <c r="E132" s="437"/>
      <c r="F132" s="439">
        <f t="shared" si="35"/>
        <v>0</v>
      </c>
      <c r="G132" s="439">
        <f t="shared" si="36"/>
        <v>0</v>
      </c>
    </row>
    <row r="133" spans="1:10" ht="19.899999999999999" customHeight="1" x14ac:dyDescent="0.2">
      <c r="A133" s="482">
        <f t="shared" si="32"/>
        <v>0</v>
      </c>
      <c r="B133" s="445">
        <f t="shared" si="33"/>
        <v>0</v>
      </c>
      <c r="C133" s="445">
        <f>+Insumos!A47</f>
        <v>0</v>
      </c>
      <c r="D133" s="493">
        <f t="shared" si="34"/>
        <v>0</v>
      </c>
      <c r="E133" s="437"/>
      <c r="F133" s="439">
        <f t="shared" si="35"/>
        <v>0</v>
      </c>
      <c r="G133" s="439">
        <f t="shared" si="36"/>
        <v>0</v>
      </c>
    </row>
    <row r="134" spans="1:10" ht="19.899999999999999" customHeight="1" x14ac:dyDescent="0.2">
      <c r="A134" s="482">
        <f t="shared" si="32"/>
        <v>0</v>
      </c>
      <c r="B134" s="445">
        <f t="shared" si="33"/>
        <v>0</v>
      </c>
      <c r="C134" s="445">
        <f>+Insumos!A66</f>
        <v>0</v>
      </c>
      <c r="D134" s="493">
        <f t="shared" si="34"/>
        <v>0</v>
      </c>
      <c r="E134" s="437"/>
      <c r="F134" s="439">
        <f t="shared" si="35"/>
        <v>0</v>
      </c>
      <c r="G134" s="439">
        <f t="shared" si="36"/>
        <v>0</v>
      </c>
    </row>
    <row r="135" spans="1:10" ht="19.899999999999999" customHeight="1" x14ac:dyDescent="0.2">
      <c r="A135" s="482">
        <f t="shared" si="32"/>
        <v>0</v>
      </c>
      <c r="B135" s="445">
        <f t="shared" si="33"/>
        <v>0</v>
      </c>
      <c r="C135" s="445">
        <f>+Insumos!A50</f>
        <v>0</v>
      </c>
      <c r="D135" s="493">
        <f t="shared" si="34"/>
        <v>0</v>
      </c>
      <c r="E135" s="437"/>
      <c r="F135" s="439">
        <f>IFERROR(VLOOKUP(C135,T_Insumos,3,FALSE),0)</f>
        <v>0</v>
      </c>
      <c r="G135" s="439">
        <f t="shared" si="36"/>
        <v>0</v>
      </c>
      <c r="I135" s="620"/>
      <c r="J135" s="620"/>
    </row>
    <row r="136" spans="1:10" ht="19.899999999999999" customHeight="1" x14ac:dyDescent="0.2">
      <c r="A136" s="482">
        <f t="shared" si="32"/>
        <v>0</v>
      </c>
      <c r="B136" s="445">
        <f t="shared" si="33"/>
        <v>0</v>
      </c>
      <c r="C136" s="445">
        <f>+Insumos!A101</f>
        <v>0</v>
      </c>
      <c r="D136" s="493">
        <f t="shared" si="34"/>
        <v>0</v>
      </c>
      <c r="E136" s="437"/>
      <c r="F136" s="439">
        <f t="shared" si="35"/>
        <v>0</v>
      </c>
      <c r="G136" s="439">
        <f t="shared" si="36"/>
        <v>0</v>
      </c>
    </row>
    <row r="137" spans="1:10" ht="19.899999999999999" customHeight="1" x14ac:dyDescent="0.2">
      <c r="A137" s="482">
        <f t="shared" si="32"/>
        <v>0</v>
      </c>
      <c r="B137" s="445">
        <f t="shared" si="33"/>
        <v>0</v>
      </c>
      <c r="C137" s="445"/>
      <c r="D137" s="493">
        <f t="shared" si="34"/>
        <v>0</v>
      </c>
      <c r="E137" s="437"/>
      <c r="F137" s="439">
        <f t="shared" si="35"/>
        <v>0</v>
      </c>
      <c r="G137" s="439">
        <f t="shared" si="36"/>
        <v>0</v>
      </c>
      <c r="I137" s="628"/>
    </row>
    <row r="138" spans="1:10" ht="19.899999999999999" customHeight="1" x14ac:dyDescent="0.2">
      <c r="A138" s="482">
        <f t="shared" si="32"/>
        <v>0</v>
      </c>
      <c r="B138" s="445">
        <f t="shared" si="33"/>
        <v>0</v>
      </c>
      <c r="C138" s="445"/>
      <c r="D138" s="493">
        <f t="shared" si="34"/>
        <v>0</v>
      </c>
      <c r="E138" s="437"/>
      <c r="F138" s="439">
        <f t="shared" si="35"/>
        <v>0</v>
      </c>
      <c r="G138" s="439">
        <f t="shared" si="36"/>
        <v>0</v>
      </c>
    </row>
    <row r="139" spans="1:10" ht="19.899999999999999" customHeight="1" x14ac:dyDescent="0.2">
      <c r="A139" s="482">
        <f t="shared" si="32"/>
        <v>0</v>
      </c>
      <c r="B139" s="445">
        <f t="shared" si="33"/>
        <v>0</v>
      </c>
      <c r="C139" s="445"/>
      <c r="D139" s="493">
        <f t="shared" si="34"/>
        <v>0</v>
      </c>
      <c r="E139" s="437"/>
      <c r="F139" s="439">
        <f t="shared" si="35"/>
        <v>0</v>
      </c>
      <c r="G139" s="439">
        <f t="shared" si="36"/>
        <v>0</v>
      </c>
    </row>
    <row r="140" spans="1:10" ht="19.899999999999999" customHeight="1" x14ac:dyDescent="0.2">
      <c r="A140" s="480"/>
      <c r="B140" s="139"/>
      <c r="C140" s="139"/>
      <c r="D140" s="426"/>
      <c r="E140" s="427"/>
      <c r="F140" s="448" t="s">
        <v>29</v>
      </c>
      <c r="G140" s="485">
        <f>SUBTOTAL(9,G129:G139)</f>
        <v>0</v>
      </c>
      <c r="H140" s="617"/>
    </row>
    <row r="141" spans="1:10" ht="19.899999999999999" customHeight="1" x14ac:dyDescent="0.2">
      <c r="A141" s="480"/>
      <c r="B141" s="139"/>
      <c r="C141" s="422" t="s">
        <v>983</v>
      </c>
      <c r="D141" s="426"/>
      <c r="E141" s="427"/>
      <c r="F141" s="428"/>
      <c r="G141" s="481"/>
    </row>
    <row r="142" spans="1:10" ht="19.899999999999999" customHeight="1" x14ac:dyDescent="0.2">
      <c r="A142" s="720" t="s">
        <v>576</v>
      </c>
      <c r="B142" s="721"/>
      <c r="C142" s="722" t="s">
        <v>0</v>
      </c>
      <c r="D142" s="722" t="s">
        <v>1725</v>
      </c>
      <c r="E142" s="724" t="s">
        <v>24</v>
      </c>
      <c r="F142" s="726" t="s">
        <v>25</v>
      </c>
      <c r="G142" s="728" t="s">
        <v>26</v>
      </c>
    </row>
    <row r="143" spans="1:10" ht="19.899999999999999" customHeight="1" x14ac:dyDescent="0.2">
      <c r="A143" s="444" t="s">
        <v>577</v>
      </c>
      <c r="B143" s="444" t="s">
        <v>578</v>
      </c>
      <c r="C143" s="723"/>
      <c r="D143" s="723"/>
      <c r="E143" s="725"/>
      <c r="F143" s="727"/>
      <c r="G143" s="729"/>
    </row>
    <row r="144" spans="1:10" ht="19.899999999999999" customHeight="1" x14ac:dyDescent="0.2">
      <c r="A144" s="482">
        <f>IFERROR(VLOOKUP(C144,T_Insumos,4,FALSE),0)</f>
        <v>0</v>
      </c>
      <c r="B144" s="445">
        <f>IFERROR(VLOOKUP(C144,T_Insumos,5,FALSE),0)</f>
        <v>0</v>
      </c>
      <c r="C144" s="436"/>
      <c r="D144" s="493">
        <f>IF(C144=0,0,"$/tnkm")</f>
        <v>0</v>
      </c>
      <c r="E144" s="437"/>
      <c r="F144" s="439">
        <f>IFERROR(VLOOKUP(C144,T_Insumos,3,FALSE),0)</f>
        <v>0</v>
      </c>
      <c r="G144" s="439">
        <f>ROUND(E144*F144,2)</f>
        <v>0</v>
      </c>
    </row>
    <row r="145" spans="1:8" ht="19.899999999999999" customHeight="1" x14ac:dyDescent="0.2">
      <c r="A145" s="482">
        <f>IFERROR(VLOOKUP(C145,T_Insumos,4,FALSE),0)</f>
        <v>0</v>
      </c>
      <c r="B145" s="445">
        <f>IFERROR(VLOOKUP(C145,T_Insumos,5,FALSE),0)</f>
        <v>0</v>
      </c>
      <c r="C145" s="436"/>
      <c r="D145" s="493">
        <f>IF(C145=0,0,"$/tnkm")</f>
        <v>0</v>
      </c>
      <c r="E145" s="453"/>
      <c r="F145" s="439">
        <f>IFERROR(VLOOKUP(C145,T_Insumos,3,FALSE),0)</f>
        <v>0</v>
      </c>
      <c r="G145" s="439">
        <f t="shared" ref="G145" si="37">ROUND(E145*F145,2)</f>
        <v>0</v>
      </c>
    </row>
    <row r="146" spans="1:8" ht="19.899999999999999" customHeight="1" x14ac:dyDescent="0.2">
      <c r="A146" s="480"/>
      <c r="B146" s="139"/>
      <c r="C146" s="139"/>
      <c r="D146" s="426"/>
      <c r="E146" s="427"/>
      <c r="F146" s="448" t="s">
        <v>984</v>
      </c>
      <c r="G146" s="485">
        <f>SUBTOTAL(9,G144:G145)</f>
        <v>0</v>
      </c>
    </row>
    <row r="147" spans="1:8" ht="19.899999999999999" customHeight="1" x14ac:dyDescent="0.2">
      <c r="A147" s="483"/>
      <c r="B147" s="426"/>
      <c r="C147" s="139"/>
      <c r="D147" s="426"/>
      <c r="E147" s="427"/>
      <c r="F147" s="428"/>
      <c r="G147" s="481"/>
    </row>
    <row r="148" spans="1:8" ht="19.899999999999999" customHeight="1" x14ac:dyDescent="0.2">
      <c r="A148" s="541" t="str">
        <f>B82</f>
        <v>2.1</v>
      </c>
      <c r="B148" s="538" t="str">
        <f ca="1">C82</f>
        <v>Preparación y Limpieza del Terreno</v>
      </c>
      <c r="C148" s="426"/>
      <c r="D148" s="426" t="s">
        <v>1704</v>
      </c>
      <c r="E148" s="539"/>
      <c r="F148" s="540" t="str">
        <f ca="1">"$/"&amp;G82</f>
        <v>$/Gl</v>
      </c>
      <c r="G148" s="490">
        <f>SUBTOTAL(9,G105:G147)</f>
        <v>0</v>
      </c>
      <c r="H148" s="617"/>
    </row>
    <row r="149" spans="1:8" ht="19.899999999999999" customHeight="1" x14ac:dyDescent="0.2">
      <c r="A149" s="486"/>
      <c r="B149" s="487"/>
      <c r="C149" s="488"/>
      <c r="D149" s="488" t="s">
        <v>1900</v>
      </c>
      <c r="E149" s="489"/>
      <c r="F149" s="542" t="str">
        <f ca="1">"$/"&amp;G82</f>
        <v>$/Gl</v>
      </c>
      <c r="G149" s="490">
        <f>ROUND(G148*Coeficiente_Paso,2)</f>
        <v>0</v>
      </c>
    </row>
    <row r="150" spans="1:8" ht="19.899999999999999" customHeight="1" x14ac:dyDescent="0.2">
      <c r="A150" s="139"/>
      <c r="B150" s="139"/>
      <c r="C150" s="139"/>
      <c r="D150" s="139"/>
      <c r="E150" s="139"/>
      <c r="F150" s="139"/>
      <c r="G150" s="139"/>
    </row>
    <row r="151" spans="1:8" ht="19.899999999999999" customHeight="1" x14ac:dyDescent="0.2">
      <c r="A151" s="730" t="s">
        <v>31</v>
      </c>
      <c r="B151" s="731"/>
      <c r="C151" s="731"/>
      <c r="D151" s="731"/>
      <c r="E151" s="731"/>
      <c r="F151" s="731"/>
      <c r="G151" s="732"/>
    </row>
    <row r="152" spans="1:8" ht="19.899999999999999" customHeight="1" x14ac:dyDescent="0.2">
      <c r="A152" s="469" t="s">
        <v>711</v>
      </c>
      <c r="B152" s="420" t="str">
        <f>Comitente</f>
        <v>DEPARTAMENTO DE HIDRAULICA</v>
      </c>
      <c r="C152" s="421"/>
      <c r="D152" s="422"/>
      <c r="E152" s="422"/>
      <c r="F152" s="423"/>
      <c r="G152" s="470"/>
    </row>
    <row r="153" spans="1:8" ht="19.899999999999999" customHeight="1" x14ac:dyDescent="0.2">
      <c r="A153" s="469" t="s">
        <v>712</v>
      </c>
      <c r="B153" s="420">
        <f>Contratista</f>
        <v>0</v>
      </c>
      <c r="C153" s="424"/>
      <c r="D153" s="424"/>
      <c r="E153" s="424"/>
      <c r="F153" s="420"/>
      <c r="G153" s="471"/>
    </row>
    <row r="154" spans="1:8" ht="19.899999999999999" customHeight="1" x14ac:dyDescent="0.2">
      <c r="A154" s="469" t="s">
        <v>21</v>
      </c>
      <c r="B154" s="420" t="str">
        <f>Obra</f>
        <v>Encamisado Parcial del Canal de Calle América</v>
      </c>
      <c r="C154" s="424"/>
      <c r="D154" s="424"/>
      <c r="E154" s="424"/>
      <c r="F154" s="420" t="s">
        <v>32</v>
      </c>
      <c r="G154" s="471" t="str">
        <f>Fecha_Base</f>
        <v>X/X/2023</v>
      </c>
    </row>
    <row r="155" spans="1:8" ht="19.899999999999999" customHeight="1" x14ac:dyDescent="0.2">
      <c r="A155" s="472" t="s">
        <v>710</v>
      </c>
      <c r="B155" s="425" t="str">
        <f>Ubicación</f>
        <v>Departamento Rawson</v>
      </c>
      <c r="C155" s="425"/>
      <c r="D155" s="426"/>
      <c r="E155" s="427"/>
      <c r="F155" s="428"/>
      <c r="G155" s="473"/>
    </row>
    <row r="156" spans="1:8" ht="19.899999999999999" customHeight="1" x14ac:dyDescent="0.2">
      <c r="A156" s="472" t="s">
        <v>33</v>
      </c>
      <c r="B156" s="429">
        <f>IFERROR(VALUE(LEFT(B157,FIND(".",B157)-1)),"")</f>
        <v>2</v>
      </c>
      <c r="C156" s="139" t="str">
        <f ca="1">IFERROR(VLOOKUP(B156,T_Computo_Presupuesto,2,FALSE),0)</f>
        <v>CANAL AMÉRICA</v>
      </c>
      <c r="D156" s="139"/>
      <c r="E156" s="427"/>
      <c r="F156" s="428"/>
      <c r="G156" s="473"/>
    </row>
    <row r="157" spans="1:8" ht="19.899999999999999" customHeight="1" x14ac:dyDescent="0.2">
      <c r="A157" s="472" t="s">
        <v>22</v>
      </c>
      <c r="B157" s="430" t="str">
        <f>IFERROR(VLOOKUP(COUNTIF($A$1:A157,"ANALISIS DE PRECIOS"),T_NumeroItem,2,FALSE),"")</f>
        <v>2.2</v>
      </c>
      <c r="C157" s="733" t="str">
        <f ca="1">IFERROR(VLOOKUP(B157,T_Computo_Presupuesto,2,FALSE),0)</f>
        <v>Nivelación y Replanteo</v>
      </c>
      <c r="D157" s="733"/>
      <c r="E157" s="733"/>
      <c r="F157" s="425" t="s">
        <v>23</v>
      </c>
      <c r="G157" s="474" t="str">
        <f ca="1">IFERROR(VLOOKUP(B157,T_Computo_Presupuesto,4,FALSE),0)</f>
        <v>Gl</v>
      </c>
    </row>
    <row r="158" spans="1:8" ht="19.899999999999999" customHeight="1" x14ac:dyDescent="0.2">
      <c r="A158" s="472"/>
      <c r="B158" s="425"/>
      <c r="C158" s="139"/>
      <c r="D158" s="426"/>
      <c r="E158" s="427"/>
      <c r="F158" s="139"/>
      <c r="G158" s="475"/>
    </row>
    <row r="159" spans="1:8" ht="19.899999999999999" customHeight="1" x14ac:dyDescent="0.2">
      <c r="A159" s="476"/>
      <c r="B159" s="431"/>
      <c r="C159" s="432" t="s">
        <v>967</v>
      </c>
      <c r="D159" s="431"/>
      <c r="E159" s="431"/>
      <c r="F159" s="431"/>
      <c r="G159" s="477"/>
    </row>
    <row r="160" spans="1:8" ht="19.899999999999999" customHeight="1" x14ac:dyDescent="0.2">
      <c r="A160" s="472"/>
      <c r="B160" s="433"/>
      <c r="C160" s="139"/>
      <c r="D160" s="426"/>
      <c r="E160" s="427"/>
      <c r="F160" s="425"/>
      <c r="G160" s="474"/>
    </row>
    <row r="161" spans="1:7" ht="19.899999999999999" customHeight="1" x14ac:dyDescent="0.2">
      <c r="A161" s="472"/>
      <c r="B161" s="433"/>
      <c r="C161" s="434" t="s">
        <v>968</v>
      </c>
      <c r="D161" s="435" t="s">
        <v>24</v>
      </c>
      <c r="E161" s="435" t="s">
        <v>969</v>
      </c>
      <c r="F161" s="435" t="s">
        <v>970</v>
      </c>
      <c r="G161" s="434" t="s">
        <v>971</v>
      </c>
    </row>
    <row r="162" spans="1:7" ht="19.899999999999999" customHeight="1" x14ac:dyDescent="0.2">
      <c r="A162" s="472"/>
      <c r="B162" s="433"/>
      <c r="C162" s="436">
        <f>+Equipos!A14</f>
        <v>0</v>
      </c>
      <c r="D162" s="437"/>
      <c r="E162" s="438">
        <f t="shared" ref="E162:E171" si="38">IFERROR(VLOOKUP(C162,T_Equipos,4,FALSE),0)</f>
        <v>0</v>
      </c>
      <c r="F162" s="439">
        <f t="shared" ref="F162:F171" si="39">IFERROR(VLOOKUP(C162,T_Equipos,5,FALSE),0)</f>
        <v>0</v>
      </c>
      <c r="G162" s="439">
        <f>ROUND(D162*F162,2)</f>
        <v>0</v>
      </c>
    </row>
    <row r="163" spans="1:7" ht="19.899999999999999" customHeight="1" x14ac:dyDescent="0.2">
      <c r="A163" s="472"/>
      <c r="B163" s="433"/>
      <c r="C163" s="436">
        <f>+Equipos!A25</f>
        <v>0</v>
      </c>
      <c r="D163" s="437"/>
      <c r="E163" s="438">
        <f t="shared" si="38"/>
        <v>0</v>
      </c>
      <c r="F163" s="439">
        <f t="shared" si="39"/>
        <v>0</v>
      </c>
      <c r="G163" s="439">
        <f>ROUND(D163*F163,2)</f>
        <v>0</v>
      </c>
    </row>
    <row r="164" spans="1:7" ht="19.899999999999999" customHeight="1" x14ac:dyDescent="0.2">
      <c r="A164" s="472"/>
      <c r="B164" s="433"/>
      <c r="C164" s="436"/>
      <c r="D164" s="437"/>
      <c r="E164" s="438">
        <f t="shared" si="38"/>
        <v>0</v>
      </c>
      <c r="F164" s="439">
        <f t="shared" si="39"/>
        <v>0</v>
      </c>
      <c r="G164" s="439">
        <f>ROUND(D164*F164,2)</f>
        <v>0</v>
      </c>
    </row>
    <row r="165" spans="1:7" ht="19.899999999999999" customHeight="1" x14ac:dyDescent="0.2">
      <c r="A165" s="472"/>
      <c r="B165" s="433"/>
      <c r="C165" s="436"/>
      <c r="D165" s="437"/>
      <c r="E165" s="438">
        <f t="shared" si="38"/>
        <v>0</v>
      </c>
      <c r="F165" s="439">
        <f t="shared" si="39"/>
        <v>0</v>
      </c>
      <c r="G165" s="439">
        <f>ROUND(D165*F165,2)</f>
        <v>0</v>
      </c>
    </row>
    <row r="166" spans="1:7" ht="19.899999999999999" customHeight="1" x14ac:dyDescent="0.2">
      <c r="A166" s="472"/>
      <c r="B166" s="433"/>
      <c r="C166" s="436"/>
      <c r="D166" s="437"/>
      <c r="E166" s="438">
        <f t="shared" si="38"/>
        <v>0</v>
      </c>
      <c r="F166" s="439">
        <f t="shared" si="39"/>
        <v>0</v>
      </c>
      <c r="G166" s="439">
        <f t="shared" ref="G166:G171" si="40">ROUND(D166*F166,2)</f>
        <v>0</v>
      </c>
    </row>
    <row r="167" spans="1:7" ht="19.899999999999999" customHeight="1" x14ac:dyDescent="0.2">
      <c r="A167" s="472"/>
      <c r="B167" s="433"/>
      <c r="C167" s="436"/>
      <c r="D167" s="437"/>
      <c r="E167" s="438">
        <f t="shared" si="38"/>
        <v>0</v>
      </c>
      <c r="F167" s="439">
        <f t="shared" si="39"/>
        <v>0</v>
      </c>
      <c r="G167" s="439">
        <f t="shared" si="40"/>
        <v>0</v>
      </c>
    </row>
    <row r="168" spans="1:7" ht="19.899999999999999" customHeight="1" x14ac:dyDescent="0.2">
      <c r="A168" s="472"/>
      <c r="B168" s="433"/>
      <c r="C168" s="436"/>
      <c r="D168" s="437"/>
      <c r="E168" s="438">
        <f t="shared" si="38"/>
        <v>0</v>
      </c>
      <c r="F168" s="439">
        <f t="shared" si="39"/>
        <v>0</v>
      </c>
      <c r="G168" s="439">
        <f t="shared" si="40"/>
        <v>0</v>
      </c>
    </row>
    <row r="169" spans="1:7" ht="19.899999999999999" customHeight="1" x14ac:dyDescent="0.2">
      <c r="A169" s="472"/>
      <c r="B169" s="433"/>
      <c r="C169" s="436"/>
      <c r="D169" s="437"/>
      <c r="E169" s="438">
        <f t="shared" si="38"/>
        <v>0</v>
      </c>
      <c r="F169" s="439">
        <f t="shared" si="39"/>
        <v>0</v>
      </c>
      <c r="G169" s="439">
        <f t="shared" si="40"/>
        <v>0</v>
      </c>
    </row>
    <row r="170" spans="1:7" ht="19.899999999999999" customHeight="1" x14ac:dyDescent="0.2">
      <c r="A170" s="472"/>
      <c r="B170" s="433"/>
      <c r="C170" s="436"/>
      <c r="D170" s="437"/>
      <c r="E170" s="438">
        <f t="shared" si="38"/>
        <v>0</v>
      </c>
      <c r="F170" s="439">
        <f t="shared" si="39"/>
        <v>0</v>
      </c>
      <c r="G170" s="439">
        <f t="shared" si="40"/>
        <v>0</v>
      </c>
    </row>
    <row r="171" spans="1:7" ht="19.899999999999999" customHeight="1" x14ac:dyDescent="0.2">
      <c r="A171" s="472"/>
      <c r="B171" s="433"/>
      <c r="C171" s="436"/>
      <c r="D171" s="437"/>
      <c r="E171" s="438">
        <f t="shared" si="38"/>
        <v>0</v>
      </c>
      <c r="F171" s="439">
        <f t="shared" si="39"/>
        <v>0</v>
      </c>
      <c r="G171" s="439">
        <f t="shared" si="40"/>
        <v>0</v>
      </c>
    </row>
    <row r="172" spans="1:7" ht="19.899999999999999" customHeight="1" x14ac:dyDescent="0.2">
      <c r="A172" s="472"/>
      <c r="B172" s="433"/>
      <c r="C172" s="139"/>
      <c r="D172" s="139"/>
      <c r="E172" s="440"/>
      <c r="F172" s="425"/>
      <c r="G172" s="474"/>
    </row>
    <row r="173" spans="1:7" ht="19.899999999999999" customHeight="1" x14ac:dyDescent="0.2">
      <c r="A173" s="472"/>
      <c r="B173" s="139"/>
      <c r="C173" s="422" t="s">
        <v>972</v>
      </c>
      <c r="D173" s="425" t="s">
        <v>969</v>
      </c>
      <c r="E173" s="491">
        <f>SUMPRODUCT(D162:D171,E162:E171)</f>
        <v>0</v>
      </c>
      <c r="F173" s="425" t="s">
        <v>973</v>
      </c>
      <c r="G173" s="492">
        <f>SUM(G162:G171)</f>
        <v>0</v>
      </c>
    </row>
    <row r="174" spans="1:7" ht="19.899999999999999" customHeight="1" x14ac:dyDescent="0.2">
      <c r="A174" s="472"/>
      <c r="B174" s="433"/>
      <c r="C174" s="441"/>
      <c r="D174" s="440"/>
      <c r="E174" s="427"/>
      <c r="F174" s="425"/>
      <c r="G174" s="478"/>
    </row>
    <row r="175" spans="1:7" ht="19.899999999999999" customHeight="1" x14ac:dyDescent="0.2">
      <c r="A175" s="479"/>
      <c r="B175" s="433"/>
      <c r="C175" s="425" t="s">
        <v>974</v>
      </c>
      <c r="D175" s="442">
        <f>IFERROR(VLOOKUP(COUNTIF($A$1:A175,"ANALISIS DE PRECIOS"),T_Rendimiento_Equipo,5,FALSE),0)</f>
        <v>0</v>
      </c>
      <c r="E175" s="443" t="str">
        <f ca="1">G157&amp;"/día"</f>
        <v>Gl/día</v>
      </c>
      <c r="F175" s="419"/>
      <c r="G175" s="474"/>
    </row>
    <row r="176" spans="1:7" ht="19.899999999999999" customHeight="1" x14ac:dyDescent="0.2">
      <c r="A176" s="472"/>
      <c r="B176" s="433"/>
      <c r="C176" s="139"/>
      <c r="D176" s="426"/>
      <c r="E176" s="427"/>
      <c r="F176" s="425"/>
      <c r="G176" s="474"/>
    </row>
    <row r="177" spans="1:7" ht="19.899999999999999" customHeight="1" x14ac:dyDescent="0.2">
      <c r="A177" s="720" t="s">
        <v>576</v>
      </c>
      <c r="B177" s="721"/>
      <c r="C177" s="722" t="s">
        <v>0</v>
      </c>
      <c r="D177" s="734" t="s">
        <v>1724</v>
      </c>
      <c r="E177" s="734" t="s">
        <v>1723</v>
      </c>
      <c r="F177" s="726" t="s">
        <v>975</v>
      </c>
      <c r="G177" s="728" t="s">
        <v>26</v>
      </c>
    </row>
    <row r="178" spans="1:7" ht="19.899999999999999" customHeight="1" x14ac:dyDescent="0.2">
      <c r="A178" s="444" t="s">
        <v>577</v>
      </c>
      <c r="B178" s="444" t="s">
        <v>578</v>
      </c>
      <c r="C178" s="723"/>
      <c r="D178" s="735"/>
      <c r="E178" s="725"/>
      <c r="F178" s="727"/>
      <c r="G178" s="729"/>
    </row>
    <row r="179" spans="1:7" ht="19.899999999999999" customHeight="1" x14ac:dyDescent="0.2">
      <c r="A179" s="480"/>
      <c r="B179" s="139"/>
      <c r="C179" s="422" t="s">
        <v>976</v>
      </c>
      <c r="D179" s="427"/>
      <c r="E179" s="427"/>
      <c r="F179" s="139"/>
      <c r="G179" s="481"/>
    </row>
    <row r="180" spans="1:7" ht="19.899999999999999" customHeight="1" x14ac:dyDescent="0.2">
      <c r="A180" s="482">
        <f t="shared" ref="A180:A188" si="41">IFERROR(VLOOKUP(C180,T_Insumos,4,FALSE),0)</f>
        <v>0</v>
      </c>
      <c r="B180" s="445">
        <f t="shared" ref="B180:B188" si="42">IFERROR(VLOOKUP(C180,T_Insumos,5,FALSE),0)</f>
        <v>0</v>
      </c>
      <c r="C180" s="436">
        <f>+C30</f>
        <v>0</v>
      </c>
      <c r="D180" s="446">
        <f t="shared" ref="D180:D188" si="43">IFERROR(VLOOKUP(C180,T_Insumos,3,FALSE),0)</f>
        <v>0</v>
      </c>
      <c r="E180" s="439">
        <f>D180*$G$173</f>
        <v>0</v>
      </c>
      <c r="F180" s="442">
        <f>IF(C180="",0,IFERROR(VLOOKUP(COUNTIF($A$1:A180,"ANALISIS DE PRECIOS"),T_Rendimiento_Equipo,5,FALSE),0))</f>
        <v>0</v>
      </c>
      <c r="G180" s="439">
        <f>IFERROR(ROUND(E180/F180,2),0)</f>
        <v>0</v>
      </c>
    </row>
    <row r="181" spans="1:7" ht="19.899999999999999" customHeight="1" x14ac:dyDescent="0.2">
      <c r="A181" s="482">
        <f t="shared" si="41"/>
        <v>0</v>
      </c>
      <c r="B181" s="445">
        <f t="shared" si="42"/>
        <v>0</v>
      </c>
      <c r="C181" s="436">
        <f t="shared" ref="C181:C183" si="44">+C31</f>
        <v>0</v>
      </c>
      <c r="D181" s="446">
        <f t="shared" si="43"/>
        <v>0</v>
      </c>
      <c r="E181" s="439">
        <f t="shared" ref="E181:E182" si="45">D181*$G$173</f>
        <v>0</v>
      </c>
      <c r="F181" s="442">
        <f>IF(C181="",0,IFERROR(VLOOKUP(COUNTIF($A$1:A181,"ANALISIS DE PRECIOS"),T_Rendimiento_Equipo,5,FALSE),0))</f>
        <v>0</v>
      </c>
      <c r="G181" s="439">
        <f t="shared" ref="G181:G188" si="46">IFERROR(ROUND(E181/F181,2),0)</f>
        <v>0</v>
      </c>
    </row>
    <row r="182" spans="1:7" ht="19.899999999999999" customHeight="1" x14ac:dyDescent="0.2">
      <c r="A182" s="482">
        <f t="shared" si="41"/>
        <v>0</v>
      </c>
      <c r="B182" s="445">
        <f t="shared" si="42"/>
        <v>0</v>
      </c>
      <c r="C182" s="436">
        <f t="shared" si="44"/>
        <v>0</v>
      </c>
      <c r="D182" s="446">
        <f t="shared" si="43"/>
        <v>0</v>
      </c>
      <c r="E182" s="439">
        <f t="shared" si="45"/>
        <v>0</v>
      </c>
      <c r="F182" s="442">
        <f>IF(C182="",0,IFERROR(VLOOKUP(COUNTIF($A$1:A182,"ANALISIS DE PRECIOS"),T_Rendimiento_Equipo,5,FALSE),0))</f>
        <v>0</v>
      </c>
      <c r="G182" s="439">
        <f t="shared" si="46"/>
        <v>0</v>
      </c>
    </row>
    <row r="183" spans="1:7" ht="19.899999999999999" customHeight="1" x14ac:dyDescent="0.2">
      <c r="A183" s="482">
        <f t="shared" si="41"/>
        <v>0</v>
      </c>
      <c r="B183" s="445">
        <f t="shared" si="42"/>
        <v>0</v>
      </c>
      <c r="C183" s="436">
        <f t="shared" si="44"/>
        <v>0</v>
      </c>
      <c r="D183" s="446">
        <f t="shared" si="43"/>
        <v>0</v>
      </c>
      <c r="E183" s="439">
        <f>D183*$E$173</f>
        <v>0</v>
      </c>
      <c r="F183" s="442">
        <f>IF(C183="",0,IFERROR(VLOOKUP(COUNTIF($A$1:A183,"ANALISIS DE PRECIOS"),T_Rendimiento_Equipo,5,FALSE),0))</f>
        <v>0</v>
      </c>
      <c r="G183" s="439">
        <f t="shared" si="46"/>
        <v>0</v>
      </c>
    </row>
    <row r="184" spans="1:7" ht="19.899999999999999" customHeight="1" x14ac:dyDescent="0.2">
      <c r="A184" s="482">
        <f t="shared" si="41"/>
        <v>0</v>
      </c>
      <c r="B184" s="445">
        <f t="shared" si="42"/>
        <v>0</v>
      </c>
      <c r="C184" s="447"/>
      <c r="D184" s="446">
        <f t="shared" si="43"/>
        <v>0</v>
      </c>
      <c r="E184" s="439"/>
      <c r="F184" s="442">
        <f>IF(C184="",0,IFERROR(VLOOKUP(COUNTIF($A$1:A184,"ANALISIS DE PRECIOS"),T_Rendimiento_Equipo,5,FALSE),0))</f>
        <v>0</v>
      </c>
      <c r="G184" s="439">
        <f t="shared" si="46"/>
        <v>0</v>
      </c>
    </row>
    <row r="185" spans="1:7" ht="19.899999999999999" customHeight="1" x14ac:dyDescent="0.2">
      <c r="A185" s="482">
        <f t="shared" si="41"/>
        <v>0</v>
      </c>
      <c r="B185" s="445">
        <f t="shared" si="42"/>
        <v>0</v>
      </c>
      <c r="C185" s="447"/>
      <c r="D185" s="446">
        <f t="shared" si="43"/>
        <v>0</v>
      </c>
      <c r="E185" s="439"/>
      <c r="F185" s="442">
        <f>IF(C185="",0,IFERROR(VLOOKUP(COUNTIF($A$1:A185,"ANALISIS DE PRECIOS"),T_Rendimiento_Equipo,5,FALSE),0))</f>
        <v>0</v>
      </c>
      <c r="G185" s="439">
        <f t="shared" si="46"/>
        <v>0</v>
      </c>
    </row>
    <row r="186" spans="1:7" ht="19.899999999999999" customHeight="1" x14ac:dyDescent="0.2">
      <c r="A186" s="482">
        <f t="shared" si="41"/>
        <v>0</v>
      </c>
      <c r="B186" s="445">
        <f t="shared" si="42"/>
        <v>0</v>
      </c>
      <c r="C186" s="447"/>
      <c r="D186" s="446">
        <f t="shared" si="43"/>
        <v>0</v>
      </c>
      <c r="E186" s="439"/>
      <c r="F186" s="442">
        <f>IF(C186="",0,IFERROR(VLOOKUP(COUNTIF($A$1:A186,"ANALISIS DE PRECIOS"),T_Rendimiento_Equipo,5,FALSE),0))</f>
        <v>0</v>
      </c>
      <c r="G186" s="439">
        <f t="shared" si="46"/>
        <v>0</v>
      </c>
    </row>
    <row r="187" spans="1:7" ht="19.899999999999999" customHeight="1" x14ac:dyDescent="0.2">
      <c r="A187" s="482">
        <f t="shared" si="41"/>
        <v>0</v>
      </c>
      <c r="B187" s="445">
        <f t="shared" si="42"/>
        <v>0</v>
      </c>
      <c r="C187" s="447"/>
      <c r="D187" s="446">
        <f t="shared" si="43"/>
        <v>0</v>
      </c>
      <c r="E187" s="439"/>
      <c r="F187" s="442">
        <f>IF(C187="",0,IFERROR(VLOOKUP(COUNTIF($A$1:A187,"ANALISIS DE PRECIOS"),T_Rendimiento_Equipo,5,FALSE),0))</f>
        <v>0</v>
      </c>
      <c r="G187" s="439">
        <f t="shared" si="46"/>
        <v>0</v>
      </c>
    </row>
    <row r="188" spans="1:7" ht="19.899999999999999" customHeight="1" x14ac:dyDescent="0.2">
      <c r="A188" s="482">
        <f t="shared" si="41"/>
        <v>0</v>
      </c>
      <c r="B188" s="445">
        <f t="shared" si="42"/>
        <v>0</v>
      </c>
      <c r="C188" s="436"/>
      <c r="D188" s="446">
        <f t="shared" si="43"/>
        <v>0</v>
      </c>
      <c r="E188" s="439"/>
      <c r="F188" s="442">
        <f>IF(C188="",0,IFERROR(VLOOKUP(COUNTIF($A$1:A188,"ANALISIS DE PRECIOS"),T_Rendimiento_Equipo,5,FALSE),0))</f>
        <v>0</v>
      </c>
      <c r="G188" s="439">
        <f t="shared" si="46"/>
        <v>0</v>
      </c>
    </row>
    <row r="189" spans="1:7" ht="19.899999999999999" customHeight="1" x14ac:dyDescent="0.2">
      <c r="A189" s="483"/>
      <c r="B189" s="426"/>
      <c r="C189" s="139"/>
      <c r="D189" s="426"/>
      <c r="E189" s="427"/>
      <c r="F189" s="448" t="s">
        <v>27</v>
      </c>
      <c r="G189" s="484">
        <f>SUBTOTAL(9,G180:G188)</f>
        <v>0</v>
      </c>
    </row>
    <row r="190" spans="1:7" ht="19.899999999999999" customHeight="1" x14ac:dyDescent="0.2">
      <c r="A190" s="480"/>
      <c r="B190" s="139"/>
      <c r="C190" s="422" t="s">
        <v>713</v>
      </c>
      <c r="D190" s="426"/>
      <c r="E190" s="427"/>
      <c r="F190" s="428"/>
      <c r="G190" s="481"/>
    </row>
    <row r="191" spans="1:7" ht="19.899999999999999" customHeight="1" x14ac:dyDescent="0.2">
      <c r="A191" s="720" t="s">
        <v>576</v>
      </c>
      <c r="B191" s="721"/>
      <c r="C191" s="722" t="s">
        <v>0</v>
      </c>
      <c r="D191" s="724" t="s">
        <v>24</v>
      </c>
      <c r="E191" s="724" t="s">
        <v>1964</v>
      </c>
      <c r="F191" s="726" t="s">
        <v>975</v>
      </c>
      <c r="G191" s="728" t="s">
        <v>26</v>
      </c>
    </row>
    <row r="192" spans="1:7" ht="19.899999999999999" customHeight="1" x14ac:dyDescent="0.2">
      <c r="A192" s="444" t="s">
        <v>577</v>
      </c>
      <c r="B192" s="444" t="s">
        <v>578</v>
      </c>
      <c r="C192" s="723"/>
      <c r="D192" s="725"/>
      <c r="E192" s="725"/>
      <c r="F192" s="727"/>
      <c r="G192" s="729"/>
    </row>
    <row r="193" spans="1:8" ht="19.899999999999999" customHeight="1" x14ac:dyDescent="0.2">
      <c r="A193" s="482">
        <f t="shared" ref="A193:A199" si="47">IFERROR(VLOOKUP(C193,T_Insumos,4,FALSE),0)</f>
        <v>0</v>
      </c>
      <c r="B193" s="445">
        <f t="shared" ref="B193:B199" si="48">IFERROR(VLOOKUP(C193,T_Insumos,5,FALSE),0)</f>
        <v>0</v>
      </c>
      <c r="C193" s="449">
        <f>+C43</f>
        <v>0</v>
      </c>
      <c r="D193" s="442"/>
      <c r="E193" s="439">
        <f t="shared" ref="E193:E199" si="49">IFERROR(VLOOKUP(C193,T_Insumos,3,FALSE),0)</f>
        <v>0</v>
      </c>
      <c r="F193" s="442">
        <f>IF(C193="",0,IFERROR(VLOOKUP(COUNTIF($A$1:A193,"ANALISIS DE PRECIOS"),T_Rendimiento_Equipo,5,FALSE),0))</f>
        <v>0</v>
      </c>
      <c r="G193" s="439">
        <f>IFERROR(ROUND(D193*E193/F193,2),0)</f>
        <v>0</v>
      </c>
    </row>
    <row r="194" spans="1:8" ht="19.899999999999999" customHeight="1" x14ac:dyDescent="0.2">
      <c r="A194" s="482">
        <f t="shared" si="47"/>
        <v>0</v>
      </c>
      <c r="B194" s="445">
        <f t="shared" si="48"/>
        <v>0</v>
      </c>
      <c r="C194" s="449">
        <f t="shared" ref="C194:C196" si="50">+C44</f>
        <v>0</v>
      </c>
      <c r="D194" s="442"/>
      <c r="E194" s="439">
        <f t="shared" si="49"/>
        <v>0</v>
      </c>
      <c r="F194" s="442">
        <f>IF(C194="",0,IFERROR(VLOOKUP(COUNTIF($A$1:A194,"ANALISIS DE PRECIOS"),T_Rendimiento_Equipo,5,FALSE),0))</f>
        <v>0</v>
      </c>
      <c r="G194" s="439">
        <f t="shared" ref="G194:G199" si="51">IFERROR(ROUND(D194*E194/F194,2),0)</f>
        <v>0</v>
      </c>
    </row>
    <row r="195" spans="1:8" ht="19.899999999999999" customHeight="1" x14ac:dyDescent="0.2">
      <c r="A195" s="482">
        <f t="shared" si="47"/>
        <v>0</v>
      </c>
      <c r="B195" s="445">
        <f t="shared" si="48"/>
        <v>0</v>
      </c>
      <c r="C195" s="449">
        <f t="shared" si="50"/>
        <v>0</v>
      </c>
      <c r="D195" s="442"/>
      <c r="E195" s="439">
        <f t="shared" si="49"/>
        <v>0</v>
      </c>
      <c r="F195" s="442">
        <f>IF(C195="",0,IFERROR(VLOOKUP(COUNTIF($A$1:A195,"ANALISIS DE PRECIOS"),T_Rendimiento_Equipo,5,FALSE),0))</f>
        <v>0</v>
      </c>
      <c r="G195" s="439">
        <f t="shared" si="51"/>
        <v>0</v>
      </c>
    </row>
    <row r="196" spans="1:8" ht="19.899999999999999" customHeight="1" x14ac:dyDescent="0.2">
      <c r="A196" s="482">
        <f t="shared" si="47"/>
        <v>0</v>
      </c>
      <c r="B196" s="445">
        <f t="shared" si="48"/>
        <v>0</v>
      </c>
      <c r="C196" s="449">
        <f t="shared" si="50"/>
        <v>0</v>
      </c>
      <c r="D196" s="442"/>
      <c r="E196" s="439">
        <f t="shared" si="49"/>
        <v>0</v>
      </c>
      <c r="F196" s="442">
        <f>IF(C196="",0,IFERROR(VLOOKUP(COUNTIF($A$1:A196,"ANALISIS DE PRECIOS"),T_Rendimiento_Equipo,5,FALSE),0))</f>
        <v>0</v>
      </c>
      <c r="G196" s="439">
        <f>IFERROR(ROUND(D196*E196/F196,2),0)</f>
        <v>0</v>
      </c>
    </row>
    <row r="197" spans="1:8" ht="19.899999999999999" customHeight="1" x14ac:dyDescent="0.2">
      <c r="A197" s="482">
        <f t="shared" si="47"/>
        <v>0</v>
      </c>
      <c r="B197" s="445">
        <f t="shared" si="48"/>
        <v>0</v>
      </c>
      <c r="C197" s="436"/>
      <c r="D197" s="442"/>
      <c r="E197" s="439">
        <f t="shared" si="49"/>
        <v>0</v>
      </c>
      <c r="F197" s="442">
        <f>IF(C197="",0,IFERROR(VLOOKUP(COUNTIF($A$1:A197,"ANALISIS DE PRECIOS"),T_Rendimiento_Equipo,5,FALSE),0))</f>
        <v>0</v>
      </c>
      <c r="G197" s="439">
        <f t="shared" si="51"/>
        <v>0</v>
      </c>
    </row>
    <row r="198" spans="1:8" ht="19.899999999999999" customHeight="1" x14ac:dyDescent="0.2">
      <c r="A198" s="482">
        <f t="shared" si="47"/>
        <v>0</v>
      </c>
      <c r="B198" s="445">
        <f t="shared" si="48"/>
        <v>0</v>
      </c>
      <c r="C198" s="436"/>
      <c r="D198" s="450"/>
      <c r="E198" s="439">
        <f t="shared" si="49"/>
        <v>0</v>
      </c>
      <c r="F198" s="442">
        <f>IF(C198="",0,IFERROR(VLOOKUP(COUNTIF($A$1:A198,"ANALISIS DE PRECIOS"),T_Rendimiento_Equipo,5,FALSE),0))</f>
        <v>0</v>
      </c>
      <c r="G198" s="439">
        <f t="shared" si="51"/>
        <v>0</v>
      </c>
    </row>
    <row r="199" spans="1:8" ht="19.899999999999999" customHeight="1" x14ac:dyDescent="0.2">
      <c r="A199" s="482">
        <f t="shared" si="47"/>
        <v>0</v>
      </c>
      <c r="B199" s="445">
        <f t="shared" si="48"/>
        <v>0</v>
      </c>
      <c r="C199" s="445"/>
      <c r="D199" s="451"/>
      <c r="E199" s="439">
        <f t="shared" si="49"/>
        <v>0</v>
      </c>
      <c r="F199" s="442">
        <f>IF(C199="",0,IFERROR(VLOOKUP(COUNTIF($A$1:A199,"ANALISIS DE PRECIOS"),T_Rendimiento_Equipo,5,FALSE),0))</f>
        <v>0</v>
      </c>
      <c r="G199" s="439">
        <f t="shared" si="51"/>
        <v>0</v>
      </c>
    </row>
    <row r="200" spans="1:8" ht="19.899999999999999" customHeight="1" x14ac:dyDescent="0.2">
      <c r="A200" s="483"/>
      <c r="B200" s="426"/>
      <c r="C200" s="139"/>
      <c r="D200" s="426"/>
      <c r="E200" s="427"/>
      <c r="F200" s="448" t="s">
        <v>28</v>
      </c>
      <c r="G200" s="485">
        <f>SUBTOTAL(9,G193:G199)</f>
        <v>0</v>
      </c>
      <c r="H200" s="618"/>
    </row>
    <row r="201" spans="1:8" ht="19.899999999999999" customHeight="1" x14ac:dyDescent="0.2">
      <c r="A201" s="480"/>
      <c r="B201" s="139"/>
      <c r="C201" s="422" t="s">
        <v>982</v>
      </c>
      <c r="D201" s="426"/>
      <c r="E201" s="427"/>
      <c r="F201" s="428"/>
      <c r="G201" s="481"/>
    </row>
    <row r="202" spans="1:8" ht="19.899999999999999" customHeight="1" x14ac:dyDescent="0.2">
      <c r="A202" s="720" t="s">
        <v>576</v>
      </c>
      <c r="B202" s="721"/>
      <c r="C202" s="722" t="s">
        <v>0</v>
      </c>
      <c r="D202" s="722" t="s">
        <v>1725</v>
      </c>
      <c r="E202" s="724" t="s">
        <v>24</v>
      </c>
      <c r="F202" s="726" t="s">
        <v>25</v>
      </c>
      <c r="G202" s="728" t="s">
        <v>26</v>
      </c>
    </row>
    <row r="203" spans="1:8" ht="19.899999999999999" customHeight="1" x14ac:dyDescent="0.2">
      <c r="A203" s="444" t="s">
        <v>577</v>
      </c>
      <c r="B203" s="444" t="s">
        <v>578</v>
      </c>
      <c r="C203" s="723"/>
      <c r="D203" s="723"/>
      <c r="E203" s="725"/>
      <c r="F203" s="727"/>
      <c r="G203" s="729"/>
    </row>
    <row r="204" spans="1:8" ht="19.899999999999999" customHeight="1" x14ac:dyDescent="0.2">
      <c r="A204" s="482">
        <f t="shared" ref="A204:A214" si="52">IFERROR(VLOOKUP(C204,T_Insumos,4,FALSE),0)</f>
        <v>0</v>
      </c>
      <c r="B204" s="445">
        <f t="shared" ref="B204:B214" si="53">IFERROR(VLOOKUP(C204,T_Insumos,5,FALSE),0)</f>
        <v>0</v>
      </c>
      <c r="C204" s="445"/>
      <c r="D204" s="493">
        <f t="shared" ref="D204:D214" si="54">IFERROR(VLOOKUP(C204,T_Insumos,2,FALSE),0)</f>
        <v>0</v>
      </c>
      <c r="E204" s="437"/>
      <c r="F204" s="439">
        <f t="shared" ref="F204:F214" si="55">IFERROR(VLOOKUP(C204,T_Insumos,3,FALSE),0)</f>
        <v>0</v>
      </c>
      <c r="G204" s="439">
        <f>ROUND(E204*F204,2)</f>
        <v>0</v>
      </c>
    </row>
    <row r="205" spans="1:8" ht="19.899999999999999" customHeight="1" x14ac:dyDescent="0.2">
      <c r="A205" s="482">
        <f t="shared" si="52"/>
        <v>0</v>
      </c>
      <c r="B205" s="445">
        <f t="shared" si="53"/>
        <v>0</v>
      </c>
      <c r="C205" s="445"/>
      <c r="D205" s="493">
        <f t="shared" si="54"/>
        <v>0</v>
      </c>
      <c r="E205" s="437"/>
      <c r="F205" s="439">
        <f t="shared" si="55"/>
        <v>0</v>
      </c>
      <c r="G205" s="439">
        <f t="shared" ref="G205:G214" si="56">ROUND(E205*F205,2)</f>
        <v>0</v>
      </c>
    </row>
    <row r="206" spans="1:8" ht="19.899999999999999" customHeight="1" x14ac:dyDescent="0.2">
      <c r="A206" s="482">
        <f t="shared" si="52"/>
        <v>0</v>
      </c>
      <c r="B206" s="445">
        <f t="shared" si="53"/>
        <v>0</v>
      </c>
      <c r="C206" s="445"/>
      <c r="D206" s="493">
        <f t="shared" si="54"/>
        <v>0</v>
      </c>
      <c r="E206" s="437"/>
      <c r="F206" s="439">
        <f t="shared" si="55"/>
        <v>0</v>
      </c>
      <c r="G206" s="439">
        <f t="shared" si="56"/>
        <v>0</v>
      </c>
    </row>
    <row r="207" spans="1:8" ht="19.899999999999999" customHeight="1" x14ac:dyDescent="0.2">
      <c r="A207" s="482">
        <f t="shared" si="52"/>
        <v>0</v>
      </c>
      <c r="B207" s="445">
        <f t="shared" si="53"/>
        <v>0</v>
      </c>
      <c r="C207" s="445"/>
      <c r="D207" s="493">
        <f t="shared" si="54"/>
        <v>0</v>
      </c>
      <c r="E207" s="437"/>
      <c r="F207" s="439">
        <f t="shared" si="55"/>
        <v>0</v>
      </c>
      <c r="G207" s="439">
        <f t="shared" si="56"/>
        <v>0</v>
      </c>
    </row>
    <row r="208" spans="1:8" ht="19.899999999999999" customHeight="1" x14ac:dyDescent="0.2">
      <c r="A208" s="482">
        <f t="shared" si="52"/>
        <v>0</v>
      </c>
      <c r="B208" s="445">
        <f t="shared" si="53"/>
        <v>0</v>
      </c>
      <c r="C208" s="445"/>
      <c r="D208" s="493">
        <f t="shared" si="54"/>
        <v>0</v>
      </c>
      <c r="E208" s="437"/>
      <c r="F208" s="439">
        <f t="shared" si="55"/>
        <v>0</v>
      </c>
      <c r="G208" s="439">
        <f t="shared" si="56"/>
        <v>0</v>
      </c>
    </row>
    <row r="209" spans="1:7" ht="19.899999999999999" customHeight="1" x14ac:dyDescent="0.2">
      <c r="A209" s="482">
        <f t="shared" si="52"/>
        <v>0</v>
      </c>
      <c r="B209" s="445">
        <f t="shared" si="53"/>
        <v>0</v>
      </c>
      <c r="C209" s="445"/>
      <c r="D209" s="493">
        <f t="shared" si="54"/>
        <v>0</v>
      </c>
      <c r="E209" s="437"/>
      <c r="F209" s="439">
        <f t="shared" si="55"/>
        <v>0</v>
      </c>
      <c r="G209" s="439">
        <f t="shared" si="56"/>
        <v>0</v>
      </c>
    </row>
    <row r="210" spans="1:7" ht="19.899999999999999" customHeight="1" x14ac:dyDescent="0.2">
      <c r="A210" s="482">
        <f t="shared" si="52"/>
        <v>0</v>
      </c>
      <c r="B210" s="445">
        <f t="shared" si="53"/>
        <v>0</v>
      </c>
      <c r="C210" s="445"/>
      <c r="D210" s="493">
        <f t="shared" si="54"/>
        <v>0</v>
      </c>
      <c r="E210" s="437"/>
      <c r="F210" s="439">
        <f t="shared" si="55"/>
        <v>0</v>
      </c>
      <c r="G210" s="439">
        <f t="shared" si="56"/>
        <v>0</v>
      </c>
    </row>
    <row r="211" spans="1:7" ht="19.899999999999999" customHeight="1" x14ac:dyDescent="0.2">
      <c r="A211" s="482">
        <f t="shared" si="52"/>
        <v>0</v>
      </c>
      <c r="B211" s="445">
        <f t="shared" si="53"/>
        <v>0</v>
      </c>
      <c r="C211" s="445"/>
      <c r="D211" s="493">
        <f t="shared" si="54"/>
        <v>0</v>
      </c>
      <c r="E211" s="437"/>
      <c r="F211" s="439">
        <f t="shared" si="55"/>
        <v>0</v>
      </c>
      <c r="G211" s="439">
        <f t="shared" si="56"/>
        <v>0</v>
      </c>
    </row>
    <row r="212" spans="1:7" ht="19.899999999999999" customHeight="1" x14ac:dyDescent="0.2">
      <c r="A212" s="482">
        <f t="shared" si="52"/>
        <v>0</v>
      </c>
      <c r="B212" s="445">
        <f t="shared" si="53"/>
        <v>0</v>
      </c>
      <c r="C212" s="445"/>
      <c r="D212" s="493">
        <f t="shared" si="54"/>
        <v>0</v>
      </c>
      <c r="E212" s="437"/>
      <c r="F212" s="439">
        <f t="shared" si="55"/>
        <v>0</v>
      </c>
      <c r="G212" s="439">
        <f t="shared" si="56"/>
        <v>0</v>
      </c>
    </row>
    <row r="213" spans="1:7" ht="19.899999999999999" customHeight="1" x14ac:dyDescent="0.2">
      <c r="A213" s="482">
        <f t="shared" si="52"/>
        <v>0</v>
      </c>
      <c r="B213" s="445">
        <f t="shared" si="53"/>
        <v>0</v>
      </c>
      <c r="C213" s="445"/>
      <c r="D213" s="493">
        <f t="shared" si="54"/>
        <v>0</v>
      </c>
      <c r="E213" s="437"/>
      <c r="F213" s="439">
        <f t="shared" si="55"/>
        <v>0</v>
      </c>
      <c r="G213" s="439">
        <f t="shared" si="56"/>
        <v>0</v>
      </c>
    </row>
    <row r="214" spans="1:7" ht="19.899999999999999" customHeight="1" x14ac:dyDescent="0.2">
      <c r="A214" s="482">
        <f t="shared" si="52"/>
        <v>0</v>
      </c>
      <c r="B214" s="445">
        <f t="shared" si="53"/>
        <v>0</v>
      </c>
      <c r="C214" s="445"/>
      <c r="D214" s="493">
        <f t="shared" si="54"/>
        <v>0</v>
      </c>
      <c r="E214" s="437"/>
      <c r="F214" s="439">
        <f t="shared" si="55"/>
        <v>0</v>
      </c>
      <c r="G214" s="439">
        <f t="shared" si="56"/>
        <v>0</v>
      </c>
    </row>
    <row r="215" spans="1:7" ht="19.899999999999999" customHeight="1" x14ac:dyDescent="0.2">
      <c r="A215" s="480"/>
      <c r="B215" s="139"/>
      <c r="C215" s="139"/>
      <c r="D215" s="426"/>
      <c r="E215" s="427"/>
      <c r="F215" s="448" t="s">
        <v>29</v>
      </c>
      <c r="G215" s="485">
        <f>SUBTOTAL(9,G204:G214)</f>
        <v>0</v>
      </c>
    </row>
    <row r="216" spans="1:7" ht="19.899999999999999" customHeight="1" x14ac:dyDescent="0.2">
      <c r="A216" s="480"/>
      <c r="B216" s="139"/>
      <c r="C216" s="422" t="s">
        <v>983</v>
      </c>
      <c r="D216" s="426"/>
      <c r="E216" s="427"/>
      <c r="F216" s="428"/>
      <c r="G216" s="481"/>
    </row>
    <row r="217" spans="1:7" ht="19.899999999999999" customHeight="1" x14ac:dyDescent="0.2">
      <c r="A217" s="720" t="s">
        <v>576</v>
      </c>
      <c r="B217" s="721"/>
      <c r="C217" s="722" t="s">
        <v>0</v>
      </c>
      <c r="D217" s="722" t="s">
        <v>1725</v>
      </c>
      <c r="E217" s="724" t="s">
        <v>24</v>
      </c>
      <c r="F217" s="726" t="s">
        <v>25</v>
      </c>
      <c r="G217" s="728" t="s">
        <v>26</v>
      </c>
    </row>
    <row r="218" spans="1:7" ht="19.899999999999999" customHeight="1" x14ac:dyDescent="0.2">
      <c r="A218" s="444" t="s">
        <v>577</v>
      </c>
      <c r="B218" s="444" t="s">
        <v>578</v>
      </c>
      <c r="C218" s="723"/>
      <c r="D218" s="723"/>
      <c r="E218" s="725"/>
      <c r="F218" s="727"/>
      <c r="G218" s="729"/>
    </row>
    <row r="219" spans="1:7" ht="19.899999999999999" customHeight="1" x14ac:dyDescent="0.2">
      <c r="A219" s="482">
        <f>IFERROR(VLOOKUP(C219,T_Insumos,4,FALSE),0)</f>
        <v>0</v>
      </c>
      <c r="B219" s="445">
        <f>IFERROR(VLOOKUP(C219,T_Insumos,5,FALSE),0)</f>
        <v>0</v>
      </c>
      <c r="C219" s="436"/>
      <c r="D219" s="493">
        <f>IF(C219=0,0,"$/tnkm")</f>
        <v>0</v>
      </c>
      <c r="E219" s="437"/>
      <c r="F219" s="439">
        <f>IFERROR(VLOOKUP(C219,T_Insumos,3,FALSE),0)</f>
        <v>0</v>
      </c>
      <c r="G219" s="439">
        <f>ROUND(E219*F219,2)</f>
        <v>0</v>
      </c>
    </row>
    <row r="220" spans="1:7" ht="19.899999999999999" customHeight="1" x14ac:dyDescent="0.2">
      <c r="A220" s="482">
        <f>IFERROR(VLOOKUP(C220,T_Insumos,4,FALSE),0)</f>
        <v>0</v>
      </c>
      <c r="B220" s="445">
        <f>IFERROR(VLOOKUP(C220,T_Insumos,5,FALSE),0)</f>
        <v>0</v>
      </c>
      <c r="C220" s="436"/>
      <c r="D220" s="493">
        <f>IF(C220=0,0,"$/tnkm")</f>
        <v>0</v>
      </c>
      <c r="E220" s="453"/>
      <c r="F220" s="439">
        <f>IFERROR(VLOOKUP(C220,T_Insumos,3,FALSE),0)</f>
        <v>0</v>
      </c>
      <c r="G220" s="439">
        <f t="shared" ref="G220" si="57">ROUND(E220*F220,2)</f>
        <v>0</v>
      </c>
    </row>
    <row r="221" spans="1:7" ht="19.899999999999999" customHeight="1" x14ac:dyDescent="0.2">
      <c r="A221" s="480"/>
      <c r="B221" s="139"/>
      <c r="C221" s="139"/>
      <c r="D221" s="426"/>
      <c r="E221" s="427"/>
      <c r="F221" s="448" t="s">
        <v>984</v>
      </c>
      <c r="G221" s="485">
        <f>SUBTOTAL(9,G219:G220)</f>
        <v>0</v>
      </c>
    </row>
    <row r="222" spans="1:7" ht="19.899999999999999" customHeight="1" x14ac:dyDescent="0.2">
      <c r="A222" s="483"/>
      <c r="B222" s="426"/>
      <c r="C222" s="139"/>
      <c r="D222" s="426"/>
      <c r="E222" s="427"/>
      <c r="F222" s="428"/>
      <c r="G222" s="481"/>
    </row>
    <row r="223" spans="1:7" ht="19.899999999999999" customHeight="1" x14ac:dyDescent="0.2">
      <c r="A223" s="541" t="str">
        <f>B157</f>
        <v>2.2</v>
      </c>
      <c r="B223" s="538" t="str">
        <f ca="1">C157</f>
        <v>Nivelación y Replanteo</v>
      </c>
      <c r="C223" s="426"/>
      <c r="D223" s="426" t="s">
        <v>1704</v>
      </c>
      <c r="E223" s="539"/>
      <c r="F223" s="540" t="str">
        <f ca="1">"$/"&amp;G157</f>
        <v>$/Gl</v>
      </c>
      <c r="G223" s="490">
        <f>SUBTOTAL(9,G180:G222)</f>
        <v>0</v>
      </c>
    </row>
    <row r="224" spans="1:7" ht="19.899999999999999" customHeight="1" x14ac:dyDescent="0.2">
      <c r="A224" s="486"/>
      <c r="B224" s="487"/>
      <c r="C224" s="488"/>
      <c r="D224" s="488" t="s">
        <v>1900</v>
      </c>
      <c r="E224" s="489"/>
      <c r="F224" s="542" t="str">
        <f ca="1">"$/"&amp;G157</f>
        <v>$/Gl</v>
      </c>
      <c r="G224" s="490">
        <f>ROUND(G223*Coeficiente_Paso,2)</f>
        <v>0</v>
      </c>
    </row>
    <row r="225" spans="1:7" ht="19.899999999999999" customHeight="1" x14ac:dyDescent="0.2">
      <c r="A225" s="139"/>
      <c r="B225" s="139"/>
      <c r="C225" s="139"/>
      <c r="D225" s="139"/>
      <c r="E225" s="139"/>
      <c r="F225" s="139"/>
      <c r="G225" s="139"/>
    </row>
    <row r="226" spans="1:7" ht="19.899999999999999" customHeight="1" x14ac:dyDescent="0.2">
      <c r="A226" s="730" t="s">
        <v>31</v>
      </c>
      <c r="B226" s="731"/>
      <c r="C226" s="731"/>
      <c r="D226" s="731"/>
      <c r="E226" s="731"/>
      <c r="F226" s="731"/>
      <c r="G226" s="732"/>
    </row>
    <row r="227" spans="1:7" ht="19.899999999999999" customHeight="1" x14ac:dyDescent="0.2">
      <c r="A227" s="469" t="s">
        <v>711</v>
      </c>
      <c r="B227" s="420" t="str">
        <f>Comitente</f>
        <v>DEPARTAMENTO DE HIDRAULICA</v>
      </c>
      <c r="C227" s="421"/>
      <c r="D227" s="422"/>
      <c r="E227" s="422"/>
      <c r="F227" s="423"/>
      <c r="G227" s="470"/>
    </row>
    <row r="228" spans="1:7" ht="19.899999999999999" customHeight="1" x14ac:dyDescent="0.2">
      <c r="A228" s="469" t="s">
        <v>712</v>
      </c>
      <c r="B228" s="420">
        <f>Contratista</f>
        <v>0</v>
      </c>
      <c r="C228" s="424"/>
      <c r="D228" s="424"/>
      <c r="E228" s="424"/>
      <c r="F228" s="420"/>
      <c r="G228" s="471"/>
    </row>
    <row r="229" spans="1:7" ht="19.899999999999999" customHeight="1" x14ac:dyDescent="0.2">
      <c r="A229" s="469" t="s">
        <v>21</v>
      </c>
      <c r="B229" s="420" t="str">
        <f>Obra</f>
        <v>Encamisado Parcial del Canal de Calle América</v>
      </c>
      <c r="C229" s="424"/>
      <c r="D229" s="424"/>
      <c r="E229" s="424"/>
      <c r="F229" s="420" t="s">
        <v>32</v>
      </c>
      <c r="G229" s="471" t="str">
        <f>Fecha_Base</f>
        <v>X/X/2023</v>
      </c>
    </row>
    <row r="230" spans="1:7" ht="19.899999999999999" customHeight="1" x14ac:dyDescent="0.2">
      <c r="A230" s="472" t="s">
        <v>710</v>
      </c>
      <c r="B230" s="425" t="str">
        <f>Ubicación</f>
        <v>Departamento Rawson</v>
      </c>
      <c r="C230" s="425"/>
      <c r="D230" s="426"/>
      <c r="E230" s="427"/>
      <c r="F230" s="428"/>
      <c r="G230" s="473"/>
    </row>
    <row r="231" spans="1:7" ht="19.899999999999999" customHeight="1" x14ac:dyDescent="0.2">
      <c r="A231" s="472" t="s">
        <v>33</v>
      </c>
      <c r="B231" s="429">
        <f>IFERROR(VALUE(LEFT(B232,FIND(".",B232)-1)),"")</f>
        <v>2</v>
      </c>
      <c r="C231" s="139" t="str">
        <f ca="1">IFERROR(VLOOKUP(B231,T_Computo_Presupuesto,2,FALSE),0)</f>
        <v>CANAL AMÉRICA</v>
      </c>
      <c r="D231" s="139"/>
      <c r="E231" s="427"/>
      <c r="F231" s="428"/>
      <c r="G231" s="473"/>
    </row>
    <row r="232" spans="1:7" ht="19.899999999999999" customHeight="1" x14ac:dyDescent="0.2">
      <c r="A232" s="472" t="s">
        <v>22</v>
      </c>
      <c r="B232" s="430" t="str">
        <f>IFERROR(VLOOKUP(COUNTIF($A$1:A232,"ANALISIS DE PRECIOS"),T_NumeroItem,2,FALSE),"")</f>
        <v>2.3</v>
      </c>
      <c r="C232" s="733" t="str">
        <f ca="1">IFERROR(VLOOKUP(B232,T_Computo_Presupuesto,2,FALSE),0)</f>
        <v>Demolición de las Bocas del Sifón</v>
      </c>
      <c r="D232" s="733"/>
      <c r="E232" s="733"/>
      <c r="F232" s="425" t="s">
        <v>23</v>
      </c>
      <c r="G232" s="474" t="str">
        <f ca="1">IFERROR(VLOOKUP(B232,T_Computo_Presupuesto,4,FALSE),0)</f>
        <v>Gl</v>
      </c>
    </row>
    <row r="233" spans="1:7" ht="19.899999999999999" customHeight="1" x14ac:dyDescent="0.2">
      <c r="A233" s="472"/>
      <c r="B233" s="425"/>
      <c r="C233" s="139"/>
      <c r="D233" s="426"/>
      <c r="E233" s="427"/>
      <c r="F233" s="139"/>
      <c r="G233" s="475"/>
    </row>
    <row r="234" spans="1:7" ht="19.899999999999999" customHeight="1" x14ac:dyDescent="0.2">
      <c r="A234" s="476"/>
      <c r="B234" s="431"/>
      <c r="C234" s="432" t="s">
        <v>967</v>
      </c>
      <c r="D234" s="431"/>
      <c r="E234" s="431"/>
      <c r="F234" s="431"/>
      <c r="G234" s="477"/>
    </row>
    <row r="235" spans="1:7" ht="19.899999999999999" customHeight="1" x14ac:dyDescent="0.2">
      <c r="A235" s="472"/>
      <c r="B235" s="433"/>
      <c r="C235" s="139"/>
      <c r="D235" s="426"/>
      <c r="E235" s="427"/>
      <c r="F235" s="425"/>
      <c r="G235" s="474"/>
    </row>
    <row r="236" spans="1:7" ht="19.899999999999999" customHeight="1" x14ac:dyDescent="0.2">
      <c r="A236" s="472"/>
      <c r="B236" s="433"/>
      <c r="C236" s="434" t="s">
        <v>968</v>
      </c>
      <c r="D236" s="435" t="s">
        <v>24</v>
      </c>
      <c r="E236" s="435" t="s">
        <v>969</v>
      </c>
      <c r="F236" s="435" t="s">
        <v>970</v>
      </c>
      <c r="G236" s="434" t="s">
        <v>971</v>
      </c>
    </row>
    <row r="237" spans="1:7" ht="19.899999999999999" customHeight="1" x14ac:dyDescent="0.2">
      <c r="A237" s="472"/>
      <c r="B237" s="433"/>
      <c r="C237" s="436">
        <f>+Equipos!A14</f>
        <v>0</v>
      </c>
      <c r="D237" s="437"/>
      <c r="E237" s="438">
        <f t="shared" ref="E237:E246" si="58">IFERROR(VLOOKUP(C237,T_Equipos,4,FALSE),0)</f>
        <v>0</v>
      </c>
      <c r="F237" s="439">
        <f t="shared" ref="F237:F246" si="59">IFERROR(VLOOKUP(C237,T_Equipos,5,FALSE),0)</f>
        <v>0</v>
      </c>
      <c r="G237" s="439">
        <f>ROUND(D237*F237,2)</f>
        <v>0</v>
      </c>
    </row>
    <row r="238" spans="1:7" ht="19.899999999999999" customHeight="1" x14ac:dyDescent="0.2">
      <c r="A238" s="472"/>
      <c r="B238" s="433"/>
      <c r="C238" s="436">
        <f>+Equipos!A15</f>
        <v>0</v>
      </c>
      <c r="D238" s="437"/>
      <c r="E238" s="438">
        <f t="shared" si="58"/>
        <v>0</v>
      </c>
      <c r="F238" s="439">
        <f t="shared" si="59"/>
        <v>0</v>
      </c>
      <c r="G238" s="439">
        <f>ROUND(D238*F238,2)</f>
        <v>0</v>
      </c>
    </row>
    <row r="239" spans="1:7" ht="19.899999999999999" customHeight="1" x14ac:dyDescent="0.2">
      <c r="A239" s="472"/>
      <c r="B239" s="433"/>
      <c r="C239" s="436">
        <f>+Equipos!A25</f>
        <v>0</v>
      </c>
      <c r="D239" s="437"/>
      <c r="E239" s="438">
        <f t="shared" si="58"/>
        <v>0</v>
      </c>
      <c r="F239" s="439">
        <f t="shared" si="59"/>
        <v>0</v>
      </c>
      <c r="G239" s="439">
        <f>ROUND(D239*F239,2)</f>
        <v>0</v>
      </c>
    </row>
    <row r="240" spans="1:7" ht="19.899999999999999" customHeight="1" x14ac:dyDescent="0.2">
      <c r="A240" s="472"/>
      <c r="B240" s="433"/>
      <c r="C240" s="436"/>
      <c r="D240" s="437"/>
      <c r="E240" s="438">
        <f t="shared" si="58"/>
        <v>0</v>
      </c>
      <c r="F240" s="439">
        <f t="shared" si="59"/>
        <v>0</v>
      </c>
      <c r="G240" s="439">
        <f>ROUND(D240*F240,2)</f>
        <v>0</v>
      </c>
    </row>
    <row r="241" spans="1:7" ht="19.899999999999999" customHeight="1" x14ac:dyDescent="0.2">
      <c r="A241" s="472"/>
      <c r="B241" s="433"/>
      <c r="C241" s="436"/>
      <c r="D241" s="437"/>
      <c r="E241" s="438">
        <f t="shared" si="58"/>
        <v>0</v>
      </c>
      <c r="F241" s="439">
        <f t="shared" si="59"/>
        <v>0</v>
      </c>
      <c r="G241" s="439">
        <f t="shared" ref="G241:G246" si="60">ROUND(D241*F241,2)</f>
        <v>0</v>
      </c>
    </row>
    <row r="242" spans="1:7" ht="19.899999999999999" customHeight="1" x14ac:dyDescent="0.2">
      <c r="A242" s="472"/>
      <c r="B242" s="433"/>
      <c r="C242" s="436"/>
      <c r="D242" s="437"/>
      <c r="E242" s="438">
        <f t="shared" si="58"/>
        <v>0</v>
      </c>
      <c r="F242" s="439">
        <f t="shared" si="59"/>
        <v>0</v>
      </c>
      <c r="G242" s="439">
        <f t="shared" si="60"/>
        <v>0</v>
      </c>
    </row>
    <row r="243" spans="1:7" ht="19.899999999999999" customHeight="1" x14ac:dyDescent="0.2">
      <c r="A243" s="472"/>
      <c r="B243" s="433"/>
      <c r="C243" s="436"/>
      <c r="D243" s="437"/>
      <c r="E243" s="438">
        <f t="shared" si="58"/>
        <v>0</v>
      </c>
      <c r="F243" s="439">
        <f t="shared" si="59"/>
        <v>0</v>
      </c>
      <c r="G243" s="439">
        <f t="shared" si="60"/>
        <v>0</v>
      </c>
    </row>
    <row r="244" spans="1:7" ht="19.899999999999999" customHeight="1" x14ac:dyDescent="0.2">
      <c r="A244" s="472"/>
      <c r="B244" s="433"/>
      <c r="C244" s="436"/>
      <c r="D244" s="437"/>
      <c r="E244" s="438">
        <f t="shared" si="58"/>
        <v>0</v>
      </c>
      <c r="F244" s="439">
        <f t="shared" si="59"/>
        <v>0</v>
      </c>
      <c r="G244" s="439">
        <f t="shared" si="60"/>
        <v>0</v>
      </c>
    </row>
    <row r="245" spans="1:7" ht="19.899999999999999" customHeight="1" x14ac:dyDescent="0.2">
      <c r="A245" s="472"/>
      <c r="B245" s="433"/>
      <c r="C245" s="436"/>
      <c r="D245" s="437"/>
      <c r="E245" s="438">
        <f t="shared" si="58"/>
        <v>0</v>
      </c>
      <c r="F245" s="439">
        <f t="shared" si="59"/>
        <v>0</v>
      </c>
      <c r="G245" s="439">
        <f t="shared" si="60"/>
        <v>0</v>
      </c>
    </row>
    <row r="246" spans="1:7" ht="19.899999999999999" customHeight="1" x14ac:dyDescent="0.2">
      <c r="A246" s="472"/>
      <c r="B246" s="433"/>
      <c r="C246" s="436"/>
      <c r="D246" s="437"/>
      <c r="E246" s="438">
        <f t="shared" si="58"/>
        <v>0</v>
      </c>
      <c r="F246" s="439">
        <f t="shared" si="59"/>
        <v>0</v>
      </c>
      <c r="G246" s="439">
        <f t="shared" si="60"/>
        <v>0</v>
      </c>
    </row>
    <row r="247" spans="1:7" ht="19.899999999999999" customHeight="1" x14ac:dyDescent="0.2">
      <c r="A247" s="472"/>
      <c r="B247" s="433"/>
      <c r="C247" s="139"/>
      <c r="D247" s="139"/>
      <c r="E247" s="440"/>
      <c r="F247" s="425"/>
      <c r="G247" s="474"/>
    </row>
    <row r="248" spans="1:7" ht="19.899999999999999" customHeight="1" x14ac:dyDescent="0.2">
      <c r="A248" s="472"/>
      <c r="B248" s="139"/>
      <c r="C248" s="422" t="s">
        <v>972</v>
      </c>
      <c r="D248" s="425" t="s">
        <v>969</v>
      </c>
      <c r="E248" s="491">
        <f>SUMPRODUCT(D237:D246,E237:E246)</f>
        <v>0</v>
      </c>
      <c r="F248" s="425" t="s">
        <v>973</v>
      </c>
      <c r="G248" s="492">
        <f>SUM(G237:G246)</f>
        <v>0</v>
      </c>
    </row>
    <row r="249" spans="1:7" ht="19.899999999999999" customHeight="1" x14ac:dyDescent="0.2">
      <c r="A249" s="472"/>
      <c r="B249" s="433"/>
      <c r="C249" s="441"/>
      <c r="D249" s="440"/>
      <c r="E249" s="427"/>
      <c r="F249" s="425"/>
      <c r="G249" s="478"/>
    </row>
    <row r="250" spans="1:7" ht="19.899999999999999" customHeight="1" x14ac:dyDescent="0.2">
      <c r="A250" s="479"/>
      <c r="B250" s="433"/>
      <c r="C250" s="425" t="s">
        <v>974</v>
      </c>
      <c r="D250" s="442">
        <f>IFERROR(VLOOKUP(COUNTIF($A$1:A250,"ANALISIS DE PRECIOS"),T_Rendimiento_Equipo,5,FALSE),0)</f>
        <v>0</v>
      </c>
      <c r="E250" s="443" t="str">
        <f ca="1">G232&amp;"/día"</f>
        <v>Gl/día</v>
      </c>
      <c r="F250" s="419"/>
      <c r="G250" s="474"/>
    </row>
    <row r="251" spans="1:7" ht="19.899999999999999" customHeight="1" x14ac:dyDescent="0.2">
      <c r="A251" s="472"/>
      <c r="B251" s="433"/>
      <c r="C251" s="139"/>
      <c r="D251" s="426"/>
      <c r="E251" s="427"/>
      <c r="F251" s="425"/>
      <c r="G251" s="474"/>
    </row>
    <row r="252" spans="1:7" ht="19.899999999999999" customHeight="1" x14ac:dyDescent="0.2">
      <c r="A252" s="720" t="s">
        <v>576</v>
      </c>
      <c r="B252" s="721"/>
      <c r="C252" s="722" t="s">
        <v>0</v>
      </c>
      <c r="D252" s="734" t="s">
        <v>1724</v>
      </c>
      <c r="E252" s="734" t="s">
        <v>1723</v>
      </c>
      <c r="F252" s="726" t="s">
        <v>975</v>
      </c>
      <c r="G252" s="728" t="s">
        <v>26</v>
      </c>
    </row>
    <row r="253" spans="1:7" ht="19.899999999999999" customHeight="1" x14ac:dyDescent="0.2">
      <c r="A253" s="444" t="s">
        <v>577</v>
      </c>
      <c r="B253" s="444" t="s">
        <v>578</v>
      </c>
      <c r="C253" s="723"/>
      <c r="D253" s="735"/>
      <c r="E253" s="725"/>
      <c r="F253" s="727"/>
      <c r="G253" s="729"/>
    </row>
    <row r="254" spans="1:7" ht="19.899999999999999" customHeight="1" x14ac:dyDescent="0.2">
      <c r="A254" s="480"/>
      <c r="B254" s="139"/>
      <c r="C254" s="422" t="s">
        <v>976</v>
      </c>
      <c r="D254" s="427"/>
      <c r="E254" s="427"/>
      <c r="F254" s="139"/>
      <c r="G254" s="481"/>
    </row>
    <row r="255" spans="1:7" ht="19.899999999999999" customHeight="1" x14ac:dyDescent="0.2">
      <c r="A255" s="482">
        <f t="shared" ref="A255:A263" si="61">IFERROR(VLOOKUP(C255,T_Insumos,4,FALSE),0)</f>
        <v>0</v>
      </c>
      <c r="B255" s="445">
        <f t="shared" ref="B255:B263" si="62">IFERROR(VLOOKUP(C255,T_Insumos,5,FALSE),0)</f>
        <v>0</v>
      </c>
      <c r="C255" s="436">
        <f>+C30</f>
        <v>0</v>
      </c>
      <c r="D255" s="446">
        <f t="shared" ref="D255:D263" si="63">IFERROR(VLOOKUP(C255,T_Insumos,3,FALSE),0)</f>
        <v>0</v>
      </c>
      <c r="E255" s="439">
        <f>D255*$G$248</f>
        <v>0</v>
      </c>
      <c r="F255" s="442">
        <f>IF(C255="",0,IFERROR(VLOOKUP(COUNTIF($A$1:A255,"ANALISIS DE PRECIOS"),T_Rendimiento_Equipo,5,FALSE),0))</f>
        <v>0</v>
      </c>
      <c r="G255" s="439">
        <f>IFERROR(ROUND(E255/F255,2),0)</f>
        <v>0</v>
      </c>
    </row>
    <row r="256" spans="1:7" ht="19.899999999999999" customHeight="1" x14ac:dyDescent="0.2">
      <c r="A256" s="482">
        <f t="shared" si="61"/>
        <v>0</v>
      </c>
      <c r="B256" s="445">
        <f t="shared" si="62"/>
        <v>0</v>
      </c>
      <c r="C256" s="436">
        <f t="shared" ref="C256:C258" si="64">+C31</f>
        <v>0</v>
      </c>
      <c r="D256" s="446">
        <f t="shared" si="63"/>
        <v>0</v>
      </c>
      <c r="E256" s="439">
        <f t="shared" ref="E256:E257" si="65">D256*$G$248</f>
        <v>0</v>
      </c>
      <c r="F256" s="442">
        <f>IF(C256="",0,IFERROR(VLOOKUP(COUNTIF($A$1:A256,"ANALISIS DE PRECIOS"),T_Rendimiento_Equipo,5,FALSE),0))</f>
        <v>0</v>
      </c>
      <c r="G256" s="439">
        <f t="shared" ref="G256:G263" si="66">IFERROR(ROUND(E256/F256,2),0)</f>
        <v>0</v>
      </c>
    </row>
    <row r="257" spans="1:7" ht="19.899999999999999" customHeight="1" x14ac:dyDescent="0.2">
      <c r="A257" s="482">
        <f t="shared" si="61"/>
        <v>0</v>
      </c>
      <c r="B257" s="445">
        <f t="shared" si="62"/>
        <v>0</v>
      </c>
      <c r="C257" s="436">
        <f t="shared" si="64"/>
        <v>0</v>
      </c>
      <c r="D257" s="446">
        <f t="shared" si="63"/>
        <v>0</v>
      </c>
      <c r="E257" s="439">
        <f t="shared" si="65"/>
        <v>0</v>
      </c>
      <c r="F257" s="442">
        <f>IF(C257="",0,IFERROR(VLOOKUP(COUNTIF($A$1:A257,"ANALISIS DE PRECIOS"),T_Rendimiento_Equipo,5,FALSE),0))</f>
        <v>0</v>
      </c>
      <c r="G257" s="439">
        <f t="shared" si="66"/>
        <v>0</v>
      </c>
    </row>
    <row r="258" spans="1:7" ht="19.899999999999999" customHeight="1" x14ac:dyDescent="0.2">
      <c r="A258" s="482">
        <f t="shared" si="61"/>
        <v>0</v>
      </c>
      <c r="B258" s="445">
        <f t="shared" si="62"/>
        <v>0</v>
      </c>
      <c r="C258" s="436">
        <f t="shared" si="64"/>
        <v>0</v>
      </c>
      <c r="D258" s="446">
        <f t="shared" si="63"/>
        <v>0</v>
      </c>
      <c r="E258" s="439">
        <f>D258*$E$248</f>
        <v>0</v>
      </c>
      <c r="F258" s="442">
        <f>IF(C258="",0,IFERROR(VLOOKUP(COUNTIF($A$1:A258,"ANALISIS DE PRECIOS"),T_Rendimiento_Equipo,5,FALSE),0))</f>
        <v>0</v>
      </c>
      <c r="G258" s="439">
        <f t="shared" si="66"/>
        <v>0</v>
      </c>
    </row>
    <row r="259" spans="1:7" ht="19.899999999999999" customHeight="1" x14ac:dyDescent="0.2">
      <c r="A259" s="482">
        <f t="shared" si="61"/>
        <v>0</v>
      </c>
      <c r="B259" s="445">
        <f t="shared" si="62"/>
        <v>0</v>
      </c>
      <c r="C259" s="447"/>
      <c r="D259" s="446">
        <f t="shared" si="63"/>
        <v>0</v>
      </c>
      <c r="E259" s="439"/>
      <c r="F259" s="442">
        <f>IF(C259="",0,IFERROR(VLOOKUP(COUNTIF($A$1:A259,"ANALISIS DE PRECIOS"),T_Rendimiento_Equipo,5,FALSE),0))</f>
        <v>0</v>
      </c>
      <c r="G259" s="439">
        <f t="shared" si="66"/>
        <v>0</v>
      </c>
    </row>
    <row r="260" spans="1:7" ht="19.899999999999999" customHeight="1" x14ac:dyDescent="0.2">
      <c r="A260" s="482">
        <f t="shared" si="61"/>
        <v>0</v>
      </c>
      <c r="B260" s="445">
        <f t="shared" si="62"/>
        <v>0</v>
      </c>
      <c r="C260" s="447"/>
      <c r="D260" s="446">
        <f t="shared" si="63"/>
        <v>0</v>
      </c>
      <c r="E260" s="439"/>
      <c r="F260" s="442">
        <f>IF(C260="",0,IFERROR(VLOOKUP(COUNTIF($A$1:A260,"ANALISIS DE PRECIOS"),T_Rendimiento_Equipo,5,FALSE),0))</f>
        <v>0</v>
      </c>
      <c r="G260" s="439">
        <f t="shared" si="66"/>
        <v>0</v>
      </c>
    </row>
    <row r="261" spans="1:7" ht="19.899999999999999" customHeight="1" x14ac:dyDescent="0.2">
      <c r="A261" s="482">
        <f t="shared" si="61"/>
        <v>0</v>
      </c>
      <c r="B261" s="445">
        <f t="shared" si="62"/>
        <v>0</v>
      </c>
      <c r="C261" s="447"/>
      <c r="D261" s="446">
        <f t="shared" si="63"/>
        <v>0</v>
      </c>
      <c r="E261" s="439"/>
      <c r="F261" s="442">
        <f>IF(C261="",0,IFERROR(VLOOKUP(COUNTIF($A$1:A261,"ANALISIS DE PRECIOS"),T_Rendimiento_Equipo,5,FALSE),0))</f>
        <v>0</v>
      </c>
      <c r="G261" s="439">
        <f t="shared" si="66"/>
        <v>0</v>
      </c>
    </row>
    <row r="262" spans="1:7" ht="19.899999999999999" customHeight="1" x14ac:dyDescent="0.2">
      <c r="A262" s="482">
        <f t="shared" si="61"/>
        <v>0</v>
      </c>
      <c r="B262" s="445">
        <f t="shared" si="62"/>
        <v>0</v>
      </c>
      <c r="C262" s="447"/>
      <c r="D262" s="446">
        <f t="shared" si="63"/>
        <v>0</v>
      </c>
      <c r="E262" s="439"/>
      <c r="F262" s="442">
        <f>IF(C262="",0,IFERROR(VLOOKUP(COUNTIF($A$1:A262,"ANALISIS DE PRECIOS"),T_Rendimiento_Equipo,5,FALSE),0))</f>
        <v>0</v>
      </c>
      <c r="G262" s="439">
        <f t="shared" si="66"/>
        <v>0</v>
      </c>
    </row>
    <row r="263" spans="1:7" ht="19.899999999999999" customHeight="1" x14ac:dyDescent="0.2">
      <c r="A263" s="482">
        <f t="shared" si="61"/>
        <v>0</v>
      </c>
      <c r="B263" s="445">
        <f t="shared" si="62"/>
        <v>0</v>
      </c>
      <c r="C263" s="436"/>
      <c r="D263" s="446">
        <f t="shared" si="63"/>
        <v>0</v>
      </c>
      <c r="E263" s="439"/>
      <c r="F263" s="442">
        <f>IF(C263="",0,IFERROR(VLOOKUP(COUNTIF($A$1:A263,"ANALISIS DE PRECIOS"),T_Rendimiento_Equipo,5,FALSE),0))</f>
        <v>0</v>
      </c>
      <c r="G263" s="439">
        <f t="shared" si="66"/>
        <v>0</v>
      </c>
    </row>
    <row r="264" spans="1:7" ht="19.899999999999999" customHeight="1" x14ac:dyDescent="0.2">
      <c r="A264" s="483"/>
      <c r="B264" s="426"/>
      <c r="C264" s="139"/>
      <c r="D264" s="426"/>
      <c r="E264" s="427"/>
      <c r="F264" s="448" t="s">
        <v>27</v>
      </c>
      <c r="G264" s="484">
        <f>SUBTOTAL(9,G255:G263)</f>
        <v>0</v>
      </c>
    </row>
    <row r="265" spans="1:7" ht="19.899999999999999" customHeight="1" x14ac:dyDescent="0.2">
      <c r="A265" s="480"/>
      <c r="B265" s="139"/>
      <c r="C265" s="422" t="s">
        <v>713</v>
      </c>
      <c r="D265" s="426"/>
      <c r="E265" s="427"/>
      <c r="F265" s="428"/>
      <c r="G265" s="481"/>
    </row>
    <row r="266" spans="1:7" ht="19.899999999999999" customHeight="1" x14ac:dyDescent="0.2">
      <c r="A266" s="720" t="s">
        <v>576</v>
      </c>
      <c r="B266" s="721"/>
      <c r="C266" s="722" t="s">
        <v>0</v>
      </c>
      <c r="D266" s="724" t="s">
        <v>24</v>
      </c>
      <c r="E266" s="724" t="s">
        <v>1964</v>
      </c>
      <c r="F266" s="726" t="s">
        <v>975</v>
      </c>
      <c r="G266" s="728" t="s">
        <v>26</v>
      </c>
    </row>
    <row r="267" spans="1:7" ht="19.899999999999999" customHeight="1" x14ac:dyDescent="0.2">
      <c r="A267" s="444" t="s">
        <v>577</v>
      </c>
      <c r="B267" s="444" t="s">
        <v>578</v>
      </c>
      <c r="C267" s="723"/>
      <c r="D267" s="725"/>
      <c r="E267" s="725"/>
      <c r="F267" s="727"/>
      <c r="G267" s="729"/>
    </row>
    <row r="268" spans="1:7" ht="19.899999999999999" customHeight="1" x14ac:dyDescent="0.2">
      <c r="A268" s="482">
        <f t="shared" ref="A268:A274" si="67">IFERROR(VLOOKUP(C268,T_Insumos,4,FALSE),0)</f>
        <v>0</v>
      </c>
      <c r="B268" s="445">
        <f t="shared" ref="B268:B274" si="68">IFERROR(VLOOKUP(C268,T_Insumos,5,FALSE),0)</f>
        <v>0</v>
      </c>
      <c r="C268" s="449">
        <f>+C43</f>
        <v>0</v>
      </c>
      <c r="D268" s="442"/>
      <c r="E268" s="439">
        <f t="shared" ref="E268:E274" si="69">IFERROR(VLOOKUP(C268,T_Insumos,3,FALSE),0)</f>
        <v>0</v>
      </c>
      <c r="F268" s="442">
        <f>IF(C268="",0,IFERROR(VLOOKUP(COUNTIF($A$1:A268,"ANALISIS DE PRECIOS"),T_Rendimiento_Equipo,5,FALSE),0))</f>
        <v>0</v>
      </c>
      <c r="G268" s="439">
        <f>IFERROR(ROUND(D268*E268/F268,2),0)</f>
        <v>0</v>
      </c>
    </row>
    <row r="269" spans="1:7" ht="19.899999999999999" customHeight="1" x14ac:dyDescent="0.2">
      <c r="A269" s="482">
        <f t="shared" si="67"/>
        <v>0</v>
      </c>
      <c r="B269" s="445">
        <f t="shared" si="68"/>
        <v>0</v>
      </c>
      <c r="C269" s="449">
        <f t="shared" ref="C269:C271" si="70">+C44</f>
        <v>0</v>
      </c>
      <c r="D269" s="442"/>
      <c r="E269" s="439">
        <f t="shared" si="69"/>
        <v>0</v>
      </c>
      <c r="F269" s="442">
        <f>IF(C269="",0,IFERROR(VLOOKUP(COUNTIF($A$1:A269,"ANALISIS DE PRECIOS"),T_Rendimiento_Equipo,5,FALSE),0))</f>
        <v>0</v>
      </c>
      <c r="G269" s="439">
        <f t="shared" ref="G269:G274" si="71">IFERROR(ROUND(D269*E269/F269,2),0)</f>
        <v>0</v>
      </c>
    </row>
    <row r="270" spans="1:7" ht="19.899999999999999" customHeight="1" x14ac:dyDescent="0.2">
      <c r="A270" s="482">
        <f t="shared" si="67"/>
        <v>0</v>
      </c>
      <c r="B270" s="445">
        <f t="shared" si="68"/>
        <v>0</v>
      </c>
      <c r="C270" s="449">
        <f t="shared" si="70"/>
        <v>0</v>
      </c>
      <c r="D270" s="442"/>
      <c r="E270" s="439">
        <f t="shared" si="69"/>
        <v>0</v>
      </c>
      <c r="F270" s="442">
        <f>IF(C270="",0,IFERROR(VLOOKUP(COUNTIF($A$1:A270,"ANALISIS DE PRECIOS"),T_Rendimiento_Equipo,5,FALSE),0))</f>
        <v>0</v>
      </c>
      <c r="G270" s="439">
        <f t="shared" si="71"/>
        <v>0</v>
      </c>
    </row>
    <row r="271" spans="1:7" ht="19.899999999999999" customHeight="1" x14ac:dyDescent="0.2">
      <c r="A271" s="482">
        <f t="shared" si="67"/>
        <v>0</v>
      </c>
      <c r="B271" s="445">
        <f t="shared" si="68"/>
        <v>0</v>
      </c>
      <c r="C271" s="449">
        <f t="shared" si="70"/>
        <v>0</v>
      </c>
      <c r="D271" s="442"/>
      <c r="E271" s="439">
        <f t="shared" si="69"/>
        <v>0</v>
      </c>
      <c r="F271" s="442">
        <f>IF(C271="",0,IFERROR(VLOOKUP(COUNTIF($A$1:A271,"ANALISIS DE PRECIOS"),T_Rendimiento_Equipo,5,FALSE),0))</f>
        <v>0</v>
      </c>
      <c r="G271" s="439">
        <f>IFERROR(ROUND(D271*E271/F271,2),0)</f>
        <v>0</v>
      </c>
    </row>
    <row r="272" spans="1:7" ht="19.899999999999999" customHeight="1" x14ac:dyDescent="0.2">
      <c r="A272" s="482">
        <f t="shared" si="67"/>
        <v>0</v>
      </c>
      <c r="B272" s="445">
        <f t="shared" si="68"/>
        <v>0</v>
      </c>
      <c r="C272" s="436"/>
      <c r="D272" s="442"/>
      <c r="E272" s="439">
        <f t="shared" si="69"/>
        <v>0</v>
      </c>
      <c r="F272" s="442">
        <f>IF(C272="",0,IFERROR(VLOOKUP(COUNTIF($A$1:A272,"ANALISIS DE PRECIOS"),T_Rendimiento_Equipo,5,FALSE),0))</f>
        <v>0</v>
      </c>
      <c r="G272" s="439">
        <f t="shared" si="71"/>
        <v>0</v>
      </c>
    </row>
    <row r="273" spans="1:8" ht="19.899999999999999" customHeight="1" x14ac:dyDescent="0.2">
      <c r="A273" s="482">
        <f t="shared" si="67"/>
        <v>0</v>
      </c>
      <c r="B273" s="445">
        <f t="shared" si="68"/>
        <v>0</v>
      </c>
      <c r="C273" s="436"/>
      <c r="D273" s="450"/>
      <c r="E273" s="439">
        <f t="shared" si="69"/>
        <v>0</v>
      </c>
      <c r="F273" s="442">
        <f>IF(C273="",0,IFERROR(VLOOKUP(COUNTIF($A$1:A273,"ANALISIS DE PRECIOS"),T_Rendimiento_Equipo,5,FALSE),0))</f>
        <v>0</v>
      </c>
      <c r="G273" s="439">
        <f t="shared" si="71"/>
        <v>0</v>
      </c>
    </row>
    <row r="274" spans="1:8" ht="19.899999999999999" customHeight="1" x14ac:dyDescent="0.2">
      <c r="A274" s="482">
        <f t="shared" si="67"/>
        <v>0</v>
      </c>
      <c r="B274" s="445">
        <f t="shared" si="68"/>
        <v>0</v>
      </c>
      <c r="C274" s="445"/>
      <c r="D274" s="451"/>
      <c r="E274" s="439">
        <f t="shared" si="69"/>
        <v>0</v>
      </c>
      <c r="F274" s="442">
        <f>IF(C274="",0,IFERROR(VLOOKUP(COUNTIF($A$1:A274,"ANALISIS DE PRECIOS"),T_Rendimiento_Equipo,5,FALSE),0))</f>
        <v>0</v>
      </c>
      <c r="G274" s="439">
        <f t="shared" si="71"/>
        <v>0</v>
      </c>
    </row>
    <row r="275" spans="1:8" ht="19.899999999999999" customHeight="1" x14ac:dyDescent="0.2">
      <c r="A275" s="483"/>
      <c r="B275" s="426"/>
      <c r="C275" s="139"/>
      <c r="D275" s="426"/>
      <c r="E275" s="427"/>
      <c r="F275" s="448" t="s">
        <v>28</v>
      </c>
      <c r="G275" s="485">
        <f>SUBTOTAL(9,G268:G274)</f>
        <v>0</v>
      </c>
      <c r="H275" s="618"/>
    </row>
    <row r="276" spans="1:8" ht="19.899999999999999" customHeight="1" x14ac:dyDescent="0.2">
      <c r="A276" s="480"/>
      <c r="B276" s="139"/>
      <c r="C276" s="422" t="s">
        <v>982</v>
      </c>
      <c r="D276" s="426"/>
      <c r="E276" s="427"/>
      <c r="F276" s="428"/>
      <c r="G276" s="481"/>
    </row>
    <row r="277" spans="1:8" ht="19.899999999999999" customHeight="1" x14ac:dyDescent="0.2">
      <c r="A277" s="720" t="s">
        <v>576</v>
      </c>
      <c r="B277" s="721"/>
      <c r="C277" s="722" t="s">
        <v>0</v>
      </c>
      <c r="D277" s="722" t="s">
        <v>1725</v>
      </c>
      <c r="E277" s="724" t="s">
        <v>24</v>
      </c>
      <c r="F277" s="726" t="s">
        <v>25</v>
      </c>
      <c r="G277" s="728" t="s">
        <v>26</v>
      </c>
    </row>
    <row r="278" spans="1:8" ht="19.899999999999999" customHeight="1" x14ac:dyDescent="0.2">
      <c r="A278" s="444" t="s">
        <v>577</v>
      </c>
      <c r="B278" s="444" t="s">
        <v>578</v>
      </c>
      <c r="C278" s="723"/>
      <c r="D278" s="723"/>
      <c r="E278" s="725"/>
      <c r="F278" s="727"/>
      <c r="G278" s="729"/>
    </row>
    <row r="279" spans="1:8" ht="19.899999999999999" customHeight="1" x14ac:dyDescent="0.2">
      <c r="A279" s="482">
        <f t="shared" ref="A279:A289" si="72">IFERROR(VLOOKUP(C279,T_Insumos,4,FALSE),0)</f>
        <v>0</v>
      </c>
      <c r="B279" s="445">
        <f t="shared" ref="B279:B289" si="73">IFERROR(VLOOKUP(C279,T_Insumos,5,FALSE),0)</f>
        <v>0</v>
      </c>
      <c r="C279" s="445">
        <f>+Insumos!A107</f>
        <v>0</v>
      </c>
      <c r="D279" s="493">
        <f t="shared" ref="D279:D289" si="74">IFERROR(VLOOKUP(C279,T_Insumos,2,FALSE),0)</f>
        <v>0</v>
      </c>
      <c r="E279" s="437">
        <v>1</v>
      </c>
      <c r="F279" s="439">
        <f t="shared" ref="F279:F289" si="75">IFERROR(VLOOKUP(C279,T_Insumos,3,FALSE),0)</f>
        <v>0</v>
      </c>
      <c r="G279" s="439">
        <f>ROUND(E279*F279,2)</f>
        <v>0</v>
      </c>
    </row>
    <row r="280" spans="1:8" ht="19.899999999999999" customHeight="1" x14ac:dyDescent="0.2">
      <c r="A280" s="482">
        <f t="shared" si="72"/>
        <v>0</v>
      </c>
      <c r="B280" s="445">
        <f t="shared" si="73"/>
        <v>0</v>
      </c>
      <c r="C280" s="445"/>
      <c r="D280" s="493">
        <f t="shared" si="74"/>
        <v>0</v>
      </c>
      <c r="E280" s="437"/>
      <c r="F280" s="439">
        <f t="shared" si="75"/>
        <v>0</v>
      </c>
      <c r="G280" s="439">
        <f t="shared" ref="G280:G289" si="76">ROUND(E280*F280,2)</f>
        <v>0</v>
      </c>
    </row>
    <row r="281" spans="1:8" ht="19.899999999999999" customHeight="1" x14ac:dyDescent="0.2">
      <c r="A281" s="482">
        <f t="shared" si="72"/>
        <v>0</v>
      </c>
      <c r="B281" s="445">
        <f t="shared" si="73"/>
        <v>0</v>
      </c>
      <c r="C281" s="445"/>
      <c r="D281" s="493">
        <f t="shared" si="74"/>
        <v>0</v>
      </c>
      <c r="E281" s="437"/>
      <c r="F281" s="439">
        <f t="shared" si="75"/>
        <v>0</v>
      </c>
      <c r="G281" s="439">
        <f t="shared" si="76"/>
        <v>0</v>
      </c>
    </row>
    <row r="282" spans="1:8" ht="19.899999999999999" customHeight="1" x14ac:dyDescent="0.2">
      <c r="A282" s="482">
        <f t="shared" si="72"/>
        <v>0</v>
      </c>
      <c r="B282" s="445">
        <f t="shared" si="73"/>
        <v>0</v>
      </c>
      <c r="C282" s="445"/>
      <c r="D282" s="493">
        <f t="shared" si="74"/>
        <v>0</v>
      </c>
      <c r="E282" s="437"/>
      <c r="F282" s="439">
        <f t="shared" si="75"/>
        <v>0</v>
      </c>
      <c r="G282" s="439">
        <f t="shared" si="76"/>
        <v>0</v>
      </c>
    </row>
    <row r="283" spans="1:8" ht="19.899999999999999" customHeight="1" x14ac:dyDescent="0.2">
      <c r="A283" s="482">
        <f t="shared" si="72"/>
        <v>0</v>
      </c>
      <c r="B283" s="445">
        <f t="shared" si="73"/>
        <v>0</v>
      </c>
      <c r="C283" s="445"/>
      <c r="D283" s="493">
        <f t="shared" si="74"/>
        <v>0</v>
      </c>
      <c r="E283" s="437"/>
      <c r="F283" s="439">
        <f t="shared" si="75"/>
        <v>0</v>
      </c>
      <c r="G283" s="439">
        <f t="shared" si="76"/>
        <v>0</v>
      </c>
    </row>
    <row r="284" spans="1:8" ht="19.899999999999999" customHeight="1" x14ac:dyDescent="0.2">
      <c r="A284" s="482">
        <f t="shared" si="72"/>
        <v>0</v>
      </c>
      <c r="B284" s="445">
        <f t="shared" si="73"/>
        <v>0</v>
      </c>
      <c r="C284" s="445"/>
      <c r="D284" s="493">
        <f t="shared" si="74"/>
        <v>0</v>
      </c>
      <c r="E284" s="437"/>
      <c r="F284" s="439">
        <f t="shared" si="75"/>
        <v>0</v>
      </c>
      <c r="G284" s="439">
        <f t="shared" si="76"/>
        <v>0</v>
      </c>
    </row>
    <row r="285" spans="1:8" ht="19.899999999999999" customHeight="1" x14ac:dyDescent="0.2">
      <c r="A285" s="482">
        <f t="shared" si="72"/>
        <v>0</v>
      </c>
      <c r="B285" s="445">
        <f t="shared" si="73"/>
        <v>0</v>
      </c>
      <c r="C285" s="445"/>
      <c r="D285" s="493">
        <f t="shared" si="74"/>
        <v>0</v>
      </c>
      <c r="E285" s="437"/>
      <c r="F285" s="439">
        <f t="shared" si="75"/>
        <v>0</v>
      </c>
      <c r="G285" s="439">
        <f t="shared" si="76"/>
        <v>0</v>
      </c>
    </row>
    <row r="286" spans="1:8" ht="19.899999999999999" customHeight="1" x14ac:dyDescent="0.2">
      <c r="A286" s="482">
        <f t="shared" si="72"/>
        <v>0</v>
      </c>
      <c r="B286" s="445">
        <f t="shared" si="73"/>
        <v>0</v>
      </c>
      <c r="C286" s="445"/>
      <c r="D286" s="493">
        <f t="shared" si="74"/>
        <v>0</v>
      </c>
      <c r="E286" s="437"/>
      <c r="F286" s="439">
        <f t="shared" si="75"/>
        <v>0</v>
      </c>
      <c r="G286" s="439">
        <f t="shared" si="76"/>
        <v>0</v>
      </c>
    </row>
    <row r="287" spans="1:8" ht="19.899999999999999" customHeight="1" x14ac:dyDescent="0.2">
      <c r="A287" s="482">
        <f t="shared" si="72"/>
        <v>0</v>
      </c>
      <c r="B287" s="445">
        <f t="shared" si="73"/>
        <v>0</v>
      </c>
      <c r="C287" s="445"/>
      <c r="D287" s="493">
        <f t="shared" si="74"/>
        <v>0</v>
      </c>
      <c r="E287" s="437"/>
      <c r="F287" s="439">
        <f t="shared" si="75"/>
        <v>0</v>
      </c>
      <c r="G287" s="439">
        <f t="shared" si="76"/>
        <v>0</v>
      </c>
    </row>
    <row r="288" spans="1:8" ht="19.899999999999999" customHeight="1" x14ac:dyDescent="0.2">
      <c r="A288" s="482">
        <f t="shared" si="72"/>
        <v>0</v>
      </c>
      <c r="B288" s="445">
        <f t="shared" si="73"/>
        <v>0</v>
      </c>
      <c r="C288" s="445"/>
      <c r="D288" s="493">
        <f t="shared" si="74"/>
        <v>0</v>
      </c>
      <c r="E288" s="437"/>
      <c r="F288" s="439">
        <f t="shared" si="75"/>
        <v>0</v>
      </c>
      <c r="G288" s="439">
        <f t="shared" si="76"/>
        <v>0</v>
      </c>
    </row>
    <row r="289" spans="1:8" ht="19.899999999999999" customHeight="1" x14ac:dyDescent="0.2">
      <c r="A289" s="482">
        <f t="shared" si="72"/>
        <v>0</v>
      </c>
      <c r="B289" s="445">
        <f t="shared" si="73"/>
        <v>0</v>
      </c>
      <c r="C289" s="445"/>
      <c r="D289" s="493">
        <f t="shared" si="74"/>
        <v>0</v>
      </c>
      <c r="E289" s="437"/>
      <c r="F289" s="439">
        <f t="shared" si="75"/>
        <v>0</v>
      </c>
      <c r="G289" s="439">
        <f t="shared" si="76"/>
        <v>0</v>
      </c>
    </row>
    <row r="290" spans="1:8" ht="19.899999999999999" customHeight="1" x14ac:dyDescent="0.2">
      <c r="A290" s="480"/>
      <c r="B290" s="139"/>
      <c r="C290" s="139"/>
      <c r="D290" s="426"/>
      <c r="E290" s="427"/>
      <c r="F290" s="448" t="s">
        <v>29</v>
      </c>
      <c r="G290" s="485">
        <f>SUBTOTAL(9,G279:G289)</f>
        <v>0</v>
      </c>
    </row>
    <row r="291" spans="1:8" ht="19.899999999999999" customHeight="1" x14ac:dyDescent="0.2">
      <c r="A291" s="480"/>
      <c r="B291" s="139"/>
      <c r="C291" s="422" t="s">
        <v>983</v>
      </c>
      <c r="D291" s="426"/>
      <c r="E291" s="427"/>
      <c r="F291" s="428"/>
      <c r="G291" s="481"/>
    </row>
    <row r="292" spans="1:8" ht="19.899999999999999" customHeight="1" x14ac:dyDescent="0.2">
      <c r="A292" s="720" t="s">
        <v>576</v>
      </c>
      <c r="B292" s="721"/>
      <c r="C292" s="722" t="s">
        <v>0</v>
      </c>
      <c r="D292" s="722" t="s">
        <v>1725</v>
      </c>
      <c r="E292" s="724" t="s">
        <v>24</v>
      </c>
      <c r="F292" s="726" t="s">
        <v>25</v>
      </c>
      <c r="G292" s="728" t="s">
        <v>26</v>
      </c>
    </row>
    <row r="293" spans="1:8" ht="19.899999999999999" customHeight="1" x14ac:dyDescent="0.2">
      <c r="A293" s="444" t="s">
        <v>577</v>
      </c>
      <c r="B293" s="444" t="s">
        <v>578</v>
      </c>
      <c r="C293" s="723"/>
      <c r="D293" s="723"/>
      <c r="E293" s="725"/>
      <c r="F293" s="727"/>
      <c r="G293" s="729"/>
    </row>
    <row r="294" spans="1:8" ht="19.899999999999999" customHeight="1" x14ac:dyDescent="0.2">
      <c r="A294" s="482">
        <f>IFERROR(VLOOKUP(C294,T_Insumos,4,FALSE),0)</f>
        <v>0</v>
      </c>
      <c r="B294" s="445">
        <f>IFERROR(VLOOKUP(C294,T_Insumos,5,FALSE),0)</f>
        <v>0</v>
      </c>
      <c r="C294" s="436"/>
      <c r="D294" s="493">
        <f>IF(C294=0,0,"$/tnkm")</f>
        <v>0</v>
      </c>
      <c r="E294" s="437"/>
      <c r="F294" s="439">
        <f>IFERROR(VLOOKUP(C294,T_Insumos,3,FALSE),0)</f>
        <v>0</v>
      </c>
      <c r="G294" s="439">
        <f>ROUND(E294*F294,2)</f>
        <v>0</v>
      </c>
    </row>
    <row r="295" spans="1:8" ht="19.899999999999999" customHeight="1" x14ac:dyDescent="0.2">
      <c r="A295" s="482">
        <f>IFERROR(VLOOKUP(C295,T_Insumos,4,FALSE),0)</f>
        <v>0</v>
      </c>
      <c r="B295" s="445">
        <f>IFERROR(VLOOKUP(C295,T_Insumos,5,FALSE),0)</f>
        <v>0</v>
      </c>
      <c r="C295" s="436"/>
      <c r="D295" s="493">
        <f>IF(C295=0,0,"$/tnkm")</f>
        <v>0</v>
      </c>
      <c r="E295" s="453"/>
      <c r="F295" s="439">
        <f>IFERROR(VLOOKUP(C295,T_Insumos,3,FALSE),0)</f>
        <v>0</v>
      </c>
      <c r="G295" s="439">
        <f t="shared" ref="G295" si="77">ROUND(E295*F295,2)</f>
        <v>0</v>
      </c>
    </row>
    <row r="296" spans="1:8" ht="19.899999999999999" customHeight="1" x14ac:dyDescent="0.2">
      <c r="A296" s="480"/>
      <c r="B296" s="139"/>
      <c r="C296" s="139"/>
      <c r="D296" s="426"/>
      <c r="E296" s="427"/>
      <c r="F296" s="448" t="s">
        <v>984</v>
      </c>
      <c r="G296" s="485">
        <f>SUBTOTAL(9,G294:G295)</f>
        <v>0</v>
      </c>
    </row>
    <row r="297" spans="1:8" ht="19.899999999999999" customHeight="1" x14ac:dyDescent="0.2">
      <c r="A297" s="483"/>
      <c r="B297" s="426"/>
      <c r="C297" s="139"/>
      <c r="D297" s="426"/>
      <c r="E297" s="427"/>
      <c r="F297" s="428"/>
      <c r="G297" s="481"/>
    </row>
    <row r="298" spans="1:8" ht="19.899999999999999" customHeight="1" x14ac:dyDescent="0.2">
      <c r="A298" s="541" t="str">
        <f>B232</f>
        <v>2.3</v>
      </c>
      <c r="B298" s="538" t="str">
        <f ca="1">C232</f>
        <v>Demolición de las Bocas del Sifón</v>
      </c>
      <c r="C298" s="426"/>
      <c r="D298" s="426" t="s">
        <v>1704</v>
      </c>
      <c r="E298" s="539"/>
      <c r="F298" s="540" t="str">
        <f ca="1">"$/"&amp;G232</f>
        <v>$/Gl</v>
      </c>
      <c r="G298" s="490">
        <f>SUBTOTAL(9,G255:G297)</f>
        <v>0</v>
      </c>
    </row>
    <row r="299" spans="1:8" ht="19.899999999999999" customHeight="1" x14ac:dyDescent="0.2">
      <c r="A299" s="486"/>
      <c r="B299" s="487"/>
      <c r="C299" s="488"/>
      <c r="D299" s="488" t="s">
        <v>1900</v>
      </c>
      <c r="E299" s="489"/>
      <c r="F299" s="542" t="str">
        <f ca="1">"$/"&amp;G232</f>
        <v>$/Gl</v>
      </c>
      <c r="G299" s="490">
        <f>ROUND(G298*Coeficiente_Paso,2)</f>
        <v>0</v>
      </c>
    </row>
    <row r="300" spans="1:8" ht="19.899999999999999" customHeight="1" x14ac:dyDescent="0.2">
      <c r="A300" s="139"/>
      <c r="B300" s="139"/>
      <c r="C300" s="139"/>
      <c r="D300" s="139"/>
      <c r="E300" s="139"/>
      <c r="F300" s="139"/>
      <c r="G300" s="139"/>
    </row>
    <row r="301" spans="1:8" ht="19.899999999999999" customHeight="1" x14ac:dyDescent="0.2">
      <c r="A301" s="730" t="s">
        <v>31</v>
      </c>
      <c r="B301" s="731"/>
      <c r="C301" s="731"/>
      <c r="D301" s="731"/>
      <c r="E301" s="731"/>
      <c r="F301" s="731"/>
      <c r="G301" s="732"/>
      <c r="H301" s="46"/>
    </row>
    <row r="302" spans="1:8" ht="19.899999999999999" customHeight="1" x14ac:dyDescent="0.2">
      <c r="A302" s="469" t="s">
        <v>711</v>
      </c>
      <c r="B302" s="420" t="str">
        <f>Comitente</f>
        <v>DEPARTAMENTO DE HIDRAULICA</v>
      </c>
      <c r="C302" s="421"/>
      <c r="D302" s="422"/>
      <c r="E302" s="422"/>
      <c r="F302" s="423"/>
      <c r="G302" s="470"/>
      <c r="H302" s="46"/>
    </row>
    <row r="303" spans="1:8" ht="19.899999999999999" customHeight="1" x14ac:dyDescent="0.2">
      <c r="A303" s="469" t="s">
        <v>712</v>
      </c>
      <c r="B303" s="420">
        <f>Contratista</f>
        <v>0</v>
      </c>
      <c r="C303" s="424"/>
      <c r="D303" s="424"/>
      <c r="E303" s="424"/>
      <c r="F303" s="420"/>
      <c r="G303" s="471"/>
      <c r="H303" s="46"/>
    </row>
    <row r="304" spans="1:8" ht="19.899999999999999" customHeight="1" x14ac:dyDescent="0.2">
      <c r="A304" s="469" t="s">
        <v>21</v>
      </c>
      <c r="B304" s="420" t="str">
        <f>Obra</f>
        <v>Encamisado Parcial del Canal de Calle América</v>
      </c>
      <c r="C304" s="424"/>
      <c r="D304" s="424"/>
      <c r="E304" s="424"/>
      <c r="F304" s="420" t="s">
        <v>32</v>
      </c>
      <c r="G304" s="471" t="str">
        <f>Fecha_Base</f>
        <v>X/X/2023</v>
      </c>
      <c r="H304" s="46"/>
    </row>
    <row r="305" spans="1:8" ht="19.899999999999999" customHeight="1" x14ac:dyDescent="0.2">
      <c r="A305" s="472" t="s">
        <v>710</v>
      </c>
      <c r="B305" s="425" t="str">
        <f>Ubicación</f>
        <v>Departamento Rawson</v>
      </c>
      <c r="C305" s="425"/>
      <c r="D305" s="426"/>
      <c r="E305" s="427"/>
      <c r="F305" s="428"/>
      <c r="G305" s="473"/>
      <c r="H305" s="46"/>
    </row>
    <row r="306" spans="1:8" ht="19.899999999999999" customHeight="1" x14ac:dyDescent="0.2">
      <c r="A306" s="472" t="s">
        <v>33</v>
      </c>
      <c r="B306" s="429">
        <f>IFERROR(VALUE(LEFT(B307,FIND(".",B307)-1)),"")</f>
        <v>2</v>
      </c>
      <c r="C306" s="139" t="str">
        <f ca="1">IFERROR(VLOOKUP(B306,T_Computo_Presupuesto,2,FALSE),0)</f>
        <v>CANAL AMÉRICA</v>
      </c>
      <c r="D306" s="139"/>
      <c r="E306" s="427"/>
      <c r="F306" s="428"/>
      <c r="G306" s="473"/>
      <c r="H306" s="46"/>
    </row>
    <row r="307" spans="1:8" ht="19.899999999999999" customHeight="1" x14ac:dyDescent="0.2">
      <c r="A307" s="472" t="s">
        <v>22</v>
      </c>
      <c r="B307" s="430" t="str">
        <f>IFERROR(VLOOKUP(COUNTIF($A$1:A307,"ANALISIS DE PRECIOS"),T_NumeroItem,2,FALSE),"")</f>
        <v>2.4</v>
      </c>
      <c r="C307" s="733" t="str">
        <f ca="1">IFERROR(VLOOKUP(B307,T_Computo_Presupuesto,2,FALSE),0)</f>
        <v>Extracción de Membrana</v>
      </c>
      <c r="D307" s="733"/>
      <c r="E307" s="733"/>
      <c r="F307" s="425" t="s">
        <v>23</v>
      </c>
      <c r="G307" s="474" t="str">
        <f ca="1">IFERROR(VLOOKUP(B307,T_Computo_Presupuesto,4,FALSE),0)</f>
        <v>ML</v>
      </c>
      <c r="H307" s="46"/>
    </row>
    <row r="308" spans="1:8" ht="19.899999999999999" customHeight="1" x14ac:dyDescent="0.2">
      <c r="A308" s="472"/>
      <c r="B308" s="425"/>
      <c r="C308" s="139"/>
      <c r="D308" s="426"/>
      <c r="E308" s="427"/>
      <c r="F308" s="139"/>
      <c r="G308" s="475"/>
      <c r="H308" s="46"/>
    </row>
    <row r="309" spans="1:8" ht="19.899999999999999" customHeight="1" x14ac:dyDescent="0.2">
      <c r="A309" s="476"/>
      <c r="B309" s="431"/>
      <c r="C309" s="432" t="s">
        <v>967</v>
      </c>
      <c r="D309" s="431"/>
      <c r="E309" s="431"/>
      <c r="F309" s="431"/>
      <c r="G309" s="477"/>
      <c r="H309" s="46"/>
    </row>
    <row r="310" spans="1:8" ht="19.899999999999999" customHeight="1" x14ac:dyDescent="0.2">
      <c r="A310" s="472"/>
      <c r="B310" s="433"/>
      <c r="C310" s="139"/>
      <c r="D310" s="426"/>
      <c r="E310" s="427"/>
      <c r="F310" s="425"/>
      <c r="G310" s="474"/>
      <c r="H310" s="46"/>
    </row>
    <row r="311" spans="1:8" ht="19.899999999999999" customHeight="1" x14ac:dyDescent="0.2">
      <c r="A311" s="472"/>
      <c r="B311" s="433"/>
      <c r="C311" s="434" t="s">
        <v>968</v>
      </c>
      <c r="D311" s="435" t="s">
        <v>24</v>
      </c>
      <c r="E311" s="435" t="s">
        <v>969</v>
      </c>
      <c r="F311" s="435" t="s">
        <v>970</v>
      </c>
      <c r="G311" s="434" t="s">
        <v>971</v>
      </c>
    </row>
    <row r="312" spans="1:8" ht="19.899999999999999" customHeight="1" x14ac:dyDescent="0.2">
      <c r="A312" s="472"/>
      <c r="B312" s="433"/>
      <c r="C312" s="436">
        <f>+C87</f>
        <v>0</v>
      </c>
      <c r="D312" s="436">
        <f>+D87</f>
        <v>0</v>
      </c>
      <c r="E312" s="438">
        <f t="shared" ref="E312:E321" si="78">IFERROR(VLOOKUP(C312,T_Equipos,4,FALSE),0)</f>
        <v>0</v>
      </c>
      <c r="F312" s="439">
        <f t="shared" ref="F312:F321" si="79">IFERROR(VLOOKUP(C312,T_Equipos,5,FALSE),0)</f>
        <v>0</v>
      </c>
      <c r="G312" s="439">
        <f>ROUND(D312*F312,2)</f>
        <v>0</v>
      </c>
    </row>
    <row r="313" spans="1:8" ht="19.899999999999999" customHeight="1" x14ac:dyDescent="0.2">
      <c r="A313" s="472"/>
      <c r="B313" s="433"/>
      <c r="C313" s="436">
        <f t="shared" ref="C313:D313" si="80">+C88</f>
        <v>0</v>
      </c>
      <c r="D313" s="436">
        <f t="shared" si="80"/>
        <v>0</v>
      </c>
      <c r="E313" s="438">
        <f t="shared" si="78"/>
        <v>0</v>
      </c>
      <c r="F313" s="439">
        <f t="shared" si="79"/>
        <v>0</v>
      </c>
      <c r="G313" s="439">
        <f>ROUND(D313*F313,2)</f>
        <v>0</v>
      </c>
    </row>
    <row r="314" spans="1:8" ht="19.899999999999999" customHeight="1" x14ac:dyDescent="0.2">
      <c r="A314" s="472"/>
      <c r="B314" s="433"/>
      <c r="C314" s="436">
        <f t="shared" ref="C314" si="81">+C89</f>
        <v>0</v>
      </c>
      <c r="D314" s="436"/>
      <c r="E314" s="438">
        <f t="shared" si="78"/>
        <v>0</v>
      </c>
      <c r="F314" s="439">
        <f t="shared" si="79"/>
        <v>0</v>
      </c>
      <c r="G314" s="439">
        <f>ROUND(D314*F314,2)</f>
        <v>0</v>
      </c>
    </row>
    <row r="315" spans="1:8" ht="19.899999999999999" customHeight="1" x14ac:dyDescent="0.2">
      <c r="A315" s="472"/>
      <c r="B315" s="433"/>
      <c r="C315" s="436">
        <f t="shared" ref="C315" si="82">+C90</f>
        <v>0</v>
      </c>
      <c r="D315" s="436"/>
      <c r="E315" s="438">
        <f t="shared" si="78"/>
        <v>0</v>
      </c>
      <c r="F315" s="439">
        <f t="shared" si="79"/>
        <v>0</v>
      </c>
      <c r="G315" s="439">
        <f>ROUND(D315*F315,2)</f>
        <v>0</v>
      </c>
    </row>
    <row r="316" spans="1:8" ht="19.899999999999999" customHeight="1" x14ac:dyDescent="0.2">
      <c r="A316" s="472"/>
      <c r="B316" s="433"/>
      <c r="C316" s="436">
        <f t="shared" ref="C316" si="83">+C91</f>
        <v>0</v>
      </c>
      <c r="D316" s="436"/>
      <c r="E316" s="438">
        <f t="shared" si="78"/>
        <v>0</v>
      </c>
      <c r="F316" s="439">
        <f t="shared" si="79"/>
        <v>0</v>
      </c>
      <c r="G316" s="439">
        <f t="shared" ref="G316:G321" si="84">ROUND(D316*F316,2)</f>
        <v>0</v>
      </c>
    </row>
    <row r="317" spans="1:8" ht="19.899999999999999" customHeight="1" x14ac:dyDescent="0.2">
      <c r="A317" s="472"/>
      <c r="B317" s="433"/>
      <c r="C317" s="436">
        <f t="shared" ref="C317" si="85">+C92</f>
        <v>0</v>
      </c>
      <c r="D317" s="436"/>
      <c r="E317" s="438">
        <f t="shared" si="78"/>
        <v>0</v>
      </c>
      <c r="F317" s="439">
        <f t="shared" si="79"/>
        <v>0</v>
      </c>
      <c r="G317" s="439">
        <f t="shared" si="84"/>
        <v>0</v>
      </c>
    </row>
    <row r="318" spans="1:8" ht="19.899999999999999" customHeight="1" x14ac:dyDescent="0.2">
      <c r="A318" s="472"/>
      <c r="B318" s="433"/>
      <c r="C318" s="436">
        <f t="shared" ref="C318:D318" si="86">+C93</f>
        <v>0</v>
      </c>
      <c r="D318" s="436">
        <f t="shared" si="86"/>
        <v>0</v>
      </c>
      <c r="E318" s="438">
        <f t="shared" si="78"/>
        <v>0</v>
      </c>
      <c r="F318" s="439">
        <f t="shared" si="79"/>
        <v>0</v>
      </c>
      <c r="G318" s="439">
        <f t="shared" si="84"/>
        <v>0</v>
      </c>
    </row>
    <row r="319" spans="1:8" ht="19.899999999999999" customHeight="1" x14ac:dyDescent="0.2">
      <c r="A319" s="472"/>
      <c r="B319" s="433"/>
      <c r="C319" s="436">
        <f t="shared" ref="C319:D319" si="87">+C94</f>
        <v>0</v>
      </c>
      <c r="D319" s="436">
        <f t="shared" si="87"/>
        <v>0</v>
      </c>
      <c r="E319" s="438">
        <f t="shared" si="78"/>
        <v>0</v>
      </c>
      <c r="F319" s="439">
        <f t="shared" si="79"/>
        <v>0</v>
      </c>
      <c r="G319" s="439">
        <f t="shared" si="84"/>
        <v>0</v>
      </c>
    </row>
    <row r="320" spans="1:8" ht="19.899999999999999" customHeight="1" x14ac:dyDescent="0.2">
      <c r="A320" s="472"/>
      <c r="B320" s="433"/>
      <c r="C320" s="436"/>
      <c r="D320" s="437"/>
      <c r="E320" s="438">
        <f t="shared" si="78"/>
        <v>0</v>
      </c>
      <c r="F320" s="439">
        <f t="shared" si="79"/>
        <v>0</v>
      </c>
      <c r="G320" s="439">
        <f t="shared" si="84"/>
        <v>0</v>
      </c>
    </row>
    <row r="321" spans="1:8" ht="19.899999999999999" customHeight="1" x14ac:dyDescent="0.2">
      <c r="A321" s="472"/>
      <c r="B321" s="433"/>
      <c r="C321" s="436"/>
      <c r="D321" s="437"/>
      <c r="E321" s="438">
        <f t="shared" si="78"/>
        <v>0</v>
      </c>
      <c r="F321" s="439">
        <f t="shared" si="79"/>
        <v>0</v>
      </c>
      <c r="G321" s="439">
        <f t="shared" si="84"/>
        <v>0</v>
      </c>
      <c r="H321" s="619">
        <f>+G339</f>
        <v>0</v>
      </c>
    </row>
    <row r="322" spans="1:8" ht="19.899999999999999" customHeight="1" x14ac:dyDescent="0.2">
      <c r="A322" s="472"/>
      <c r="B322" s="433"/>
      <c r="C322" s="139"/>
      <c r="D322" s="139"/>
      <c r="E322" s="440"/>
      <c r="F322" s="425"/>
      <c r="G322" s="474"/>
    </row>
    <row r="323" spans="1:8" ht="19.899999999999999" customHeight="1" x14ac:dyDescent="0.2">
      <c r="A323" s="472"/>
      <c r="B323" s="139"/>
      <c r="C323" s="422" t="s">
        <v>972</v>
      </c>
      <c r="D323" s="425" t="s">
        <v>969</v>
      </c>
      <c r="E323" s="491">
        <f>SUMPRODUCT(D312:D321,E312:E321)</f>
        <v>0</v>
      </c>
      <c r="F323" s="425" t="s">
        <v>973</v>
      </c>
      <c r="G323" s="492">
        <f>SUM(G312:G321)</f>
        <v>0</v>
      </c>
    </row>
    <row r="324" spans="1:8" ht="19.899999999999999" customHeight="1" x14ac:dyDescent="0.2">
      <c r="A324" s="472"/>
      <c r="B324" s="433"/>
      <c r="C324" s="441"/>
      <c r="D324" s="440"/>
      <c r="E324" s="427"/>
      <c r="F324" s="425"/>
      <c r="G324" s="478"/>
    </row>
    <row r="325" spans="1:8" ht="19.899999999999999" customHeight="1" x14ac:dyDescent="0.2">
      <c r="A325" s="479"/>
      <c r="B325" s="433"/>
      <c r="C325" s="425" t="s">
        <v>974</v>
      </c>
      <c r="D325" s="442">
        <f>IFERROR(VLOOKUP(COUNTIF($A$1:A325,"ANALISIS DE PRECIOS"),T_Rendimiento_Equipo,5,FALSE),0)</f>
        <v>0</v>
      </c>
      <c r="E325" s="443" t="str">
        <f ca="1">G307&amp;"/día"</f>
        <v>ML/día</v>
      </c>
      <c r="F325" s="419"/>
      <c r="G325" s="474"/>
    </row>
    <row r="326" spans="1:8" ht="19.899999999999999" customHeight="1" x14ac:dyDescent="0.2">
      <c r="A326" s="472"/>
      <c r="B326" s="433"/>
      <c r="C326" s="139"/>
      <c r="D326" s="426"/>
      <c r="E326" s="427"/>
      <c r="F326" s="425"/>
      <c r="G326" s="474"/>
    </row>
    <row r="327" spans="1:8" ht="19.899999999999999" customHeight="1" x14ac:dyDescent="0.2">
      <c r="A327" s="720" t="s">
        <v>576</v>
      </c>
      <c r="B327" s="721"/>
      <c r="C327" s="722" t="s">
        <v>0</v>
      </c>
      <c r="D327" s="734" t="s">
        <v>1724</v>
      </c>
      <c r="E327" s="734" t="s">
        <v>1723</v>
      </c>
      <c r="F327" s="726" t="s">
        <v>975</v>
      </c>
      <c r="G327" s="728" t="s">
        <v>26</v>
      </c>
    </row>
    <row r="328" spans="1:8" ht="19.899999999999999" customHeight="1" x14ac:dyDescent="0.2">
      <c r="A328" s="444" t="s">
        <v>577</v>
      </c>
      <c r="B328" s="444" t="s">
        <v>578</v>
      </c>
      <c r="C328" s="723"/>
      <c r="D328" s="735"/>
      <c r="E328" s="725"/>
      <c r="F328" s="727"/>
      <c r="G328" s="729"/>
    </row>
    <row r="329" spans="1:8" ht="19.899999999999999" customHeight="1" x14ac:dyDescent="0.2">
      <c r="A329" s="480"/>
      <c r="B329" s="139"/>
      <c r="C329" s="422" t="s">
        <v>976</v>
      </c>
      <c r="D329" s="427"/>
      <c r="E329" s="427"/>
      <c r="F329" s="139"/>
      <c r="G329" s="481"/>
    </row>
    <row r="330" spans="1:8" ht="19.899999999999999" customHeight="1" x14ac:dyDescent="0.2">
      <c r="A330" s="482">
        <f t="shared" ref="A330:A338" si="88">IFERROR(VLOOKUP(C330,T_Insumos,4,FALSE),0)</f>
        <v>0</v>
      </c>
      <c r="B330" s="445">
        <f t="shared" ref="B330:B338" si="89">IFERROR(VLOOKUP(C330,T_Insumos,5,FALSE),0)</f>
        <v>0</v>
      </c>
      <c r="C330" s="436">
        <f>+C30</f>
        <v>0</v>
      </c>
      <c r="D330" s="446">
        <f t="shared" ref="D330:D338" si="90">IFERROR(VLOOKUP(C330,T_Insumos,3,FALSE),0)</f>
        <v>0</v>
      </c>
      <c r="E330" s="439">
        <f>D330*$G$323</f>
        <v>0</v>
      </c>
      <c r="F330" s="442">
        <f>IF(C330="",0,IFERROR(VLOOKUP(COUNTIF($A$1:A330,"ANALISIS DE PRECIOS"),T_Rendimiento_Equipo,5,FALSE),0))</f>
        <v>0</v>
      </c>
      <c r="G330" s="439">
        <f>IFERROR(ROUND(E330/F330,2),0)</f>
        <v>0</v>
      </c>
    </row>
    <row r="331" spans="1:8" ht="19.899999999999999" customHeight="1" x14ac:dyDescent="0.2">
      <c r="A331" s="482">
        <f t="shared" si="88"/>
        <v>0</v>
      </c>
      <c r="B331" s="445">
        <f t="shared" si="89"/>
        <v>0</v>
      </c>
      <c r="C331" s="436">
        <f t="shared" ref="C331:C333" si="91">+C31</f>
        <v>0</v>
      </c>
      <c r="D331" s="446">
        <f t="shared" si="90"/>
        <v>0</v>
      </c>
      <c r="E331" s="439">
        <f t="shared" ref="E331:E332" si="92">D331*$G$323</f>
        <v>0</v>
      </c>
      <c r="F331" s="442">
        <f>IF(C331="",0,IFERROR(VLOOKUP(COUNTIF($A$1:A331,"ANALISIS DE PRECIOS"),T_Rendimiento_Equipo,5,FALSE),0))</f>
        <v>0</v>
      </c>
      <c r="G331" s="439">
        <f t="shared" ref="G331:G338" si="93">IFERROR(ROUND(E331/F331,2),0)</f>
        <v>0</v>
      </c>
    </row>
    <row r="332" spans="1:8" ht="19.899999999999999" customHeight="1" x14ac:dyDescent="0.2">
      <c r="A332" s="482">
        <f t="shared" si="88"/>
        <v>0</v>
      </c>
      <c r="B332" s="445">
        <f t="shared" si="89"/>
        <v>0</v>
      </c>
      <c r="C332" s="436">
        <f t="shared" si="91"/>
        <v>0</v>
      </c>
      <c r="D332" s="446">
        <f t="shared" si="90"/>
        <v>0</v>
      </c>
      <c r="E332" s="439">
        <f t="shared" si="92"/>
        <v>0</v>
      </c>
      <c r="F332" s="442">
        <f>IF(C332="",0,IFERROR(VLOOKUP(COUNTIF($A$1:A332,"ANALISIS DE PRECIOS"),T_Rendimiento_Equipo,5,FALSE),0))</f>
        <v>0</v>
      </c>
      <c r="G332" s="439">
        <f t="shared" si="93"/>
        <v>0</v>
      </c>
    </row>
    <row r="333" spans="1:8" ht="19.899999999999999" customHeight="1" x14ac:dyDescent="0.2">
      <c r="A333" s="482">
        <f t="shared" si="88"/>
        <v>0</v>
      </c>
      <c r="B333" s="445">
        <f t="shared" si="89"/>
        <v>0</v>
      </c>
      <c r="C333" s="436">
        <f t="shared" si="91"/>
        <v>0</v>
      </c>
      <c r="D333" s="446">
        <f t="shared" si="90"/>
        <v>0</v>
      </c>
      <c r="E333" s="439">
        <f>D333*$E$323</f>
        <v>0</v>
      </c>
      <c r="F333" s="442">
        <f>IF(C333="",0,IFERROR(VLOOKUP(COUNTIF($A$1:A333,"ANALISIS DE PRECIOS"),T_Rendimiento_Equipo,5,FALSE),0))</f>
        <v>0</v>
      </c>
      <c r="G333" s="439">
        <f t="shared" si="93"/>
        <v>0</v>
      </c>
    </row>
    <row r="334" spans="1:8" ht="19.899999999999999" customHeight="1" x14ac:dyDescent="0.2">
      <c r="A334" s="482">
        <f t="shared" si="88"/>
        <v>0</v>
      </c>
      <c r="B334" s="445">
        <f t="shared" si="89"/>
        <v>0</v>
      </c>
      <c r="C334" s="447"/>
      <c r="D334" s="446">
        <f t="shared" si="90"/>
        <v>0</v>
      </c>
      <c r="E334" s="439"/>
      <c r="F334" s="442">
        <f>IF(C334="",0,IFERROR(VLOOKUP(COUNTIF($A$1:A334,"ANALISIS DE PRECIOS"),T_Rendimiento_Equipo,5,FALSE),0))</f>
        <v>0</v>
      </c>
      <c r="G334" s="439">
        <f t="shared" si="93"/>
        <v>0</v>
      </c>
    </row>
    <row r="335" spans="1:8" ht="19.899999999999999" customHeight="1" x14ac:dyDescent="0.2">
      <c r="A335" s="482">
        <f t="shared" si="88"/>
        <v>0</v>
      </c>
      <c r="B335" s="445">
        <f t="shared" si="89"/>
        <v>0</v>
      </c>
      <c r="C335" s="447"/>
      <c r="D335" s="446">
        <f t="shared" si="90"/>
        <v>0</v>
      </c>
      <c r="E335" s="439"/>
      <c r="F335" s="442">
        <f>IF(C335="",0,IFERROR(VLOOKUP(COUNTIF($A$1:A335,"ANALISIS DE PRECIOS"),T_Rendimiento_Equipo,5,FALSE),0))</f>
        <v>0</v>
      </c>
      <c r="G335" s="439">
        <f t="shared" si="93"/>
        <v>0</v>
      </c>
    </row>
    <row r="336" spans="1:8" ht="19.899999999999999" customHeight="1" x14ac:dyDescent="0.2">
      <c r="A336" s="482">
        <f t="shared" si="88"/>
        <v>0</v>
      </c>
      <c r="B336" s="445">
        <f t="shared" si="89"/>
        <v>0</v>
      </c>
      <c r="C336" s="447"/>
      <c r="D336" s="446">
        <f t="shared" si="90"/>
        <v>0</v>
      </c>
      <c r="E336" s="439"/>
      <c r="F336" s="442">
        <f>IF(C336="",0,IFERROR(VLOOKUP(COUNTIF($A$1:A336,"ANALISIS DE PRECIOS"),T_Rendimiento_Equipo,5,FALSE),0))</f>
        <v>0</v>
      </c>
      <c r="G336" s="439">
        <f t="shared" si="93"/>
        <v>0</v>
      </c>
    </row>
    <row r="337" spans="1:7" ht="19.899999999999999" customHeight="1" x14ac:dyDescent="0.2">
      <c r="A337" s="482">
        <f t="shared" si="88"/>
        <v>0</v>
      </c>
      <c r="B337" s="445">
        <f t="shared" si="89"/>
        <v>0</v>
      </c>
      <c r="C337" s="447"/>
      <c r="D337" s="446">
        <f t="shared" si="90"/>
        <v>0</v>
      </c>
      <c r="E337" s="439"/>
      <c r="F337" s="442">
        <f>IF(C337="",0,IFERROR(VLOOKUP(COUNTIF($A$1:A337,"ANALISIS DE PRECIOS"),T_Rendimiento_Equipo,5,FALSE),0))</f>
        <v>0</v>
      </c>
      <c r="G337" s="439">
        <f t="shared" si="93"/>
        <v>0</v>
      </c>
    </row>
    <row r="338" spans="1:7" ht="19.899999999999999" customHeight="1" x14ac:dyDescent="0.2">
      <c r="A338" s="482">
        <f t="shared" si="88"/>
        <v>0</v>
      </c>
      <c r="B338" s="445">
        <f t="shared" si="89"/>
        <v>0</v>
      </c>
      <c r="C338" s="436"/>
      <c r="D338" s="446">
        <f t="shared" si="90"/>
        <v>0</v>
      </c>
      <c r="E338" s="439"/>
      <c r="F338" s="442">
        <f>IF(C338="",0,IFERROR(VLOOKUP(COUNTIF($A$1:A338,"ANALISIS DE PRECIOS"),T_Rendimiento_Equipo,5,FALSE),0))</f>
        <v>0</v>
      </c>
      <c r="G338" s="439">
        <f t="shared" si="93"/>
        <v>0</v>
      </c>
    </row>
    <row r="339" spans="1:7" ht="19.899999999999999" customHeight="1" x14ac:dyDescent="0.2">
      <c r="A339" s="483"/>
      <c r="B339" s="426"/>
      <c r="C339" s="139"/>
      <c r="D339" s="426"/>
      <c r="E339" s="427"/>
      <c r="F339" s="448" t="s">
        <v>27</v>
      </c>
      <c r="G339" s="484">
        <f>SUBTOTAL(9,G330:G338)</f>
        <v>0</v>
      </c>
    </row>
    <row r="340" spans="1:7" ht="19.899999999999999" customHeight="1" x14ac:dyDescent="0.2">
      <c r="A340" s="480"/>
      <c r="B340" s="139"/>
      <c r="C340" s="422" t="s">
        <v>713</v>
      </c>
      <c r="D340" s="426"/>
      <c r="E340" s="427"/>
      <c r="F340" s="428"/>
      <c r="G340" s="481"/>
    </row>
    <row r="341" spans="1:7" ht="19.899999999999999" customHeight="1" x14ac:dyDescent="0.2">
      <c r="A341" s="720" t="s">
        <v>576</v>
      </c>
      <c r="B341" s="721"/>
      <c r="C341" s="722" t="s">
        <v>0</v>
      </c>
      <c r="D341" s="724" t="s">
        <v>24</v>
      </c>
      <c r="E341" s="724" t="s">
        <v>1964</v>
      </c>
      <c r="F341" s="726" t="s">
        <v>975</v>
      </c>
      <c r="G341" s="728" t="s">
        <v>26</v>
      </c>
    </row>
    <row r="342" spans="1:7" ht="19.899999999999999" customHeight="1" x14ac:dyDescent="0.2">
      <c r="A342" s="444" t="s">
        <v>577</v>
      </c>
      <c r="B342" s="444" t="s">
        <v>578</v>
      </c>
      <c r="C342" s="723"/>
      <c r="D342" s="725"/>
      <c r="E342" s="725"/>
      <c r="F342" s="727"/>
      <c r="G342" s="729"/>
    </row>
    <row r="343" spans="1:7" ht="19.899999999999999" customHeight="1" x14ac:dyDescent="0.2">
      <c r="A343" s="482">
        <f t="shared" ref="A343:A349" si="94">IFERROR(VLOOKUP(C343,T_Insumos,4,FALSE),0)</f>
        <v>0</v>
      </c>
      <c r="B343" s="445">
        <f t="shared" ref="B343:B349" si="95">IFERROR(VLOOKUP(C343,T_Insumos,5,FALSE),0)</f>
        <v>0</v>
      </c>
      <c r="C343" s="436">
        <f t="shared" ref="C343:C346" si="96">+C118</f>
        <v>0</v>
      </c>
      <c r="D343" s="442"/>
      <c r="E343" s="439">
        <f t="shared" ref="E343:E349" si="97">IFERROR(VLOOKUP(C343,T_Insumos,3,FALSE),0)</f>
        <v>0</v>
      </c>
      <c r="F343" s="442">
        <f>IF(C343="",0,IFERROR(VLOOKUP(COUNTIF($A$1:A343,"ANALISIS DE PRECIOS"),T_Rendimiento_Equipo,5,FALSE),0))</f>
        <v>0</v>
      </c>
      <c r="G343" s="439">
        <f>IFERROR(ROUND(D343*E343/F343,2),0)</f>
        <v>0</v>
      </c>
    </row>
    <row r="344" spans="1:7" ht="19.899999999999999" customHeight="1" x14ac:dyDescent="0.2">
      <c r="A344" s="482">
        <f t="shared" si="94"/>
        <v>0</v>
      </c>
      <c r="B344" s="445">
        <f t="shared" si="95"/>
        <v>0</v>
      </c>
      <c r="C344" s="436">
        <f t="shared" si="96"/>
        <v>0</v>
      </c>
      <c r="D344" s="442">
        <v>1</v>
      </c>
      <c r="E344" s="439">
        <f t="shared" si="97"/>
        <v>0</v>
      </c>
      <c r="F344" s="442">
        <f>IF(C344="",0,IFERROR(VLOOKUP(COUNTIF($A$1:A344,"ANALISIS DE PRECIOS"),T_Rendimiento_Equipo,5,FALSE),0))</f>
        <v>0</v>
      </c>
      <c r="G344" s="439">
        <f>IFERROR(ROUND(D344*E344/F344,2),0)</f>
        <v>0</v>
      </c>
    </row>
    <row r="345" spans="1:7" ht="19.899999999999999" customHeight="1" x14ac:dyDescent="0.2">
      <c r="A345" s="482">
        <f t="shared" si="94"/>
        <v>0</v>
      </c>
      <c r="B345" s="445">
        <f t="shared" si="95"/>
        <v>0</v>
      </c>
      <c r="C345" s="436">
        <f t="shared" si="96"/>
        <v>0</v>
      </c>
      <c r="D345" s="442"/>
      <c r="E345" s="439">
        <f t="shared" si="97"/>
        <v>0</v>
      </c>
      <c r="F345" s="442">
        <f>IF(C345="",0,IFERROR(VLOOKUP(COUNTIF($A$1:A345,"ANALISIS DE PRECIOS"),T_Rendimiento_Equipo,5,FALSE),0))</f>
        <v>0</v>
      </c>
      <c r="G345" s="439">
        <f t="shared" ref="G345:G349" si="98">IFERROR(ROUND(D345*E345/F345,2),0)</f>
        <v>0</v>
      </c>
    </row>
    <row r="346" spans="1:7" ht="19.899999999999999" customHeight="1" x14ac:dyDescent="0.2">
      <c r="A346" s="482">
        <f t="shared" si="94"/>
        <v>0</v>
      </c>
      <c r="B346" s="445">
        <f t="shared" si="95"/>
        <v>0</v>
      </c>
      <c r="C346" s="436">
        <f t="shared" si="96"/>
        <v>0</v>
      </c>
      <c r="D346" s="442">
        <v>2</v>
      </c>
      <c r="E346" s="439">
        <f t="shared" si="97"/>
        <v>0</v>
      </c>
      <c r="F346" s="442">
        <f>IF(C346="",0,IFERROR(VLOOKUP(COUNTIF($A$1:A346,"ANALISIS DE PRECIOS"),T_Rendimiento_Equipo,5,FALSE),0))</f>
        <v>0</v>
      </c>
      <c r="G346" s="439">
        <f t="shared" si="98"/>
        <v>0</v>
      </c>
    </row>
    <row r="347" spans="1:7" ht="19.899999999999999" customHeight="1" x14ac:dyDescent="0.2">
      <c r="A347" s="482">
        <f t="shared" si="94"/>
        <v>0</v>
      </c>
      <c r="B347" s="445">
        <f t="shared" si="95"/>
        <v>0</v>
      </c>
      <c r="C347" s="436"/>
      <c r="D347" s="442"/>
      <c r="E347" s="439">
        <f t="shared" si="97"/>
        <v>0</v>
      </c>
      <c r="F347" s="442">
        <f>IF(C347="",0,IFERROR(VLOOKUP(COUNTIF($A$1:A347,"ANALISIS DE PRECIOS"),T_Rendimiento_Equipo,5,FALSE),0))</f>
        <v>0</v>
      </c>
      <c r="G347" s="439">
        <f t="shared" si="98"/>
        <v>0</v>
      </c>
    </row>
    <row r="348" spans="1:7" ht="19.899999999999999" customHeight="1" x14ac:dyDescent="0.2">
      <c r="A348" s="482">
        <f t="shared" si="94"/>
        <v>0</v>
      </c>
      <c r="B348" s="445">
        <f t="shared" si="95"/>
        <v>0</v>
      </c>
      <c r="C348" s="436"/>
      <c r="D348" s="450"/>
      <c r="E348" s="439">
        <f t="shared" si="97"/>
        <v>0</v>
      </c>
      <c r="F348" s="442">
        <f>IF(C348="",0,IFERROR(VLOOKUP(COUNTIF($A$1:A348,"ANALISIS DE PRECIOS"),T_Rendimiento_Equipo,5,FALSE),0))</f>
        <v>0</v>
      </c>
      <c r="G348" s="439">
        <f t="shared" si="98"/>
        <v>0</v>
      </c>
    </row>
    <row r="349" spans="1:7" ht="19.899999999999999" customHeight="1" x14ac:dyDescent="0.2">
      <c r="A349" s="482">
        <f t="shared" si="94"/>
        <v>0</v>
      </c>
      <c r="B349" s="445">
        <f t="shared" si="95"/>
        <v>0</v>
      </c>
      <c r="C349" s="445"/>
      <c r="D349" s="451"/>
      <c r="E349" s="439">
        <f t="shared" si="97"/>
        <v>0</v>
      </c>
      <c r="F349" s="442">
        <f>IF(C349="",0,IFERROR(VLOOKUP(COUNTIF($A$1:A349,"ANALISIS DE PRECIOS"),T_Rendimiento_Equipo,5,FALSE),0))</f>
        <v>0</v>
      </c>
      <c r="G349" s="439">
        <f t="shared" si="98"/>
        <v>0</v>
      </c>
    </row>
    <row r="350" spans="1:7" ht="19.899999999999999" customHeight="1" x14ac:dyDescent="0.2">
      <c r="A350" s="483"/>
      <c r="B350" s="426"/>
      <c r="C350" s="139"/>
      <c r="D350" s="426"/>
      <c r="E350" s="427"/>
      <c r="F350" s="448" t="s">
        <v>28</v>
      </c>
      <c r="G350" s="485">
        <f>SUBTOTAL(9,G343:G349)</f>
        <v>0</v>
      </c>
    </row>
    <row r="351" spans="1:7" ht="19.899999999999999" customHeight="1" x14ac:dyDescent="0.2">
      <c r="A351" s="480"/>
      <c r="B351" s="139"/>
      <c r="C351" s="422" t="s">
        <v>982</v>
      </c>
      <c r="D351" s="426"/>
      <c r="E351" s="427"/>
      <c r="F351" s="428"/>
      <c r="G351" s="481"/>
    </row>
    <row r="352" spans="1:7" ht="19.899999999999999" customHeight="1" x14ac:dyDescent="0.2">
      <c r="A352" s="720" t="s">
        <v>576</v>
      </c>
      <c r="B352" s="721"/>
      <c r="C352" s="722" t="s">
        <v>0</v>
      </c>
      <c r="D352" s="722" t="s">
        <v>1725</v>
      </c>
      <c r="E352" s="724" t="s">
        <v>24</v>
      </c>
      <c r="F352" s="726" t="s">
        <v>25</v>
      </c>
      <c r="G352" s="728" t="s">
        <v>26</v>
      </c>
    </row>
    <row r="353" spans="1:7" ht="19.899999999999999" customHeight="1" x14ac:dyDescent="0.2">
      <c r="A353" s="444" t="s">
        <v>577</v>
      </c>
      <c r="B353" s="444" t="s">
        <v>578</v>
      </c>
      <c r="C353" s="723"/>
      <c r="D353" s="723"/>
      <c r="E353" s="725"/>
      <c r="F353" s="727"/>
      <c r="G353" s="729"/>
    </row>
    <row r="354" spans="1:7" ht="19.899999999999999" customHeight="1" x14ac:dyDescent="0.2">
      <c r="A354" s="482">
        <f t="shared" ref="A354:A364" si="99">IFERROR(VLOOKUP(C354,T_Insumos,4,FALSE),0)</f>
        <v>0</v>
      </c>
      <c r="B354" s="445">
        <f t="shared" ref="B354:B364" si="100">IFERROR(VLOOKUP(C354,T_Insumos,5,FALSE),0)</f>
        <v>0</v>
      </c>
      <c r="C354" s="436">
        <f t="shared" ref="C354:C364" si="101">+C129</f>
        <v>0</v>
      </c>
      <c r="D354" s="493">
        <f t="shared" ref="D354:D364" si="102">IFERROR(VLOOKUP(C354,T_Insumos,2,FALSE),0)</f>
        <v>0</v>
      </c>
      <c r="E354" s="437"/>
      <c r="F354" s="439">
        <f t="shared" ref="F354:F364" si="103">IFERROR(VLOOKUP(C354,T_Insumos,3,FALSE),0)</f>
        <v>0</v>
      </c>
      <c r="G354" s="439">
        <f>ROUND(E354*F354,2)</f>
        <v>0</v>
      </c>
    </row>
    <row r="355" spans="1:7" s="452" customFormat="1" ht="19.899999999999999" customHeight="1" x14ac:dyDescent="0.2">
      <c r="A355" s="482">
        <f t="shared" si="99"/>
        <v>0</v>
      </c>
      <c r="B355" s="445">
        <f t="shared" si="100"/>
        <v>0</v>
      </c>
      <c r="C355" s="436">
        <f t="shared" si="101"/>
        <v>0</v>
      </c>
      <c r="D355" s="493">
        <f t="shared" si="102"/>
        <v>0</v>
      </c>
      <c r="E355" s="437"/>
      <c r="F355" s="439">
        <f t="shared" si="103"/>
        <v>0</v>
      </c>
      <c r="G355" s="439">
        <f t="shared" ref="G355:G364" si="104">ROUND(E355*F355,2)</f>
        <v>0</v>
      </c>
    </row>
    <row r="356" spans="1:7" ht="19.899999999999999" customHeight="1" x14ac:dyDescent="0.2">
      <c r="A356" s="482">
        <f t="shared" si="99"/>
        <v>0</v>
      </c>
      <c r="B356" s="445">
        <f t="shared" si="100"/>
        <v>0</v>
      </c>
      <c r="C356" s="436">
        <f t="shared" si="101"/>
        <v>0</v>
      </c>
      <c r="D356" s="493">
        <f t="shared" si="102"/>
        <v>0</v>
      </c>
      <c r="E356" s="437"/>
      <c r="F356" s="439">
        <f t="shared" si="103"/>
        <v>0</v>
      </c>
      <c r="G356" s="439">
        <f t="shared" si="104"/>
        <v>0</v>
      </c>
    </row>
    <row r="357" spans="1:7" ht="19.899999999999999" customHeight="1" x14ac:dyDescent="0.2">
      <c r="A357" s="482">
        <f t="shared" si="99"/>
        <v>0</v>
      </c>
      <c r="B357" s="445">
        <f t="shared" si="100"/>
        <v>0</v>
      </c>
      <c r="C357" s="436">
        <f t="shared" si="101"/>
        <v>0</v>
      </c>
      <c r="D357" s="493">
        <f t="shared" si="102"/>
        <v>0</v>
      </c>
      <c r="E357" s="437"/>
      <c r="F357" s="439">
        <f t="shared" si="103"/>
        <v>0</v>
      </c>
      <c r="G357" s="439">
        <f t="shared" si="104"/>
        <v>0</v>
      </c>
    </row>
    <row r="358" spans="1:7" ht="19.899999999999999" customHeight="1" x14ac:dyDescent="0.2">
      <c r="A358" s="482">
        <f t="shared" si="99"/>
        <v>0</v>
      </c>
      <c r="B358" s="445">
        <f t="shared" si="100"/>
        <v>0</v>
      </c>
      <c r="C358" s="436">
        <f t="shared" si="101"/>
        <v>0</v>
      </c>
      <c r="D358" s="493">
        <f t="shared" si="102"/>
        <v>0</v>
      </c>
      <c r="E358" s="437"/>
      <c r="F358" s="439">
        <f t="shared" si="103"/>
        <v>0</v>
      </c>
      <c r="G358" s="439">
        <f t="shared" si="104"/>
        <v>0</v>
      </c>
    </row>
    <row r="359" spans="1:7" ht="19.899999999999999" customHeight="1" x14ac:dyDescent="0.2">
      <c r="A359" s="482">
        <f t="shared" si="99"/>
        <v>0</v>
      </c>
      <c r="B359" s="445">
        <f t="shared" si="100"/>
        <v>0</v>
      </c>
      <c r="C359" s="436">
        <f t="shared" si="101"/>
        <v>0</v>
      </c>
      <c r="D359" s="493">
        <f t="shared" si="102"/>
        <v>0</v>
      </c>
      <c r="E359" s="437"/>
      <c r="F359" s="439">
        <f t="shared" si="103"/>
        <v>0</v>
      </c>
      <c r="G359" s="439">
        <f t="shared" si="104"/>
        <v>0</v>
      </c>
    </row>
    <row r="360" spans="1:7" ht="19.899999999999999" customHeight="1" x14ac:dyDescent="0.2">
      <c r="A360" s="482">
        <f t="shared" si="99"/>
        <v>0</v>
      </c>
      <c r="B360" s="445">
        <f t="shared" si="100"/>
        <v>0</v>
      </c>
      <c r="C360" s="436">
        <f t="shared" si="101"/>
        <v>0</v>
      </c>
      <c r="D360" s="493">
        <f t="shared" si="102"/>
        <v>0</v>
      </c>
      <c r="E360" s="437"/>
      <c r="F360" s="439">
        <f t="shared" si="103"/>
        <v>0</v>
      </c>
      <c r="G360" s="439">
        <f t="shared" si="104"/>
        <v>0</v>
      </c>
    </row>
    <row r="361" spans="1:7" ht="19.899999999999999" customHeight="1" x14ac:dyDescent="0.2">
      <c r="A361" s="482">
        <f t="shared" si="99"/>
        <v>0</v>
      </c>
      <c r="B361" s="445">
        <f t="shared" si="100"/>
        <v>0</v>
      </c>
      <c r="C361" s="436">
        <f t="shared" si="101"/>
        <v>0</v>
      </c>
      <c r="D361" s="493">
        <f t="shared" si="102"/>
        <v>0</v>
      </c>
      <c r="E361" s="437"/>
      <c r="F361" s="439">
        <f t="shared" si="103"/>
        <v>0</v>
      </c>
      <c r="G361" s="439">
        <f t="shared" si="104"/>
        <v>0</v>
      </c>
    </row>
    <row r="362" spans="1:7" ht="19.899999999999999" customHeight="1" x14ac:dyDescent="0.2">
      <c r="A362" s="482">
        <f t="shared" si="99"/>
        <v>0</v>
      </c>
      <c r="B362" s="445">
        <f t="shared" si="100"/>
        <v>0</v>
      </c>
      <c r="C362" s="436">
        <f t="shared" si="101"/>
        <v>0</v>
      </c>
      <c r="D362" s="493">
        <f t="shared" si="102"/>
        <v>0</v>
      </c>
      <c r="E362" s="437"/>
      <c r="F362" s="439">
        <f t="shared" si="103"/>
        <v>0</v>
      </c>
      <c r="G362" s="439">
        <f t="shared" si="104"/>
        <v>0</v>
      </c>
    </row>
    <row r="363" spans="1:7" ht="19.899999999999999" customHeight="1" x14ac:dyDescent="0.2">
      <c r="A363" s="482">
        <f t="shared" si="99"/>
        <v>0</v>
      </c>
      <c r="B363" s="445">
        <f t="shared" si="100"/>
        <v>0</v>
      </c>
      <c r="C363" s="436">
        <f t="shared" si="101"/>
        <v>0</v>
      </c>
      <c r="D363" s="493">
        <f t="shared" si="102"/>
        <v>0</v>
      </c>
      <c r="E363" s="437"/>
      <c r="F363" s="439">
        <f t="shared" si="103"/>
        <v>0</v>
      </c>
      <c r="G363" s="439">
        <f t="shared" si="104"/>
        <v>0</v>
      </c>
    </row>
    <row r="364" spans="1:7" ht="19.899999999999999" customHeight="1" x14ac:dyDescent="0.2">
      <c r="A364" s="482">
        <f t="shared" si="99"/>
        <v>0</v>
      </c>
      <c r="B364" s="445">
        <f t="shared" si="100"/>
        <v>0</v>
      </c>
      <c r="C364" s="436">
        <f t="shared" si="101"/>
        <v>0</v>
      </c>
      <c r="D364" s="493">
        <f t="shared" si="102"/>
        <v>0</v>
      </c>
      <c r="E364" s="437"/>
      <c r="F364" s="439">
        <f t="shared" si="103"/>
        <v>0</v>
      </c>
      <c r="G364" s="439">
        <f t="shared" si="104"/>
        <v>0</v>
      </c>
    </row>
    <row r="365" spans="1:7" ht="19.899999999999999" customHeight="1" x14ac:dyDescent="0.2">
      <c r="A365" s="480"/>
      <c r="B365" s="139"/>
      <c r="C365" s="139"/>
      <c r="D365" s="426"/>
      <c r="E365" s="427"/>
      <c r="F365" s="448" t="s">
        <v>29</v>
      </c>
      <c r="G365" s="485">
        <f>SUBTOTAL(9,G354:G364)</f>
        <v>0</v>
      </c>
    </row>
    <row r="366" spans="1:7" ht="19.899999999999999" customHeight="1" x14ac:dyDescent="0.2">
      <c r="A366" s="480"/>
      <c r="B366" s="139"/>
      <c r="C366" s="422" t="s">
        <v>983</v>
      </c>
      <c r="D366" s="426"/>
      <c r="E366" s="427"/>
      <c r="F366" s="428"/>
      <c r="G366" s="481"/>
    </row>
    <row r="367" spans="1:7" ht="19.899999999999999" customHeight="1" x14ac:dyDescent="0.2">
      <c r="A367" s="720" t="s">
        <v>576</v>
      </c>
      <c r="B367" s="721"/>
      <c r="C367" s="722" t="s">
        <v>0</v>
      </c>
      <c r="D367" s="722" t="s">
        <v>1725</v>
      </c>
      <c r="E367" s="724" t="s">
        <v>24</v>
      </c>
      <c r="F367" s="726" t="s">
        <v>25</v>
      </c>
      <c r="G367" s="728" t="s">
        <v>26</v>
      </c>
    </row>
    <row r="368" spans="1:7" ht="19.899999999999999" customHeight="1" x14ac:dyDescent="0.2">
      <c r="A368" s="444" t="s">
        <v>577</v>
      </c>
      <c r="B368" s="444" t="s">
        <v>578</v>
      </c>
      <c r="C368" s="723"/>
      <c r="D368" s="723"/>
      <c r="E368" s="725"/>
      <c r="F368" s="727"/>
      <c r="G368" s="729"/>
    </row>
    <row r="369" spans="1:8" ht="19.899999999999999" customHeight="1" x14ac:dyDescent="0.2">
      <c r="A369" s="482">
        <f>IFERROR(VLOOKUP(C369,T_Insumos,4,FALSE),0)</f>
        <v>0</v>
      </c>
      <c r="B369" s="445">
        <f>IFERROR(VLOOKUP(C369,T_Insumos,5,FALSE),0)</f>
        <v>0</v>
      </c>
      <c r="C369" s="436"/>
      <c r="D369" s="493">
        <f>IF(C369=0,0,"$/tnkm")</f>
        <v>0</v>
      </c>
      <c r="E369" s="437"/>
      <c r="F369" s="439">
        <f>IFERROR(VLOOKUP(C369,T_Insumos,3,FALSE),0)</f>
        <v>0</v>
      </c>
      <c r="G369" s="439">
        <f>ROUND(E369*F369,2)</f>
        <v>0</v>
      </c>
    </row>
    <row r="370" spans="1:8" ht="19.899999999999999" customHeight="1" x14ac:dyDescent="0.2">
      <c r="A370" s="482">
        <f>IFERROR(VLOOKUP(C370,T_Insumos,4,FALSE),0)</f>
        <v>0</v>
      </c>
      <c r="B370" s="445">
        <f>IFERROR(VLOOKUP(C370,T_Insumos,5,FALSE),0)</f>
        <v>0</v>
      </c>
      <c r="C370" s="436"/>
      <c r="D370" s="493">
        <f>IF(C370=0,0,"$/tnkm")</f>
        <v>0</v>
      </c>
      <c r="E370" s="453"/>
      <c r="F370" s="439">
        <f>IFERROR(VLOOKUP(C370,T_Insumos,3,FALSE),0)</f>
        <v>0</v>
      </c>
      <c r="G370" s="439">
        <f t="shared" ref="G370" si="105">ROUND(E370*F370,2)</f>
        <v>0</v>
      </c>
    </row>
    <row r="371" spans="1:8" ht="19.899999999999999" customHeight="1" x14ac:dyDescent="0.2">
      <c r="A371" s="480"/>
      <c r="B371" s="139"/>
      <c r="C371" s="139"/>
      <c r="D371" s="426"/>
      <c r="E371" s="427"/>
      <c r="F371" s="448" t="s">
        <v>984</v>
      </c>
      <c r="G371" s="485">
        <f>SUBTOTAL(9,G369:G370)</f>
        <v>0</v>
      </c>
      <c r="H371" s="46"/>
    </row>
    <row r="372" spans="1:8" ht="19.899999999999999" customHeight="1" x14ac:dyDescent="0.2">
      <c r="A372" s="483"/>
      <c r="B372" s="426"/>
      <c r="C372" s="139"/>
      <c r="D372" s="426"/>
      <c r="E372" s="427"/>
      <c r="F372" s="428"/>
      <c r="G372" s="481"/>
      <c r="H372" s="46"/>
    </row>
    <row r="373" spans="1:8" ht="19.899999999999999" customHeight="1" x14ac:dyDescent="0.2">
      <c r="A373" s="541" t="str">
        <f>B307</f>
        <v>2.4</v>
      </c>
      <c r="B373" s="538" t="str">
        <f ca="1">C307</f>
        <v>Extracción de Membrana</v>
      </c>
      <c r="C373" s="426"/>
      <c r="D373" s="426" t="s">
        <v>1704</v>
      </c>
      <c r="E373" s="539"/>
      <c r="F373" s="540" t="str">
        <f ca="1">"$/"&amp;G307</f>
        <v>$/ML</v>
      </c>
      <c r="G373" s="490">
        <f>SUBTOTAL(9,G330:G372)</f>
        <v>0</v>
      </c>
      <c r="H373" s="46"/>
    </row>
    <row r="374" spans="1:8" ht="19.899999999999999" customHeight="1" x14ac:dyDescent="0.2">
      <c r="A374" s="486"/>
      <c r="B374" s="487"/>
      <c r="C374" s="488"/>
      <c r="D374" s="488" t="s">
        <v>1900</v>
      </c>
      <c r="E374" s="489"/>
      <c r="F374" s="542" t="str">
        <f ca="1">"$/"&amp;G307</f>
        <v>$/ML</v>
      </c>
      <c r="G374" s="490">
        <f>ROUND(G373*Coeficiente_Paso,2)</f>
        <v>0</v>
      </c>
      <c r="H374" s="46"/>
    </row>
    <row r="375" spans="1:8" ht="19.899999999999999" customHeight="1" x14ac:dyDescent="0.2">
      <c r="A375" s="139"/>
      <c r="B375" s="139"/>
      <c r="C375" s="139"/>
      <c r="D375" s="139"/>
      <c r="E375" s="139"/>
      <c r="F375" s="139"/>
      <c r="G375" s="139"/>
      <c r="H375" s="46"/>
    </row>
    <row r="376" spans="1:8" ht="19.899999999999999" customHeight="1" x14ac:dyDescent="0.2">
      <c r="A376" s="730" t="s">
        <v>31</v>
      </c>
      <c r="B376" s="731"/>
      <c r="C376" s="731"/>
      <c r="D376" s="731"/>
      <c r="E376" s="731"/>
      <c r="F376" s="731"/>
      <c r="G376" s="732"/>
    </row>
    <row r="377" spans="1:8" ht="19.899999999999999" customHeight="1" x14ac:dyDescent="0.2">
      <c r="A377" s="469" t="s">
        <v>711</v>
      </c>
      <c r="B377" s="420" t="str">
        <f>Comitente</f>
        <v>DEPARTAMENTO DE HIDRAULICA</v>
      </c>
      <c r="C377" s="421"/>
      <c r="D377" s="422"/>
      <c r="E377" s="422"/>
      <c r="F377" s="423"/>
      <c r="G377" s="470"/>
    </row>
    <row r="378" spans="1:8" ht="19.899999999999999" customHeight="1" x14ac:dyDescent="0.2">
      <c r="A378" s="469" t="s">
        <v>712</v>
      </c>
      <c r="B378" s="420">
        <f>Contratista</f>
        <v>0</v>
      </c>
      <c r="C378" s="424"/>
      <c r="D378" s="424"/>
      <c r="E378" s="424"/>
      <c r="F378" s="420"/>
      <c r="G378" s="471"/>
    </row>
    <row r="379" spans="1:8" ht="19.899999999999999" customHeight="1" x14ac:dyDescent="0.2">
      <c r="A379" s="469" t="s">
        <v>21</v>
      </c>
      <c r="B379" s="420" t="str">
        <f>Obra</f>
        <v>Encamisado Parcial del Canal de Calle América</v>
      </c>
      <c r="C379" s="424"/>
      <c r="D379" s="424"/>
      <c r="E379" s="424"/>
      <c r="F379" s="420" t="s">
        <v>32</v>
      </c>
      <c r="G379" s="471" t="str">
        <f>Fecha_Base</f>
        <v>X/X/2023</v>
      </c>
    </row>
    <row r="380" spans="1:8" ht="19.899999999999999" customHeight="1" x14ac:dyDescent="0.2">
      <c r="A380" s="472" t="s">
        <v>710</v>
      </c>
      <c r="B380" s="425" t="str">
        <f>Ubicación</f>
        <v>Departamento Rawson</v>
      </c>
      <c r="C380" s="425"/>
      <c r="D380" s="426"/>
      <c r="E380" s="427"/>
      <c r="F380" s="428"/>
      <c r="G380" s="473"/>
    </row>
    <row r="381" spans="1:8" ht="19.899999999999999" customHeight="1" x14ac:dyDescent="0.2">
      <c r="A381" s="472" t="s">
        <v>33</v>
      </c>
      <c r="B381" s="429">
        <f>IFERROR(VALUE(LEFT(B382,FIND(".",B382)-1)),"")</f>
        <v>2</v>
      </c>
      <c r="C381" s="139" t="str">
        <f ca="1">IFERROR(VLOOKUP(B381,T_Computo_Presupuesto,2,FALSE),0)</f>
        <v>CANAL AMÉRICA</v>
      </c>
      <c r="D381" s="139"/>
      <c r="E381" s="427"/>
      <c r="F381" s="428"/>
      <c r="G381" s="473"/>
    </row>
    <row r="382" spans="1:8" ht="19.899999999999999" customHeight="1" x14ac:dyDescent="0.2">
      <c r="A382" s="472" t="s">
        <v>22</v>
      </c>
      <c r="B382" s="430" t="str">
        <f>IFERROR(VLOOKUP(COUNTIF($A$1:A382,"ANALISIS DE PRECIOS"),T_NumeroItem,2,FALSE),"")</f>
        <v>2.5</v>
      </c>
      <c r="C382" s="733" t="str">
        <f ca="1">IFERROR(VLOOKUP(B382,T_Computo_Presupuesto,2,FALSE),0)</f>
        <v>Relleno y Compactación con Cama de Asiento</v>
      </c>
      <c r="D382" s="733"/>
      <c r="E382" s="733"/>
      <c r="F382" s="425" t="s">
        <v>23</v>
      </c>
      <c r="G382" s="474" t="str">
        <f ca="1">IFERROR(VLOOKUP(B382,T_Computo_Presupuesto,4,FALSE),0)</f>
        <v>M3</v>
      </c>
    </row>
    <row r="383" spans="1:8" ht="19.899999999999999" customHeight="1" x14ac:dyDescent="0.2">
      <c r="A383" s="472"/>
      <c r="B383" s="425"/>
      <c r="C383" s="139"/>
      <c r="D383" s="426"/>
      <c r="E383" s="427"/>
      <c r="F383" s="139"/>
      <c r="G383" s="475"/>
    </row>
    <row r="384" spans="1:8" ht="19.899999999999999" customHeight="1" x14ac:dyDescent="0.2">
      <c r="A384" s="476"/>
      <c r="B384" s="431"/>
      <c r="C384" s="432" t="s">
        <v>967</v>
      </c>
      <c r="D384" s="431"/>
      <c r="E384" s="431"/>
      <c r="F384" s="431"/>
      <c r="G384" s="477"/>
    </row>
    <row r="385" spans="1:7" ht="19.899999999999999" customHeight="1" x14ac:dyDescent="0.2">
      <c r="A385" s="472"/>
      <c r="B385" s="433"/>
      <c r="C385" s="139"/>
      <c r="D385" s="426"/>
      <c r="E385" s="427"/>
      <c r="F385" s="425"/>
      <c r="G385" s="474"/>
    </row>
    <row r="386" spans="1:7" ht="19.899999999999999" customHeight="1" x14ac:dyDescent="0.2">
      <c r="A386" s="472"/>
      <c r="B386" s="433"/>
      <c r="C386" s="434" t="s">
        <v>968</v>
      </c>
      <c r="D386" s="435" t="s">
        <v>24</v>
      </c>
      <c r="E386" s="435" t="s">
        <v>969</v>
      </c>
      <c r="F386" s="435" t="s">
        <v>970</v>
      </c>
      <c r="G386" s="434" t="s">
        <v>971</v>
      </c>
    </row>
    <row r="387" spans="1:7" ht="19.899999999999999" customHeight="1" x14ac:dyDescent="0.2">
      <c r="A387" s="472"/>
      <c r="B387" s="433"/>
      <c r="C387" s="436">
        <f>+C162</f>
        <v>0</v>
      </c>
      <c r="D387" s="436">
        <f>+D162</f>
        <v>0</v>
      </c>
      <c r="E387" s="438">
        <f t="shared" ref="E387:E396" si="106">IFERROR(VLOOKUP(C387,T_Equipos,4,FALSE),0)</f>
        <v>0</v>
      </c>
      <c r="F387" s="439">
        <f t="shared" ref="F387:F396" si="107">IFERROR(VLOOKUP(C387,T_Equipos,5,FALSE),0)</f>
        <v>0</v>
      </c>
      <c r="G387" s="439">
        <f>ROUND(D387*F387,2)</f>
        <v>0</v>
      </c>
    </row>
    <row r="388" spans="1:7" ht="19.899999999999999" customHeight="1" x14ac:dyDescent="0.2">
      <c r="A388" s="472"/>
      <c r="B388" s="433"/>
      <c r="C388" s="436">
        <f t="shared" ref="C388:D392" si="108">+C163</f>
        <v>0</v>
      </c>
      <c r="D388" s="436">
        <f t="shared" si="108"/>
        <v>0</v>
      </c>
      <c r="E388" s="438">
        <f t="shared" si="106"/>
        <v>0</v>
      </c>
      <c r="F388" s="439">
        <f t="shared" si="107"/>
        <v>0</v>
      </c>
      <c r="G388" s="439">
        <f>ROUND(D388*F388,2)</f>
        <v>0</v>
      </c>
    </row>
    <row r="389" spans="1:7" ht="19.899999999999999" customHeight="1" x14ac:dyDescent="0.2">
      <c r="A389" s="472"/>
      <c r="B389" s="433"/>
      <c r="C389" s="436">
        <f t="shared" si="108"/>
        <v>0</v>
      </c>
      <c r="D389" s="436"/>
      <c r="E389" s="438">
        <f t="shared" si="106"/>
        <v>0</v>
      </c>
      <c r="F389" s="439">
        <f t="shared" si="107"/>
        <v>0</v>
      </c>
      <c r="G389" s="439">
        <f>ROUND(D389*F389,2)</f>
        <v>0</v>
      </c>
    </row>
    <row r="390" spans="1:7" ht="19.899999999999999" customHeight="1" x14ac:dyDescent="0.2">
      <c r="A390" s="472"/>
      <c r="B390" s="433"/>
      <c r="C390" s="436">
        <f t="shared" si="108"/>
        <v>0</v>
      </c>
      <c r="D390" s="436"/>
      <c r="E390" s="438">
        <f t="shared" si="106"/>
        <v>0</v>
      </c>
      <c r="F390" s="439">
        <f t="shared" si="107"/>
        <v>0</v>
      </c>
      <c r="G390" s="439">
        <f>ROUND(D390*F390,2)</f>
        <v>0</v>
      </c>
    </row>
    <row r="391" spans="1:7" ht="19.899999999999999" customHeight="1" x14ac:dyDescent="0.2">
      <c r="A391" s="472"/>
      <c r="B391" s="433"/>
      <c r="C391" s="436">
        <f t="shared" si="108"/>
        <v>0</v>
      </c>
      <c r="D391" s="436"/>
      <c r="E391" s="438">
        <f t="shared" si="106"/>
        <v>0</v>
      </c>
      <c r="F391" s="439">
        <f t="shared" si="107"/>
        <v>0</v>
      </c>
      <c r="G391" s="439">
        <f t="shared" ref="G391:G396" si="109">ROUND(D391*F391,2)</f>
        <v>0</v>
      </c>
    </row>
    <row r="392" spans="1:7" ht="19.899999999999999" customHeight="1" x14ac:dyDescent="0.2">
      <c r="A392" s="472"/>
      <c r="B392" s="433"/>
      <c r="C392" s="436">
        <f t="shared" si="108"/>
        <v>0</v>
      </c>
      <c r="D392" s="436"/>
      <c r="E392" s="438">
        <f t="shared" si="106"/>
        <v>0</v>
      </c>
      <c r="F392" s="439">
        <f t="shared" si="107"/>
        <v>0</v>
      </c>
      <c r="G392" s="439">
        <f t="shared" si="109"/>
        <v>0</v>
      </c>
    </row>
    <row r="393" spans="1:7" ht="19.899999999999999" customHeight="1" x14ac:dyDescent="0.2">
      <c r="A393" s="472"/>
      <c r="B393" s="433"/>
      <c r="C393" s="436">
        <f t="shared" ref="C393:D393" si="110">+C168</f>
        <v>0</v>
      </c>
      <c r="D393" s="436">
        <f t="shared" si="110"/>
        <v>0</v>
      </c>
      <c r="E393" s="438">
        <f t="shared" si="106"/>
        <v>0</v>
      </c>
      <c r="F393" s="439">
        <f t="shared" si="107"/>
        <v>0</v>
      </c>
      <c r="G393" s="439">
        <f t="shared" si="109"/>
        <v>0</v>
      </c>
    </row>
    <row r="394" spans="1:7" ht="19.899999999999999" customHeight="1" x14ac:dyDescent="0.2">
      <c r="A394" s="472"/>
      <c r="B394" s="433"/>
      <c r="C394" s="436">
        <f t="shared" ref="C394:D394" si="111">+C169</f>
        <v>0</v>
      </c>
      <c r="D394" s="436">
        <f t="shared" si="111"/>
        <v>0</v>
      </c>
      <c r="E394" s="438">
        <f t="shared" si="106"/>
        <v>0</v>
      </c>
      <c r="F394" s="439">
        <f t="shared" si="107"/>
        <v>0</v>
      </c>
      <c r="G394" s="439">
        <f t="shared" si="109"/>
        <v>0</v>
      </c>
    </row>
    <row r="395" spans="1:7" ht="19.899999999999999" customHeight="1" x14ac:dyDescent="0.2">
      <c r="A395" s="472"/>
      <c r="B395" s="433"/>
      <c r="C395" s="436"/>
      <c r="D395" s="437"/>
      <c r="E395" s="438">
        <f t="shared" si="106"/>
        <v>0</v>
      </c>
      <c r="F395" s="439">
        <f t="shared" si="107"/>
        <v>0</v>
      </c>
      <c r="G395" s="439">
        <f t="shared" si="109"/>
        <v>0</v>
      </c>
    </row>
    <row r="396" spans="1:7" ht="19.899999999999999" customHeight="1" x14ac:dyDescent="0.2">
      <c r="A396" s="472"/>
      <c r="B396" s="433"/>
      <c r="C396" s="436"/>
      <c r="D396" s="437"/>
      <c r="E396" s="438">
        <f t="shared" si="106"/>
        <v>0</v>
      </c>
      <c r="F396" s="439">
        <f t="shared" si="107"/>
        <v>0</v>
      </c>
      <c r="G396" s="439">
        <f t="shared" si="109"/>
        <v>0</v>
      </c>
    </row>
    <row r="397" spans="1:7" ht="19.899999999999999" customHeight="1" x14ac:dyDescent="0.2">
      <c r="A397" s="472"/>
      <c r="B397" s="433"/>
      <c r="C397" s="139"/>
      <c r="D397" s="139"/>
      <c r="E397" s="440"/>
      <c r="F397" s="425"/>
      <c r="G397" s="474"/>
    </row>
    <row r="398" spans="1:7" ht="19.899999999999999" customHeight="1" x14ac:dyDescent="0.2">
      <c r="A398" s="472"/>
      <c r="B398" s="139"/>
      <c r="C398" s="422" t="s">
        <v>972</v>
      </c>
      <c r="D398" s="425" t="s">
        <v>969</v>
      </c>
      <c r="E398" s="491">
        <f>SUMPRODUCT(D387:D396,E387:E396)</f>
        <v>0</v>
      </c>
      <c r="F398" s="425" t="s">
        <v>973</v>
      </c>
      <c r="G398" s="492">
        <f>SUM(G387:G396)</f>
        <v>0</v>
      </c>
    </row>
    <row r="399" spans="1:7" ht="19.899999999999999" customHeight="1" x14ac:dyDescent="0.2">
      <c r="A399" s="472"/>
      <c r="B399" s="433"/>
      <c r="C399" s="441"/>
      <c r="D399" s="440"/>
      <c r="E399" s="427"/>
      <c r="F399" s="425"/>
      <c r="G399" s="478"/>
    </row>
    <row r="400" spans="1:7" ht="19.899999999999999" customHeight="1" x14ac:dyDescent="0.2">
      <c r="A400" s="479"/>
      <c r="B400" s="433"/>
      <c r="C400" s="425" t="s">
        <v>974</v>
      </c>
      <c r="D400" s="442">
        <f>IFERROR(VLOOKUP(COUNTIF($A$1:A400,"ANALISIS DE PRECIOS"),T_Rendimiento_Equipo,5,FALSE),0)</f>
        <v>0</v>
      </c>
      <c r="E400" s="443" t="str">
        <f ca="1">G382&amp;"/día"</f>
        <v>M3/día</v>
      </c>
      <c r="F400" s="419"/>
      <c r="G400" s="474"/>
    </row>
    <row r="401" spans="1:7" ht="19.899999999999999" customHeight="1" x14ac:dyDescent="0.2">
      <c r="A401" s="472"/>
      <c r="B401" s="433"/>
      <c r="C401" s="139"/>
      <c r="D401" s="426"/>
      <c r="E401" s="427"/>
      <c r="F401" s="425"/>
      <c r="G401" s="474"/>
    </row>
    <row r="402" spans="1:7" ht="19.899999999999999" customHeight="1" x14ac:dyDescent="0.2">
      <c r="A402" s="720" t="s">
        <v>576</v>
      </c>
      <c r="B402" s="721"/>
      <c r="C402" s="722" t="s">
        <v>0</v>
      </c>
      <c r="D402" s="734" t="s">
        <v>1724</v>
      </c>
      <c r="E402" s="734" t="s">
        <v>1723</v>
      </c>
      <c r="F402" s="726" t="s">
        <v>975</v>
      </c>
      <c r="G402" s="728" t="s">
        <v>26</v>
      </c>
    </row>
    <row r="403" spans="1:7" ht="19.899999999999999" customHeight="1" x14ac:dyDescent="0.2">
      <c r="A403" s="444" t="s">
        <v>577</v>
      </c>
      <c r="B403" s="444" t="s">
        <v>578</v>
      </c>
      <c r="C403" s="723"/>
      <c r="D403" s="735"/>
      <c r="E403" s="725"/>
      <c r="F403" s="727"/>
      <c r="G403" s="729"/>
    </row>
    <row r="404" spans="1:7" ht="19.899999999999999" customHeight="1" x14ac:dyDescent="0.2">
      <c r="A404" s="480"/>
      <c r="B404" s="139"/>
      <c r="C404" s="422" t="s">
        <v>976</v>
      </c>
      <c r="D404" s="427"/>
      <c r="E404" s="427"/>
      <c r="F404" s="139"/>
      <c r="G404" s="481"/>
    </row>
    <row r="405" spans="1:7" ht="19.899999999999999" customHeight="1" x14ac:dyDescent="0.2">
      <c r="A405" s="482">
        <f t="shared" ref="A405:A413" si="112">IFERROR(VLOOKUP(C405,T_Insumos,4,FALSE),0)</f>
        <v>0</v>
      </c>
      <c r="B405" s="445">
        <f t="shared" ref="B405:B413" si="113">IFERROR(VLOOKUP(C405,T_Insumos,5,FALSE),0)</f>
        <v>0</v>
      </c>
      <c r="C405" s="436">
        <f>+C105</f>
        <v>0</v>
      </c>
      <c r="D405" s="446">
        <f t="shared" ref="D405:D413" si="114">IFERROR(VLOOKUP(C405,T_Insumos,3,FALSE),0)</f>
        <v>0</v>
      </c>
      <c r="E405" s="439">
        <f>D405*$G$323</f>
        <v>0</v>
      </c>
      <c r="F405" s="442">
        <f>IF(C405="",0,IFERROR(VLOOKUP(COUNTIF($A$1:A405,"ANALISIS DE PRECIOS"),T_Rendimiento_Equipo,5,FALSE),0))</f>
        <v>0</v>
      </c>
      <c r="G405" s="439">
        <f>IFERROR(ROUND(E405/F405,2),0)</f>
        <v>0</v>
      </c>
    </row>
    <row r="406" spans="1:7" ht="19.899999999999999" customHeight="1" x14ac:dyDescent="0.2">
      <c r="A406" s="482">
        <f t="shared" si="112"/>
        <v>0</v>
      </c>
      <c r="B406" s="445">
        <f t="shared" si="113"/>
        <v>0</v>
      </c>
      <c r="C406" s="436">
        <f t="shared" ref="C406:C408" si="115">+C106</f>
        <v>0</v>
      </c>
      <c r="D406" s="446">
        <f t="shared" si="114"/>
        <v>0</v>
      </c>
      <c r="E406" s="439">
        <f t="shared" ref="E406:E407" si="116">D406*$G$323</f>
        <v>0</v>
      </c>
      <c r="F406" s="442">
        <f>IF(C406="",0,IFERROR(VLOOKUP(COUNTIF($A$1:A406,"ANALISIS DE PRECIOS"),T_Rendimiento_Equipo,5,FALSE),0))</f>
        <v>0</v>
      </c>
      <c r="G406" s="439">
        <f t="shared" ref="G406:G413" si="117">IFERROR(ROUND(E406/F406,2),0)</f>
        <v>0</v>
      </c>
    </row>
    <row r="407" spans="1:7" ht="19.899999999999999" customHeight="1" x14ac:dyDescent="0.2">
      <c r="A407" s="482">
        <f t="shared" si="112"/>
        <v>0</v>
      </c>
      <c r="B407" s="445">
        <f t="shared" si="113"/>
        <v>0</v>
      </c>
      <c r="C407" s="436">
        <f t="shared" si="115"/>
        <v>0</v>
      </c>
      <c r="D407" s="446">
        <f t="shared" si="114"/>
        <v>0</v>
      </c>
      <c r="E407" s="439">
        <f t="shared" si="116"/>
        <v>0</v>
      </c>
      <c r="F407" s="442">
        <f>IF(C407="",0,IFERROR(VLOOKUP(COUNTIF($A$1:A407,"ANALISIS DE PRECIOS"),T_Rendimiento_Equipo,5,FALSE),0))</f>
        <v>0</v>
      </c>
      <c r="G407" s="439">
        <f t="shared" si="117"/>
        <v>0</v>
      </c>
    </row>
    <row r="408" spans="1:7" ht="19.899999999999999" customHeight="1" x14ac:dyDescent="0.2">
      <c r="A408" s="482">
        <f t="shared" si="112"/>
        <v>0</v>
      </c>
      <c r="B408" s="445">
        <f t="shared" si="113"/>
        <v>0</v>
      </c>
      <c r="C408" s="436">
        <f t="shared" si="115"/>
        <v>0</v>
      </c>
      <c r="D408" s="446">
        <f t="shared" si="114"/>
        <v>0</v>
      </c>
      <c r="E408" s="439">
        <f>D408*$E$323</f>
        <v>0</v>
      </c>
      <c r="F408" s="442">
        <f>IF(C408="",0,IFERROR(VLOOKUP(COUNTIF($A$1:A408,"ANALISIS DE PRECIOS"),T_Rendimiento_Equipo,5,FALSE),0))</f>
        <v>0</v>
      </c>
      <c r="G408" s="439">
        <f t="shared" si="117"/>
        <v>0</v>
      </c>
    </row>
    <row r="409" spans="1:7" ht="19.899999999999999" customHeight="1" x14ac:dyDescent="0.2">
      <c r="A409" s="482">
        <f t="shared" si="112"/>
        <v>0</v>
      </c>
      <c r="B409" s="445">
        <f t="shared" si="113"/>
        <v>0</v>
      </c>
      <c r="C409" s="447"/>
      <c r="D409" s="446">
        <f t="shared" si="114"/>
        <v>0</v>
      </c>
      <c r="E409" s="439"/>
      <c r="F409" s="442">
        <f>IF(C409="",0,IFERROR(VLOOKUP(COUNTIF($A$1:A409,"ANALISIS DE PRECIOS"),T_Rendimiento_Equipo,5,FALSE),0))</f>
        <v>0</v>
      </c>
      <c r="G409" s="439">
        <f t="shared" si="117"/>
        <v>0</v>
      </c>
    </row>
    <row r="410" spans="1:7" ht="19.899999999999999" customHeight="1" x14ac:dyDescent="0.2">
      <c r="A410" s="482">
        <f t="shared" si="112"/>
        <v>0</v>
      </c>
      <c r="B410" s="445">
        <f t="shared" si="113"/>
        <v>0</v>
      </c>
      <c r="C410" s="447"/>
      <c r="D410" s="446">
        <f t="shared" si="114"/>
        <v>0</v>
      </c>
      <c r="E410" s="439"/>
      <c r="F410" s="442">
        <f>IF(C410="",0,IFERROR(VLOOKUP(COUNTIF($A$1:A410,"ANALISIS DE PRECIOS"),T_Rendimiento_Equipo,5,FALSE),0))</f>
        <v>0</v>
      </c>
      <c r="G410" s="439">
        <f t="shared" si="117"/>
        <v>0</v>
      </c>
    </row>
    <row r="411" spans="1:7" ht="19.899999999999999" customHeight="1" x14ac:dyDescent="0.2">
      <c r="A411" s="482">
        <f t="shared" si="112"/>
        <v>0</v>
      </c>
      <c r="B411" s="445">
        <f t="shared" si="113"/>
        <v>0</v>
      </c>
      <c r="C411" s="447"/>
      <c r="D411" s="446">
        <f t="shared" si="114"/>
        <v>0</v>
      </c>
      <c r="E411" s="439"/>
      <c r="F411" s="442">
        <f>IF(C411="",0,IFERROR(VLOOKUP(COUNTIF($A$1:A411,"ANALISIS DE PRECIOS"),T_Rendimiento_Equipo,5,FALSE),0))</f>
        <v>0</v>
      </c>
      <c r="G411" s="439">
        <f t="shared" si="117"/>
        <v>0</v>
      </c>
    </row>
    <row r="412" spans="1:7" ht="19.899999999999999" customHeight="1" x14ac:dyDescent="0.2">
      <c r="A412" s="482">
        <f t="shared" si="112"/>
        <v>0</v>
      </c>
      <c r="B412" s="445">
        <f t="shared" si="113"/>
        <v>0</v>
      </c>
      <c r="C412" s="447"/>
      <c r="D412" s="446">
        <f t="shared" si="114"/>
        <v>0</v>
      </c>
      <c r="E412" s="439"/>
      <c r="F412" s="442">
        <f>IF(C412="",0,IFERROR(VLOOKUP(COUNTIF($A$1:A412,"ANALISIS DE PRECIOS"),T_Rendimiento_Equipo,5,FALSE),0))</f>
        <v>0</v>
      </c>
      <c r="G412" s="439">
        <f t="shared" si="117"/>
        <v>0</v>
      </c>
    </row>
    <row r="413" spans="1:7" ht="19.899999999999999" customHeight="1" x14ac:dyDescent="0.2">
      <c r="A413" s="482">
        <f t="shared" si="112"/>
        <v>0</v>
      </c>
      <c r="B413" s="445">
        <f t="shared" si="113"/>
        <v>0</v>
      </c>
      <c r="C413" s="436"/>
      <c r="D413" s="446">
        <f t="shared" si="114"/>
        <v>0</v>
      </c>
      <c r="E413" s="439"/>
      <c r="F413" s="442">
        <f>IF(C413="",0,IFERROR(VLOOKUP(COUNTIF($A$1:A413,"ANALISIS DE PRECIOS"),T_Rendimiento_Equipo,5,FALSE),0))</f>
        <v>0</v>
      </c>
      <c r="G413" s="439">
        <f t="shared" si="117"/>
        <v>0</v>
      </c>
    </row>
    <row r="414" spans="1:7" ht="19.899999999999999" customHeight="1" x14ac:dyDescent="0.2">
      <c r="A414" s="483"/>
      <c r="B414" s="426"/>
      <c r="C414" s="139"/>
      <c r="D414" s="426"/>
      <c r="E414" s="427"/>
      <c r="F414" s="448" t="s">
        <v>27</v>
      </c>
      <c r="G414" s="484">
        <f>SUBTOTAL(9,G405:G413)</f>
        <v>0</v>
      </c>
    </row>
    <row r="415" spans="1:7" ht="19.899999999999999" customHeight="1" x14ac:dyDescent="0.2">
      <c r="A415" s="480"/>
      <c r="B415" s="139"/>
      <c r="C415" s="422" t="s">
        <v>713</v>
      </c>
      <c r="D415" s="426"/>
      <c r="E415" s="427"/>
      <c r="F415" s="428"/>
      <c r="G415" s="481"/>
    </row>
    <row r="416" spans="1:7" ht="19.899999999999999" customHeight="1" x14ac:dyDescent="0.2">
      <c r="A416" s="720" t="s">
        <v>576</v>
      </c>
      <c r="B416" s="721"/>
      <c r="C416" s="722" t="s">
        <v>0</v>
      </c>
      <c r="D416" s="724" t="s">
        <v>24</v>
      </c>
      <c r="E416" s="724" t="s">
        <v>1964</v>
      </c>
      <c r="F416" s="726" t="s">
        <v>975</v>
      </c>
      <c r="G416" s="728" t="s">
        <v>26</v>
      </c>
    </row>
    <row r="417" spans="1:7" ht="19.899999999999999" customHeight="1" x14ac:dyDescent="0.2">
      <c r="A417" s="444" t="s">
        <v>577</v>
      </c>
      <c r="B417" s="444" t="s">
        <v>578</v>
      </c>
      <c r="C417" s="723"/>
      <c r="D417" s="725"/>
      <c r="E417" s="725"/>
      <c r="F417" s="727"/>
      <c r="G417" s="729"/>
    </row>
    <row r="418" spans="1:7" ht="19.899999999999999" customHeight="1" x14ac:dyDescent="0.2">
      <c r="A418" s="482">
        <f t="shared" ref="A418:A424" si="118">IFERROR(VLOOKUP(C418,T_Insumos,4,FALSE),0)</f>
        <v>0</v>
      </c>
      <c r="B418" s="445">
        <f t="shared" ref="B418:B424" si="119">IFERROR(VLOOKUP(C418,T_Insumos,5,FALSE),0)</f>
        <v>0</v>
      </c>
      <c r="C418" s="436">
        <f t="shared" ref="C418:C421" si="120">+C193</f>
        <v>0</v>
      </c>
      <c r="D418" s="442"/>
      <c r="E418" s="439">
        <f t="shared" ref="E418:E424" si="121">IFERROR(VLOOKUP(C418,T_Insumos,3,FALSE),0)</f>
        <v>0</v>
      </c>
      <c r="F418" s="442">
        <f>IF(C418="",0,IFERROR(VLOOKUP(COUNTIF($A$1:A418,"ANALISIS DE PRECIOS"),T_Rendimiento_Equipo,5,FALSE),0))</f>
        <v>0</v>
      </c>
      <c r="G418" s="439">
        <f>IFERROR(ROUND(D418*E418/F418,2),0)</f>
        <v>0</v>
      </c>
    </row>
    <row r="419" spans="1:7" ht="19.899999999999999" customHeight="1" x14ac:dyDescent="0.2">
      <c r="A419" s="482">
        <f t="shared" si="118"/>
        <v>0</v>
      </c>
      <c r="B419" s="445">
        <f t="shared" si="119"/>
        <v>0</v>
      </c>
      <c r="C419" s="436">
        <f t="shared" si="120"/>
        <v>0</v>
      </c>
      <c r="D419" s="442">
        <v>1</v>
      </c>
      <c r="E419" s="439">
        <f t="shared" si="121"/>
        <v>0</v>
      </c>
      <c r="F419" s="442">
        <f>IF(C419="",0,IFERROR(VLOOKUP(COUNTIF($A$1:A419,"ANALISIS DE PRECIOS"),T_Rendimiento_Equipo,5,FALSE),0))</f>
        <v>0</v>
      </c>
      <c r="G419" s="439">
        <f>IFERROR(ROUND(D419*E419/F419,2),0)</f>
        <v>0</v>
      </c>
    </row>
    <row r="420" spans="1:7" ht="19.899999999999999" customHeight="1" x14ac:dyDescent="0.2">
      <c r="A420" s="482">
        <f t="shared" si="118"/>
        <v>0</v>
      </c>
      <c r="B420" s="445">
        <f t="shared" si="119"/>
        <v>0</v>
      </c>
      <c r="C420" s="436">
        <f t="shared" si="120"/>
        <v>0</v>
      </c>
      <c r="D420" s="442"/>
      <c r="E420" s="439">
        <f t="shared" si="121"/>
        <v>0</v>
      </c>
      <c r="F420" s="442">
        <f>IF(C420="",0,IFERROR(VLOOKUP(COUNTIF($A$1:A420,"ANALISIS DE PRECIOS"),T_Rendimiento_Equipo,5,FALSE),0))</f>
        <v>0</v>
      </c>
      <c r="G420" s="439">
        <f t="shared" ref="G420:G424" si="122">IFERROR(ROUND(D420*E420/F420,2),0)</f>
        <v>0</v>
      </c>
    </row>
    <row r="421" spans="1:7" ht="19.899999999999999" customHeight="1" x14ac:dyDescent="0.2">
      <c r="A421" s="482">
        <f t="shared" si="118"/>
        <v>0</v>
      </c>
      <c r="B421" s="445">
        <f t="shared" si="119"/>
        <v>0</v>
      </c>
      <c r="C421" s="436">
        <f t="shared" si="120"/>
        <v>0</v>
      </c>
      <c r="D421" s="442">
        <v>2</v>
      </c>
      <c r="E421" s="439">
        <f t="shared" si="121"/>
        <v>0</v>
      </c>
      <c r="F421" s="442">
        <f>IF(C421="",0,IFERROR(VLOOKUP(COUNTIF($A$1:A421,"ANALISIS DE PRECIOS"),T_Rendimiento_Equipo,5,FALSE),0))</f>
        <v>0</v>
      </c>
      <c r="G421" s="439">
        <f t="shared" si="122"/>
        <v>0</v>
      </c>
    </row>
    <row r="422" spans="1:7" ht="19.899999999999999" customHeight="1" x14ac:dyDescent="0.2">
      <c r="A422" s="482">
        <f t="shared" si="118"/>
        <v>0</v>
      </c>
      <c r="B422" s="445">
        <f t="shared" si="119"/>
        <v>0</v>
      </c>
      <c r="C422" s="436"/>
      <c r="D422" s="442"/>
      <c r="E422" s="439">
        <f t="shared" si="121"/>
        <v>0</v>
      </c>
      <c r="F422" s="442">
        <f>IF(C422="",0,IFERROR(VLOOKUP(COUNTIF($A$1:A422,"ANALISIS DE PRECIOS"),T_Rendimiento_Equipo,5,FALSE),0))</f>
        <v>0</v>
      </c>
      <c r="G422" s="439">
        <f t="shared" si="122"/>
        <v>0</v>
      </c>
    </row>
    <row r="423" spans="1:7" ht="19.899999999999999" customHeight="1" x14ac:dyDescent="0.2">
      <c r="A423" s="482">
        <f t="shared" si="118"/>
        <v>0</v>
      </c>
      <c r="B423" s="445">
        <f t="shared" si="119"/>
        <v>0</v>
      </c>
      <c r="C423" s="436"/>
      <c r="D423" s="450"/>
      <c r="E423" s="439">
        <f t="shared" si="121"/>
        <v>0</v>
      </c>
      <c r="F423" s="442">
        <f>IF(C423="",0,IFERROR(VLOOKUP(COUNTIF($A$1:A423,"ANALISIS DE PRECIOS"),T_Rendimiento_Equipo,5,FALSE),0))</f>
        <v>0</v>
      </c>
      <c r="G423" s="439">
        <f t="shared" si="122"/>
        <v>0</v>
      </c>
    </row>
    <row r="424" spans="1:7" ht="19.899999999999999" customHeight="1" x14ac:dyDescent="0.2">
      <c r="A424" s="482">
        <f t="shared" si="118"/>
        <v>0</v>
      </c>
      <c r="B424" s="445">
        <f t="shared" si="119"/>
        <v>0</v>
      </c>
      <c r="C424" s="445"/>
      <c r="D424" s="451"/>
      <c r="E424" s="439">
        <f t="shared" si="121"/>
        <v>0</v>
      </c>
      <c r="F424" s="442">
        <f>IF(C424="",0,IFERROR(VLOOKUP(COUNTIF($A$1:A424,"ANALISIS DE PRECIOS"),T_Rendimiento_Equipo,5,FALSE),0))</f>
        <v>0</v>
      </c>
      <c r="G424" s="439">
        <f t="shared" si="122"/>
        <v>0</v>
      </c>
    </row>
    <row r="425" spans="1:7" ht="19.899999999999999" customHeight="1" x14ac:dyDescent="0.2">
      <c r="A425" s="483"/>
      <c r="B425" s="426"/>
      <c r="C425" s="139"/>
      <c r="D425" s="426"/>
      <c r="E425" s="427"/>
      <c r="F425" s="448" t="s">
        <v>28</v>
      </c>
      <c r="G425" s="485">
        <f>SUBTOTAL(9,G418:G424)</f>
        <v>0</v>
      </c>
    </row>
    <row r="426" spans="1:7" ht="19.899999999999999" customHeight="1" x14ac:dyDescent="0.2">
      <c r="A426" s="480"/>
      <c r="B426" s="139"/>
      <c r="C426" s="422" t="s">
        <v>982</v>
      </c>
      <c r="D426" s="426"/>
      <c r="E426" s="427"/>
      <c r="F426" s="428"/>
      <c r="G426" s="481"/>
    </row>
    <row r="427" spans="1:7" ht="19.899999999999999" customHeight="1" x14ac:dyDescent="0.2">
      <c r="A427" s="720" t="s">
        <v>576</v>
      </c>
      <c r="B427" s="721"/>
      <c r="C427" s="722" t="s">
        <v>0</v>
      </c>
      <c r="D427" s="722" t="s">
        <v>1725</v>
      </c>
      <c r="E427" s="724" t="s">
        <v>24</v>
      </c>
      <c r="F427" s="726" t="s">
        <v>25</v>
      </c>
      <c r="G427" s="728" t="s">
        <v>26</v>
      </c>
    </row>
    <row r="428" spans="1:7" ht="19.899999999999999" customHeight="1" x14ac:dyDescent="0.2">
      <c r="A428" s="444" t="s">
        <v>577</v>
      </c>
      <c r="B428" s="444" t="s">
        <v>578</v>
      </c>
      <c r="C428" s="723"/>
      <c r="D428" s="723"/>
      <c r="E428" s="725"/>
      <c r="F428" s="727"/>
      <c r="G428" s="729"/>
    </row>
    <row r="429" spans="1:7" ht="19.899999999999999" customHeight="1" x14ac:dyDescent="0.2">
      <c r="A429" s="482">
        <f t="shared" ref="A429:A439" si="123">IFERROR(VLOOKUP(C429,T_Insumos,4,FALSE),0)</f>
        <v>0</v>
      </c>
      <c r="B429" s="445">
        <f t="shared" ref="B429:B439" si="124">IFERROR(VLOOKUP(C429,T_Insumos,5,FALSE),0)</f>
        <v>0</v>
      </c>
      <c r="C429" s="436">
        <f t="shared" ref="C429:C439" si="125">+C204</f>
        <v>0</v>
      </c>
      <c r="D429" s="493">
        <f t="shared" ref="D429:D439" si="126">IFERROR(VLOOKUP(C429,T_Insumos,2,FALSE),0)</f>
        <v>0</v>
      </c>
      <c r="E429" s="437"/>
      <c r="F429" s="439">
        <f t="shared" ref="F429:F439" si="127">IFERROR(VLOOKUP(C429,T_Insumos,3,FALSE),0)</f>
        <v>0</v>
      </c>
      <c r="G429" s="439">
        <f>ROUND(E429*F429,2)</f>
        <v>0</v>
      </c>
    </row>
    <row r="430" spans="1:7" ht="19.899999999999999" customHeight="1" x14ac:dyDescent="0.2">
      <c r="A430" s="482">
        <f t="shared" si="123"/>
        <v>0</v>
      </c>
      <c r="B430" s="445">
        <f t="shared" si="124"/>
        <v>0</v>
      </c>
      <c r="C430" s="436">
        <f t="shared" si="125"/>
        <v>0</v>
      </c>
      <c r="D430" s="493">
        <f t="shared" si="126"/>
        <v>0</v>
      </c>
      <c r="E430" s="437"/>
      <c r="F430" s="439">
        <f t="shared" si="127"/>
        <v>0</v>
      </c>
      <c r="G430" s="439">
        <f t="shared" ref="G430:G439" si="128">ROUND(E430*F430,2)</f>
        <v>0</v>
      </c>
    </row>
    <row r="431" spans="1:7" ht="19.899999999999999" customHeight="1" x14ac:dyDescent="0.2">
      <c r="A431" s="482">
        <f t="shared" si="123"/>
        <v>0</v>
      </c>
      <c r="B431" s="445">
        <f t="shared" si="124"/>
        <v>0</v>
      </c>
      <c r="C431" s="436">
        <f t="shared" si="125"/>
        <v>0</v>
      </c>
      <c r="D431" s="493">
        <f t="shared" si="126"/>
        <v>0</v>
      </c>
      <c r="E431" s="437"/>
      <c r="F431" s="439">
        <f t="shared" si="127"/>
        <v>0</v>
      </c>
      <c r="G431" s="439">
        <f t="shared" si="128"/>
        <v>0</v>
      </c>
    </row>
    <row r="432" spans="1:7" ht="19.899999999999999" customHeight="1" x14ac:dyDescent="0.2">
      <c r="A432" s="482">
        <f t="shared" si="123"/>
        <v>0</v>
      </c>
      <c r="B432" s="445">
        <f t="shared" si="124"/>
        <v>0</v>
      </c>
      <c r="C432" s="436">
        <f t="shared" si="125"/>
        <v>0</v>
      </c>
      <c r="D432" s="493">
        <f t="shared" si="126"/>
        <v>0</v>
      </c>
      <c r="E432" s="437"/>
      <c r="F432" s="439">
        <f t="shared" si="127"/>
        <v>0</v>
      </c>
      <c r="G432" s="439">
        <f t="shared" si="128"/>
        <v>0</v>
      </c>
    </row>
    <row r="433" spans="1:7" ht="19.899999999999999" customHeight="1" x14ac:dyDescent="0.2">
      <c r="A433" s="482">
        <f t="shared" si="123"/>
        <v>0</v>
      </c>
      <c r="B433" s="445">
        <f t="shared" si="124"/>
        <v>0</v>
      </c>
      <c r="C433" s="436">
        <f t="shared" si="125"/>
        <v>0</v>
      </c>
      <c r="D433" s="493">
        <f t="shared" si="126"/>
        <v>0</v>
      </c>
      <c r="E433" s="437"/>
      <c r="F433" s="439">
        <f t="shared" si="127"/>
        <v>0</v>
      </c>
      <c r="G433" s="439">
        <f t="shared" si="128"/>
        <v>0</v>
      </c>
    </row>
    <row r="434" spans="1:7" ht="19.899999999999999" customHeight="1" x14ac:dyDescent="0.2">
      <c r="A434" s="482">
        <f t="shared" si="123"/>
        <v>0</v>
      </c>
      <c r="B434" s="445">
        <f t="shared" si="124"/>
        <v>0</v>
      </c>
      <c r="C434" s="436">
        <f t="shared" si="125"/>
        <v>0</v>
      </c>
      <c r="D434" s="493">
        <f t="shared" si="126"/>
        <v>0</v>
      </c>
      <c r="E434" s="437"/>
      <c r="F434" s="439">
        <f t="shared" si="127"/>
        <v>0</v>
      </c>
      <c r="G434" s="439">
        <f t="shared" si="128"/>
        <v>0</v>
      </c>
    </row>
    <row r="435" spans="1:7" ht="19.899999999999999" customHeight="1" x14ac:dyDescent="0.2">
      <c r="A435" s="482">
        <f t="shared" si="123"/>
        <v>0</v>
      </c>
      <c r="B435" s="445">
        <f t="shared" si="124"/>
        <v>0</v>
      </c>
      <c r="C435" s="436">
        <f t="shared" si="125"/>
        <v>0</v>
      </c>
      <c r="D435" s="493">
        <f t="shared" si="126"/>
        <v>0</v>
      </c>
      <c r="E435" s="437"/>
      <c r="F435" s="439">
        <f t="shared" si="127"/>
        <v>0</v>
      </c>
      <c r="G435" s="439">
        <f t="shared" si="128"/>
        <v>0</v>
      </c>
    </row>
    <row r="436" spans="1:7" ht="19.899999999999999" customHeight="1" x14ac:dyDescent="0.2">
      <c r="A436" s="482">
        <f t="shared" si="123"/>
        <v>0</v>
      </c>
      <c r="B436" s="445">
        <f t="shared" si="124"/>
        <v>0</v>
      </c>
      <c r="C436" s="436">
        <f t="shared" si="125"/>
        <v>0</v>
      </c>
      <c r="D436" s="493">
        <f t="shared" si="126"/>
        <v>0</v>
      </c>
      <c r="E436" s="437"/>
      <c r="F436" s="439">
        <f t="shared" si="127"/>
        <v>0</v>
      </c>
      <c r="G436" s="439">
        <f t="shared" si="128"/>
        <v>0</v>
      </c>
    </row>
    <row r="437" spans="1:7" ht="19.899999999999999" customHeight="1" x14ac:dyDescent="0.2">
      <c r="A437" s="482">
        <f t="shared" si="123"/>
        <v>0</v>
      </c>
      <c r="B437" s="445">
        <f t="shared" si="124"/>
        <v>0</v>
      </c>
      <c r="C437" s="436">
        <f t="shared" si="125"/>
        <v>0</v>
      </c>
      <c r="D437" s="493">
        <f t="shared" si="126"/>
        <v>0</v>
      </c>
      <c r="E437" s="437"/>
      <c r="F437" s="439">
        <f t="shared" si="127"/>
        <v>0</v>
      </c>
      <c r="G437" s="439">
        <f t="shared" si="128"/>
        <v>0</v>
      </c>
    </row>
    <row r="438" spans="1:7" ht="19.899999999999999" customHeight="1" x14ac:dyDescent="0.2">
      <c r="A438" s="482">
        <f t="shared" si="123"/>
        <v>0</v>
      </c>
      <c r="B438" s="445">
        <f t="shared" si="124"/>
        <v>0</v>
      </c>
      <c r="C438" s="436">
        <f t="shared" si="125"/>
        <v>0</v>
      </c>
      <c r="D438" s="493">
        <f t="shared" si="126"/>
        <v>0</v>
      </c>
      <c r="E438" s="437"/>
      <c r="F438" s="439">
        <f t="shared" si="127"/>
        <v>0</v>
      </c>
      <c r="G438" s="439">
        <f t="shared" si="128"/>
        <v>0</v>
      </c>
    </row>
    <row r="439" spans="1:7" ht="19.899999999999999" customHeight="1" x14ac:dyDescent="0.2">
      <c r="A439" s="482">
        <f t="shared" si="123"/>
        <v>0</v>
      </c>
      <c r="B439" s="445">
        <f t="shared" si="124"/>
        <v>0</v>
      </c>
      <c r="C439" s="436">
        <f t="shared" si="125"/>
        <v>0</v>
      </c>
      <c r="D439" s="493">
        <f t="shared" si="126"/>
        <v>0</v>
      </c>
      <c r="E439" s="437"/>
      <c r="F439" s="439">
        <f t="shared" si="127"/>
        <v>0</v>
      </c>
      <c r="G439" s="439">
        <f t="shared" si="128"/>
        <v>0</v>
      </c>
    </row>
    <row r="440" spans="1:7" ht="19.899999999999999" customHeight="1" x14ac:dyDescent="0.2">
      <c r="A440" s="480"/>
      <c r="B440" s="139"/>
      <c r="C440" s="139"/>
      <c r="D440" s="426"/>
      <c r="E440" s="427"/>
      <c r="F440" s="448" t="s">
        <v>29</v>
      </c>
      <c r="G440" s="485">
        <f>SUBTOTAL(9,G429:G439)</f>
        <v>0</v>
      </c>
    </row>
    <row r="441" spans="1:7" ht="19.899999999999999" customHeight="1" x14ac:dyDescent="0.2">
      <c r="A441" s="480"/>
      <c r="B441" s="139"/>
      <c r="C441" s="422" t="s">
        <v>983</v>
      </c>
      <c r="D441" s="426"/>
      <c r="E441" s="427"/>
      <c r="F441" s="428"/>
      <c r="G441" s="481"/>
    </row>
    <row r="442" spans="1:7" ht="19.899999999999999" customHeight="1" x14ac:dyDescent="0.2">
      <c r="A442" s="720" t="s">
        <v>576</v>
      </c>
      <c r="B442" s="721"/>
      <c r="C442" s="722" t="s">
        <v>0</v>
      </c>
      <c r="D442" s="722" t="s">
        <v>1725</v>
      </c>
      <c r="E442" s="724" t="s">
        <v>24</v>
      </c>
      <c r="F442" s="726" t="s">
        <v>25</v>
      </c>
      <c r="G442" s="728" t="s">
        <v>26</v>
      </c>
    </row>
    <row r="443" spans="1:7" ht="19.899999999999999" customHeight="1" x14ac:dyDescent="0.2">
      <c r="A443" s="444" t="s">
        <v>577</v>
      </c>
      <c r="B443" s="444" t="s">
        <v>578</v>
      </c>
      <c r="C443" s="723"/>
      <c r="D443" s="723"/>
      <c r="E443" s="725"/>
      <c r="F443" s="727"/>
      <c r="G443" s="729"/>
    </row>
    <row r="444" spans="1:7" ht="19.899999999999999" customHeight="1" x14ac:dyDescent="0.2">
      <c r="A444" s="482">
        <f>IFERROR(VLOOKUP(C444,T_Insumos,4,FALSE),0)</f>
        <v>0</v>
      </c>
      <c r="B444" s="445">
        <f>IFERROR(VLOOKUP(C444,T_Insumos,5,FALSE),0)</f>
        <v>0</v>
      </c>
      <c r="C444" s="436"/>
      <c r="D444" s="493">
        <f>IF(C444=0,0,"$/tnkm")</f>
        <v>0</v>
      </c>
      <c r="E444" s="437"/>
      <c r="F444" s="439">
        <f>IFERROR(VLOOKUP(C444,T_Insumos,3,FALSE),0)</f>
        <v>0</v>
      </c>
      <c r="G444" s="439">
        <f>ROUND(E444*F444,2)</f>
        <v>0</v>
      </c>
    </row>
    <row r="445" spans="1:7" ht="19.899999999999999" customHeight="1" x14ac:dyDescent="0.2">
      <c r="A445" s="482">
        <f>IFERROR(VLOOKUP(C445,T_Insumos,4,FALSE),0)</f>
        <v>0</v>
      </c>
      <c r="B445" s="445">
        <f>IFERROR(VLOOKUP(C445,T_Insumos,5,FALSE),0)</f>
        <v>0</v>
      </c>
      <c r="C445" s="436"/>
      <c r="D445" s="493">
        <f>IF(C445=0,0,"$/tnkm")</f>
        <v>0</v>
      </c>
      <c r="E445" s="453"/>
      <c r="F445" s="439">
        <f>IFERROR(VLOOKUP(C445,T_Insumos,3,FALSE),0)</f>
        <v>0</v>
      </c>
      <c r="G445" s="439">
        <f t="shared" ref="G445" si="129">ROUND(E445*F445,2)</f>
        <v>0</v>
      </c>
    </row>
    <row r="446" spans="1:7" ht="19.899999999999999" customHeight="1" x14ac:dyDescent="0.2">
      <c r="A446" s="480"/>
      <c r="B446" s="139"/>
      <c r="C446" s="139"/>
      <c r="D446" s="426"/>
      <c r="E446" s="427"/>
      <c r="F446" s="448" t="s">
        <v>984</v>
      </c>
      <c r="G446" s="485">
        <f>SUBTOTAL(9,G444:G445)</f>
        <v>0</v>
      </c>
    </row>
    <row r="447" spans="1:7" ht="19.899999999999999" customHeight="1" x14ac:dyDescent="0.2">
      <c r="A447" s="483"/>
      <c r="B447" s="426"/>
      <c r="C447" s="139"/>
      <c r="D447" s="426"/>
      <c r="E447" s="427"/>
      <c r="F447" s="428"/>
      <c r="G447" s="481"/>
    </row>
    <row r="448" spans="1:7" ht="19.899999999999999" customHeight="1" x14ac:dyDescent="0.2">
      <c r="A448" s="541" t="str">
        <f>B382</f>
        <v>2.5</v>
      </c>
      <c r="B448" s="538" t="str">
        <f ca="1">C382</f>
        <v>Relleno y Compactación con Cama de Asiento</v>
      </c>
      <c r="C448" s="426"/>
      <c r="D448" s="426" t="s">
        <v>1704</v>
      </c>
      <c r="E448" s="539"/>
      <c r="F448" s="540" t="str">
        <f ca="1">"$/"&amp;G382</f>
        <v>$/M3</v>
      </c>
      <c r="G448" s="490">
        <f>SUBTOTAL(9,G405:G447)</f>
        <v>0</v>
      </c>
    </row>
    <row r="449" spans="1:7" ht="19.899999999999999" customHeight="1" x14ac:dyDescent="0.2">
      <c r="A449" s="486"/>
      <c r="B449" s="487"/>
      <c r="C449" s="488"/>
      <c r="D449" s="488" t="s">
        <v>1900</v>
      </c>
      <c r="E449" s="489"/>
      <c r="F449" s="542" t="str">
        <f ca="1">"$/"&amp;G382</f>
        <v>$/M3</v>
      </c>
      <c r="G449" s="490">
        <f>ROUND(G448*Coeficiente_Paso,2)</f>
        <v>0</v>
      </c>
    </row>
    <row r="450" spans="1:7" ht="19.899999999999999" customHeight="1" x14ac:dyDescent="0.2">
      <c r="A450" s="139"/>
      <c r="B450" s="139"/>
      <c r="C450" s="139"/>
      <c r="D450" s="139"/>
      <c r="E450" s="139"/>
      <c r="F450" s="139"/>
      <c r="G450" s="139"/>
    </row>
    <row r="451" spans="1:7" ht="19.899999999999999" customHeight="1" x14ac:dyDescent="0.2">
      <c r="A451" s="730" t="s">
        <v>31</v>
      </c>
      <c r="B451" s="731"/>
      <c r="C451" s="731"/>
      <c r="D451" s="731"/>
      <c r="E451" s="731"/>
      <c r="F451" s="731"/>
      <c r="G451" s="732"/>
    </row>
    <row r="452" spans="1:7" ht="19.899999999999999" customHeight="1" x14ac:dyDescent="0.2">
      <c r="A452" s="469" t="s">
        <v>711</v>
      </c>
      <c r="B452" s="420" t="str">
        <f>Comitente</f>
        <v>DEPARTAMENTO DE HIDRAULICA</v>
      </c>
      <c r="C452" s="421"/>
      <c r="D452" s="422"/>
      <c r="E452" s="422"/>
      <c r="F452" s="423"/>
      <c r="G452" s="470"/>
    </row>
    <row r="453" spans="1:7" ht="19.899999999999999" customHeight="1" x14ac:dyDescent="0.2">
      <c r="A453" s="469" t="s">
        <v>712</v>
      </c>
      <c r="B453" s="420">
        <f>Contratista</f>
        <v>0</v>
      </c>
      <c r="C453" s="424"/>
      <c r="D453" s="424"/>
      <c r="E453" s="424"/>
      <c r="F453" s="420"/>
      <c r="G453" s="471"/>
    </row>
    <row r="454" spans="1:7" ht="19.899999999999999" customHeight="1" x14ac:dyDescent="0.2">
      <c r="A454" s="469" t="s">
        <v>21</v>
      </c>
      <c r="B454" s="420" t="str">
        <f>Obra</f>
        <v>Encamisado Parcial del Canal de Calle América</v>
      </c>
      <c r="C454" s="424"/>
      <c r="D454" s="424"/>
      <c r="E454" s="424"/>
      <c r="F454" s="420" t="s">
        <v>32</v>
      </c>
      <c r="G454" s="471" t="str">
        <f>Fecha_Base</f>
        <v>X/X/2023</v>
      </c>
    </row>
    <row r="455" spans="1:7" ht="19.899999999999999" customHeight="1" x14ac:dyDescent="0.2">
      <c r="A455" s="472" t="s">
        <v>710</v>
      </c>
      <c r="B455" s="425" t="str">
        <f>Ubicación</f>
        <v>Departamento Rawson</v>
      </c>
      <c r="C455" s="425"/>
      <c r="D455" s="426"/>
      <c r="E455" s="427"/>
      <c r="F455" s="428"/>
      <c r="G455" s="473"/>
    </row>
    <row r="456" spans="1:7" ht="19.899999999999999" customHeight="1" x14ac:dyDescent="0.2">
      <c r="A456" s="472" t="s">
        <v>33</v>
      </c>
      <c r="B456" s="429">
        <f>IFERROR(VALUE(LEFT(B457,FIND(".",B457)-1)),"")</f>
        <v>2</v>
      </c>
      <c r="C456" s="139" t="str">
        <f ca="1">IFERROR(VLOOKUP(B456,T_Computo_Presupuesto,2,FALSE),0)</f>
        <v>CANAL AMÉRICA</v>
      </c>
      <c r="D456" s="139"/>
      <c r="E456" s="427"/>
      <c r="F456" s="428"/>
      <c r="G456" s="473"/>
    </row>
    <row r="457" spans="1:7" ht="19.899999999999999" customHeight="1" x14ac:dyDescent="0.2">
      <c r="A457" s="472" t="s">
        <v>22</v>
      </c>
      <c r="B457" s="430" t="str">
        <f>IFERROR(VLOOKUP(COUNTIF($A$1:A457,"ANALISIS DE PRECIOS"),T_NumeroItem,2,FALSE),"")</f>
        <v>2.6</v>
      </c>
      <c r="C457" s="733" t="str">
        <f ca="1">IFERROR(VLOOKUP(B457,T_Computo_Presupuesto,2,FALSE),0)</f>
        <v>Excavación Caja del Canal</v>
      </c>
      <c r="D457" s="733"/>
      <c r="E457" s="733"/>
      <c r="F457" s="425" t="s">
        <v>23</v>
      </c>
      <c r="G457" s="474" t="str">
        <f ca="1">IFERROR(VLOOKUP(B457,T_Computo_Presupuesto,4,FALSE),0)</f>
        <v>M3</v>
      </c>
    </row>
    <row r="458" spans="1:7" ht="19.899999999999999" customHeight="1" x14ac:dyDescent="0.2">
      <c r="A458" s="472"/>
      <c r="B458" s="425"/>
      <c r="C458" s="139"/>
      <c r="D458" s="426"/>
      <c r="E458" s="427"/>
      <c r="F458" s="139"/>
      <c r="G458" s="475"/>
    </row>
    <row r="459" spans="1:7" ht="19.899999999999999" customHeight="1" x14ac:dyDescent="0.2">
      <c r="A459" s="476"/>
      <c r="B459" s="431"/>
      <c r="C459" s="432" t="s">
        <v>967</v>
      </c>
      <c r="D459" s="431"/>
      <c r="E459" s="431"/>
      <c r="F459" s="431"/>
      <c r="G459" s="477"/>
    </row>
    <row r="460" spans="1:7" ht="19.899999999999999" customHeight="1" x14ac:dyDescent="0.2">
      <c r="A460" s="472"/>
      <c r="B460" s="433"/>
      <c r="C460" s="139"/>
      <c r="D460" s="426"/>
      <c r="E460" s="427"/>
      <c r="F460" s="425"/>
      <c r="G460" s="474"/>
    </row>
    <row r="461" spans="1:7" ht="19.899999999999999" customHeight="1" x14ac:dyDescent="0.2">
      <c r="A461" s="472"/>
      <c r="B461" s="433"/>
      <c r="C461" s="434" t="s">
        <v>968</v>
      </c>
      <c r="D461" s="435" t="s">
        <v>24</v>
      </c>
      <c r="E461" s="435" t="s">
        <v>969</v>
      </c>
      <c r="F461" s="435" t="s">
        <v>970</v>
      </c>
      <c r="G461" s="434" t="s">
        <v>971</v>
      </c>
    </row>
    <row r="462" spans="1:7" ht="19.899999999999999" customHeight="1" x14ac:dyDescent="0.2">
      <c r="A462" s="472"/>
      <c r="B462" s="433"/>
      <c r="C462" s="436">
        <f>+C237</f>
        <v>0</v>
      </c>
      <c r="D462" s="436">
        <f>+D237</f>
        <v>0</v>
      </c>
      <c r="E462" s="438">
        <f t="shared" ref="E462:E471" si="130">IFERROR(VLOOKUP(C462,T_Equipos,4,FALSE),0)</f>
        <v>0</v>
      </c>
      <c r="F462" s="439">
        <f t="shared" ref="F462:F471" si="131">IFERROR(VLOOKUP(C462,T_Equipos,5,FALSE),0)</f>
        <v>0</v>
      </c>
      <c r="G462" s="439">
        <f>ROUND(D462*F462,2)</f>
        <v>0</v>
      </c>
    </row>
    <row r="463" spans="1:7" ht="19.899999999999999" customHeight="1" x14ac:dyDescent="0.2">
      <c r="A463" s="472"/>
      <c r="B463" s="433"/>
      <c r="C463" s="436">
        <f t="shared" ref="C463:D467" si="132">+C238</f>
        <v>0</v>
      </c>
      <c r="D463" s="436">
        <f t="shared" si="132"/>
        <v>0</v>
      </c>
      <c r="E463" s="438">
        <f t="shared" si="130"/>
        <v>0</v>
      </c>
      <c r="F463" s="439">
        <f t="shared" si="131"/>
        <v>0</v>
      </c>
      <c r="G463" s="439">
        <f>ROUND(D463*F463,2)</f>
        <v>0</v>
      </c>
    </row>
    <row r="464" spans="1:7" ht="19.899999999999999" customHeight="1" x14ac:dyDescent="0.2">
      <c r="A464" s="472"/>
      <c r="B464" s="433"/>
      <c r="C464" s="436">
        <f t="shared" si="132"/>
        <v>0</v>
      </c>
      <c r="D464" s="436"/>
      <c r="E464" s="438">
        <f t="shared" si="130"/>
        <v>0</v>
      </c>
      <c r="F464" s="439">
        <f t="shared" si="131"/>
        <v>0</v>
      </c>
      <c r="G464" s="439">
        <f>ROUND(D464*F464,2)</f>
        <v>0</v>
      </c>
    </row>
    <row r="465" spans="1:7" ht="19.899999999999999" customHeight="1" x14ac:dyDescent="0.2">
      <c r="A465" s="472"/>
      <c r="B465" s="433"/>
      <c r="C465" s="436">
        <f t="shared" si="132"/>
        <v>0</v>
      </c>
      <c r="D465" s="436"/>
      <c r="E465" s="438">
        <f t="shared" si="130"/>
        <v>0</v>
      </c>
      <c r="F465" s="439">
        <f t="shared" si="131"/>
        <v>0</v>
      </c>
      <c r="G465" s="439">
        <f>ROUND(D465*F465,2)</f>
        <v>0</v>
      </c>
    </row>
    <row r="466" spans="1:7" ht="19.899999999999999" customHeight="1" x14ac:dyDescent="0.2">
      <c r="A466" s="472"/>
      <c r="B466" s="433"/>
      <c r="C466" s="436">
        <f t="shared" si="132"/>
        <v>0</v>
      </c>
      <c r="D466" s="436"/>
      <c r="E466" s="438">
        <f t="shared" si="130"/>
        <v>0</v>
      </c>
      <c r="F466" s="439">
        <f t="shared" si="131"/>
        <v>0</v>
      </c>
      <c r="G466" s="439">
        <f t="shared" ref="G466:G471" si="133">ROUND(D466*F466,2)</f>
        <v>0</v>
      </c>
    </row>
    <row r="467" spans="1:7" ht="19.899999999999999" customHeight="1" x14ac:dyDescent="0.2">
      <c r="A467" s="472"/>
      <c r="B467" s="433"/>
      <c r="C467" s="436">
        <f t="shared" si="132"/>
        <v>0</v>
      </c>
      <c r="D467" s="436"/>
      <c r="E467" s="438">
        <f t="shared" si="130"/>
        <v>0</v>
      </c>
      <c r="F467" s="439">
        <f t="shared" si="131"/>
        <v>0</v>
      </c>
      <c r="G467" s="439">
        <f t="shared" si="133"/>
        <v>0</v>
      </c>
    </row>
    <row r="468" spans="1:7" ht="19.899999999999999" customHeight="1" x14ac:dyDescent="0.2">
      <c r="A468" s="472"/>
      <c r="B468" s="433"/>
      <c r="C468" s="436">
        <f t="shared" ref="C468:D468" si="134">+C243</f>
        <v>0</v>
      </c>
      <c r="D468" s="436">
        <f t="shared" si="134"/>
        <v>0</v>
      </c>
      <c r="E468" s="438">
        <f t="shared" si="130"/>
        <v>0</v>
      </c>
      <c r="F468" s="439">
        <f t="shared" si="131"/>
        <v>0</v>
      </c>
      <c r="G468" s="439">
        <f t="shared" si="133"/>
        <v>0</v>
      </c>
    </row>
    <row r="469" spans="1:7" ht="19.899999999999999" customHeight="1" x14ac:dyDescent="0.2">
      <c r="A469" s="472"/>
      <c r="B469" s="433"/>
      <c r="C469" s="436">
        <f t="shared" ref="C469:D469" si="135">+C244</f>
        <v>0</v>
      </c>
      <c r="D469" s="436">
        <f t="shared" si="135"/>
        <v>0</v>
      </c>
      <c r="E469" s="438">
        <f t="shared" si="130"/>
        <v>0</v>
      </c>
      <c r="F469" s="439">
        <f t="shared" si="131"/>
        <v>0</v>
      </c>
      <c r="G469" s="439">
        <f t="shared" si="133"/>
        <v>0</v>
      </c>
    </row>
    <row r="470" spans="1:7" ht="19.899999999999999" customHeight="1" x14ac:dyDescent="0.2">
      <c r="A470" s="472"/>
      <c r="B470" s="433"/>
      <c r="C470" s="436"/>
      <c r="D470" s="437"/>
      <c r="E470" s="438">
        <f t="shared" si="130"/>
        <v>0</v>
      </c>
      <c r="F470" s="439">
        <f t="shared" si="131"/>
        <v>0</v>
      </c>
      <c r="G470" s="439">
        <f t="shared" si="133"/>
        <v>0</v>
      </c>
    </row>
    <row r="471" spans="1:7" ht="19.899999999999999" customHeight="1" x14ac:dyDescent="0.2">
      <c r="A471" s="472"/>
      <c r="B471" s="433"/>
      <c r="C471" s="436"/>
      <c r="D471" s="437"/>
      <c r="E471" s="438">
        <f t="shared" si="130"/>
        <v>0</v>
      </c>
      <c r="F471" s="439">
        <f t="shared" si="131"/>
        <v>0</v>
      </c>
      <c r="G471" s="439">
        <f t="shared" si="133"/>
        <v>0</v>
      </c>
    </row>
    <row r="472" spans="1:7" ht="19.899999999999999" customHeight="1" x14ac:dyDescent="0.2">
      <c r="A472" s="472"/>
      <c r="B472" s="433"/>
      <c r="C472" s="139"/>
      <c r="D472" s="139"/>
      <c r="E472" s="440"/>
      <c r="F472" s="425"/>
      <c r="G472" s="474"/>
    </row>
    <row r="473" spans="1:7" ht="19.899999999999999" customHeight="1" x14ac:dyDescent="0.2">
      <c r="A473" s="472"/>
      <c r="B473" s="139"/>
      <c r="C473" s="422" t="s">
        <v>972</v>
      </c>
      <c r="D473" s="425" t="s">
        <v>969</v>
      </c>
      <c r="E473" s="491">
        <f>SUMPRODUCT(D462:D471,E462:E471)</f>
        <v>0</v>
      </c>
      <c r="F473" s="425" t="s">
        <v>973</v>
      </c>
      <c r="G473" s="492">
        <f>SUM(G462:G471)</f>
        <v>0</v>
      </c>
    </row>
    <row r="474" spans="1:7" ht="19.899999999999999" customHeight="1" x14ac:dyDescent="0.2">
      <c r="A474" s="472"/>
      <c r="B474" s="433"/>
      <c r="C474" s="441"/>
      <c r="D474" s="440"/>
      <c r="E474" s="427"/>
      <c r="F474" s="425"/>
      <c r="G474" s="478"/>
    </row>
    <row r="475" spans="1:7" ht="19.899999999999999" customHeight="1" x14ac:dyDescent="0.2">
      <c r="A475" s="479"/>
      <c r="B475" s="433"/>
      <c r="C475" s="425" t="s">
        <v>974</v>
      </c>
      <c r="D475" s="442">
        <f>IFERROR(VLOOKUP(COUNTIF($A$1:A475,"ANALISIS DE PRECIOS"),T_Rendimiento_Equipo,5,FALSE),0)</f>
        <v>0</v>
      </c>
      <c r="E475" s="443" t="str">
        <f ca="1">G457&amp;"/día"</f>
        <v>M3/día</v>
      </c>
      <c r="F475" s="419"/>
      <c r="G475" s="474"/>
    </row>
    <row r="476" spans="1:7" ht="19.899999999999999" customHeight="1" x14ac:dyDescent="0.2">
      <c r="A476" s="472"/>
      <c r="B476" s="433"/>
      <c r="C476" s="139"/>
      <c r="D476" s="426"/>
      <c r="E476" s="427"/>
      <c r="F476" s="425"/>
      <c r="G476" s="474"/>
    </row>
    <row r="477" spans="1:7" ht="19.899999999999999" customHeight="1" x14ac:dyDescent="0.2">
      <c r="A477" s="720" t="s">
        <v>576</v>
      </c>
      <c r="B477" s="721"/>
      <c r="C477" s="722" t="s">
        <v>0</v>
      </c>
      <c r="D477" s="734" t="s">
        <v>1724</v>
      </c>
      <c r="E477" s="734" t="s">
        <v>1723</v>
      </c>
      <c r="F477" s="726" t="s">
        <v>975</v>
      </c>
      <c r="G477" s="728" t="s">
        <v>26</v>
      </c>
    </row>
    <row r="478" spans="1:7" ht="19.899999999999999" customHeight="1" x14ac:dyDescent="0.2">
      <c r="A478" s="444" t="s">
        <v>577</v>
      </c>
      <c r="B478" s="444" t="s">
        <v>578</v>
      </c>
      <c r="C478" s="723"/>
      <c r="D478" s="735"/>
      <c r="E478" s="725"/>
      <c r="F478" s="727"/>
      <c r="G478" s="729"/>
    </row>
    <row r="479" spans="1:7" ht="19.899999999999999" customHeight="1" x14ac:dyDescent="0.2">
      <c r="A479" s="480"/>
      <c r="B479" s="139"/>
      <c r="C479" s="422" t="s">
        <v>976</v>
      </c>
      <c r="D479" s="427"/>
      <c r="E479" s="427"/>
      <c r="F479" s="139"/>
      <c r="G479" s="481"/>
    </row>
    <row r="480" spans="1:7" ht="19.899999999999999" customHeight="1" x14ac:dyDescent="0.2">
      <c r="A480" s="482">
        <f t="shared" ref="A480:A488" si="136">IFERROR(VLOOKUP(C480,T_Insumos,4,FALSE),0)</f>
        <v>0</v>
      </c>
      <c r="B480" s="445">
        <f t="shared" ref="B480:B488" si="137">IFERROR(VLOOKUP(C480,T_Insumos,5,FALSE),0)</f>
        <v>0</v>
      </c>
      <c r="C480" s="436">
        <f>+C180</f>
        <v>0</v>
      </c>
      <c r="D480" s="446">
        <f t="shared" ref="D480:D488" si="138">IFERROR(VLOOKUP(C480,T_Insumos,3,FALSE),0)</f>
        <v>0</v>
      </c>
      <c r="E480" s="439">
        <f>D480*$G$323</f>
        <v>0</v>
      </c>
      <c r="F480" s="442">
        <f>IF(C480="",0,IFERROR(VLOOKUP(COUNTIF($A$1:A480,"ANALISIS DE PRECIOS"),T_Rendimiento_Equipo,5,FALSE),0))</f>
        <v>0</v>
      </c>
      <c r="G480" s="439">
        <f>IFERROR(ROUND(E480/F480,2),0)</f>
        <v>0</v>
      </c>
    </row>
    <row r="481" spans="1:7" ht="19.899999999999999" customHeight="1" x14ac:dyDescent="0.2">
      <c r="A481" s="482">
        <f t="shared" si="136"/>
        <v>0</v>
      </c>
      <c r="B481" s="445">
        <f t="shared" si="137"/>
        <v>0</v>
      </c>
      <c r="C481" s="436">
        <f t="shared" ref="C481:C483" si="139">+C181</f>
        <v>0</v>
      </c>
      <c r="D481" s="446">
        <f t="shared" si="138"/>
        <v>0</v>
      </c>
      <c r="E481" s="439">
        <f t="shared" ref="E481:E482" si="140">D481*$G$323</f>
        <v>0</v>
      </c>
      <c r="F481" s="442">
        <f>IF(C481="",0,IFERROR(VLOOKUP(COUNTIF($A$1:A481,"ANALISIS DE PRECIOS"),T_Rendimiento_Equipo,5,FALSE),0))</f>
        <v>0</v>
      </c>
      <c r="G481" s="439">
        <f t="shared" ref="G481:G488" si="141">IFERROR(ROUND(E481/F481,2),0)</f>
        <v>0</v>
      </c>
    </row>
    <row r="482" spans="1:7" ht="19.899999999999999" customHeight="1" x14ac:dyDescent="0.2">
      <c r="A482" s="482">
        <f t="shared" si="136"/>
        <v>0</v>
      </c>
      <c r="B482" s="445">
        <f t="shared" si="137"/>
        <v>0</v>
      </c>
      <c r="C482" s="436">
        <f t="shared" si="139"/>
        <v>0</v>
      </c>
      <c r="D482" s="446">
        <f t="shared" si="138"/>
        <v>0</v>
      </c>
      <c r="E482" s="439">
        <f t="shared" si="140"/>
        <v>0</v>
      </c>
      <c r="F482" s="442">
        <f>IF(C482="",0,IFERROR(VLOOKUP(COUNTIF($A$1:A482,"ANALISIS DE PRECIOS"),T_Rendimiento_Equipo,5,FALSE),0))</f>
        <v>0</v>
      </c>
      <c r="G482" s="439">
        <f t="shared" si="141"/>
        <v>0</v>
      </c>
    </row>
    <row r="483" spans="1:7" ht="19.899999999999999" customHeight="1" x14ac:dyDescent="0.2">
      <c r="A483" s="482">
        <f t="shared" si="136"/>
        <v>0</v>
      </c>
      <c r="B483" s="445">
        <f t="shared" si="137"/>
        <v>0</v>
      </c>
      <c r="C483" s="436">
        <f t="shared" si="139"/>
        <v>0</v>
      </c>
      <c r="D483" s="446">
        <f t="shared" si="138"/>
        <v>0</v>
      </c>
      <c r="E483" s="439">
        <f>D483*$E$323</f>
        <v>0</v>
      </c>
      <c r="F483" s="442">
        <f>IF(C483="",0,IFERROR(VLOOKUP(COUNTIF($A$1:A483,"ANALISIS DE PRECIOS"),T_Rendimiento_Equipo,5,FALSE),0))</f>
        <v>0</v>
      </c>
      <c r="G483" s="439">
        <f t="shared" si="141"/>
        <v>0</v>
      </c>
    </row>
    <row r="484" spans="1:7" ht="19.899999999999999" customHeight="1" x14ac:dyDescent="0.2">
      <c r="A484" s="482">
        <f t="shared" si="136"/>
        <v>0</v>
      </c>
      <c r="B484" s="445">
        <f t="shared" si="137"/>
        <v>0</v>
      </c>
      <c r="C484" s="447"/>
      <c r="D484" s="446">
        <f t="shared" si="138"/>
        <v>0</v>
      </c>
      <c r="E484" s="439"/>
      <c r="F484" s="442">
        <f>IF(C484="",0,IFERROR(VLOOKUP(COUNTIF($A$1:A484,"ANALISIS DE PRECIOS"),T_Rendimiento_Equipo,5,FALSE),0))</f>
        <v>0</v>
      </c>
      <c r="G484" s="439">
        <f t="shared" si="141"/>
        <v>0</v>
      </c>
    </row>
    <row r="485" spans="1:7" ht="19.899999999999999" customHeight="1" x14ac:dyDescent="0.2">
      <c r="A485" s="482">
        <f t="shared" si="136"/>
        <v>0</v>
      </c>
      <c r="B485" s="445">
        <f t="shared" si="137"/>
        <v>0</v>
      </c>
      <c r="C485" s="447"/>
      <c r="D485" s="446">
        <f t="shared" si="138"/>
        <v>0</v>
      </c>
      <c r="E485" s="439"/>
      <c r="F485" s="442">
        <f>IF(C485="",0,IFERROR(VLOOKUP(COUNTIF($A$1:A485,"ANALISIS DE PRECIOS"),T_Rendimiento_Equipo,5,FALSE),0))</f>
        <v>0</v>
      </c>
      <c r="G485" s="439">
        <f t="shared" si="141"/>
        <v>0</v>
      </c>
    </row>
    <row r="486" spans="1:7" ht="19.899999999999999" customHeight="1" x14ac:dyDescent="0.2">
      <c r="A486" s="482">
        <f t="shared" si="136"/>
        <v>0</v>
      </c>
      <c r="B486" s="445">
        <f t="shared" si="137"/>
        <v>0</v>
      </c>
      <c r="C486" s="447"/>
      <c r="D486" s="446">
        <f t="shared" si="138"/>
        <v>0</v>
      </c>
      <c r="E486" s="439"/>
      <c r="F486" s="442">
        <f>IF(C486="",0,IFERROR(VLOOKUP(COUNTIF($A$1:A486,"ANALISIS DE PRECIOS"),T_Rendimiento_Equipo,5,FALSE),0))</f>
        <v>0</v>
      </c>
      <c r="G486" s="439">
        <f t="shared" si="141"/>
        <v>0</v>
      </c>
    </row>
    <row r="487" spans="1:7" ht="19.899999999999999" customHeight="1" x14ac:dyDescent="0.2">
      <c r="A487" s="482">
        <f t="shared" si="136"/>
        <v>0</v>
      </c>
      <c r="B487" s="445">
        <f t="shared" si="137"/>
        <v>0</v>
      </c>
      <c r="C487" s="447"/>
      <c r="D487" s="446">
        <f t="shared" si="138"/>
        <v>0</v>
      </c>
      <c r="E487" s="439"/>
      <c r="F487" s="442">
        <f>IF(C487="",0,IFERROR(VLOOKUP(COUNTIF($A$1:A487,"ANALISIS DE PRECIOS"),T_Rendimiento_Equipo,5,FALSE),0))</f>
        <v>0</v>
      </c>
      <c r="G487" s="439">
        <f t="shared" si="141"/>
        <v>0</v>
      </c>
    </row>
    <row r="488" spans="1:7" ht="19.899999999999999" customHeight="1" x14ac:dyDescent="0.2">
      <c r="A488" s="482">
        <f t="shared" si="136"/>
        <v>0</v>
      </c>
      <c r="B488" s="445">
        <f t="shared" si="137"/>
        <v>0</v>
      </c>
      <c r="C488" s="436"/>
      <c r="D488" s="446">
        <f t="shared" si="138"/>
        <v>0</v>
      </c>
      <c r="E488" s="439"/>
      <c r="F488" s="442">
        <f>IF(C488="",0,IFERROR(VLOOKUP(COUNTIF($A$1:A488,"ANALISIS DE PRECIOS"),T_Rendimiento_Equipo,5,FALSE),0))</f>
        <v>0</v>
      </c>
      <c r="G488" s="439">
        <f t="shared" si="141"/>
        <v>0</v>
      </c>
    </row>
    <row r="489" spans="1:7" ht="19.899999999999999" customHeight="1" x14ac:dyDescent="0.2">
      <c r="A489" s="483"/>
      <c r="B489" s="426"/>
      <c r="C489" s="139"/>
      <c r="D489" s="426"/>
      <c r="E489" s="427"/>
      <c r="F489" s="448" t="s">
        <v>27</v>
      </c>
      <c r="G489" s="484">
        <f>SUBTOTAL(9,G480:G488)</f>
        <v>0</v>
      </c>
    </row>
    <row r="490" spans="1:7" ht="19.899999999999999" customHeight="1" x14ac:dyDescent="0.2">
      <c r="A490" s="480"/>
      <c r="B490" s="139"/>
      <c r="C490" s="422" t="s">
        <v>713</v>
      </c>
      <c r="D490" s="426"/>
      <c r="E490" s="427"/>
      <c r="F490" s="428"/>
      <c r="G490" s="481"/>
    </row>
    <row r="491" spans="1:7" ht="19.899999999999999" customHeight="1" x14ac:dyDescent="0.2">
      <c r="A491" s="720" t="s">
        <v>576</v>
      </c>
      <c r="B491" s="721"/>
      <c r="C491" s="722" t="s">
        <v>0</v>
      </c>
      <c r="D491" s="724" t="s">
        <v>24</v>
      </c>
      <c r="E491" s="724" t="s">
        <v>1964</v>
      </c>
      <c r="F491" s="726" t="s">
        <v>975</v>
      </c>
      <c r="G491" s="728" t="s">
        <v>26</v>
      </c>
    </row>
    <row r="492" spans="1:7" ht="19.899999999999999" customHeight="1" x14ac:dyDescent="0.2">
      <c r="A492" s="444" t="s">
        <v>577</v>
      </c>
      <c r="B492" s="444" t="s">
        <v>578</v>
      </c>
      <c r="C492" s="723"/>
      <c r="D492" s="725"/>
      <c r="E492" s="725"/>
      <c r="F492" s="727"/>
      <c r="G492" s="729"/>
    </row>
    <row r="493" spans="1:7" ht="19.899999999999999" customHeight="1" x14ac:dyDescent="0.2">
      <c r="A493" s="482">
        <f t="shared" ref="A493:A499" si="142">IFERROR(VLOOKUP(C493,T_Insumos,4,FALSE),0)</f>
        <v>0</v>
      </c>
      <c r="B493" s="445">
        <f t="shared" ref="B493:B499" si="143">IFERROR(VLOOKUP(C493,T_Insumos,5,FALSE),0)</f>
        <v>0</v>
      </c>
      <c r="C493" s="436">
        <f t="shared" ref="C493:C496" si="144">+C268</f>
        <v>0</v>
      </c>
      <c r="D493" s="442"/>
      <c r="E493" s="439">
        <f t="shared" ref="E493:E499" si="145">IFERROR(VLOOKUP(C493,T_Insumos,3,FALSE),0)</f>
        <v>0</v>
      </c>
      <c r="F493" s="442">
        <f>IF(C493="",0,IFERROR(VLOOKUP(COUNTIF($A$1:A493,"ANALISIS DE PRECIOS"),T_Rendimiento_Equipo,5,FALSE),0))</f>
        <v>0</v>
      </c>
      <c r="G493" s="439">
        <f>IFERROR(ROUND(D493*E493/F493,2),0)</f>
        <v>0</v>
      </c>
    </row>
    <row r="494" spans="1:7" ht="19.899999999999999" customHeight="1" x14ac:dyDescent="0.2">
      <c r="A494" s="482">
        <f t="shared" si="142"/>
        <v>0</v>
      </c>
      <c r="B494" s="445">
        <f t="shared" si="143"/>
        <v>0</v>
      </c>
      <c r="C494" s="436">
        <f t="shared" si="144"/>
        <v>0</v>
      </c>
      <c r="D494" s="442">
        <v>1</v>
      </c>
      <c r="E494" s="439">
        <f t="shared" si="145"/>
        <v>0</v>
      </c>
      <c r="F494" s="442">
        <f>IF(C494="",0,IFERROR(VLOOKUP(COUNTIF($A$1:A494,"ANALISIS DE PRECIOS"),T_Rendimiento_Equipo,5,FALSE),0))</f>
        <v>0</v>
      </c>
      <c r="G494" s="439">
        <f>IFERROR(ROUND(D494*E494/F494,2),0)</f>
        <v>0</v>
      </c>
    </row>
    <row r="495" spans="1:7" ht="19.899999999999999" customHeight="1" x14ac:dyDescent="0.2">
      <c r="A495" s="482">
        <f t="shared" si="142"/>
        <v>0</v>
      </c>
      <c r="B495" s="445">
        <f t="shared" si="143"/>
        <v>0</v>
      </c>
      <c r="C495" s="436">
        <f t="shared" si="144"/>
        <v>0</v>
      </c>
      <c r="D495" s="442"/>
      <c r="E495" s="439">
        <f t="shared" si="145"/>
        <v>0</v>
      </c>
      <c r="F495" s="442">
        <f>IF(C495="",0,IFERROR(VLOOKUP(COUNTIF($A$1:A495,"ANALISIS DE PRECIOS"),T_Rendimiento_Equipo,5,FALSE),0))</f>
        <v>0</v>
      </c>
      <c r="G495" s="439">
        <f t="shared" ref="G495:G499" si="146">IFERROR(ROUND(D495*E495/F495,2),0)</f>
        <v>0</v>
      </c>
    </row>
    <row r="496" spans="1:7" ht="19.899999999999999" customHeight="1" x14ac:dyDescent="0.2">
      <c r="A496" s="482">
        <f t="shared" si="142"/>
        <v>0</v>
      </c>
      <c r="B496" s="445">
        <f t="shared" si="143"/>
        <v>0</v>
      </c>
      <c r="C496" s="436">
        <f t="shared" si="144"/>
        <v>0</v>
      </c>
      <c r="D496" s="442">
        <v>2</v>
      </c>
      <c r="E496" s="439">
        <f t="shared" si="145"/>
        <v>0</v>
      </c>
      <c r="F496" s="442">
        <f>IF(C496="",0,IFERROR(VLOOKUP(COUNTIF($A$1:A496,"ANALISIS DE PRECIOS"),T_Rendimiento_Equipo,5,FALSE),0))</f>
        <v>0</v>
      </c>
      <c r="G496" s="439">
        <f t="shared" si="146"/>
        <v>0</v>
      </c>
    </row>
    <row r="497" spans="1:7" ht="19.899999999999999" customHeight="1" x14ac:dyDescent="0.2">
      <c r="A497" s="482">
        <f t="shared" si="142"/>
        <v>0</v>
      </c>
      <c r="B497" s="445">
        <f t="shared" si="143"/>
        <v>0</v>
      </c>
      <c r="C497" s="436"/>
      <c r="D497" s="442"/>
      <c r="E497" s="439">
        <f t="shared" si="145"/>
        <v>0</v>
      </c>
      <c r="F497" s="442">
        <f>IF(C497="",0,IFERROR(VLOOKUP(COUNTIF($A$1:A497,"ANALISIS DE PRECIOS"),T_Rendimiento_Equipo,5,FALSE),0))</f>
        <v>0</v>
      </c>
      <c r="G497" s="439">
        <f t="shared" si="146"/>
        <v>0</v>
      </c>
    </row>
    <row r="498" spans="1:7" ht="19.899999999999999" customHeight="1" x14ac:dyDescent="0.2">
      <c r="A498" s="482">
        <f t="shared" si="142"/>
        <v>0</v>
      </c>
      <c r="B498" s="445">
        <f t="shared" si="143"/>
        <v>0</v>
      </c>
      <c r="C498" s="436"/>
      <c r="D498" s="450"/>
      <c r="E498" s="439">
        <f t="shared" si="145"/>
        <v>0</v>
      </c>
      <c r="F498" s="442">
        <f>IF(C498="",0,IFERROR(VLOOKUP(COUNTIF($A$1:A498,"ANALISIS DE PRECIOS"),T_Rendimiento_Equipo,5,FALSE),0))</f>
        <v>0</v>
      </c>
      <c r="G498" s="439">
        <f t="shared" si="146"/>
        <v>0</v>
      </c>
    </row>
    <row r="499" spans="1:7" ht="19.899999999999999" customHeight="1" x14ac:dyDescent="0.2">
      <c r="A499" s="482">
        <f t="shared" si="142"/>
        <v>0</v>
      </c>
      <c r="B499" s="445">
        <f t="shared" si="143"/>
        <v>0</v>
      </c>
      <c r="C499" s="445"/>
      <c r="D499" s="451"/>
      <c r="E499" s="439">
        <f t="shared" si="145"/>
        <v>0</v>
      </c>
      <c r="F499" s="442">
        <f>IF(C499="",0,IFERROR(VLOOKUP(COUNTIF($A$1:A499,"ANALISIS DE PRECIOS"),T_Rendimiento_Equipo,5,FALSE),0))</f>
        <v>0</v>
      </c>
      <c r="G499" s="439">
        <f t="shared" si="146"/>
        <v>0</v>
      </c>
    </row>
    <row r="500" spans="1:7" ht="19.899999999999999" customHeight="1" x14ac:dyDescent="0.2">
      <c r="A500" s="483"/>
      <c r="B500" s="426"/>
      <c r="C500" s="139"/>
      <c r="D500" s="426"/>
      <c r="E500" s="427"/>
      <c r="F500" s="448" t="s">
        <v>28</v>
      </c>
      <c r="G500" s="485">
        <f>SUBTOTAL(9,G493:G499)</f>
        <v>0</v>
      </c>
    </row>
    <row r="501" spans="1:7" ht="19.899999999999999" customHeight="1" x14ac:dyDescent="0.2">
      <c r="A501" s="480"/>
      <c r="B501" s="139"/>
      <c r="C501" s="422" t="s">
        <v>982</v>
      </c>
      <c r="D501" s="426"/>
      <c r="E501" s="427"/>
      <c r="F501" s="428"/>
      <c r="G501" s="481"/>
    </row>
    <row r="502" spans="1:7" ht="19.899999999999999" customHeight="1" x14ac:dyDescent="0.2">
      <c r="A502" s="720" t="s">
        <v>576</v>
      </c>
      <c r="B502" s="721"/>
      <c r="C502" s="722" t="s">
        <v>0</v>
      </c>
      <c r="D502" s="722" t="s">
        <v>1725</v>
      </c>
      <c r="E502" s="724" t="s">
        <v>24</v>
      </c>
      <c r="F502" s="726" t="s">
        <v>25</v>
      </c>
      <c r="G502" s="728" t="s">
        <v>26</v>
      </c>
    </row>
    <row r="503" spans="1:7" ht="19.899999999999999" customHeight="1" x14ac:dyDescent="0.2">
      <c r="A503" s="444" t="s">
        <v>577</v>
      </c>
      <c r="B503" s="444" t="s">
        <v>578</v>
      </c>
      <c r="C503" s="723"/>
      <c r="D503" s="723"/>
      <c r="E503" s="725"/>
      <c r="F503" s="727"/>
      <c r="G503" s="729"/>
    </row>
    <row r="504" spans="1:7" ht="19.899999999999999" customHeight="1" x14ac:dyDescent="0.2">
      <c r="A504" s="482">
        <f t="shared" ref="A504:A514" si="147">IFERROR(VLOOKUP(C504,T_Insumos,4,FALSE),0)</f>
        <v>0</v>
      </c>
      <c r="B504" s="445">
        <f t="shared" ref="B504:B514" si="148">IFERROR(VLOOKUP(C504,T_Insumos,5,FALSE),0)</f>
        <v>0</v>
      </c>
      <c r="C504" s="436">
        <f t="shared" ref="C504:C514" si="149">+C279</f>
        <v>0</v>
      </c>
      <c r="D504" s="493">
        <f t="shared" ref="D504:D514" si="150">IFERROR(VLOOKUP(C504,T_Insumos,2,FALSE),0)</f>
        <v>0</v>
      </c>
      <c r="E504" s="437"/>
      <c r="F504" s="439">
        <f t="shared" ref="F504:F514" si="151">IFERROR(VLOOKUP(C504,T_Insumos,3,FALSE),0)</f>
        <v>0</v>
      </c>
      <c r="G504" s="439">
        <f>ROUND(E504*F504,2)</f>
        <v>0</v>
      </c>
    </row>
    <row r="505" spans="1:7" ht="19.899999999999999" customHeight="1" x14ac:dyDescent="0.2">
      <c r="A505" s="482">
        <f t="shared" si="147"/>
        <v>0</v>
      </c>
      <c r="B505" s="445">
        <f t="shared" si="148"/>
        <v>0</v>
      </c>
      <c r="C505" s="436">
        <f t="shared" si="149"/>
        <v>0</v>
      </c>
      <c r="D505" s="493">
        <f t="shared" si="150"/>
        <v>0</v>
      </c>
      <c r="E505" s="437"/>
      <c r="F505" s="439">
        <f t="shared" si="151"/>
        <v>0</v>
      </c>
      <c r="G505" s="439">
        <f t="shared" ref="G505:G514" si="152">ROUND(E505*F505,2)</f>
        <v>0</v>
      </c>
    </row>
    <row r="506" spans="1:7" ht="19.899999999999999" customHeight="1" x14ac:dyDescent="0.2">
      <c r="A506" s="482">
        <f t="shared" si="147"/>
        <v>0</v>
      </c>
      <c r="B506" s="445">
        <f t="shared" si="148"/>
        <v>0</v>
      </c>
      <c r="C506" s="436">
        <f t="shared" si="149"/>
        <v>0</v>
      </c>
      <c r="D506" s="493">
        <f t="shared" si="150"/>
        <v>0</v>
      </c>
      <c r="E506" s="437"/>
      <c r="F506" s="439">
        <f t="shared" si="151"/>
        <v>0</v>
      </c>
      <c r="G506" s="439">
        <f t="shared" si="152"/>
        <v>0</v>
      </c>
    </row>
    <row r="507" spans="1:7" ht="19.899999999999999" customHeight="1" x14ac:dyDescent="0.2">
      <c r="A507" s="482">
        <f t="shared" si="147"/>
        <v>0</v>
      </c>
      <c r="B507" s="445">
        <f t="shared" si="148"/>
        <v>0</v>
      </c>
      <c r="C507" s="436">
        <f t="shared" si="149"/>
        <v>0</v>
      </c>
      <c r="D507" s="493">
        <f t="shared" si="150"/>
        <v>0</v>
      </c>
      <c r="E507" s="437"/>
      <c r="F507" s="439">
        <f t="shared" si="151"/>
        <v>0</v>
      </c>
      <c r="G507" s="439">
        <f t="shared" si="152"/>
        <v>0</v>
      </c>
    </row>
    <row r="508" spans="1:7" ht="19.899999999999999" customHeight="1" x14ac:dyDescent="0.2">
      <c r="A508" s="482">
        <f t="shared" si="147"/>
        <v>0</v>
      </c>
      <c r="B508" s="445">
        <f t="shared" si="148"/>
        <v>0</v>
      </c>
      <c r="C508" s="436">
        <f t="shared" si="149"/>
        <v>0</v>
      </c>
      <c r="D508" s="493">
        <f t="shared" si="150"/>
        <v>0</v>
      </c>
      <c r="E508" s="437"/>
      <c r="F508" s="439">
        <f t="shared" si="151"/>
        <v>0</v>
      </c>
      <c r="G508" s="439">
        <f t="shared" si="152"/>
        <v>0</v>
      </c>
    </row>
    <row r="509" spans="1:7" ht="19.899999999999999" customHeight="1" x14ac:dyDescent="0.2">
      <c r="A509" s="482">
        <f t="shared" si="147"/>
        <v>0</v>
      </c>
      <c r="B509" s="445">
        <f t="shared" si="148"/>
        <v>0</v>
      </c>
      <c r="C509" s="436">
        <f t="shared" si="149"/>
        <v>0</v>
      </c>
      <c r="D509" s="493">
        <f t="shared" si="150"/>
        <v>0</v>
      </c>
      <c r="E509" s="437"/>
      <c r="F509" s="439">
        <f t="shared" si="151"/>
        <v>0</v>
      </c>
      <c r="G509" s="439">
        <f t="shared" si="152"/>
        <v>0</v>
      </c>
    </row>
    <row r="510" spans="1:7" ht="19.899999999999999" customHeight="1" x14ac:dyDescent="0.2">
      <c r="A510" s="482">
        <f t="shared" si="147"/>
        <v>0</v>
      </c>
      <c r="B510" s="445">
        <f t="shared" si="148"/>
        <v>0</v>
      </c>
      <c r="C510" s="436">
        <f t="shared" si="149"/>
        <v>0</v>
      </c>
      <c r="D510" s="493">
        <f t="shared" si="150"/>
        <v>0</v>
      </c>
      <c r="E510" s="437"/>
      <c r="F510" s="439">
        <f t="shared" si="151"/>
        <v>0</v>
      </c>
      <c r="G510" s="439">
        <f t="shared" si="152"/>
        <v>0</v>
      </c>
    </row>
    <row r="511" spans="1:7" ht="19.899999999999999" customHeight="1" x14ac:dyDescent="0.2">
      <c r="A511" s="482">
        <f t="shared" si="147"/>
        <v>0</v>
      </c>
      <c r="B511" s="445">
        <f t="shared" si="148"/>
        <v>0</v>
      </c>
      <c r="C511" s="436">
        <f t="shared" si="149"/>
        <v>0</v>
      </c>
      <c r="D511" s="493">
        <f t="shared" si="150"/>
        <v>0</v>
      </c>
      <c r="E511" s="437"/>
      <c r="F511" s="439">
        <f t="shared" si="151"/>
        <v>0</v>
      </c>
      <c r="G511" s="439">
        <f t="shared" si="152"/>
        <v>0</v>
      </c>
    </row>
    <row r="512" spans="1:7" ht="19.899999999999999" customHeight="1" x14ac:dyDescent="0.2">
      <c r="A512" s="482">
        <f t="shared" si="147"/>
        <v>0</v>
      </c>
      <c r="B512" s="445">
        <f t="shared" si="148"/>
        <v>0</v>
      </c>
      <c r="C512" s="436">
        <f t="shared" si="149"/>
        <v>0</v>
      </c>
      <c r="D512" s="493">
        <f t="shared" si="150"/>
        <v>0</v>
      </c>
      <c r="E512" s="437"/>
      <c r="F512" s="439">
        <f t="shared" si="151"/>
        <v>0</v>
      </c>
      <c r="G512" s="439">
        <f t="shared" si="152"/>
        <v>0</v>
      </c>
    </row>
    <row r="513" spans="1:7" ht="19.899999999999999" customHeight="1" x14ac:dyDescent="0.2">
      <c r="A513" s="482">
        <f t="shared" si="147"/>
        <v>0</v>
      </c>
      <c r="B513" s="445">
        <f t="shared" si="148"/>
        <v>0</v>
      </c>
      <c r="C513" s="436">
        <f t="shared" si="149"/>
        <v>0</v>
      </c>
      <c r="D513" s="493">
        <f t="shared" si="150"/>
        <v>0</v>
      </c>
      <c r="E513" s="437"/>
      <c r="F513" s="439">
        <f t="shared" si="151"/>
        <v>0</v>
      </c>
      <c r="G513" s="439">
        <f t="shared" si="152"/>
        <v>0</v>
      </c>
    </row>
    <row r="514" spans="1:7" ht="19.899999999999999" customHeight="1" x14ac:dyDescent="0.2">
      <c r="A514" s="482">
        <f t="shared" si="147"/>
        <v>0</v>
      </c>
      <c r="B514" s="445">
        <f t="shared" si="148"/>
        <v>0</v>
      </c>
      <c r="C514" s="436">
        <f t="shared" si="149"/>
        <v>0</v>
      </c>
      <c r="D514" s="493">
        <f t="shared" si="150"/>
        <v>0</v>
      </c>
      <c r="E514" s="437"/>
      <c r="F514" s="439">
        <f t="shared" si="151"/>
        <v>0</v>
      </c>
      <c r="G514" s="439">
        <f t="shared" si="152"/>
        <v>0</v>
      </c>
    </row>
    <row r="515" spans="1:7" ht="19.899999999999999" customHeight="1" x14ac:dyDescent="0.2">
      <c r="A515" s="480"/>
      <c r="B515" s="139"/>
      <c r="C515" s="139"/>
      <c r="D515" s="426"/>
      <c r="E515" s="427"/>
      <c r="F515" s="448" t="s">
        <v>29</v>
      </c>
      <c r="G515" s="485">
        <f>SUBTOTAL(9,G504:G514)</f>
        <v>0</v>
      </c>
    </row>
    <row r="516" spans="1:7" ht="19.899999999999999" customHeight="1" x14ac:dyDescent="0.2">
      <c r="A516" s="480"/>
      <c r="B516" s="139"/>
      <c r="C516" s="422" t="s">
        <v>983</v>
      </c>
      <c r="D516" s="426"/>
      <c r="E516" s="427"/>
      <c r="F516" s="428"/>
      <c r="G516" s="481"/>
    </row>
    <row r="517" spans="1:7" ht="19.899999999999999" customHeight="1" x14ac:dyDescent="0.2">
      <c r="A517" s="720" t="s">
        <v>576</v>
      </c>
      <c r="B517" s="721"/>
      <c r="C517" s="722" t="s">
        <v>0</v>
      </c>
      <c r="D517" s="722" t="s">
        <v>1725</v>
      </c>
      <c r="E517" s="724" t="s">
        <v>24</v>
      </c>
      <c r="F517" s="726" t="s">
        <v>25</v>
      </c>
      <c r="G517" s="728" t="s">
        <v>26</v>
      </c>
    </row>
    <row r="518" spans="1:7" ht="19.899999999999999" customHeight="1" x14ac:dyDescent="0.2">
      <c r="A518" s="444" t="s">
        <v>577</v>
      </c>
      <c r="B518" s="444" t="s">
        <v>578</v>
      </c>
      <c r="C518" s="723"/>
      <c r="D518" s="723"/>
      <c r="E518" s="725"/>
      <c r="F518" s="727"/>
      <c r="G518" s="729"/>
    </row>
    <row r="519" spans="1:7" ht="19.899999999999999" customHeight="1" x14ac:dyDescent="0.2">
      <c r="A519" s="482">
        <f>IFERROR(VLOOKUP(C519,T_Insumos,4,FALSE),0)</f>
        <v>0</v>
      </c>
      <c r="B519" s="445">
        <f>IFERROR(VLOOKUP(C519,T_Insumos,5,FALSE),0)</f>
        <v>0</v>
      </c>
      <c r="C519" s="436"/>
      <c r="D519" s="493">
        <f>IF(C519=0,0,"$/tnkm")</f>
        <v>0</v>
      </c>
      <c r="E519" s="437"/>
      <c r="F519" s="439">
        <f>IFERROR(VLOOKUP(C519,T_Insumos,3,FALSE),0)</f>
        <v>0</v>
      </c>
      <c r="G519" s="439">
        <f>ROUND(E519*F519,2)</f>
        <v>0</v>
      </c>
    </row>
    <row r="520" spans="1:7" ht="19.899999999999999" customHeight="1" x14ac:dyDescent="0.2">
      <c r="A520" s="482">
        <f>IFERROR(VLOOKUP(C520,T_Insumos,4,FALSE),0)</f>
        <v>0</v>
      </c>
      <c r="B520" s="445">
        <f>IFERROR(VLOOKUP(C520,T_Insumos,5,FALSE),0)</f>
        <v>0</v>
      </c>
      <c r="C520" s="436"/>
      <c r="D520" s="493">
        <f>IF(C520=0,0,"$/tnkm")</f>
        <v>0</v>
      </c>
      <c r="E520" s="453"/>
      <c r="F520" s="439">
        <f>IFERROR(VLOOKUP(C520,T_Insumos,3,FALSE),0)</f>
        <v>0</v>
      </c>
      <c r="G520" s="439">
        <f t="shared" ref="G520" si="153">ROUND(E520*F520,2)</f>
        <v>0</v>
      </c>
    </row>
    <row r="521" spans="1:7" ht="19.899999999999999" customHeight="1" x14ac:dyDescent="0.2">
      <c r="A521" s="480"/>
      <c r="B521" s="139"/>
      <c r="C521" s="139"/>
      <c r="D521" s="426"/>
      <c r="E521" s="427"/>
      <c r="F521" s="448" t="s">
        <v>984</v>
      </c>
      <c r="G521" s="485">
        <f>SUBTOTAL(9,G519:G520)</f>
        <v>0</v>
      </c>
    </row>
    <row r="522" spans="1:7" ht="19.899999999999999" customHeight="1" x14ac:dyDescent="0.2">
      <c r="A522" s="483"/>
      <c r="B522" s="426"/>
      <c r="C522" s="139"/>
      <c r="D522" s="426"/>
      <c r="E522" s="427"/>
      <c r="F522" s="428"/>
      <c r="G522" s="481"/>
    </row>
    <row r="523" spans="1:7" ht="19.899999999999999" customHeight="1" x14ac:dyDescent="0.2">
      <c r="A523" s="541" t="str">
        <f>B457</f>
        <v>2.6</v>
      </c>
      <c r="B523" s="538" t="str">
        <f ca="1">C457</f>
        <v>Excavación Caja del Canal</v>
      </c>
      <c r="C523" s="426"/>
      <c r="D523" s="426" t="s">
        <v>1704</v>
      </c>
      <c r="E523" s="539"/>
      <c r="F523" s="540" t="str">
        <f ca="1">"$/"&amp;G457</f>
        <v>$/M3</v>
      </c>
      <c r="G523" s="490">
        <f>SUBTOTAL(9,G480:G522)</f>
        <v>0</v>
      </c>
    </row>
    <row r="524" spans="1:7" ht="19.899999999999999" customHeight="1" x14ac:dyDescent="0.2">
      <c r="A524" s="486"/>
      <c r="B524" s="487"/>
      <c r="C524" s="488"/>
      <c r="D524" s="488" t="s">
        <v>1900</v>
      </c>
      <c r="E524" s="489"/>
      <c r="F524" s="542" t="str">
        <f ca="1">"$/"&amp;G457</f>
        <v>$/M3</v>
      </c>
      <c r="G524" s="490">
        <f>ROUND(G523*Coeficiente_Paso,2)</f>
        <v>0</v>
      </c>
    </row>
    <row r="525" spans="1:7" ht="19.899999999999999" customHeight="1" x14ac:dyDescent="0.2">
      <c r="A525" s="139"/>
      <c r="B525" s="139"/>
      <c r="C525" s="139"/>
      <c r="D525" s="139"/>
      <c r="E525" s="139"/>
      <c r="F525" s="139"/>
      <c r="G525" s="139"/>
    </row>
    <row r="526" spans="1:7" ht="19.899999999999999" customHeight="1" x14ac:dyDescent="0.2">
      <c r="A526" s="730" t="s">
        <v>31</v>
      </c>
      <c r="B526" s="731"/>
      <c r="C526" s="731"/>
      <c r="D526" s="731"/>
      <c r="E526" s="731"/>
      <c r="F526" s="731"/>
      <c r="G526" s="732"/>
    </row>
    <row r="527" spans="1:7" ht="19.899999999999999" customHeight="1" x14ac:dyDescent="0.2">
      <c r="A527" s="469" t="s">
        <v>711</v>
      </c>
      <c r="B527" s="420" t="str">
        <f>Comitente</f>
        <v>DEPARTAMENTO DE HIDRAULICA</v>
      </c>
      <c r="C527" s="421"/>
      <c r="D527" s="422"/>
      <c r="E527" s="422"/>
      <c r="F527" s="423"/>
      <c r="G527" s="470"/>
    </row>
    <row r="528" spans="1:7" ht="19.899999999999999" customHeight="1" x14ac:dyDescent="0.2">
      <c r="A528" s="469" t="s">
        <v>712</v>
      </c>
      <c r="B528" s="420">
        <f>Contratista</f>
        <v>0</v>
      </c>
      <c r="C528" s="424"/>
      <c r="D528" s="424"/>
      <c r="E528" s="424"/>
      <c r="F528" s="420"/>
      <c r="G528" s="471"/>
    </row>
    <row r="529" spans="1:7" ht="19.899999999999999" customHeight="1" x14ac:dyDescent="0.2">
      <c r="A529" s="469" t="s">
        <v>21</v>
      </c>
      <c r="B529" s="420" t="str">
        <f>Obra</f>
        <v>Encamisado Parcial del Canal de Calle América</v>
      </c>
      <c r="C529" s="424"/>
      <c r="D529" s="424"/>
      <c r="E529" s="424"/>
      <c r="F529" s="420" t="s">
        <v>32</v>
      </c>
      <c r="G529" s="471" t="str">
        <f>Fecha_Base</f>
        <v>X/X/2023</v>
      </c>
    </row>
    <row r="530" spans="1:7" ht="19.899999999999999" customHeight="1" x14ac:dyDescent="0.2">
      <c r="A530" s="472" t="s">
        <v>710</v>
      </c>
      <c r="B530" s="425" t="str">
        <f>Ubicación</f>
        <v>Departamento Rawson</v>
      </c>
      <c r="C530" s="425"/>
      <c r="D530" s="426"/>
      <c r="E530" s="427"/>
      <c r="F530" s="428"/>
      <c r="G530" s="473"/>
    </row>
    <row r="531" spans="1:7" ht="19.899999999999999" customHeight="1" x14ac:dyDescent="0.2">
      <c r="A531" s="472" t="s">
        <v>33</v>
      </c>
      <c r="B531" s="429">
        <f>IFERROR(VALUE(LEFT(B532,FIND(".",B532)-1)),"")</f>
        <v>2</v>
      </c>
      <c r="C531" s="139" t="str">
        <f ca="1">IFERROR(VLOOKUP(B531,T_Computo_Presupuesto,2,FALSE),0)</f>
        <v>CANAL AMÉRICA</v>
      </c>
      <c r="D531" s="139"/>
      <c r="E531" s="427"/>
      <c r="F531" s="428"/>
      <c r="G531" s="473"/>
    </row>
    <row r="532" spans="1:7" ht="19.899999999999999" customHeight="1" x14ac:dyDescent="0.2">
      <c r="A532" s="472" t="s">
        <v>22</v>
      </c>
      <c r="B532" s="430" t="str">
        <f>IFERROR(VLOOKUP(COUNTIF($A$1:A532,"ANALISIS DE PRECIOS"),T_NumeroItem,2,FALSE),"")</f>
        <v>2.7</v>
      </c>
      <c r="C532" s="733" t="str">
        <f ca="1">IFERROR(VLOOKUP(B532,T_Computo_Presupuesto,2,FALSE),0)</f>
        <v>Hormigón de Limpieza</v>
      </c>
      <c r="D532" s="733"/>
      <c r="E532" s="733"/>
      <c r="F532" s="425" t="s">
        <v>23</v>
      </c>
      <c r="G532" s="474" t="str">
        <f ca="1">IFERROR(VLOOKUP(B532,T_Computo_Presupuesto,4,FALSE),0)</f>
        <v>M3</v>
      </c>
    </row>
    <row r="533" spans="1:7" ht="19.899999999999999" customHeight="1" x14ac:dyDescent="0.2">
      <c r="A533" s="472"/>
      <c r="B533" s="425"/>
      <c r="C533" s="139"/>
      <c r="D533" s="426"/>
      <c r="E533" s="427"/>
      <c r="F533" s="139"/>
      <c r="G533" s="475"/>
    </row>
    <row r="534" spans="1:7" ht="19.899999999999999" customHeight="1" x14ac:dyDescent="0.2">
      <c r="A534" s="476"/>
      <c r="B534" s="431"/>
      <c r="C534" s="432" t="s">
        <v>967</v>
      </c>
      <c r="D534" s="431"/>
      <c r="E534" s="431"/>
      <c r="F534" s="431"/>
      <c r="G534" s="477"/>
    </row>
    <row r="535" spans="1:7" ht="19.899999999999999" customHeight="1" x14ac:dyDescent="0.2">
      <c r="A535" s="472"/>
      <c r="B535" s="433"/>
      <c r="C535" s="139"/>
      <c r="D535" s="426"/>
      <c r="E535" s="427"/>
      <c r="F535" s="425"/>
      <c r="G535" s="474"/>
    </row>
    <row r="536" spans="1:7" ht="19.899999999999999" customHeight="1" x14ac:dyDescent="0.2">
      <c r="A536" s="472"/>
      <c r="B536" s="433"/>
      <c r="C536" s="434" t="s">
        <v>968</v>
      </c>
      <c r="D536" s="435" t="s">
        <v>24</v>
      </c>
      <c r="E536" s="435" t="s">
        <v>969</v>
      </c>
      <c r="F536" s="435" t="s">
        <v>970</v>
      </c>
      <c r="G536" s="434" t="s">
        <v>971</v>
      </c>
    </row>
    <row r="537" spans="1:7" ht="19.899999999999999" customHeight="1" x14ac:dyDescent="0.2">
      <c r="A537" s="472"/>
      <c r="B537" s="433"/>
      <c r="C537" s="436">
        <f>+C312</f>
        <v>0</v>
      </c>
      <c r="D537" s="436">
        <f>+D312</f>
        <v>0</v>
      </c>
      <c r="E537" s="438">
        <f t="shared" ref="E537:E546" si="154">IFERROR(VLOOKUP(C537,T_Equipos,4,FALSE),0)</f>
        <v>0</v>
      </c>
      <c r="F537" s="439">
        <f t="shared" ref="F537:F546" si="155">IFERROR(VLOOKUP(C537,T_Equipos,5,FALSE),0)</f>
        <v>0</v>
      </c>
      <c r="G537" s="439">
        <f>ROUND(D537*F537,2)</f>
        <v>0</v>
      </c>
    </row>
    <row r="538" spans="1:7" ht="19.899999999999999" customHeight="1" x14ac:dyDescent="0.2">
      <c r="A538" s="472"/>
      <c r="B538" s="433"/>
      <c r="C538" s="436">
        <f t="shared" ref="C538:D542" si="156">+C313</f>
        <v>0</v>
      </c>
      <c r="D538" s="436">
        <f t="shared" si="156"/>
        <v>0</v>
      </c>
      <c r="E538" s="438">
        <f t="shared" si="154"/>
        <v>0</v>
      </c>
      <c r="F538" s="439">
        <f t="shared" si="155"/>
        <v>0</v>
      </c>
      <c r="G538" s="439">
        <f>ROUND(D538*F538,2)</f>
        <v>0</v>
      </c>
    </row>
    <row r="539" spans="1:7" ht="19.899999999999999" customHeight="1" x14ac:dyDescent="0.2">
      <c r="A539" s="472"/>
      <c r="B539" s="433"/>
      <c r="C539" s="436">
        <f t="shared" si="156"/>
        <v>0</v>
      </c>
      <c r="D539" s="436"/>
      <c r="E539" s="438">
        <f t="shared" si="154"/>
        <v>0</v>
      </c>
      <c r="F539" s="439">
        <f t="shared" si="155"/>
        <v>0</v>
      </c>
      <c r="G539" s="439">
        <f>ROUND(D539*F539,2)</f>
        <v>0</v>
      </c>
    </row>
    <row r="540" spans="1:7" ht="19.899999999999999" customHeight="1" x14ac:dyDescent="0.2">
      <c r="A540" s="472"/>
      <c r="B540" s="433"/>
      <c r="C540" s="436">
        <f t="shared" si="156"/>
        <v>0</v>
      </c>
      <c r="D540" s="436"/>
      <c r="E540" s="438">
        <f t="shared" si="154"/>
        <v>0</v>
      </c>
      <c r="F540" s="439">
        <f t="shared" si="155"/>
        <v>0</v>
      </c>
      <c r="G540" s="439">
        <f>ROUND(D540*F540,2)</f>
        <v>0</v>
      </c>
    </row>
    <row r="541" spans="1:7" ht="19.899999999999999" customHeight="1" x14ac:dyDescent="0.2">
      <c r="A541" s="472"/>
      <c r="B541" s="433"/>
      <c r="C541" s="436">
        <f t="shared" si="156"/>
        <v>0</v>
      </c>
      <c r="D541" s="436"/>
      <c r="E541" s="438">
        <f t="shared" si="154"/>
        <v>0</v>
      </c>
      <c r="F541" s="439">
        <f t="shared" si="155"/>
        <v>0</v>
      </c>
      <c r="G541" s="439">
        <f t="shared" ref="G541:G546" si="157">ROUND(D541*F541,2)</f>
        <v>0</v>
      </c>
    </row>
    <row r="542" spans="1:7" ht="19.899999999999999" customHeight="1" x14ac:dyDescent="0.2">
      <c r="A542" s="472"/>
      <c r="B542" s="433"/>
      <c r="C542" s="436">
        <f t="shared" si="156"/>
        <v>0</v>
      </c>
      <c r="D542" s="436"/>
      <c r="E542" s="438">
        <f t="shared" si="154"/>
        <v>0</v>
      </c>
      <c r="F542" s="439">
        <f t="shared" si="155"/>
        <v>0</v>
      </c>
      <c r="G542" s="439">
        <f t="shared" si="157"/>
        <v>0</v>
      </c>
    </row>
    <row r="543" spans="1:7" ht="19.899999999999999" customHeight="1" x14ac:dyDescent="0.2">
      <c r="A543" s="472"/>
      <c r="B543" s="433"/>
      <c r="C543" s="436">
        <f t="shared" ref="C543:D543" si="158">+C318</f>
        <v>0</v>
      </c>
      <c r="D543" s="436">
        <f t="shared" si="158"/>
        <v>0</v>
      </c>
      <c r="E543" s="438">
        <f t="shared" si="154"/>
        <v>0</v>
      </c>
      <c r="F543" s="439">
        <f t="shared" si="155"/>
        <v>0</v>
      </c>
      <c r="G543" s="439">
        <f t="shared" si="157"/>
        <v>0</v>
      </c>
    </row>
    <row r="544" spans="1:7" ht="19.899999999999999" customHeight="1" x14ac:dyDescent="0.2">
      <c r="A544" s="472"/>
      <c r="B544" s="433"/>
      <c r="C544" s="436">
        <f t="shared" ref="C544:D544" si="159">+C319</f>
        <v>0</v>
      </c>
      <c r="D544" s="436">
        <f t="shared" si="159"/>
        <v>0</v>
      </c>
      <c r="E544" s="438">
        <f t="shared" si="154"/>
        <v>0</v>
      </c>
      <c r="F544" s="439">
        <f t="shared" si="155"/>
        <v>0</v>
      </c>
      <c r="G544" s="439">
        <f t="shared" si="157"/>
        <v>0</v>
      </c>
    </row>
    <row r="545" spans="1:7" ht="19.899999999999999" customHeight="1" x14ac:dyDescent="0.2">
      <c r="A545" s="472"/>
      <c r="B545" s="433"/>
      <c r="C545" s="436"/>
      <c r="D545" s="437"/>
      <c r="E545" s="438">
        <f t="shared" si="154"/>
        <v>0</v>
      </c>
      <c r="F545" s="439">
        <f t="shared" si="155"/>
        <v>0</v>
      </c>
      <c r="G545" s="439">
        <f t="shared" si="157"/>
        <v>0</v>
      </c>
    </row>
    <row r="546" spans="1:7" ht="19.899999999999999" customHeight="1" x14ac:dyDescent="0.2">
      <c r="A546" s="472"/>
      <c r="B546" s="433"/>
      <c r="C546" s="436"/>
      <c r="D546" s="437"/>
      <c r="E546" s="438">
        <f t="shared" si="154"/>
        <v>0</v>
      </c>
      <c r="F546" s="439">
        <f t="shared" si="155"/>
        <v>0</v>
      </c>
      <c r="G546" s="439">
        <f t="shared" si="157"/>
        <v>0</v>
      </c>
    </row>
    <row r="547" spans="1:7" ht="19.899999999999999" customHeight="1" x14ac:dyDescent="0.2">
      <c r="A547" s="472"/>
      <c r="B547" s="433"/>
      <c r="C547" s="139"/>
      <c r="D547" s="139"/>
      <c r="E547" s="440"/>
      <c r="F547" s="425"/>
      <c r="G547" s="474"/>
    </row>
    <row r="548" spans="1:7" ht="19.899999999999999" customHeight="1" x14ac:dyDescent="0.2">
      <c r="A548" s="472"/>
      <c r="B548" s="139"/>
      <c r="C548" s="422" t="s">
        <v>972</v>
      </c>
      <c r="D548" s="425" t="s">
        <v>969</v>
      </c>
      <c r="E548" s="491">
        <f>SUMPRODUCT(D537:D546,E537:E546)</f>
        <v>0</v>
      </c>
      <c r="F548" s="425" t="s">
        <v>973</v>
      </c>
      <c r="G548" s="492">
        <f>SUM(G537:G546)</f>
        <v>0</v>
      </c>
    </row>
    <row r="549" spans="1:7" ht="19.899999999999999" customHeight="1" x14ac:dyDescent="0.2">
      <c r="A549" s="472"/>
      <c r="B549" s="433"/>
      <c r="C549" s="441"/>
      <c r="D549" s="440"/>
      <c r="E549" s="427"/>
      <c r="F549" s="425"/>
      <c r="G549" s="478"/>
    </row>
    <row r="550" spans="1:7" ht="19.899999999999999" customHeight="1" x14ac:dyDescent="0.2">
      <c r="A550" s="479"/>
      <c r="B550" s="433"/>
      <c r="C550" s="425" t="s">
        <v>974</v>
      </c>
      <c r="D550" s="442">
        <f>IFERROR(VLOOKUP(COUNTIF($A$1:A550,"ANALISIS DE PRECIOS"),T_Rendimiento_Equipo,5,FALSE),0)</f>
        <v>0</v>
      </c>
      <c r="E550" s="443" t="str">
        <f ca="1">G532&amp;"/día"</f>
        <v>M3/día</v>
      </c>
      <c r="F550" s="419"/>
      <c r="G550" s="474"/>
    </row>
    <row r="551" spans="1:7" ht="19.899999999999999" customHeight="1" x14ac:dyDescent="0.2">
      <c r="A551" s="472"/>
      <c r="B551" s="433"/>
      <c r="C551" s="139"/>
      <c r="D551" s="426"/>
      <c r="E551" s="427"/>
      <c r="F551" s="425"/>
      <c r="G551" s="474"/>
    </row>
    <row r="552" spans="1:7" ht="19.899999999999999" customHeight="1" x14ac:dyDescent="0.2">
      <c r="A552" s="720" t="s">
        <v>576</v>
      </c>
      <c r="B552" s="721"/>
      <c r="C552" s="722" t="s">
        <v>0</v>
      </c>
      <c r="D552" s="734" t="s">
        <v>1724</v>
      </c>
      <c r="E552" s="734" t="s">
        <v>1723</v>
      </c>
      <c r="F552" s="726" t="s">
        <v>975</v>
      </c>
      <c r="G552" s="728" t="s">
        <v>26</v>
      </c>
    </row>
    <row r="553" spans="1:7" ht="19.899999999999999" customHeight="1" x14ac:dyDescent="0.2">
      <c r="A553" s="444" t="s">
        <v>577</v>
      </c>
      <c r="B553" s="444" t="s">
        <v>578</v>
      </c>
      <c r="C553" s="723"/>
      <c r="D553" s="735"/>
      <c r="E553" s="725"/>
      <c r="F553" s="727"/>
      <c r="G553" s="729"/>
    </row>
    <row r="554" spans="1:7" ht="19.899999999999999" customHeight="1" x14ac:dyDescent="0.2">
      <c r="A554" s="480"/>
      <c r="B554" s="139"/>
      <c r="C554" s="422" t="s">
        <v>976</v>
      </c>
      <c r="D554" s="427"/>
      <c r="E554" s="427"/>
      <c r="F554" s="139"/>
      <c r="G554" s="481"/>
    </row>
    <row r="555" spans="1:7" ht="19.899999999999999" customHeight="1" x14ac:dyDescent="0.2">
      <c r="A555" s="482">
        <f t="shared" ref="A555:A563" si="160">IFERROR(VLOOKUP(C555,T_Insumos,4,FALSE),0)</f>
        <v>0</v>
      </c>
      <c r="B555" s="445">
        <f t="shared" ref="B555:B563" si="161">IFERROR(VLOOKUP(C555,T_Insumos,5,FALSE),0)</f>
        <v>0</v>
      </c>
      <c r="C555" s="436">
        <f>+C255</f>
        <v>0</v>
      </c>
      <c r="D555" s="446">
        <f t="shared" ref="D555:D563" si="162">IFERROR(VLOOKUP(C555,T_Insumos,3,FALSE),0)</f>
        <v>0</v>
      </c>
      <c r="E555" s="439">
        <f>D555*$G$323</f>
        <v>0</v>
      </c>
      <c r="F555" s="442">
        <f>IF(C555="",0,IFERROR(VLOOKUP(COUNTIF($A$1:A555,"ANALISIS DE PRECIOS"),T_Rendimiento_Equipo,5,FALSE),0))</f>
        <v>0</v>
      </c>
      <c r="G555" s="439">
        <f>IFERROR(ROUND(E555/F555,2),0)</f>
        <v>0</v>
      </c>
    </row>
    <row r="556" spans="1:7" ht="19.899999999999999" customHeight="1" x14ac:dyDescent="0.2">
      <c r="A556" s="482">
        <f t="shared" si="160"/>
        <v>0</v>
      </c>
      <c r="B556" s="445">
        <f t="shared" si="161"/>
        <v>0</v>
      </c>
      <c r="C556" s="436">
        <f t="shared" ref="C556:C558" si="163">+C256</f>
        <v>0</v>
      </c>
      <c r="D556" s="446">
        <f t="shared" si="162"/>
        <v>0</v>
      </c>
      <c r="E556" s="439">
        <f t="shared" ref="E556:E557" si="164">D556*$G$323</f>
        <v>0</v>
      </c>
      <c r="F556" s="442">
        <f>IF(C556="",0,IFERROR(VLOOKUP(COUNTIF($A$1:A556,"ANALISIS DE PRECIOS"),T_Rendimiento_Equipo,5,FALSE),0))</f>
        <v>0</v>
      </c>
      <c r="G556" s="439">
        <f t="shared" ref="G556:G563" si="165">IFERROR(ROUND(E556/F556,2),0)</f>
        <v>0</v>
      </c>
    </row>
    <row r="557" spans="1:7" ht="19.899999999999999" customHeight="1" x14ac:dyDescent="0.2">
      <c r="A557" s="482">
        <f t="shared" si="160"/>
        <v>0</v>
      </c>
      <c r="B557" s="445">
        <f t="shared" si="161"/>
        <v>0</v>
      </c>
      <c r="C557" s="436">
        <f t="shared" si="163"/>
        <v>0</v>
      </c>
      <c r="D557" s="446">
        <f t="shared" si="162"/>
        <v>0</v>
      </c>
      <c r="E557" s="439">
        <f t="shared" si="164"/>
        <v>0</v>
      </c>
      <c r="F557" s="442">
        <f>IF(C557="",0,IFERROR(VLOOKUP(COUNTIF($A$1:A557,"ANALISIS DE PRECIOS"),T_Rendimiento_Equipo,5,FALSE),0))</f>
        <v>0</v>
      </c>
      <c r="G557" s="439">
        <f t="shared" si="165"/>
        <v>0</v>
      </c>
    </row>
    <row r="558" spans="1:7" ht="19.899999999999999" customHeight="1" x14ac:dyDescent="0.2">
      <c r="A558" s="482">
        <f t="shared" si="160"/>
        <v>0</v>
      </c>
      <c r="B558" s="445">
        <f t="shared" si="161"/>
        <v>0</v>
      </c>
      <c r="C558" s="436">
        <f t="shared" si="163"/>
        <v>0</v>
      </c>
      <c r="D558" s="446">
        <f t="shared" si="162"/>
        <v>0</v>
      </c>
      <c r="E558" s="439">
        <f>D558*$E$323</f>
        <v>0</v>
      </c>
      <c r="F558" s="442">
        <f>IF(C558="",0,IFERROR(VLOOKUP(COUNTIF($A$1:A558,"ANALISIS DE PRECIOS"),T_Rendimiento_Equipo,5,FALSE),0))</f>
        <v>0</v>
      </c>
      <c r="G558" s="439">
        <f t="shared" si="165"/>
        <v>0</v>
      </c>
    </row>
    <row r="559" spans="1:7" ht="19.899999999999999" customHeight="1" x14ac:dyDescent="0.2">
      <c r="A559" s="482">
        <f t="shared" si="160"/>
        <v>0</v>
      </c>
      <c r="B559" s="445">
        <f t="shared" si="161"/>
        <v>0</v>
      </c>
      <c r="C559" s="447"/>
      <c r="D559" s="446">
        <f t="shared" si="162"/>
        <v>0</v>
      </c>
      <c r="E559" s="439"/>
      <c r="F559" s="442">
        <f>IF(C559="",0,IFERROR(VLOOKUP(COUNTIF($A$1:A559,"ANALISIS DE PRECIOS"),T_Rendimiento_Equipo,5,FALSE),0))</f>
        <v>0</v>
      </c>
      <c r="G559" s="439">
        <f t="shared" si="165"/>
        <v>0</v>
      </c>
    </row>
    <row r="560" spans="1:7" ht="19.899999999999999" customHeight="1" x14ac:dyDescent="0.2">
      <c r="A560" s="482">
        <f t="shared" si="160"/>
        <v>0</v>
      </c>
      <c r="B560" s="445">
        <f t="shared" si="161"/>
        <v>0</v>
      </c>
      <c r="C560" s="447"/>
      <c r="D560" s="446">
        <f t="shared" si="162"/>
        <v>0</v>
      </c>
      <c r="E560" s="439"/>
      <c r="F560" s="442">
        <f>IF(C560="",0,IFERROR(VLOOKUP(COUNTIF($A$1:A560,"ANALISIS DE PRECIOS"),T_Rendimiento_Equipo,5,FALSE),0))</f>
        <v>0</v>
      </c>
      <c r="G560" s="439">
        <f t="shared" si="165"/>
        <v>0</v>
      </c>
    </row>
    <row r="561" spans="1:7" ht="19.899999999999999" customHeight="1" x14ac:dyDescent="0.2">
      <c r="A561" s="482">
        <f t="shared" si="160"/>
        <v>0</v>
      </c>
      <c r="B561" s="445">
        <f t="shared" si="161"/>
        <v>0</v>
      </c>
      <c r="C561" s="447"/>
      <c r="D561" s="446">
        <f t="shared" si="162"/>
        <v>0</v>
      </c>
      <c r="E561" s="439"/>
      <c r="F561" s="442">
        <f>IF(C561="",0,IFERROR(VLOOKUP(COUNTIF($A$1:A561,"ANALISIS DE PRECIOS"),T_Rendimiento_Equipo,5,FALSE),0))</f>
        <v>0</v>
      </c>
      <c r="G561" s="439">
        <f t="shared" si="165"/>
        <v>0</v>
      </c>
    </row>
    <row r="562" spans="1:7" ht="19.899999999999999" customHeight="1" x14ac:dyDescent="0.2">
      <c r="A562" s="482">
        <f t="shared" si="160"/>
        <v>0</v>
      </c>
      <c r="B562" s="445">
        <f t="shared" si="161"/>
        <v>0</v>
      </c>
      <c r="C562" s="447"/>
      <c r="D562" s="446">
        <f t="shared" si="162"/>
        <v>0</v>
      </c>
      <c r="E562" s="439"/>
      <c r="F562" s="442">
        <f>IF(C562="",0,IFERROR(VLOOKUP(COUNTIF($A$1:A562,"ANALISIS DE PRECIOS"),T_Rendimiento_Equipo,5,FALSE),0))</f>
        <v>0</v>
      </c>
      <c r="G562" s="439">
        <f t="shared" si="165"/>
        <v>0</v>
      </c>
    </row>
    <row r="563" spans="1:7" ht="19.899999999999999" customHeight="1" x14ac:dyDescent="0.2">
      <c r="A563" s="482">
        <f t="shared" si="160"/>
        <v>0</v>
      </c>
      <c r="B563" s="445">
        <f t="shared" si="161"/>
        <v>0</v>
      </c>
      <c r="C563" s="436"/>
      <c r="D563" s="446">
        <f t="shared" si="162"/>
        <v>0</v>
      </c>
      <c r="E563" s="439"/>
      <c r="F563" s="442">
        <f>IF(C563="",0,IFERROR(VLOOKUP(COUNTIF($A$1:A563,"ANALISIS DE PRECIOS"),T_Rendimiento_Equipo,5,FALSE),0))</f>
        <v>0</v>
      </c>
      <c r="G563" s="439">
        <f t="shared" si="165"/>
        <v>0</v>
      </c>
    </row>
    <row r="564" spans="1:7" ht="19.899999999999999" customHeight="1" x14ac:dyDescent="0.2">
      <c r="A564" s="483"/>
      <c r="B564" s="426"/>
      <c r="C564" s="139"/>
      <c r="D564" s="426"/>
      <c r="E564" s="427"/>
      <c r="F564" s="448" t="s">
        <v>27</v>
      </c>
      <c r="G564" s="484">
        <f>SUBTOTAL(9,G555:G563)</f>
        <v>0</v>
      </c>
    </row>
    <row r="565" spans="1:7" ht="19.899999999999999" customHeight="1" x14ac:dyDescent="0.2">
      <c r="A565" s="480"/>
      <c r="B565" s="139"/>
      <c r="C565" s="422" t="s">
        <v>713</v>
      </c>
      <c r="D565" s="426"/>
      <c r="E565" s="427"/>
      <c r="F565" s="428"/>
      <c r="G565" s="481"/>
    </row>
    <row r="566" spans="1:7" ht="19.899999999999999" customHeight="1" x14ac:dyDescent="0.2">
      <c r="A566" s="720" t="s">
        <v>576</v>
      </c>
      <c r="B566" s="721"/>
      <c r="C566" s="722" t="s">
        <v>0</v>
      </c>
      <c r="D566" s="724" t="s">
        <v>24</v>
      </c>
      <c r="E566" s="724" t="s">
        <v>1964</v>
      </c>
      <c r="F566" s="726" t="s">
        <v>975</v>
      </c>
      <c r="G566" s="728" t="s">
        <v>26</v>
      </c>
    </row>
    <row r="567" spans="1:7" ht="19.899999999999999" customHeight="1" x14ac:dyDescent="0.2">
      <c r="A567" s="444" t="s">
        <v>577</v>
      </c>
      <c r="B567" s="444" t="s">
        <v>578</v>
      </c>
      <c r="C567" s="723"/>
      <c r="D567" s="725"/>
      <c r="E567" s="725"/>
      <c r="F567" s="727"/>
      <c r="G567" s="729"/>
    </row>
    <row r="568" spans="1:7" ht="19.899999999999999" customHeight="1" x14ac:dyDescent="0.2">
      <c r="A568" s="482">
        <f t="shared" ref="A568:A574" si="166">IFERROR(VLOOKUP(C568,T_Insumos,4,FALSE),0)</f>
        <v>0</v>
      </c>
      <c r="B568" s="445">
        <f t="shared" ref="B568:B574" si="167">IFERROR(VLOOKUP(C568,T_Insumos,5,FALSE),0)</f>
        <v>0</v>
      </c>
      <c r="C568" s="436">
        <f t="shared" ref="C568:C571" si="168">+C343</f>
        <v>0</v>
      </c>
      <c r="D568" s="442"/>
      <c r="E568" s="439">
        <f t="shared" ref="E568:E574" si="169">IFERROR(VLOOKUP(C568,T_Insumos,3,FALSE),0)</f>
        <v>0</v>
      </c>
      <c r="F568" s="442">
        <f>IF(C568="",0,IFERROR(VLOOKUP(COUNTIF($A$1:A568,"ANALISIS DE PRECIOS"),T_Rendimiento_Equipo,5,FALSE),0))</f>
        <v>0</v>
      </c>
      <c r="G568" s="439">
        <f>IFERROR(ROUND(D568*E568/F568,2),0)</f>
        <v>0</v>
      </c>
    </row>
    <row r="569" spans="1:7" ht="19.899999999999999" customHeight="1" x14ac:dyDescent="0.2">
      <c r="A569" s="482">
        <f t="shared" si="166"/>
        <v>0</v>
      </c>
      <c r="B569" s="445">
        <f t="shared" si="167"/>
        <v>0</v>
      </c>
      <c r="C569" s="436">
        <f t="shared" si="168"/>
        <v>0</v>
      </c>
      <c r="D569" s="442">
        <v>1</v>
      </c>
      <c r="E569" s="439">
        <f t="shared" si="169"/>
        <v>0</v>
      </c>
      <c r="F569" s="442">
        <f>IF(C569="",0,IFERROR(VLOOKUP(COUNTIF($A$1:A569,"ANALISIS DE PRECIOS"),T_Rendimiento_Equipo,5,FALSE),0))</f>
        <v>0</v>
      </c>
      <c r="G569" s="439">
        <f>IFERROR(ROUND(D569*E569/F569,2),0)</f>
        <v>0</v>
      </c>
    </row>
    <row r="570" spans="1:7" ht="19.899999999999999" customHeight="1" x14ac:dyDescent="0.2">
      <c r="A570" s="482">
        <f t="shared" si="166"/>
        <v>0</v>
      </c>
      <c r="B570" s="445">
        <f t="shared" si="167"/>
        <v>0</v>
      </c>
      <c r="C570" s="436">
        <f t="shared" si="168"/>
        <v>0</v>
      </c>
      <c r="D570" s="442"/>
      <c r="E570" s="439">
        <f t="shared" si="169"/>
        <v>0</v>
      </c>
      <c r="F570" s="442">
        <f>IF(C570="",0,IFERROR(VLOOKUP(COUNTIF($A$1:A570,"ANALISIS DE PRECIOS"),T_Rendimiento_Equipo,5,FALSE),0))</f>
        <v>0</v>
      </c>
      <c r="G570" s="439">
        <f t="shared" ref="G570:G574" si="170">IFERROR(ROUND(D570*E570/F570,2),0)</f>
        <v>0</v>
      </c>
    </row>
    <row r="571" spans="1:7" ht="19.899999999999999" customHeight="1" x14ac:dyDescent="0.2">
      <c r="A571" s="482">
        <f t="shared" si="166"/>
        <v>0</v>
      </c>
      <c r="B571" s="445">
        <f t="shared" si="167"/>
        <v>0</v>
      </c>
      <c r="C571" s="436">
        <f t="shared" si="168"/>
        <v>0</v>
      </c>
      <c r="D571" s="442">
        <v>2</v>
      </c>
      <c r="E571" s="439">
        <f t="shared" si="169"/>
        <v>0</v>
      </c>
      <c r="F571" s="442">
        <f>IF(C571="",0,IFERROR(VLOOKUP(COUNTIF($A$1:A571,"ANALISIS DE PRECIOS"),T_Rendimiento_Equipo,5,FALSE),0))</f>
        <v>0</v>
      </c>
      <c r="G571" s="439">
        <f t="shared" si="170"/>
        <v>0</v>
      </c>
    </row>
    <row r="572" spans="1:7" ht="19.899999999999999" customHeight="1" x14ac:dyDescent="0.2">
      <c r="A572" s="482">
        <f t="shared" si="166"/>
        <v>0</v>
      </c>
      <c r="B572" s="445">
        <f t="shared" si="167"/>
        <v>0</v>
      </c>
      <c r="C572" s="436"/>
      <c r="D572" s="442"/>
      <c r="E572" s="439">
        <f t="shared" si="169"/>
        <v>0</v>
      </c>
      <c r="F572" s="442">
        <f>IF(C572="",0,IFERROR(VLOOKUP(COUNTIF($A$1:A572,"ANALISIS DE PRECIOS"),T_Rendimiento_Equipo,5,FALSE),0))</f>
        <v>0</v>
      </c>
      <c r="G572" s="439">
        <f t="shared" si="170"/>
        <v>0</v>
      </c>
    </row>
    <row r="573" spans="1:7" ht="19.899999999999999" customHeight="1" x14ac:dyDescent="0.2">
      <c r="A573" s="482">
        <f t="shared" si="166"/>
        <v>0</v>
      </c>
      <c r="B573" s="445">
        <f t="shared" si="167"/>
        <v>0</v>
      </c>
      <c r="C573" s="436"/>
      <c r="D573" s="450"/>
      <c r="E573" s="439">
        <f t="shared" si="169"/>
        <v>0</v>
      </c>
      <c r="F573" s="442">
        <f>IF(C573="",0,IFERROR(VLOOKUP(COUNTIF($A$1:A573,"ANALISIS DE PRECIOS"),T_Rendimiento_Equipo,5,FALSE),0))</f>
        <v>0</v>
      </c>
      <c r="G573" s="439">
        <f t="shared" si="170"/>
        <v>0</v>
      </c>
    </row>
    <row r="574" spans="1:7" ht="19.899999999999999" customHeight="1" x14ac:dyDescent="0.2">
      <c r="A574" s="482">
        <f t="shared" si="166"/>
        <v>0</v>
      </c>
      <c r="B574" s="445">
        <f t="shared" si="167"/>
        <v>0</v>
      </c>
      <c r="C574" s="445"/>
      <c r="D574" s="451"/>
      <c r="E574" s="439">
        <f t="shared" si="169"/>
        <v>0</v>
      </c>
      <c r="F574" s="442">
        <f>IF(C574="",0,IFERROR(VLOOKUP(COUNTIF($A$1:A574,"ANALISIS DE PRECIOS"),T_Rendimiento_Equipo,5,FALSE),0))</f>
        <v>0</v>
      </c>
      <c r="G574" s="439">
        <f t="shared" si="170"/>
        <v>0</v>
      </c>
    </row>
    <row r="575" spans="1:7" ht="19.899999999999999" customHeight="1" x14ac:dyDescent="0.2">
      <c r="A575" s="483"/>
      <c r="B575" s="426"/>
      <c r="C575" s="139"/>
      <c r="D575" s="426"/>
      <c r="E575" s="427"/>
      <c r="F575" s="448" t="s">
        <v>28</v>
      </c>
      <c r="G575" s="485">
        <f>SUBTOTAL(9,G568:G574)</f>
        <v>0</v>
      </c>
    </row>
    <row r="576" spans="1:7" ht="19.899999999999999" customHeight="1" x14ac:dyDescent="0.2">
      <c r="A576" s="480"/>
      <c r="B576" s="139"/>
      <c r="C576" s="422" t="s">
        <v>982</v>
      </c>
      <c r="D576" s="426"/>
      <c r="E576" s="427"/>
      <c r="F576" s="428"/>
      <c r="G576" s="481"/>
    </row>
    <row r="577" spans="1:7" ht="19.899999999999999" customHeight="1" x14ac:dyDescent="0.2">
      <c r="A577" s="720" t="s">
        <v>576</v>
      </c>
      <c r="B577" s="721"/>
      <c r="C577" s="722" t="s">
        <v>0</v>
      </c>
      <c r="D577" s="722" t="s">
        <v>1725</v>
      </c>
      <c r="E577" s="724" t="s">
        <v>24</v>
      </c>
      <c r="F577" s="726" t="s">
        <v>25</v>
      </c>
      <c r="G577" s="728" t="s">
        <v>26</v>
      </c>
    </row>
    <row r="578" spans="1:7" ht="19.899999999999999" customHeight="1" x14ac:dyDescent="0.2">
      <c r="A578" s="444" t="s">
        <v>577</v>
      </c>
      <c r="B578" s="444" t="s">
        <v>578</v>
      </c>
      <c r="C578" s="723"/>
      <c r="D578" s="723"/>
      <c r="E578" s="725"/>
      <c r="F578" s="727"/>
      <c r="G578" s="729"/>
    </row>
    <row r="579" spans="1:7" ht="19.899999999999999" customHeight="1" x14ac:dyDescent="0.2">
      <c r="A579" s="482">
        <f t="shared" ref="A579:A589" si="171">IFERROR(VLOOKUP(C579,T_Insumos,4,FALSE),0)</f>
        <v>0</v>
      </c>
      <c r="B579" s="445">
        <f t="shared" ref="B579:B589" si="172">IFERROR(VLOOKUP(C579,T_Insumos,5,FALSE),0)</f>
        <v>0</v>
      </c>
      <c r="C579" s="436">
        <f t="shared" ref="C579:C589" si="173">+C354</f>
        <v>0</v>
      </c>
      <c r="D579" s="493">
        <f t="shared" ref="D579:D589" si="174">IFERROR(VLOOKUP(C579,T_Insumos,2,FALSE),0)</f>
        <v>0</v>
      </c>
      <c r="E579" s="437"/>
      <c r="F579" s="439">
        <f t="shared" ref="F579:F589" si="175">IFERROR(VLOOKUP(C579,T_Insumos,3,FALSE),0)</f>
        <v>0</v>
      </c>
      <c r="G579" s="439">
        <f>ROUND(E579*F579,2)</f>
        <v>0</v>
      </c>
    </row>
    <row r="580" spans="1:7" ht="19.899999999999999" customHeight="1" x14ac:dyDescent="0.2">
      <c r="A580" s="482">
        <f t="shared" si="171"/>
        <v>0</v>
      </c>
      <c r="B580" s="445">
        <f t="shared" si="172"/>
        <v>0</v>
      </c>
      <c r="C580" s="436">
        <f t="shared" si="173"/>
        <v>0</v>
      </c>
      <c r="D580" s="493">
        <f t="shared" si="174"/>
        <v>0</v>
      </c>
      <c r="E580" s="437"/>
      <c r="F580" s="439">
        <f t="shared" si="175"/>
        <v>0</v>
      </c>
      <c r="G580" s="439">
        <f t="shared" ref="G580:G589" si="176">ROUND(E580*F580,2)</f>
        <v>0</v>
      </c>
    </row>
    <row r="581" spans="1:7" ht="19.899999999999999" customHeight="1" x14ac:dyDescent="0.2">
      <c r="A581" s="482">
        <f t="shared" si="171"/>
        <v>0</v>
      </c>
      <c r="B581" s="445">
        <f t="shared" si="172"/>
        <v>0</v>
      </c>
      <c r="C581" s="436">
        <f t="shared" si="173"/>
        <v>0</v>
      </c>
      <c r="D581" s="493">
        <f t="shared" si="174"/>
        <v>0</v>
      </c>
      <c r="E581" s="437"/>
      <c r="F581" s="439">
        <f t="shared" si="175"/>
        <v>0</v>
      </c>
      <c r="G581" s="439">
        <f t="shared" si="176"/>
        <v>0</v>
      </c>
    </row>
    <row r="582" spans="1:7" ht="19.899999999999999" customHeight="1" x14ac:dyDescent="0.2">
      <c r="A582" s="482">
        <f t="shared" si="171"/>
        <v>0</v>
      </c>
      <c r="B582" s="445">
        <f t="shared" si="172"/>
        <v>0</v>
      </c>
      <c r="C582" s="436">
        <f t="shared" si="173"/>
        <v>0</v>
      </c>
      <c r="D582" s="493">
        <f t="shared" si="174"/>
        <v>0</v>
      </c>
      <c r="E582" s="437"/>
      <c r="F582" s="439">
        <f t="shared" si="175"/>
        <v>0</v>
      </c>
      <c r="G582" s="439">
        <f t="shared" si="176"/>
        <v>0</v>
      </c>
    </row>
    <row r="583" spans="1:7" ht="19.899999999999999" customHeight="1" x14ac:dyDescent="0.2">
      <c r="A583" s="482">
        <f t="shared" si="171"/>
        <v>0</v>
      </c>
      <c r="B583" s="445">
        <f t="shared" si="172"/>
        <v>0</v>
      </c>
      <c r="C583" s="436">
        <f t="shared" si="173"/>
        <v>0</v>
      </c>
      <c r="D583" s="493">
        <f t="shared" si="174"/>
        <v>0</v>
      </c>
      <c r="E583" s="437"/>
      <c r="F583" s="439">
        <f t="shared" si="175"/>
        <v>0</v>
      </c>
      <c r="G583" s="439">
        <f t="shared" si="176"/>
        <v>0</v>
      </c>
    </row>
    <row r="584" spans="1:7" ht="19.899999999999999" customHeight="1" x14ac:dyDescent="0.2">
      <c r="A584" s="482">
        <f t="shared" si="171"/>
        <v>0</v>
      </c>
      <c r="B584" s="445">
        <f t="shared" si="172"/>
        <v>0</v>
      </c>
      <c r="C584" s="436">
        <f t="shared" si="173"/>
        <v>0</v>
      </c>
      <c r="D584" s="493">
        <f t="shared" si="174"/>
        <v>0</v>
      </c>
      <c r="E584" s="437"/>
      <c r="F584" s="439">
        <f t="shared" si="175"/>
        <v>0</v>
      </c>
      <c r="G584" s="439">
        <f t="shared" si="176"/>
        <v>0</v>
      </c>
    </row>
    <row r="585" spans="1:7" ht="19.899999999999999" customHeight="1" x14ac:dyDescent="0.2">
      <c r="A585" s="482">
        <f t="shared" si="171"/>
        <v>0</v>
      </c>
      <c r="B585" s="445">
        <f t="shared" si="172"/>
        <v>0</v>
      </c>
      <c r="C585" s="436">
        <f t="shared" si="173"/>
        <v>0</v>
      </c>
      <c r="D585" s="493">
        <f t="shared" si="174"/>
        <v>0</v>
      </c>
      <c r="E585" s="437"/>
      <c r="F585" s="439">
        <f t="shared" si="175"/>
        <v>0</v>
      </c>
      <c r="G585" s="439">
        <f t="shared" si="176"/>
        <v>0</v>
      </c>
    </row>
    <row r="586" spans="1:7" ht="19.899999999999999" customHeight="1" x14ac:dyDescent="0.2">
      <c r="A586" s="482">
        <f t="shared" si="171"/>
        <v>0</v>
      </c>
      <c r="B586" s="445">
        <f t="shared" si="172"/>
        <v>0</v>
      </c>
      <c r="C586" s="436">
        <f t="shared" si="173"/>
        <v>0</v>
      </c>
      <c r="D586" s="493">
        <f t="shared" si="174"/>
        <v>0</v>
      </c>
      <c r="E586" s="437"/>
      <c r="F586" s="439">
        <f t="shared" si="175"/>
        <v>0</v>
      </c>
      <c r="G586" s="439">
        <f t="shared" si="176"/>
        <v>0</v>
      </c>
    </row>
    <row r="587" spans="1:7" ht="19.899999999999999" customHeight="1" x14ac:dyDescent="0.2">
      <c r="A587" s="482">
        <f t="shared" si="171"/>
        <v>0</v>
      </c>
      <c r="B587" s="445">
        <f t="shared" si="172"/>
        <v>0</v>
      </c>
      <c r="C587" s="436">
        <f t="shared" si="173"/>
        <v>0</v>
      </c>
      <c r="D587" s="493">
        <f t="shared" si="174"/>
        <v>0</v>
      </c>
      <c r="E587" s="437"/>
      <c r="F587" s="439">
        <f t="shared" si="175"/>
        <v>0</v>
      </c>
      <c r="G587" s="439">
        <f t="shared" si="176"/>
        <v>0</v>
      </c>
    </row>
    <row r="588" spans="1:7" ht="19.899999999999999" customHeight="1" x14ac:dyDescent="0.2">
      <c r="A588" s="482">
        <f t="shared" si="171"/>
        <v>0</v>
      </c>
      <c r="B588" s="445">
        <f t="shared" si="172"/>
        <v>0</v>
      </c>
      <c r="C588" s="436">
        <f t="shared" si="173"/>
        <v>0</v>
      </c>
      <c r="D588" s="493">
        <f t="shared" si="174"/>
        <v>0</v>
      </c>
      <c r="E588" s="437"/>
      <c r="F588" s="439">
        <f t="shared" si="175"/>
        <v>0</v>
      </c>
      <c r="G588" s="439">
        <f t="shared" si="176"/>
        <v>0</v>
      </c>
    </row>
    <row r="589" spans="1:7" ht="19.899999999999999" customHeight="1" x14ac:dyDescent="0.2">
      <c r="A589" s="482">
        <f t="shared" si="171"/>
        <v>0</v>
      </c>
      <c r="B589" s="445">
        <f t="shared" si="172"/>
        <v>0</v>
      </c>
      <c r="C589" s="436">
        <f t="shared" si="173"/>
        <v>0</v>
      </c>
      <c r="D589" s="493">
        <f t="shared" si="174"/>
        <v>0</v>
      </c>
      <c r="E589" s="437"/>
      <c r="F589" s="439">
        <f t="shared" si="175"/>
        <v>0</v>
      </c>
      <c r="G589" s="439">
        <f t="shared" si="176"/>
        <v>0</v>
      </c>
    </row>
    <row r="590" spans="1:7" ht="19.899999999999999" customHeight="1" x14ac:dyDescent="0.2">
      <c r="A590" s="480"/>
      <c r="B590" s="139"/>
      <c r="C590" s="139"/>
      <c r="D590" s="426"/>
      <c r="E590" s="427"/>
      <c r="F590" s="448" t="s">
        <v>29</v>
      </c>
      <c r="G590" s="485">
        <f>SUBTOTAL(9,G579:G589)</f>
        <v>0</v>
      </c>
    </row>
    <row r="591" spans="1:7" ht="19.899999999999999" customHeight="1" x14ac:dyDescent="0.2">
      <c r="A591" s="480"/>
      <c r="B591" s="139"/>
      <c r="C591" s="422" t="s">
        <v>983</v>
      </c>
      <c r="D591" s="426"/>
      <c r="E591" s="427"/>
      <c r="F591" s="428"/>
      <c r="G591" s="481"/>
    </row>
    <row r="592" spans="1:7" ht="19.899999999999999" customHeight="1" x14ac:dyDescent="0.2">
      <c r="A592" s="720" t="s">
        <v>576</v>
      </c>
      <c r="B592" s="721"/>
      <c r="C592" s="722" t="s">
        <v>0</v>
      </c>
      <c r="D592" s="722" t="s">
        <v>1725</v>
      </c>
      <c r="E592" s="724" t="s">
        <v>24</v>
      </c>
      <c r="F592" s="726" t="s">
        <v>25</v>
      </c>
      <c r="G592" s="728" t="s">
        <v>26</v>
      </c>
    </row>
    <row r="593" spans="1:7" ht="19.899999999999999" customHeight="1" x14ac:dyDescent="0.2">
      <c r="A593" s="444" t="s">
        <v>577</v>
      </c>
      <c r="B593" s="444" t="s">
        <v>578</v>
      </c>
      <c r="C593" s="723"/>
      <c r="D593" s="723"/>
      <c r="E593" s="725"/>
      <c r="F593" s="727"/>
      <c r="G593" s="729"/>
    </row>
    <row r="594" spans="1:7" ht="19.899999999999999" customHeight="1" x14ac:dyDescent="0.2">
      <c r="A594" s="482">
        <f>IFERROR(VLOOKUP(C594,T_Insumos,4,FALSE),0)</f>
        <v>0</v>
      </c>
      <c r="B594" s="445">
        <f>IFERROR(VLOOKUP(C594,T_Insumos,5,FALSE),0)</f>
        <v>0</v>
      </c>
      <c r="C594" s="436"/>
      <c r="D594" s="493">
        <f>IF(C594=0,0,"$/tnkm")</f>
        <v>0</v>
      </c>
      <c r="E594" s="437"/>
      <c r="F594" s="439">
        <f>IFERROR(VLOOKUP(C594,T_Insumos,3,FALSE),0)</f>
        <v>0</v>
      </c>
      <c r="G594" s="439">
        <f>ROUND(E594*F594,2)</f>
        <v>0</v>
      </c>
    </row>
    <row r="595" spans="1:7" ht="19.899999999999999" customHeight="1" x14ac:dyDescent="0.2">
      <c r="A595" s="482">
        <f>IFERROR(VLOOKUP(C595,T_Insumos,4,FALSE),0)</f>
        <v>0</v>
      </c>
      <c r="B595" s="445">
        <f>IFERROR(VLOOKUP(C595,T_Insumos,5,FALSE),0)</f>
        <v>0</v>
      </c>
      <c r="C595" s="436"/>
      <c r="D595" s="493">
        <f>IF(C595=0,0,"$/tnkm")</f>
        <v>0</v>
      </c>
      <c r="E595" s="453"/>
      <c r="F595" s="439">
        <f>IFERROR(VLOOKUP(C595,T_Insumos,3,FALSE),0)</f>
        <v>0</v>
      </c>
      <c r="G595" s="439">
        <f t="shared" ref="G595" si="177">ROUND(E595*F595,2)</f>
        <v>0</v>
      </c>
    </row>
    <row r="596" spans="1:7" ht="19.899999999999999" customHeight="1" x14ac:dyDescent="0.2">
      <c r="A596" s="480"/>
      <c r="B596" s="139"/>
      <c r="C596" s="139"/>
      <c r="D596" s="426"/>
      <c r="E596" s="427"/>
      <c r="F596" s="448" t="s">
        <v>984</v>
      </c>
      <c r="G596" s="485">
        <f>SUBTOTAL(9,G594:G595)</f>
        <v>0</v>
      </c>
    </row>
    <row r="597" spans="1:7" ht="19.899999999999999" customHeight="1" x14ac:dyDescent="0.2">
      <c r="A597" s="483"/>
      <c r="B597" s="426"/>
      <c r="C597" s="139"/>
      <c r="D597" s="426"/>
      <c r="E597" s="427"/>
      <c r="F597" s="428"/>
      <c r="G597" s="481"/>
    </row>
    <row r="598" spans="1:7" ht="19.899999999999999" customHeight="1" x14ac:dyDescent="0.2">
      <c r="A598" s="541" t="str">
        <f>B532</f>
        <v>2.7</v>
      </c>
      <c r="B598" s="538" t="str">
        <f ca="1">C532</f>
        <v>Hormigón de Limpieza</v>
      </c>
      <c r="C598" s="426"/>
      <c r="D598" s="426" t="s">
        <v>1704</v>
      </c>
      <c r="E598" s="539"/>
      <c r="F598" s="540" t="str">
        <f ca="1">"$/"&amp;G532</f>
        <v>$/M3</v>
      </c>
      <c r="G598" s="490">
        <f>SUBTOTAL(9,G555:G597)</f>
        <v>0</v>
      </c>
    </row>
    <row r="599" spans="1:7" ht="19.899999999999999" customHeight="1" x14ac:dyDescent="0.2">
      <c r="A599" s="486"/>
      <c r="B599" s="487"/>
      <c r="C599" s="488"/>
      <c r="D599" s="488" t="s">
        <v>1900</v>
      </c>
      <c r="E599" s="489"/>
      <c r="F599" s="542" t="str">
        <f ca="1">"$/"&amp;G532</f>
        <v>$/M3</v>
      </c>
      <c r="G599" s="490">
        <f>ROUND(G598*Coeficiente_Paso,2)</f>
        <v>0</v>
      </c>
    </row>
    <row r="600" spans="1:7" ht="19.899999999999999" customHeight="1" x14ac:dyDescent="0.2">
      <c r="A600" s="139"/>
      <c r="B600" s="139"/>
      <c r="C600" s="139"/>
      <c r="D600" s="139"/>
      <c r="E600" s="139"/>
      <c r="F600" s="139"/>
      <c r="G600" s="139"/>
    </row>
    <row r="601" spans="1:7" ht="19.899999999999999" customHeight="1" x14ac:dyDescent="0.2">
      <c r="A601" s="730" t="s">
        <v>31</v>
      </c>
      <c r="B601" s="731"/>
      <c r="C601" s="731"/>
      <c r="D601" s="731"/>
      <c r="E601" s="731"/>
      <c r="F601" s="731"/>
      <c r="G601" s="732"/>
    </row>
    <row r="602" spans="1:7" ht="19.899999999999999" customHeight="1" x14ac:dyDescent="0.2">
      <c r="A602" s="469" t="s">
        <v>711</v>
      </c>
      <c r="B602" s="420" t="str">
        <f>Comitente</f>
        <v>DEPARTAMENTO DE HIDRAULICA</v>
      </c>
      <c r="C602" s="421"/>
      <c r="D602" s="422"/>
      <c r="E602" s="422"/>
      <c r="F602" s="423"/>
      <c r="G602" s="470"/>
    </row>
    <row r="603" spans="1:7" ht="19.899999999999999" customHeight="1" x14ac:dyDescent="0.2">
      <c r="A603" s="469" t="s">
        <v>712</v>
      </c>
      <c r="B603" s="420">
        <f>Contratista</f>
        <v>0</v>
      </c>
      <c r="C603" s="424"/>
      <c r="D603" s="424"/>
      <c r="E603" s="424"/>
      <c r="F603" s="420"/>
      <c r="G603" s="471"/>
    </row>
    <row r="604" spans="1:7" ht="19.899999999999999" customHeight="1" x14ac:dyDescent="0.2">
      <c r="A604" s="469" t="s">
        <v>21</v>
      </c>
      <c r="B604" s="420" t="str">
        <f>Obra</f>
        <v>Encamisado Parcial del Canal de Calle América</v>
      </c>
      <c r="C604" s="424"/>
      <c r="D604" s="424"/>
      <c r="E604" s="424"/>
      <c r="F604" s="420" t="s">
        <v>32</v>
      </c>
      <c r="G604" s="471" t="str">
        <f>Fecha_Base</f>
        <v>X/X/2023</v>
      </c>
    </row>
    <row r="605" spans="1:7" ht="19.899999999999999" customHeight="1" x14ac:dyDescent="0.2">
      <c r="A605" s="472" t="s">
        <v>710</v>
      </c>
      <c r="B605" s="425" t="str">
        <f>Ubicación</f>
        <v>Departamento Rawson</v>
      </c>
      <c r="C605" s="425"/>
      <c r="D605" s="426"/>
      <c r="E605" s="427"/>
      <c r="F605" s="428"/>
      <c r="G605" s="473"/>
    </row>
    <row r="606" spans="1:7" ht="19.899999999999999" customHeight="1" x14ac:dyDescent="0.2">
      <c r="A606" s="472" t="s">
        <v>33</v>
      </c>
      <c r="B606" s="429">
        <f>IFERROR(VALUE(LEFT(B607,FIND(".",B607)-1)),"")</f>
        <v>2</v>
      </c>
      <c r="C606" s="139" t="str">
        <f ca="1">IFERROR(VLOOKUP(B606,T_Computo_Presupuesto,2,FALSE),0)</f>
        <v>CANAL AMÉRICA</v>
      </c>
      <c r="D606" s="139"/>
      <c r="E606" s="427"/>
      <c r="F606" s="428"/>
      <c r="G606" s="473"/>
    </row>
    <row r="607" spans="1:7" ht="19.899999999999999" customHeight="1" x14ac:dyDescent="0.2">
      <c r="A607" s="472" t="s">
        <v>22</v>
      </c>
      <c r="B607" s="430" t="str">
        <f>IFERROR(VLOOKUP(COUNTIF($A$1:A607,"ANALISIS DE PRECIOS"),T_NumeroItem,2,FALSE),"")</f>
        <v>2.8</v>
      </c>
      <c r="C607" s="733" t="str">
        <f ca="1">IFERROR(VLOOKUP(B607,T_Computo_Presupuesto,2,FALSE),0)</f>
        <v>Hormigón H21</v>
      </c>
      <c r="D607" s="733"/>
      <c r="E607" s="733"/>
      <c r="F607" s="425" t="s">
        <v>23</v>
      </c>
      <c r="G607" s="474" t="str">
        <f ca="1">IFERROR(VLOOKUP(B607,T_Computo_Presupuesto,4,FALSE),0)</f>
        <v>M3</v>
      </c>
    </row>
    <row r="608" spans="1:7" ht="19.899999999999999" customHeight="1" x14ac:dyDescent="0.2">
      <c r="A608" s="472"/>
      <c r="B608" s="425"/>
      <c r="C608" s="139"/>
      <c r="D608" s="426"/>
      <c r="E608" s="427"/>
      <c r="F608" s="139"/>
      <c r="G608" s="475"/>
    </row>
    <row r="609" spans="1:7" ht="19.899999999999999" customHeight="1" x14ac:dyDescent="0.2">
      <c r="A609" s="476"/>
      <c r="B609" s="431"/>
      <c r="C609" s="432" t="s">
        <v>967</v>
      </c>
      <c r="D609" s="431"/>
      <c r="E609" s="431"/>
      <c r="F609" s="431"/>
      <c r="G609" s="477"/>
    </row>
    <row r="610" spans="1:7" ht="19.899999999999999" customHeight="1" x14ac:dyDescent="0.2">
      <c r="A610" s="472"/>
      <c r="B610" s="433"/>
      <c r="C610" s="139"/>
      <c r="D610" s="426"/>
      <c r="E610" s="427"/>
      <c r="F610" s="425"/>
      <c r="G610" s="474"/>
    </row>
    <row r="611" spans="1:7" ht="19.899999999999999" customHeight="1" x14ac:dyDescent="0.2">
      <c r="A611" s="472"/>
      <c r="B611" s="433"/>
      <c r="C611" s="434" t="s">
        <v>968</v>
      </c>
      <c r="D611" s="435" t="s">
        <v>24</v>
      </c>
      <c r="E611" s="435" t="s">
        <v>969</v>
      </c>
      <c r="F611" s="435" t="s">
        <v>970</v>
      </c>
      <c r="G611" s="434" t="s">
        <v>971</v>
      </c>
    </row>
    <row r="612" spans="1:7" ht="19.899999999999999" customHeight="1" x14ac:dyDescent="0.2">
      <c r="A612" s="472"/>
      <c r="B612" s="433"/>
      <c r="C612" s="436">
        <f>+C387</f>
        <v>0</v>
      </c>
      <c r="D612" s="436">
        <f>+D387</f>
        <v>0</v>
      </c>
      <c r="E612" s="438">
        <f t="shared" ref="E612:E621" si="178">IFERROR(VLOOKUP(C612,T_Equipos,4,FALSE),0)</f>
        <v>0</v>
      </c>
      <c r="F612" s="439">
        <f t="shared" ref="F612:F621" si="179">IFERROR(VLOOKUP(C612,T_Equipos,5,FALSE),0)</f>
        <v>0</v>
      </c>
      <c r="G612" s="439">
        <f>ROUND(D612*F612,2)</f>
        <v>0</v>
      </c>
    </row>
    <row r="613" spans="1:7" ht="19.899999999999999" customHeight="1" x14ac:dyDescent="0.2">
      <c r="A613" s="472"/>
      <c r="B613" s="433"/>
      <c r="C613" s="436">
        <f t="shared" ref="C613:D617" si="180">+C388</f>
        <v>0</v>
      </c>
      <c r="D613" s="436">
        <f t="shared" si="180"/>
        <v>0</v>
      </c>
      <c r="E613" s="438">
        <f t="shared" si="178"/>
        <v>0</v>
      </c>
      <c r="F613" s="439">
        <f t="shared" si="179"/>
        <v>0</v>
      </c>
      <c r="G613" s="439">
        <f>ROUND(D613*F613,2)</f>
        <v>0</v>
      </c>
    </row>
    <row r="614" spans="1:7" ht="19.899999999999999" customHeight="1" x14ac:dyDescent="0.2">
      <c r="A614" s="472"/>
      <c r="B614" s="433"/>
      <c r="C614" s="436">
        <f t="shared" si="180"/>
        <v>0</v>
      </c>
      <c r="D614" s="436"/>
      <c r="E614" s="438">
        <f t="shared" si="178"/>
        <v>0</v>
      </c>
      <c r="F614" s="439">
        <f t="shared" si="179"/>
        <v>0</v>
      </c>
      <c r="G614" s="439">
        <f>ROUND(D614*F614,2)</f>
        <v>0</v>
      </c>
    </row>
    <row r="615" spans="1:7" ht="19.899999999999999" customHeight="1" x14ac:dyDescent="0.2">
      <c r="A615" s="472"/>
      <c r="B615" s="433"/>
      <c r="C615" s="436">
        <f t="shared" si="180"/>
        <v>0</v>
      </c>
      <c r="D615" s="436"/>
      <c r="E615" s="438">
        <f t="shared" si="178"/>
        <v>0</v>
      </c>
      <c r="F615" s="439">
        <f t="shared" si="179"/>
        <v>0</v>
      </c>
      <c r="G615" s="439">
        <f>ROUND(D615*F615,2)</f>
        <v>0</v>
      </c>
    </row>
    <row r="616" spans="1:7" ht="19.899999999999999" customHeight="1" x14ac:dyDescent="0.2">
      <c r="A616" s="472"/>
      <c r="B616" s="433"/>
      <c r="C616" s="436">
        <f t="shared" si="180"/>
        <v>0</v>
      </c>
      <c r="D616" s="436"/>
      <c r="E616" s="438">
        <f t="shared" si="178"/>
        <v>0</v>
      </c>
      <c r="F616" s="439">
        <f t="shared" si="179"/>
        <v>0</v>
      </c>
      <c r="G616" s="439">
        <f t="shared" ref="G616:G621" si="181">ROUND(D616*F616,2)</f>
        <v>0</v>
      </c>
    </row>
    <row r="617" spans="1:7" ht="19.899999999999999" customHeight="1" x14ac:dyDescent="0.2">
      <c r="A617" s="472"/>
      <c r="B617" s="433"/>
      <c r="C617" s="436">
        <f t="shared" si="180"/>
        <v>0</v>
      </c>
      <c r="D617" s="436"/>
      <c r="E617" s="438">
        <f t="shared" si="178"/>
        <v>0</v>
      </c>
      <c r="F617" s="439">
        <f t="shared" si="179"/>
        <v>0</v>
      </c>
      <c r="G617" s="439">
        <f t="shared" si="181"/>
        <v>0</v>
      </c>
    </row>
    <row r="618" spans="1:7" ht="19.899999999999999" customHeight="1" x14ac:dyDescent="0.2">
      <c r="A618" s="472"/>
      <c r="B618" s="433"/>
      <c r="C618" s="436">
        <f t="shared" ref="C618:D618" si="182">+C393</f>
        <v>0</v>
      </c>
      <c r="D618" s="436">
        <f t="shared" si="182"/>
        <v>0</v>
      </c>
      <c r="E618" s="438">
        <f t="shared" si="178"/>
        <v>0</v>
      </c>
      <c r="F618" s="439">
        <f t="shared" si="179"/>
        <v>0</v>
      </c>
      <c r="G618" s="439">
        <f t="shared" si="181"/>
        <v>0</v>
      </c>
    </row>
    <row r="619" spans="1:7" ht="19.899999999999999" customHeight="1" x14ac:dyDescent="0.2">
      <c r="A619" s="472"/>
      <c r="B619" s="433"/>
      <c r="C619" s="436">
        <f t="shared" ref="C619:D619" si="183">+C394</f>
        <v>0</v>
      </c>
      <c r="D619" s="436">
        <f t="shared" si="183"/>
        <v>0</v>
      </c>
      <c r="E619" s="438">
        <f t="shared" si="178"/>
        <v>0</v>
      </c>
      <c r="F619" s="439">
        <f t="shared" si="179"/>
        <v>0</v>
      </c>
      <c r="G619" s="439">
        <f t="shared" si="181"/>
        <v>0</v>
      </c>
    </row>
    <row r="620" spans="1:7" ht="19.899999999999999" customHeight="1" x14ac:dyDescent="0.2">
      <c r="A620" s="472"/>
      <c r="B620" s="433"/>
      <c r="C620" s="436"/>
      <c r="D620" s="437"/>
      <c r="E620" s="438">
        <f t="shared" si="178"/>
        <v>0</v>
      </c>
      <c r="F620" s="439">
        <f t="shared" si="179"/>
        <v>0</v>
      </c>
      <c r="G620" s="439">
        <f t="shared" si="181"/>
        <v>0</v>
      </c>
    </row>
    <row r="621" spans="1:7" ht="19.899999999999999" customHeight="1" x14ac:dyDescent="0.2">
      <c r="A621" s="472"/>
      <c r="B621" s="433"/>
      <c r="C621" s="436"/>
      <c r="D621" s="437"/>
      <c r="E621" s="438">
        <f t="shared" si="178"/>
        <v>0</v>
      </c>
      <c r="F621" s="439">
        <f t="shared" si="179"/>
        <v>0</v>
      </c>
      <c r="G621" s="439">
        <f t="shared" si="181"/>
        <v>0</v>
      </c>
    </row>
    <row r="622" spans="1:7" ht="19.899999999999999" customHeight="1" x14ac:dyDescent="0.2">
      <c r="A622" s="472"/>
      <c r="B622" s="433"/>
      <c r="C622" s="139"/>
      <c r="D622" s="139"/>
      <c r="E622" s="440"/>
      <c r="F622" s="425"/>
      <c r="G622" s="474"/>
    </row>
    <row r="623" spans="1:7" ht="19.899999999999999" customHeight="1" x14ac:dyDescent="0.2">
      <c r="A623" s="472"/>
      <c r="B623" s="139"/>
      <c r="C623" s="422" t="s">
        <v>972</v>
      </c>
      <c r="D623" s="425" t="s">
        <v>969</v>
      </c>
      <c r="E623" s="491">
        <f>SUMPRODUCT(D612:D621,E612:E621)</f>
        <v>0</v>
      </c>
      <c r="F623" s="425" t="s">
        <v>973</v>
      </c>
      <c r="G623" s="492">
        <f>SUM(G612:G621)</f>
        <v>0</v>
      </c>
    </row>
    <row r="624" spans="1:7" ht="19.899999999999999" customHeight="1" x14ac:dyDescent="0.2">
      <c r="A624" s="472"/>
      <c r="B624" s="433"/>
      <c r="C624" s="441"/>
      <c r="D624" s="440"/>
      <c r="E624" s="427"/>
      <c r="F624" s="425"/>
      <c r="G624" s="478"/>
    </row>
    <row r="625" spans="1:7" ht="19.899999999999999" customHeight="1" x14ac:dyDescent="0.2">
      <c r="A625" s="479"/>
      <c r="B625" s="433"/>
      <c r="C625" s="425" t="s">
        <v>974</v>
      </c>
      <c r="D625" s="442">
        <f>IFERROR(VLOOKUP(COUNTIF($A$1:A625,"ANALISIS DE PRECIOS"),T_Rendimiento_Equipo,5,FALSE),0)</f>
        <v>0</v>
      </c>
      <c r="E625" s="443" t="str">
        <f ca="1">G607&amp;"/día"</f>
        <v>M3/día</v>
      </c>
      <c r="F625" s="419"/>
      <c r="G625" s="474"/>
    </row>
    <row r="626" spans="1:7" ht="19.899999999999999" customHeight="1" x14ac:dyDescent="0.2">
      <c r="A626" s="472"/>
      <c r="B626" s="433"/>
      <c r="C626" s="139"/>
      <c r="D626" s="426"/>
      <c r="E626" s="427"/>
      <c r="F626" s="425"/>
      <c r="G626" s="474"/>
    </row>
    <row r="627" spans="1:7" ht="19.899999999999999" customHeight="1" x14ac:dyDescent="0.2">
      <c r="A627" s="720" t="s">
        <v>576</v>
      </c>
      <c r="B627" s="721"/>
      <c r="C627" s="722" t="s">
        <v>0</v>
      </c>
      <c r="D627" s="734" t="s">
        <v>1724</v>
      </c>
      <c r="E627" s="734" t="s">
        <v>1723</v>
      </c>
      <c r="F627" s="726" t="s">
        <v>975</v>
      </c>
      <c r="G627" s="728" t="s">
        <v>26</v>
      </c>
    </row>
    <row r="628" spans="1:7" ht="19.899999999999999" customHeight="1" x14ac:dyDescent="0.2">
      <c r="A628" s="444" t="s">
        <v>577</v>
      </c>
      <c r="B628" s="444" t="s">
        <v>578</v>
      </c>
      <c r="C628" s="723"/>
      <c r="D628" s="735"/>
      <c r="E628" s="725"/>
      <c r="F628" s="727"/>
      <c r="G628" s="729"/>
    </row>
    <row r="629" spans="1:7" ht="19.899999999999999" customHeight="1" x14ac:dyDescent="0.2">
      <c r="A629" s="480"/>
      <c r="B629" s="139"/>
      <c r="C629" s="422" t="s">
        <v>976</v>
      </c>
      <c r="D629" s="427"/>
      <c r="E629" s="427"/>
      <c r="F629" s="139"/>
      <c r="G629" s="481"/>
    </row>
    <row r="630" spans="1:7" ht="19.899999999999999" customHeight="1" x14ac:dyDescent="0.2">
      <c r="A630" s="482">
        <f t="shared" ref="A630:A638" si="184">IFERROR(VLOOKUP(C630,T_Insumos,4,FALSE),0)</f>
        <v>0</v>
      </c>
      <c r="B630" s="445">
        <f t="shared" ref="B630:B638" si="185">IFERROR(VLOOKUP(C630,T_Insumos,5,FALSE),0)</f>
        <v>0</v>
      </c>
      <c r="C630" s="436">
        <f>+C330</f>
        <v>0</v>
      </c>
      <c r="D630" s="446">
        <f t="shared" ref="D630:D638" si="186">IFERROR(VLOOKUP(C630,T_Insumos,3,FALSE),0)</f>
        <v>0</v>
      </c>
      <c r="E630" s="439">
        <f>D630*$G$323</f>
        <v>0</v>
      </c>
      <c r="F630" s="442">
        <f>IF(C630="",0,IFERROR(VLOOKUP(COUNTIF($A$1:A630,"ANALISIS DE PRECIOS"),T_Rendimiento_Equipo,5,FALSE),0))</f>
        <v>0</v>
      </c>
      <c r="G630" s="439">
        <f>IFERROR(ROUND(E630/F630,2),0)</f>
        <v>0</v>
      </c>
    </row>
    <row r="631" spans="1:7" ht="19.899999999999999" customHeight="1" x14ac:dyDescent="0.2">
      <c r="A631" s="482">
        <f t="shared" si="184"/>
        <v>0</v>
      </c>
      <c r="B631" s="445">
        <f t="shared" si="185"/>
        <v>0</v>
      </c>
      <c r="C631" s="436">
        <f t="shared" ref="C631:C633" si="187">+C331</f>
        <v>0</v>
      </c>
      <c r="D631" s="446">
        <f t="shared" si="186"/>
        <v>0</v>
      </c>
      <c r="E631" s="439">
        <f t="shared" ref="E631:E632" si="188">D631*$G$323</f>
        <v>0</v>
      </c>
      <c r="F631" s="442">
        <f>IF(C631="",0,IFERROR(VLOOKUP(COUNTIF($A$1:A631,"ANALISIS DE PRECIOS"),T_Rendimiento_Equipo,5,FALSE),0))</f>
        <v>0</v>
      </c>
      <c r="G631" s="439">
        <f t="shared" ref="G631:G638" si="189">IFERROR(ROUND(E631/F631,2),0)</f>
        <v>0</v>
      </c>
    </row>
    <row r="632" spans="1:7" ht="19.899999999999999" customHeight="1" x14ac:dyDescent="0.2">
      <c r="A632" s="482">
        <f t="shared" si="184"/>
        <v>0</v>
      </c>
      <c r="B632" s="445">
        <f t="shared" si="185"/>
        <v>0</v>
      </c>
      <c r="C632" s="436">
        <f t="shared" si="187"/>
        <v>0</v>
      </c>
      <c r="D632" s="446">
        <f t="shared" si="186"/>
        <v>0</v>
      </c>
      <c r="E632" s="439">
        <f t="shared" si="188"/>
        <v>0</v>
      </c>
      <c r="F632" s="442">
        <f>IF(C632="",0,IFERROR(VLOOKUP(COUNTIF($A$1:A632,"ANALISIS DE PRECIOS"),T_Rendimiento_Equipo,5,FALSE),0))</f>
        <v>0</v>
      </c>
      <c r="G632" s="439">
        <f t="shared" si="189"/>
        <v>0</v>
      </c>
    </row>
    <row r="633" spans="1:7" ht="19.899999999999999" customHeight="1" x14ac:dyDescent="0.2">
      <c r="A633" s="482">
        <f t="shared" si="184"/>
        <v>0</v>
      </c>
      <c r="B633" s="445">
        <f t="shared" si="185"/>
        <v>0</v>
      </c>
      <c r="C633" s="436">
        <f t="shared" si="187"/>
        <v>0</v>
      </c>
      <c r="D633" s="446">
        <f t="shared" si="186"/>
        <v>0</v>
      </c>
      <c r="E633" s="439">
        <f>D633*$E$323</f>
        <v>0</v>
      </c>
      <c r="F633" s="442">
        <f>IF(C633="",0,IFERROR(VLOOKUP(COUNTIF($A$1:A633,"ANALISIS DE PRECIOS"),T_Rendimiento_Equipo,5,FALSE),0))</f>
        <v>0</v>
      </c>
      <c r="G633" s="439">
        <f t="shared" si="189"/>
        <v>0</v>
      </c>
    </row>
    <row r="634" spans="1:7" ht="19.899999999999999" customHeight="1" x14ac:dyDescent="0.2">
      <c r="A634" s="482">
        <f t="shared" si="184"/>
        <v>0</v>
      </c>
      <c r="B634" s="445">
        <f t="shared" si="185"/>
        <v>0</v>
      </c>
      <c r="C634" s="447"/>
      <c r="D634" s="446">
        <f t="shared" si="186"/>
        <v>0</v>
      </c>
      <c r="E634" s="439"/>
      <c r="F634" s="442">
        <f>IF(C634="",0,IFERROR(VLOOKUP(COUNTIF($A$1:A634,"ANALISIS DE PRECIOS"),T_Rendimiento_Equipo,5,FALSE),0))</f>
        <v>0</v>
      </c>
      <c r="G634" s="439">
        <f t="shared" si="189"/>
        <v>0</v>
      </c>
    </row>
    <row r="635" spans="1:7" ht="19.899999999999999" customHeight="1" x14ac:dyDescent="0.2">
      <c r="A635" s="482">
        <f t="shared" si="184"/>
        <v>0</v>
      </c>
      <c r="B635" s="445">
        <f t="shared" si="185"/>
        <v>0</v>
      </c>
      <c r="C635" s="447"/>
      <c r="D635" s="446">
        <f t="shared" si="186"/>
        <v>0</v>
      </c>
      <c r="E635" s="439"/>
      <c r="F635" s="442">
        <f>IF(C635="",0,IFERROR(VLOOKUP(COUNTIF($A$1:A635,"ANALISIS DE PRECIOS"),T_Rendimiento_Equipo,5,FALSE),0))</f>
        <v>0</v>
      </c>
      <c r="G635" s="439">
        <f t="shared" si="189"/>
        <v>0</v>
      </c>
    </row>
    <row r="636" spans="1:7" ht="19.899999999999999" customHeight="1" x14ac:dyDescent="0.2">
      <c r="A636" s="482">
        <f t="shared" si="184"/>
        <v>0</v>
      </c>
      <c r="B636" s="445">
        <f t="shared" si="185"/>
        <v>0</v>
      </c>
      <c r="C636" s="447"/>
      <c r="D636" s="446">
        <f t="shared" si="186"/>
        <v>0</v>
      </c>
      <c r="E636" s="439"/>
      <c r="F636" s="442">
        <f>IF(C636="",0,IFERROR(VLOOKUP(COUNTIF($A$1:A636,"ANALISIS DE PRECIOS"),T_Rendimiento_Equipo,5,FALSE),0))</f>
        <v>0</v>
      </c>
      <c r="G636" s="439">
        <f t="shared" si="189"/>
        <v>0</v>
      </c>
    </row>
    <row r="637" spans="1:7" ht="19.899999999999999" customHeight="1" x14ac:dyDescent="0.2">
      <c r="A637" s="482">
        <f t="shared" si="184"/>
        <v>0</v>
      </c>
      <c r="B637" s="445">
        <f t="shared" si="185"/>
        <v>0</v>
      </c>
      <c r="C637" s="447"/>
      <c r="D637" s="446">
        <f t="shared" si="186"/>
        <v>0</v>
      </c>
      <c r="E637" s="439"/>
      <c r="F637" s="442">
        <f>IF(C637="",0,IFERROR(VLOOKUP(COUNTIF($A$1:A637,"ANALISIS DE PRECIOS"),T_Rendimiento_Equipo,5,FALSE),0))</f>
        <v>0</v>
      </c>
      <c r="G637" s="439">
        <f t="shared" si="189"/>
        <v>0</v>
      </c>
    </row>
    <row r="638" spans="1:7" ht="19.899999999999999" customHeight="1" x14ac:dyDescent="0.2">
      <c r="A638" s="482">
        <f t="shared" si="184"/>
        <v>0</v>
      </c>
      <c r="B638" s="445">
        <f t="shared" si="185"/>
        <v>0</v>
      </c>
      <c r="C638" s="436"/>
      <c r="D638" s="446">
        <f t="shared" si="186"/>
        <v>0</v>
      </c>
      <c r="E638" s="439"/>
      <c r="F638" s="442">
        <f>IF(C638="",0,IFERROR(VLOOKUP(COUNTIF($A$1:A638,"ANALISIS DE PRECIOS"),T_Rendimiento_Equipo,5,FALSE),0))</f>
        <v>0</v>
      </c>
      <c r="G638" s="439">
        <f t="shared" si="189"/>
        <v>0</v>
      </c>
    </row>
    <row r="639" spans="1:7" ht="19.899999999999999" customHeight="1" x14ac:dyDescent="0.2">
      <c r="A639" s="483"/>
      <c r="B639" s="426"/>
      <c r="C639" s="139"/>
      <c r="D639" s="426"/>
      <c r="E639" s="427"/>
      <c r="F639" s="448" t="s">
        <v>27</v>
      </c>
      <c r="G639" s="484">
        <f>SUBTOTAL(9,G630:G638)</f>
        <v>0</v>
      </c>
    </row>
    <row r="640" spans="1:7" ht="19.899999999999999" customHeight="1" x14ac:dyDescent="0.2">
      <c r="A640" s="480"/>
      <c r="B640" s="139"/>
      <c r="C640" s="422" t="s">
        <v>713</v>
      </c>
      <c r="D640" s="426"/>
      <c r="E640" s="427"/>
      <c r="F640" s="428"/>
      <c r="G640" s="481"/>
    </row>
    <row r="641" spans="1:7" ht="19.899999999999999" customHeight="1" x14ac:dyDescent="0.2">
      <c r="A641" s="720" t="s">
        <v>576</v>
      </c>
      <c r="B641" s="721"/>
      <c r="C641" s="722" t="s">
        <v>0</v>
      </c>
      <c r="D641" s="724" t="s">
        <v>24</v>
      </c>
      <c r="E641" s="724" t="s">
        <v>1964</v>
      </c>
      <c r="F641" s="726" t="s">
        <v>975</v>
      </c>
      <c r="G641" s="728" t="s">
        <v>26</v>
      </c>
    </row>
    <row r="642" spans="1:7" ht="19.899999999999999" customHeight="1" x14ac:dyDescent="0.2">
      <c r="A642" s="444" t="s">
        <v>577</v>
      </c>
      <c r="B642" s="444" t="s">
        <v>578</v>
      </c>
      <c r="C642" s="723"/>
      <c r="D642" s="725"/>
      <c r="E642" s="725"/>
      <c r="F642" s="727"/>
      <c r="G642" s="729"/>
    </row>
    <row r="643" spans="1:7" ht="19.899999999999999" customHeight="1" x14ac:dyDescent="0.2">
      <c r="A643" s="482">
        <f t="shared" ref="A643:A649" si="190">IFERROR(VLOOKUP(C643,T_Insumos,4,FALSE),0)</f>
        <v>0</v>
      </c>
      <c r="B643" s="445">
        <f t="shared" ref="B643:B649" si="191">IFERROR(VLOOKUP(C643,T_Insumos,5,FALSE),0)</f>
        <v>0</v>
      </c>
      <c r="C643" s="436">
        <f t="shared" ref="C643:C646" si="192">+C418</f>
        <v>0</v>
      </c>
      <c r="D643" s="442"/>
      <c r="E643" s="439">
        <f t="shared" ref="E643:E649" si="193">IFERROR(VLOOKUP(C643,T_Insumos,3,FALSE),0)</f>
        <v>0</v>
      </c>
      <c r="F643" s="442">
        <f>IF(C643="",0,IFERROR(VLOOKUP(COUNTIF($A$1:A643,"ANALISIS DE PRECIOS"),T_Rendimiento_Equipo,5,FALSE),0))</f>
        <v>0</v>
      </c>
      <c r="G643" s="439">
        <f>IFERROR(ROUND(D643*E643/F643,2),0)</f>
        <v>0</v>
      </c>
    </row>
    <row r="644" spans="1:7" ht="19.899999999999999" customHeight="1" x14ac:dyDescent="0.2">
      <c r="A644" s="482">
        <f t="shared" si="190"/>
        <v>0</v>
      </c>
      <c r="B644" s="445">
        <f t="shared" si="191"/>
        <v>0</v>
      </c>
      <c r="C644" s="436">
        <f t="shared" si="192"/>
        <v>0</v>
      </c>
      <c r="D644" s="442">
        <v>1</v>
      </c>
      <c r="E644" s="439">
        <f t="shared" si="193"/>
        <v>0</v>
      </c>
      <c r="F644" s="442">
        <f>IF(C644="",0,IFERROR(VLOOKUP(COUNTIF($A$1:A644,"ANALISIS DE PRECIOS"),T_Rendimiento_Equipo,5,FALSE),0))</f>
        <v>0</v>
      </c>
      <c r="G644" s="439">
        <f>IFERROR(ROUND(D644*E644/F644,2),0)</f>
        <v>0</v>
      </c>
    </row>
    <row r="645" spans="1:7" ht="19.899999999999999" customHeight="1" x14ac:dyDescent="0.2">
      <c r="A645" s="482">
        <f t="shared" si="190"/>
        <v>0</v>
      </c>
      <c r="B645" s="445">
        <f t="shared" si="191"/>
        <v>0</v>
      </c>
      <c r="C645" s="436">
        <f t="shared" si="192"/>
        <v>0</v>
      </c>
      <c r="D645" s="442"/>
      <c r="E645" s="439">
        <f t="shared" si="193"/>
        <v>0</v>
      </c>
      <c r="F645" s="442">
        <f>IF(C645="",0,IFERROR(VLOOKUP(COUNTIF($A$1:A645,"ANALISIS DE PRECIOS"),T_Rendimiento_Equipo,5,FALSE),0))</f>
        <v>0</v>
      </c>
      <c r="G645" s="439">
        <f t="shared" ref="G645:G649" si="194">IFERROR(ROUND(D645*E645/F645,2),0)</f>
        <v>0</v>
      </c>
    </row>
    <row r="646" spans="1:7" ht="19.899999999999999" customHeight="1" x14ac:dyDescent="0.2">
      <c r="A646" s="482">
        <f t="shared" si="190"/>
        <v>0</v>
      </c>
      <c r="B646" s="445">
        <f t="shared" si="191"/>
        <v>0</v>
      </c>
      <c r="C646" s="436">
        <f t="shared" si="192"/>
        <v>0</v>
      </c>
      <c r="D646" s="442">
        <v>2</v>
      </c>
      <c r="E646" s="439">
        <f t="shared" si="193"/>
        <v>0</v>
      </c>
      <c r="F646" s="442">
        <f>IF(C646="",0,IFERROR(VLOOKUP(COUNTIF($A$1:A646,"ANALISIS DE PRECIOS"),T_Rendimiento_Equipo,5,FALSE),0))</f>
        <v>0</v>
      </c>
      <c r="G646" s="439">
        <f t="shared" si="194"/>
        <v>0</v>
      </c>
    </row>
    <row r="647" spans="1:7" ht="19.899999999999999" customHeight="1" x14ac:dyDescent="0.2">
      <c r="A647" s="482">
        <f t="shared" si="190"/>
        <v>0</v>
      </c>
      <c r="B647" s="445">
        <f t="shared" si="191"/>
        <v>0</v>
      </c>
      <c r="C647" s="436"/>
      <c r="D647" s="442"/>
      <c r="E647" s="439">
        <f t="shared" si="193"/>
        <v>0</v>
      </c>
      <c r="F647" s="442">
        <f>IF(C647="",0,IFERROR(VLOOKUP(COUNTIF($A$1:A647,"ANALISIS DE PRECIOS"),T_Rendimiento_Equipo,5,FALSE),0))</f>
        <v>0</v>
      </c>
      <c r="G647" s="439">
        <f t="shared" si="194"/>
        <v>0</v>
      </c>
    </row>
    <row r="648" spans="1:7" ht="19.899999999999999" customHeight="1" x14ac:dyDescent="0.2">
      <c r="A648" s="482">
        <f t="shared" si="190"/>
        <v>0</v>
      </c>
      <c r="B648" s="445">
        <f t="shared" si="191"/>
        <v>0</v>
      </c>
      <c r="C648" s="436"/>
      <c r="D648" s="450"/>
      <c r="E648" s="439">
        <f t="shared" si="193"/>
        <v>0</v>
      </c>
      <c r="F648" s="442">
        <f>IF(C648="",0,IFERROR(VLOOKUP(COUNTIF($A$1:A648,"ANALISIS DE PRECIOS"),T_Rendimiento_Equipo,5,FALSE),0))</f>
        <v>0</v>
      </c>
      <c r="G648" s="439">
        <f t="shared" si="194"/>
        <v>0</v>
      </c>
    </row>
    <row r="649" spans="1:7" ht="19.899999999999999" customHeight="1" x14ac:dyDescent="0.2">
      <c r="A649" s="482">
        <f t="shared" si="190"/>
        <v>0</v>
      </c>
      <c r="B649" s="445">
        <f t="shared" si="191"/>
        <v>0</v>
      </c>
      <c r="C649" s="445"/>
      <c r="D649" s="451"/>
      <c r="E649" s="439">
        <f t="shared" si="193"/>
        <v>0</v>
      </c>
      <c r="F649" s="442">
        <f>IF(C649="",0,IFERROR(VLOOKUP(COUNTIF($A$1:A649,"ANALISIS DE PRECIOS"),T_Rendimiento_Equipo,5,FALSE),0))</f>
        <v>0</v>
      </c>
      <c r="G649" s="439">
        <f t="shared" si="194"/>
        <v>0</v>
      </c>
    </row>
    <row r="650" spans="1:7" ht="19.899999999999999" customHeight="1" x14ac:dyDescent="0.2">
      <c r="A650" s="483"/>
      <c r="B650" s="426"/>
      <c r="C650" s="139"/>
      <c r="D650" s="426"/>
      <c r="E650" s="427"/>
      <c r="F650" s="448" t="s">
        <v>28</v>
      </c>
      <c r="G650" s="485">
        <f>SUBTOTAL(9,G643:G649)</f>
        <v>0</v>
      </c>
    </row>
    <row r="651" spans="1:7" ht="19.899999999999999" customHeight="1" x14ac:dyDescent="0.2">
      <c r="A651" s="480"/>
      <c r="B651" s="139"/>
      <c r="C651" s="422" t="s">
        <v>982</v>
      </c>
      <c r="D651" s="426"/>
      <c r="E651" s="427"/>
      <c r="F651" s="428"/>
      <c r="G651" s="481"/>
    </row>
    <row r="652" spans="1:7" ht="19.899999999999999" customHeight="1" x14ac:dyDescent="0.2">
      <c r="A652" s="720" t="s">
        <v>576</v>
      </c>
      <c r="B652" s="721"/>
      <c r="C652" s="722" t="s">
        <v>0</v>
      </c>
      <c r="D652" s="722" t="s">
        <v>1725</v>
      </c>
      <c r="E652" s="724" t="s">
        <v>24</v>
      </c>
      <c r="F652" s="726" t="s">
        <v>25</v>
      </c>
      <c r="G652" s="728" t="s">
        <v>26</v>
      </c>
    </row>
    <row r="653" spans="1:7" ht="19.899999999999999" customHeight="1" x14ac:dyDescent="0.2">
      <c r="A653" s="444" t="s">
        <v>577</v>
      </c>
      <c r="B653" s="444" t="s">
        <v>578</v>
      </c>
      <c r="C653" s="723"/>
      <c r="D653" s="723"/>
      <c r="E653" s="725"/>
      <c r="F653" s="727"/>
      <c r="G653" s="729"/>
    </row>
    <row r="654" spans="1:7" ht="19.899999999999999" customHeight="1" x14ac:dyDescent="0.2">
      <c r="A654" s="482">
        <f t="shared" ref="A654:A664" si="195">IFERROR(VLOOKUP(C654,T_Insumos,4,FALSE),0)</f>
        <v>0</v>
      </c>
      <c r="B654" s="445">
        <f t="shared" ref="B654:B664" si="196">IFERROR(VLOOKUP(C654,T_Insumos,5,FALSE),0)</f>
        <v>0</v>
      </c>
      <c r="C654" s="436">
        <f t="shared" ref="C654:C664" si="197">+C429</f>
        <v>0</v>
      </c>
      <c r="D654" s="493">
        <f t="shared" ref="D654:D664" si="198">IFERROR(VLOOKUP(C654,T_Insumos,2,FALSE),0)</f>
        <v>0</v>
      </c>
      <c r="E654" s="437"/>
      <c r="F654" s="439">
        <f t="shared" ref="F654:F664" si="199">IFERROR(VLOOKUP(C654,T_Insumos,3,FALSE),0)</f>
        <v>0</v>
      </c>
      <c r="G654" s="439">
        <f>ROUND(E654*F654,2)</f>
        <v>0</v>
      </c>
    </row>
    <row r="655" spans="1:7" ht="19.899999999999999" customHeight="1" x14ac:dyDescent="0.2">
      <c r="A655" s="482">
        <f t="shared" si="195"/>
        <v>0</v>
      </c>
      <c r="B655" s="445">
        <f t="shared" si="196"/>
        <v>0</v>
      </c>
      <c r="C655" s="436">
        <f t="shared" si="197"/>
        <v>0</v>
      </c>
      <c r="D655" s="493">
        <f t="shared" si="198"/>
        <v>0</v>
      </c>
      <c r="E655" s="437"/>
      <c r="F655" s="439">
        <f t="shared" si="199"/>
        <v>0</v>
      </c>
      <c r="G655" s="439">
        <f t="shared" ref="G655:G664" si="200">ROUND(E655*F655,2)</f>
        <v>0</v>
      </c>
    </row>
    <row r="656" spans="1:7" ht="19.899999999999999" customHeight="1" x14ac:dyDescent="0.2">
      <c r="A656" s="482">
        <f t="shared" si="195"/>
        <v>0</v>
      </c>
      <c r="B656" s="445">
        <f t="shared" si="196"/>
        <v>0</v>
      </c>
      <c r="C656" s="436">
        <f t="shared" si="197"/>
        <v>0</v>
      </c>
      <c r="D656" s="493">
        <f t="shared" si="198"/>
        <v>0</v>
      </c>
      <c r="E656" s="437"/>
      <c r="F656" s="439">
        <f t="shared" si="199"/>
        <v>0</v>
      </c>
      <c r="G656" s="439">
        <f t="shared" si="200"/>
        <v>0</v>
      </c>
    </row>
    <row r="657" spans="1:7" ht="19.899999999999999" customHeight="1" x14ac:dyDescent="0.2">
      <c r="A657" s="482">
        <f t="shared" si="195"/>
        <v>0</v>
      </c>
      <c r="B657" s="445">
        <f t="shared" si="196"/>
        <v>0</v>
      </c>
      <c r="C657" s="436">
        <f t="shared" si="197"/>
        <v>0</v>
      </c>
      <c r="D657" s="493">
        <f t="shared" si="198"/>
        <v>0</v>
      </c>
      <c r="E657" s="437"/>
      <c r="F657" s="439">
        <f t="shared" si="199"/>
        <v>0</v>
      </c>
      <c r="G657" s="439">
        <f t="shared" si="200"/>
        <v>0</v>
      </c>
    </row>
    <row r="658" spans="1:7" ht="19.899999999999999" customHeight="1" x14ac:dyDescent="0.2">
      <c r="A658" s="482">
        <f t="shared" si="195"/>
        <v>0</v>
      </c>
      <c r="B658" s="445">
        <f t="shared" si="196"/>
        <v>0</v>
      </c>
      <c r="C658" s="436">
        <f t="shared" si="197"/>
        <v>0</v>
      </c>
      <c r="D658" s="493">
        <f t="shared" si="198"/>
        <v>0</v>
      </c>
      <c r="E658" s="437"/>
      <c r="F658" s="439">
        <f t="shared" si="199"/>
        <v>0</v>
      </c>
      <c r="G658" s="439">
        <f t="shared" si="200"/>
        <v>0</v>
      </c>
    </row>
    <row r="659" spans="1:7" ht="19.899999999999999" customHeight="1" x14ac:dyDescent="0.2">
      <c r="A659" s="482">
        <f t="shared" si="195"/>
        <v>0</v>
      </c>
      <c r="B659" s="445">
        <f t="shared" si="196"/>
        <v>0</v>
      </c>
      <c r="C659" s="436">
        <f t="shared" si="197"/>
        <v>0</v>
      </c>
      <c r="D659" s="493">
        <f t="shared" si="198"/>
        <v>0</v>
      </c>
      <c r="E659" s="437"/>
      <c r="F659" s="439">
        <f t="shared" si="199"/>
        <v>0</v>
      </c>
      <c r="G659" s="439">
        <f t="shared" si="200"/>
        <v>0</v>
      </c>
    </row>
    <row r="660" spans="1:7" ht="19.899999999999999" customHeight="1" x14ac:dyDescent="0.2">
      <c r="A660" s="482">
        <f t="shared" si="195"/>
        <v>0</v>
      </c>
      <c r="B660" s="445">
        <f t="shared" si="196"/>
        <v>0</v>
      </c>
      <c r="C660" s="436">
        <f t="shared" si="197"/>
        <v>0</v>
      </c>
      <c r="D660" s="493">
        <f t="shared" si="198"/>
        <v>0</v>
      </c>
      <c r="E660" s="437"/>
      <c r="F660" s="439">
        <f t="shared" si="199"/>
        <v>0</v>
      </c>
      <c r="G660" s="439">
        <f t="shared" si="200"/>
        <v>0</v>
      </c>
    </row>
    <row r="661" spans="1:7" ht="19.899999999999999" customHeight="1" x14ac:dyDescent="0.2">
      <c r="A661" s="482">
        <f t="shared" si="195"/>
        <v>0</v>
      </c>
      <c r="B661" s="445">
        <f t="shared" si="196"/>
        <v>0</v>
      </c>
      <c r="C661" s="436">
        <f t="shared" si="197"/>
        <v>0</v>
      </c>
      <c r="D661" s="493">
        <f t="shared" si="198"/>
        <v>0</v>
      </c>
      <c r="E661" s="437"/>
      <c r="F661" s="439">
        <f t="shared" si="199"/>
        <v>0</v>
      </c>
      <c r="G661" s="439">
        <f t="shared" si="200"/>
        <v>0</v>
      </c>
    </row>
    <row r="662" spans="1:7" ht="19.899999999999999" customHeight="1" x14ac:dyDescent="0.2">
      <c r="A662" s="482">
        <f t="shared" si="195"/>
        <v>0</v>
      </c>
      <c r="B662" s="445">
        <f t="shared" si="196"/>
        <v>0</v>
      </c>
      <c r="C662" s="436">
        <f t="shared" si="197"/>
        <v>0</v>
      </c>
      <c r="D662" s="493">
        <f t="shared" si="198"/>
        <v>0</v>
      </c>
      <c r="E662" s="437"/>
      <c r="F662" s="439">
        <f t="shared" si="199"/>
        <v>0</v>
      </c>
      <c r="G662" s="439">
        <f t="shared" si="200"/>
        <v>0</v>
      </c>
    </row>
    <row r="663" spans="1:7" ht="19.899999999999999" customHeight="1" x14ac:dyDescent="0.2">
      <c r="A663" s="482">
        <f t="shared" si="195"/>
        <v>0</v>
      </c>
      <c r="B663" s="445">
        <f t="shared" si="196"/>
        <v>0</v>
      </c>
      <c r="C663" s="436">
        <f t="shared" si="197"/>
        <v>0</v>
      </c>
      <c r="D663" s="493">
        <f t="shared" si="198"/>
        <v>0</v>
      </c>
      <c r="E663" s="437"/>
      <c r="F663" s="439">
        <f t="shared" si="199"/>
        <v>0</v>
      </c>
      <c r="G663" s="439">
        <f t="shared" si="200"/>
        <v>0</v>
      </c>
    </row>
    <row r="664" spans="1:7" ht="19.899999999999999" customHeight="1" x14ac:dyDescent="0.2">
      <c r="A664" s="482">
        <f t="shared" si="195"/>
        <v>0</v>
      </c>
      <c r="B664" s="445">
        <f t="shared" si="196"/>
        <v>0</v>
      </c>
      <c r="C664" s="436">
        <f t="shared" si="197"/>
        <v>0</v>
      </c>
      <c r="D664" s="493">
        <f t="shared" si="198"/>
        <v>0</v>
      </c>
      <c r="E664" s="437"/>
      <c r="F664" s="439">
        <f t="shared" si="199"/>
        <v>0</v>
      </c>
      <c r="G664" s="439">
        <f t="shared" si="200"/>
        <v>0</v>
      </c>
    </row>
    <row r="665" spans="1:7" ht="19.899999999999999" customHeight="1" x14ac:dyDescent="0.2">
      <c r="A665" s="480"/>
      <c r="B665" s="139"/>
      <c r="C665" s="139"/>
      <c r="D665" s="426"/>
      <c r="E665" s="427"/>
      <c r="F665" s="448" t="s">
        <v>29</v>
      </c>
      <c r="G665" s="485">
        <f>SUBTOTAL(9,G654:G664)</f>
        <v>0</v>
      </c>
    </row>
    <row r="666" spans="1:7" ht="19.899999999999999" customHeight="1" x14ac:dyDescent="0.2">
      <c r="A666" s="480"/>
      <c r="B666" s="139"/>
      <c r="C666" s="422" t="s">
        <v>983</v>
      </c>
      <c r="D666" s="426"/>
      <c r="E666" s="427"/>
      <c r="F666" s="428"/>
      <c r="G666" s="481"/>
    </row>
    <row r="667" spans="1:7" ht="19.899999999999999" customHeight="1" x14ac:dyDescent="0.2">
      <c r="A667" s="720" t="s">
        <v>576</v>
      </c>
      <c r="B667" s="721"/>
      <c r="C667" s="722" t="s">
        <v>0</v>
      </c>
      <c r="D667" s="722" t="s">
        <v>1725</v>
      </c>
      <c r="E667" s="724" t="s">
        <v>24</v>
      </c>
      <c r="F667" s="726" t="s">
        <v>25</v>
      </c>
      <c r="G667" s="728" t="s">
        <v>26</v>
      </c>
    </row>
    <row r="668" spans="1:7" ht="19.899999999999999" customHeight="1" x14ac:dyDescent="0.2">
      <c r="A668" s="444" t="s">
        <v>577</v>
      </c>
      <c r="B668" s="444" t="s">
        <v>578</v>
      </c>
      <c r="C668" s="723"/>
      <c r="D668" s="723"/>
      <c r="E668" s="725"/>
      <c r="F668" s="727"/>
      <c r="G668" s="729"/>
    </row>
    <row r="669" spans="1:7" ht="19.899999999999999" customHeight="1" x14ac:dyDescent="0.2">
      <c r="A669" s="482">
        <f>IFERROR(VLOOKUP(C669,T_Insumos,4,FALSE),0)</f>
        <v>0</v>
      </c>
      <c r="B669" s="445">
        <f>IFERROR(VLOOKUP(C669,T_Insumos,5,FALSE),0)</f>
        <v>0</v>
      </c>
      <c r="C669" s="436"/>
      <c r="D669" s="493">
        <f>IF(C669=0,0,"$/tnkm")</f>
        <v>0</v>
      </c>
      <c r="E669" s="437"/>
      <c r="F669" s="439">
        <f>IFERROR(VLOOKUP(C669,T_Insumos,3,FALSE),0)</f>
        <v>0</v>
      </c>
      <c r="G669" s="439">
        <f>ROUND(E669*F669,2)</f>
        <v>0</v>
      </c>
    </row>
    <row r="670" spans="1:7" ht="19.899999999999999" customHeight="1" x14ac:dyDescent="0.2">
      <c r="A670" s="482">
        <f>IFERROR(VLOOKUP(C670,T_Insumos,4,FALSE),0)</f>
        <v>0</v>
      </c>
      <c r="B670" s="445">
        <f>IFERROR(VLOOKUP(C670,T_Insumos,5,FALSE),0)</f>
        <v>0</v>
      </c>
      <c r="C670" s="436"/>
      <c r="D670" s="493">
        <f>IF(C670=0,0,"$/tnkm")</f>
        <v>0</v>
      </c>
      <c r="E670" s="453"/>
      <c r="F670" s="439">
        <f>IFERROR(VLOOKUP(C670,T_Insumos,3,FALSE),0)</f>
        <v>0</v>
      </c>
      <c r="G670" s="439">
        <f t="shared" ref="G670" si="201">ROUND(E670*F670,2)</f>
        <v>0</v>
      </c>
    </row>
    <row r="671" spans="1:7" ht="19.899999999999999" customHeight="1" x14ac:dyDescent="0.2">
      <c r="A671" s="480"/>
      <c r="B671" s="139"/>
      <c r="C671" s="139"/>
      <c r="D671" s="426"/>
      <c r="E671" s="427"/>
      <c r="F671" s="448" t="s">
        <v>984</v>
      </c>
      <c r="G671" s="485">
        <f>SUBTOTAL(9,G669:G670)</f>
        <v>0</v>
      </c>
    </row>
    <row r="672" spans="1:7" ht="19.899999999999999" customHeight="1" x14ac:dyDescent="0.2">
      <c r="A672" s="483"/>
      <c r="B672" s="426"/>
      <c r="C672" s="139"/>
      <c r="D672" s="426"/>
      <c r="E672" s="427"/>
      <c r="F672" s="428"/>
      <c r="G672" s="481"/>
    </row>
    <row r="673" spans="1:7" ht="19.899999999999999" customHeight="1" x14ac:dyDescent="0.2">
      <c r="A673" s="541" t="str">
        <f>B607</f>
        <v>2.8</v>
      </c>
      <c r="B673" s="538" t="str">
        <f ca="1">C607</f>
        <v>Hormigón H21</v>
      </c>
      <c r="C673" s="426"/>
      <c r="D673" s="426" t="s">
        <v>1704</v>
      </c>
      <c r="E673" s="539"/>
      <c r="F673" s="540" t="str">
        <f ca="1">"$/"&amp;G607</f>
        <v>$/M3</v>
      </c>
      <c r="G673" s="490">
        <f>SUBTOTAL(9,G630:G672)</f>
        <v>0</v>
      </c>
    </row>
    <row r="674" spans="1:7" ht="19.899999999999999" customHeight="1" x14ac:dyDescent="0.2">
      <c r="A674" s="486"/>
      <c r="B674" s="487"/>
      <c r="C674" s="488"/>
      <c r="D674" s="488" t="s">
        <v>1900</v>
      </c>
      <c r="E674" s="489"/>
      <c r="F674" s="542" t="str">
        <f ca="1">"$/"&amp;G607</f>
        <v>$/M3</v>
      </c>
      <c r="G674" s="490">
        <f>ROUND(G673*Coeficiente_Paso,2)</f>
        <v>0</v>
      </c>
    </row>
    <row r="675" spans="1:7" ht="19.899999999999999" customHeight="1" x14ac:dyDescent="0.2">
      <c r="A675" s="139"/>
      <c r="B675" s="139"/>
      <c r="C675" s="139"/>
      <c r="D675" s="139"/>
      <c r="E675" s="139"/>
      <c r="F675" s="139"/>
      <c r="G675" s="139"/>
    </row>
    <row r="676" spans="1:7" ht="19.899999999999999" customHeight="1" x14ac:dyDescent="0.2">
      <c r="A676" s="730" t="s">
        <v>31</v>
      </c>
      <c r="B676" s="731"/>
      <c r="C676" s="731"/>
      <c r="D676" s="731"/>
      <c r="E676" s="731"/>
      <c r="F676" s="731"/>
      <c r="G676" s="732"/>
    </row>
    <row r="677" spans="1:7" ht="19.899999999999999" customHeight="1" x14ac:dyDescent="0.2">
      <c r="A677" s="469" t="s">
        <v>711</v>
      </c>
      <c r="B677" s="420" t="str">
        <f>Comitente</f>
        <v>DEPARTAMENTO DE HIDRAULICA</v>
      </c>
      <c r="C677" s="421"/>
      <c r="D677" s="422"/>
      <c r="E677" s="422"/>
      <c r="F677" s="423"/>
      <c r="G677" s="470"/>
    </row>
    <row r="678" spans="1:7" ht="19.899999999999999" customHeight="1" x14ac:dyDescent="0.2">
      <c r="A678" s="469" t="s">
        <v>712</v>
      </c>
      <c r="B678" s="420">
        <f>Contratista</f>
        <v>0</v>
      </c>
      <c r="C678" s="424"/>
      <c r="D678" s="424"/>
      <c r="E678" s="424"/>
      <c r="F678" s="420"/>
      <c r="G678" s="471"/>
    </row>
    <row r="679" spans="1:7" ht="19.899999999999999" customHeight="1" x14ac:dyDescent="0.2">
      <c r="A679" s="469" t="s">
        <v>21</v>
      </c>
      <c r="B679" s="420" t="str">
        <f>Obra</f>
        <v>Encamisado Parcial del Canal de Calle América</v>
      </c>
      <c r="C679" s="424"/>
      <c r="D679" s="424"/>
      <c r="E679" s="424"/>
      <c r="F679" s="420" t="s">
        <v>32</v>
      </c>
      <c r="G679" s="471" t="str">
        <f>Fecha_Base</f>
        <v>X/X/2023</v>
      </c>
    </row>
    <row r="680" spans="1:7" ht="19.899999999999999" customHeight="1" x14ac:dyDescent="0.2">
      <c r="A680" s="472" t="s">
        <v>710</v>
      </c>
      <c r="B680" s="425" t="str">
        <f>Ubicación</f>
        <v>Departamento Rawson</v>
      </c>
      <c r="C680" s="425"/>
      <c r="D680" s="426"/>
      <c r="E680" s="427"/>
      <c r="F680" s="428"/>
      <c r="G680" s="473"/>
    </row>
    <row r="681" spans="1:7" ht="19.899999999999999" customHeight="1" x14ac:dyDescent="0.2">
      <c r="A681" s="472" t="s">
        <v>33</v>
      </c>
      <c r="B681" s="429">
        <f>IFERROR(VALUE(LEFT(B682,FIND(".",B682)-1)),"")</f>
        <v>2</v>
      </c>
      <c r="C681" s="139" t="str">
        <f ca="1">IFERROR(VLOOKUP(B681,T_Computo_Presupuesto,2,FALSE),0)</f>
        <v>CANAL AMÉRICA</v>
      </c>
      <c r="D681" s="139"/>
      <c r="E681" s="427"/>
      <c r="F681" s="428"/>
      <c r="G681" s="473"/>
    </row>
    <row r="682" spans="1:7" ht="19.899999999999999" customHeight="1" x14ac:dyDescent="0.2">
      <c r="A682" s="472" t="s">
        <v>22</v>
      </c>
      <c r="B682" s="430" t="str">
        <f>IFERROR(VLOOKUP(COUNTIF($A$1:A682,"ANALISIS DE PRECIOS"),T_NumeroItem,2,FALSE),"")</f>
        <v>2.9</v>
      </c>
      <c r="C682" s="733" t="str">
        <f ca="1">IFERROR(VLOOKUP(B682,T_Computo_Presupuesto,2,FALSE),0)</f>
        <v>Armadura Colocada en Obra</v>
      </c>
      <c r="D682" s="733"/>
      <c r="E682" s="733"/>
      <c r="F682" s="425" t="s">
        <v>23</v>
      </c>
      <c r="G682" s="474" t="str">
        <f ca="1">IFERROR(VLOOKUP(B682,T_Computo_Presupuesto,4,FALSE),0)</f>
        <v>KG</v>
      </c>
    </row>
    <row r="683" spans="1:7" ht="19.899999999999999" customHeight="1" x14ac:dyDescent="0.2">
      <c r="A683" s="472"/>
      <c r="B683" s="425"/>
      <c r="C683" s="139"/>
      <c r="D683" s="426"/>
      <c r="E683" s="427"/>
      <c r="F683" s="139"/>
      <c r="G683" s="475"/>
    </row>
    <row r="684" spans="1:7" ht="19.899999999999999" customHeight="1" x14ac:dyDescent="0.2">
      <c r="A684" s="476"/>
      <c r="B684" s="431"/>
      <c r="C684" s="432" t="s">
        <v>967</v>
      </c>
      <c r="D684" s="431"/>
      <c r="E684" s="431"/>
      <c r="F684" s="431"/>
      <c r="G684" s="477"/>
    </row>
    <row r="685" spans="1:7" ht="19.899999999999999" customHeight="1" x14ac:dyDescent="0.2">
      <c r="A685" s="472"/>
      <c r="B685" s="433"/>
      <c r="C685" s="139"/>
      <c r="D685" s="426"/>
      <c r="E685" s="427"/>
      <c r="F685" s="425"/>
      <c r="G685" s="474"/>
    </row>
    <row r="686" spans="1:7" ht="19.899999999999999" customHeight="1" x14ac:dyDescent="0.2">
      <c r="A686" s="472"/>
      <c r="B686" s="433"/>
      <c r="C686" s="434" t="s">
        <v>968</v>
      </c>
      <c r="D686" s="435" t="s">
        <v>24</v>
      </c>
      <c r="E686" s="435" t="s">
        <v>969</v>
      </c>
      <c r="F686" s="435" t="s">
        <v>970</v>
      </c>
      <c r="G686" s="434" t="s">
        <v>971</v>
      </c>
    </row>
    <row r="687" spans="1:7" ht="19.899999999999999" customHeight="1" x14ac:dyDescent="0.2">
      <c r="A687" s="472"/>
      <c r="B687" s="433"/>
      <c r="C687" s="436">
        <f>+C462</f>
        <v>0</v>
      </c>
      <c r="D687" s="436">
        <f>+D462</f>
        <v>0</v>
      </c>
      <c r="E687" s="438">
        <f t="shared" ref="E687:E696" si="202">IFERROR(VLOOKUP(C687,T_Equipos,4,FALSE),0)</f>
        <v>0</v>
      </c>
      <c r="F687" s="439">
        <f t="shared" ref="F687:F696" si="203">IFERROR(VLOOKUP(C687,T_Equipos,5,FALSE),0)</f>
        <v>0</v>
      </c>
      <c r="G687" s="439">
        <f>ROUND(D687*F687,2)</f>
        <v>0</v>
      </c>
    </row>
    <row r="688" spans="1:7" ht="19.899999999999999" customHeight="1" x14ac:dyDescent="0.2">
      <c r="A688" s="472"/>
      <c r="B688" s="433"/>
      <c r="C688" s="436">
        <f t="shared" ref="C688:D692" si="204">+C463</f>
        <v>0</v>
      </c>
      <c r="D688" s="436">
        <f t="shared" si="204"/>
        <v>0</v>
      </c>
      <c r="E688" s="438">
        <f t="shared" si="202"/>
        <v>0</v>
      </c>
      <c r="F688" s="439">
        <f t="shared" si="203"/>
        <v>0</v>
      </c>
      <c r="G688" s="439">
        <f>ROUND(D688*F688,2)</f>
        <v>0</v>
      </c>
    </row>
    <row r="689" spans="1:7" ht="19.899999999999999" customHeight="1" x14ac:dyDescent="0.2">
      <c r="A689" s="472"/>
      <c r="B689" s="433"/>
      <c r="C689" s="436">
        <f t="shared" si="204"/>
        <v>0</v>
      </c>
      <c r="D689" s="436"/>
      <c r="E689" s="438">
        <f t="shared" si="202"/>
        <v>0</v>
      </c>
      <c r="F689" s="439">
        <f t="shared" si="203"/>
        <v>0</v>
      </c>
      <c r="G689" s="439">
        <f>ROUND(D689*F689,2)</f>
        <v>0</v>
      </c>
    </row>
    <row r="690" spans="1:7" ht="19.899999999999999" customHeight="1" x14ac:dyDescent="0.2">
      <c r="A690" s="472"/>
      <c r="B690" s="433"/>
      <c r="C690" s="436">
        <f t="shared" si="204"/>
        <v>0</v>
      </c>
      <c r="D690" s="436"/>
      <c r="E690" s="438">
        <f t="shared" si="202"/>
        <v>0</v>
      </c>
      <c r="F690" s="439">
        <f t="shared" si="203"/>
        <v>0</v>
      </c>
      <c r="G690" s="439">
        <f>ROUND(D690*F690,2)</f>
        <v>0</v>
      </c>
    </row>
    <row r="691" spans="1:7" ht="19.899999999999999" customHeight="1" x14ac:dyDescent="0.2">
      <c r="A691" s="472"/>
      <c r="B691" s="433"/>
      <c r="C691" s="436">
        <f t="shared" si="204"/>
        <v>0</v>
      </c>
      <c r="D691" s="436"/>
      <c r="E691" s="438">
        <f t="shared" si="202"/>
        <v>0</v>
      </c>
      <c r="F691" s="439">
        <f t="shared" si="203"/>
        <v>0</v>
      </c>
      <c r="G691" s="439">
        <f t="shared" ref="G691:G696" si="205">ROUND(D691*F691,2)</f>
        <v>0</v>
      </c>
    </row>
    <row r="692" spans="1:7" ht="19.899999999999999" customHeight="1" x14ac:dyDescent="0.2">
      <c r="A692" s="472"/>
      <c r="B692" s="433"/>
      <c r="C692" s="436">
        <f t="shared" si="204"/>
        <v>0</v>
      </c>
      <c r="D692" s="436"/>
      <c r="E692" s="438">
        <f t="shared" si="202"/>
        <v>0</v>
      </c>
      <c r="F692" s="439">
        <f t="shared" si="203"/>
        <v>0</v>
      </c>
      <c r="G692" s="439">
        <f t="shared" si="205"/>
        <v>0</v>
      </c>
    </row>
    <row r="693" spans="1:7" ht="19.899999999999999" customHeight="1" x14ac:dyDescent="0.2">
      <c r="A693" s="472"/>
      <c r="B693" s="433"/>
      <c r="C693" s="436">
        <f t="shared" ref="C693:D693" si="206">+C468</f>
        <v>0</v>
      </c>
      <c r="D693" s="436">
        <f t="shared" si="206"/>
        <v>0</v>
      </c>
      <c r="E693" s="438">
        <f t="shared" si="202"/>
        <v>0</v>
      </c>
      <c r="F693" s="439">
        <f t="shared" si="203"/>
        <v>0</v>
      </c>
      <c r="G693" s="439">
        <f t="shared" si="205"/>
        <v>0</v>
      </c>
    </row>
    <row r="694" spans="1:7" ht="19.899999999999999" customHeight="1" x14ac:dyDescent="0.2">
      <c r="A694" s="472"/>
      <c r="B694" s="433"/>
      <c r="C694" s="436">
        <f t="shared" ref="C694:D694" si="207">+C469</f>
        <v>0</v>
      </c>
      <c r="D694" s="436">
        <f t="shared" si="207"/>
        <v>0</v>
      </c>
      <c r="E694" s="438">
        <f t="shared" si="202"/>
        <v>0</v>
      </c>
      <c r="F694" s="439">
        <f t="shared" si="203"/>
        <v>0</v>
      </c>
      <c r="G694" s="439">
        <f t="shared" si="205"/>
        <v>0</v>
      </c>
    </row>
    <row r="695" spans="1:7" ht="19.899999999999999" customHeight="1" x14ac:dyDescent="0.2">
      <c r="A695" s="472"/>
      <c r="B695" s="433"/>
      <c r="C695" s="436"/>
      <c r="D695" s="437"/>
      <c r="E695" s="438">
        <f t="shared" si="202"/>
        <v>0</v>
      </c>
      <c r="F695" s="439">
        <f t="shared" si="203"/>
        <v>0</v>
      </c>
      <c r="G695" s="439">
        <f t="shared" si="205"/>
        <v>0</v>
      </c>
    </row>
    <row r="696" spans="1:7" ht="19.899999999999999" customHeight="1" x14ac:dyDescent="0.2">
      <c r="A696" s="472"/>
      <c r="B696" s="433"/>
      <c r="C696" s="436"/>
      <c r="D696" s="437"/>
      <c r="E696" s="438">
        <f t="shared" si="202"/>
        <v>0</v>
      </c>
      <c r="F696" s="439">
        <f t="shared" si="203"/>
        <v>0</v>
      </c>
      <c r="G696" s="439">
        <f t="shared" si="205"/>
        <v>0</v>
      </c>
    </row>
    <row r="697" spans="1:7" ht="19.899999999999999" customHeight="1" x14ac:dyDescent="0.2">
      <c r="A697" s="472"/>
      <c r="B697" s="433"/>
      <c r="C697" s="139"/>
      <c r="D697" s="139"/>
      <c r="E697" s="440"/>
      <c r="F697" s="425"/>
      <c r="G697" s="474"/>
    </row>
    <row r="698" spans="1:7" ht="19.899999999999999" customHeight="1" x14ac:dyDescent="0.2">
      <c r="A698" s="472"/>
      <c r="B698" s="139"/>
      <c r="C698" s="422" t="s">
        <v>972</v>
      </c>
      <c r="D698" s="425" t="s">
        <v>969</v>
      </c>
      <c r="E698" s="491">
        <f>SUMPRODUCT(D687:D696,E687:E696)</f>
        <v>0</v>
      </c>
      <c r="F698" s="425" t="s">
        <v>973</v>
      </c>
      <c r="G698" s="492">
        <f>SUM(G687:G696)</f>
        <v>0</v>
      </c>
    </row>
    <row r="699" spans="1:7" ht="19.899999999999999" customHeight="1" x14ac:dyDescent="0.2">
      <c r="A699" s="472"/>
      <c r="B699" s="433"/>
      <c r="C699" s="441"/>
      <c r="D699" s="440"/>
      <c r="E699" s="427"/>
      <c r="F699" s="425"/>
      <c r="G699" s="478"/>
    </row>
    <row r="700" spans="1:7" ht="19.899999999999999" customHeight="1" x14ac:dyDescent="0.2">
      <c r="A700" s="479"/>
      <c r="B700" s="433"/>
      <c r="C700" s="425" t="s">
        <v>974</v>
      </c>
      <c r="D700" s="442">
        <f>IFERROR(VLOOKUP(COUNTIF($A$1:A700,"ANALISIS DE PRECIOS"),T_Rendimiento_Equipo,5,FALSE),0)</f>
        <v>0</v>
      </c>
      <c r="E700" s="443" t="str">
        <f ca="1">G682&amp;"/día"</f>
        <v>KG/día</v>
      </c>
      <c r="F700" s="419"/>
      <c r="G700" s="474"/>
    </row>
    <row r="701" spans="1:7" ht="19.899999999999999" customHeight="1" x14ac:dyDescent="0.2">
      <c r="A701" s="472"/>
      <c r="B701" s="433"/>
      <c r="C701" s="139"/>
      <c r="D701" s="426"/>
      <c r="E701" s="427"/>
      <c r="F701" s="425"/>
      <c r="G701" s="474"/>
    </row>
    <row r="702" spans="1:7" ht="19.899999999999999" customHeight="1" x14ac:dyDescent="0.2">
      <c r="A702" s="720" t="s">
        <v>576</v>
      </c>
      <c r="B702" s="721"/>
      <c r="C702" s="722" t="s">
        <v>0</v>
      </c>
      <c r="D702" s="734" t="s">
        <v>1724</v>
      </c>
      <c r="E702" s="734" t="s">
        <v>1723</v>
      </c>
      <c r="F702" s="726" t="s">
        <v>975</v>
      </c>
      <c r="G702" s="728" t="s">
        <v>26</v>
      </c>
    </row>
    <row r="703" spans="1:7" ht="19.899999999999999" customHeight="1" x14ac:dyDescent="0.2">
      <c r="A703" s="444" t="s">
        <v>577</v>
      </c>
      <c r="B703" s="444" t="s">
        <v>578</v>
      </c>
      <c r="C703" s="723"/>
      <c r="D703" s="735"/>
      <c r="E703" s="725"/>
      <c r="F703" s="727"/>
      <c r="G703" s="729"/>
    </row>
    <row r="704" spans="1:7" ht="19.899999999999999" customHeight="1" x14ac:dyDescent="0.2">
      <c r="A704" s="480"/>
      <c r="B704" s="139"/>
      <c r="C704" s="422" t="s">
        <v>976</v>
      </c>
      <c r="D704" s="427"/>
      <c r="E704" s="427"/>
      <c r="F704" s="139"/>
      <c r="G704" s="481"/>
    </row>
    <row r="705" spans="1:7" ht="19.899999999999999" customHeight="1" x14ac:dyDescent="0.2">
      <c r="A705" s="482">
        <f t="shared" ref="A705:A713" si="208">IFERROR(VLOOKUP(C705,T_Insumos,4,FALSE),0)</f>
        <v>0</v>
      </c>
      <c r="B705" s="445">
        <f t="shared" ref="B705:B713" si="209">IFERROR(VLOOKUP(C705,T_Insumos,5,FALSE),0)</f>
        <v>0</v>
      </c>
      <c r="C705" s="436">
        <f>+C405</f>
        <v>0</v>
      </c>
      <c r="D705" s="446">
        <f t="shared" ref="D705:D713" si="210">IFERROR(VLOOKUP(C705,T_Insumos,3,FALSE),0)</f>
        <v>0</v>
      </c>
      <c r="E705" s="439">
        <f>D705*$G$323</f>
        <v>0</v>
      </c>
      <c r="F705" s="442">
        <f>IF(C705="",0,IFERROR(VLOOKUP(COUNTIF($A$1:A705,"ANALISIS DE PRECIOS"),T_Rendimiento_Equipo,5,FALSE),0))</f>
        <v>0</v>
      </c>
      <c r="G705" s="439">
        <f>IFERROR(ROUND(E705/F705,2),0)</f>
        <v>0</v>
      </c>
    </row>
    <row r="706" spans="1:7" ht="19.899999999999999" customHeight="1" x14ac:dyDescent="0.2">
      <c r="A706" s="482">
        <f t="shared" si="208"/>
        <v>0</v>
      </c>
      <c r="B706" s="445">
        <f t="shared" si="209"/>
        <v>0</v>
      </c>
      <c r="C706" s="436">
        <f t="shared" ref="C706:C708" si="211">+C406</f>
        <v>0</v>
      </c>
      <c r="D706" s="446">
        <f t="shared" si="210"/>
        <v>0</v>
      </c>
      <c r="E706" s="439">
        <f t="shared" ref="E706:E707" si="212">D706*$G$323</f>
        <v>0</v>
      </c>
      <c r="F706" s="442">
        <f>IF(C706="",0,IFERROR(VLOOKUP(COUNTIF($A$1:A706,"ANALISIS DE PRECIOS"),T_Rendimiento_Equipo,5,FALSE),0))</f>
        <v>0</v>
      </c>
      <c r="G706" s="439">
        <f t="shared" ref="G706:G713" si="213">IFERROR(ROUND(E706/F706,2),0)</f>
        <v>0</v>
      </c>
    </row>
    <row r="707" spans="1:7" ht="19.899999999999999" customHeight="1" x14ac:dyDescent="0.2">
      <c r="A707" s="482">
        <f t="shared" si="208"/>
        <v>0</v>
      </c>
      <c r="B707" s="445">
        <f t="shared" si="209"/>
        <v>0</v>
      </c>
      <c r="C707" s="436">
        <f t="shared" si="211"/>
        <v>0</v>
      </c>
      <c r="D707" s="446">
        <f t="shared" si="210"/>
        <v>0</v>
      </c>
      <c r="E707" s="439">
        <f t="shared" si="212"/>
        <v>0</v>
      </c>
      <c r="F707" s="442">
        <f>IF(C707="",0,IFERROR(VLOOKUP(COUNTIF($A$1:A707,"ANALISIS DE PRECIOS"),T_Rendimiento_Equipo,5,FALSE),0))</f>
        <v>0</v>
      </c>
      <c r="G707" s="439">
        <f t="shared" si="213"/>
        <v>0</v>
      </c>
    </row>
    <row r="708" spans="1:7" ht="19.899999999999999" customHeight="1" x14ac:dyDescent="0.2">
      <c r="A708" s="482">
        <f t="shared" si="208"/>
        <v>0</v>
      </c>
      <c r="B708" s="445">
        <f t="shared" si="209"/>
        <v>0</v>
      </c>
      <c r="C708" s="436">
        <f t="shared" si="211"/>
        <v>0</v>
      </c>
      <c r="D708" s="446">
        <f t="shared" si="210"/>
        <v>0</v>
      </c>
      <c r="E708" s="439">
        <f>D708*$E$323</f>
        <v>0</v>
      </c>
      <c r="F708" s="442">
        <f>IF(C708="",0,IFERROR(VLOOKUP(COUNTIF($A$1:A708,"ANALISIS DE PRECIOS"),T_Rendimiento_Equipo,5,FALSE),0))</f>
        <v>0</v>
      </c>
      <c r="G708" s="439">
        <f t="shared" si="213"/>
        <v>0</v>
      </c>
    </row>
    <row r="709" spans="1:7" ht="19.899999999999999" customHeight="1" x14ac:dyDescent="0.2">
      <c r="A709" s="482">
        <f t="shared" si="208"/>
        <v>0</v>
      </c>
      <c r="B709" s="445">
        <f t="shared" si="209"/>
        <v>0</v>
      </c>
      <c r="C709" s="447"/>
      <c r="D709" s="446">
        <f t="shared" si="210"/>
        <v>0</v>
      </c>
      <c r="E709" s="439"/>
      <c r="F709" s="442">
        <f>IF(C709="",0,IFERROR(VLOOKUP(COUNTIF($A$1:A709,"ANALISIS DE PRECIOS"),T_Rendimiento_Equipo,5,FALSE),0))</f>
        <v>0</v>
      </c>
      <c r="G709" s="439">
        <f t="shared" si="213"/>
        <v>0</v>
      </c>
    </row>
    <row r="710" spans="1:7" ht="19.899999999999999" customHeight="1" x14ac:dyDescent="0.2">
      <c r="A710" s="482">
        <f t="shared" si="208"/>
        <v>0</v>
      </c>
      <c r="B710" s="445">
        <f t="shared" si="209"/>
        <v>0</v>
      </c>
      <c r="C710" s="447"/>
      <c r="D710" s="446">
        <f t="shared" si="210"/>
        <v>0</v>
      </c>
      <c r="E710" s="439"/>
      <c r="F710" s="442">
        <f>IF(C710="",0,IFERROR(VLOOKUP(COUNTIF($A$1:A710,"ANALISIS DE PRECIOS"),T_Rendimiento_Equipo,5,FALSE),0))</f>
        <v>0</v>
      </c>
      <c r="G710" s="439">
        <f t="shared" si="213"/>
        <v>0</v>
      </c>
    </row>
    <row r="711" spans="1:7" ht="19.899999999999999" customHeight="1" x14ac:dyDescent="0.2">
      <c r="A711" s="482">
        <f t="shared" si="208"/>
        <v>0</v>
      </c>
      <c r="B711" s="445">
        <f t="shared" si="209"/>
        <v>0</v>
      </c>
      <c r="C711" s="447"/>
      <c r="D711" s="446">
        <f t="shared" si="210"/>
        <v>0</v>
      </c>
      <c r="E711" s="439"/>
      <c r="F711" s="442">
        <f>IF(C711="",0,IFERROR(VLOOKUP(COUNTIF($A$1:A711,"ANALISIS DE PRECIOS"),T_Rendimiento_Equipo,5,FALSE),0))</f>
        <v>0</v>
      </c>
      <c r="G711" s="439">
        <f t="shared" si="213"/>
        <v>0</v>
      </c>
    </row>
    <row r="712" spans="1:7" ht="19.899999999999999" customHeight="1" x14ac:dyDescent="0.2">
      <c r="A712" s="482">
        <f t="shared" si="208"/>
        <v>0</v>
      </c>
      <c r="B712" s="445">
        <f t="shared" si="209"/>
        <v>0</v>
      </c>
      <c r="C712" s="447"/>
      <c r="D712" s="446">
        <f t="shared" si="210"/>
        <v>0</v>
      </c>
      <c r="E712" s="439"/>
      <c r="F712" s="442">
        <f>IF(C712="",0,IFERROR(VLOOKUP(COUNTIF($A$1:A712,"ANALISIS DE PRECIOS"),T_Rendimiento_Equipo,5,FALSE),0))</f>
        <v>0</v>
      </c>
      <c r="G712" s="439">
        <f t="shared" si="213"/>
        <v>0</v>
      </c>
    </row>
    <row r="713" spans="1:7" ht="19.899999999999999" customHeight="1" x14ac:dyDescent="0.2">
      <c r="A713" s="482">
        <f t="shared" si="208"/>
        <v>0</v>
      </c>
      <c r="B713" s="445">
        <f t="shared" si="209"/>
        <v>0</v>
      </c>
      <c r="C713" s="436"/>
      <c r="D713" s="446">
        <f t="shared" si="210"/>
        <v>0</v>
      </c>
      <c r="E713" s="439"/>
      <c r="F713" s="442">
        <f>IF(C713="",0,IFERROR(VLOOKUP(COUNTIF($A$1:A713,"ANALISIS DE PRECIOS"),T_Rendimiento_Equipo,5,FALSE),0))</f>
        <v>0</v>
      </c>
      <c r="G713" s="439">
        <f t="shared" si="213"/>
        <v>0</v>
      </c>
    </row>
    <row r="714" spans="1:7" ht="19.899999999999999" customHeight="1" x14ac:dyDescent="0.2">
      <c r="A714" s="483"/>
      <c r="B714" s="426"/>
      <c r="C714" s="139"/>
      <c r="D714" s="426"/>
      <c r="E714" s="427"/>
      <c r="F714" s="448" t="s">
        <v>27</v>
      </c>
      <c r="G714" s="484">
        <f>SUBTOTAL(9,G705:G713)</f>
        <v>0</v>
      </c>
    </row>
    <row r="715" spans="1:7" ht="19.899999999999999" customHeight="1" x14ac:dyDescent="0.2">
      <c r="A715" s="480"/>
      <c r="B715" s="139"/>
      <c r="C715" s="422" t="s">
        <v>713</v>
      </c>
      <c r="D715" s="426"/>
      <c r="E715" s="427"/>
      <c r="F715" s="428"/>
      <c r="G715" s="481"/>
    </row>
    <row r="716" spans="1:7" ht="19.899999999999999" customHeight="1" x14ac:dyDescent="0.2">
      <c r="A716" s="720" t="s">
        <v>576</v>
      </c>
      <c r="B716" s="721"/>
      <c r="C716" s="722" t="s">
        <v>0</v>
      </c>
      <c r="D716" s="724" t="s">
        <v>24</v>
      </c>
      <c r="E716" s="724" t="s">
        <v>1964</v>
      </c>
      <c r="F716" s="726" t="s">
        <v>975</v>
      </c>
      <c r="G716" s="728" t="s">
        <v>26</v>
      </c>
    </row>
    <row r="717" spans="1:7" ht="19.899999999999999" customHeight="1" x14ac:dyDescent="0.2">
      <c r="A717" s="444" t="s">
        <v>577</v>
      </c>
      <c r="B717" s="444" t="s">
        <v>578</v>
      </c>
      <c r="C717" s="723"/>
      <c r="D717" s="725"/>
      <c r="E717" s="725"/>
      <c r="F717" s="727"/>
      <c r="G717" s="729"/>
    </row>
    <row r="718" spans="1:7" ht="19.899999999999999" customHeight="1" x14ac:dyDescent="0.2">
      <c r="A718" s="482">
        <f t="shared" ref="A718:A724" si="214">IFERROR(VLOOKUP(C718,T_Insumos,4,FALSE),0)</f>
        <v>0</v>
      </c>
      <c r="B718" s="445">
        <f t="shared" ref="B718:B724" si="215">IFERROR(VLOOKUP(C718,T_Insumos,5,FALSE),0)</f>
        <v>0</v>
      </c>
      <c r="C718" s="436">
        <f t="shared" ref="C718:C721" si="216">+C493</f>
        <v>0</v>
      </c>
      <c r="D718" s="442"/>
      <c r="E718" s="439">
        <f t="shared" ref="E718:E724" si="217">IFERROR(VLOOKUP(C718,T_Insumos,3,FALSE),0)</f>
        <v>0</v>
      </c>
      <c r="F718" s="442">
        <f>IF(C718="",0,IFERROR(VLOOKUP(COUNTIF($A$1:A718,"ANALISIS DE PRECIOS"),T_Rendimiento_Equipo,5,FALSE),0))</f>
        <v>0</v>
      </c>
      <c r="G718" s="439">
        <f>IFERROR(ROUND(D718*E718/F718,2),0)</f>
        <v>0</v>
      </c>
    </row>
    <row r="719" spans="1:7" ht="19.899999999999999" customHeight="1" x14ac:dyDescent="0.2">
      <c r="A719" s="482">
        <f t="shared" si="214"/>
        <v>0</v>
      </c>
      <c r="B719" s="445">
        <f t="shared" si="215"/>
        <v>0</v>
      </c>
      <c r="C719" s="436">
        <f t="shared" si="216"/>
        <v>0</v>
      </c>
      <c r="D719" s="442">
        <v>1</v>
      </c>
      <c r="E719" s="439">
        <f t="shared" si="217"/>
        <v>0</v>
      </c>
      <c r="F719" s="442">
        <f>IF(C719="",0,IFERROR(VLOOKUP(COUNTIF($A$1:A719,"ANALISIS DE PRECIOS"),T_Rendimiento_Equipo,5,FALSE),0))</f>
        <v>0</v>
      </c>
      <c r="G719" s="439">
        <f>IFERROR(ROUND(D719*E719/F719,2),0)</f>
        <v>0</v>
      </c>
    </row>
    <row r="720" spans="1:7" ht="19.899999999999999" customHeight="1" x14ac:dyDescent="0.2">
      <c r="A720" s="482">
        <f t="shared" si="214"/>
        <v>0</v>
      </c>
      <c r="B720" s="445">
        <f t="shared" si="215"/>
        <v>0</v>
      </c>
      <c r="C720" s="436">
        <f t="shared" si="216"/>
        <v>0</v>
      </c>
      <c r="D720" s="442"/>
      <c r="E720" s="439">
        <f t="shared" si="217"/>
        <v>0</v>
      </c>
      <c r="F720" s="442">
        <f>IF(C720="",0,IFERROR(VLOOKUP(COUNTIF($A$1:A720,"ANALISIS DE PRECIOS"),T_Rendimiento_Equipo,5,FALSE),0))</f>
        <v>0</v>
      </c>
      <c r="G720" s="439">
        <f t="shared" ref="G720:G724" si="218">IFERROR(ROUND(D720*E720/F720,2),0)</f>
        <v>0</v>
      </c>
    </row>
    <row r="721" spans="1:7" ht="19.899999999999999" customHeight="1" x14ac:dyDescent="0.2">
      <c r="A721" s="482">
        <f t="shared" si="214"/>
        <v>0</v>
      </c>
      <c r="B721" s="445">
        <f t="shared" si="215"/>
        <v>0</v>
      </c>
      <c r="C721" s="436">
        <f t="shared" si="216"/>
        <v>0</v>
      </c>
      <c r="D721" s="442">
        <v>2</v>
      </c>
      <c r="E721" s="439">
        <f t="shared" si="217"/>
        <v>0</v>
      </c>
      <c r="F721" s="442">
        <f>IF(C721="",0,IFERROR(VLOOKUP(COUNTIF($A$1:A721,"ANALISIS DE PRECIOS"),T_Rendimiento_Equipo,5,FALSE),0))</f>
        <v>0</v>
      </c>
      <c r="G721" s="439">
        <f t="shared" si="218"/>
        <v>0</v>
      </c>
    </row>
    <row r="722" spans="1:7" ht="19.899999999999999" customHeight="1" x14ac:dyDescent="0.2">
      <c r="A722" s="482">
        <f t="shared" si="214"/>
        <v>0</v>
      </c>
      <c r="B722" s="445">
        <f t="shared" si="215"/>
        <v>0</v>
      </c>
      <c r="C722" s="436"/>
      <c r="D722" s="442"/>
      <c r="E722" s="439">
        <f t="shared" si="217"/>
        <v>0</v>
      </c>
      <c r="F722" s="442">
        <f>IF(C722="",0,IFERROR(VLOOKUP(COUNTIF($A$1:A722,"ANALISIS DE PRECIOS"),T_Rendimiento_Equipo,5,FALSE),0))</f>
        <v>0</v>
      </c>
      <c r="G722" s="439">
        <f t="shared" si="218"/>
        <v>0</v>
      </c>
    </row>
    <row r="723" spans="1:7" ht="19.899999999999999" customHeight="1" x14ac:dyDescent="0.2">
      <c r="A723" s="482">
        <f t="shared" si="214"/>
        <v>0</v>
      </c>
      <c r="B723" s="445">
        <f t="shared" si="215"/>
        <v>0</v>
      </c>
      <c r="C723" s="436"/>
      <c r="D723" s="450"/>
      <c r="E723" s="439">
        <f t="shared" si="217"/>
        <v>0</v>
      </c>
      <c r="F723" s="442">
        <f>IF(C723="",0,IFERROR(VLOOKUP(COUNTIF($A$1:A723,"ANALISIS DE PRECIOS"),T_Rendimiento_Equipo,5,FALSE),0))</f>
        <v>0</v>
      </c>
      <c r="G723" s="439">
        <f t="shared" si="218"/>
        <v>0</v>
      </c>
    </row>
    <row r="724" spans="1:7" ht="19.899999999999999" customHeight="1" x14ac:dyDescent="0.2">
      <c r="A724" s="482">
        <f t="shared" si="214"/>
        <v>0</v>
      </c>
      <c r="B724" s="445">
        <f t="shared" si="215"/>
        <v>0</v>
      </c>
      <c r="C724" s="445"/>
      <c r="D724" s="451"/>
      <c r="E724" s="439">
        <f t="shared" si="217"/>
        <v>0</v>
      </c>
      <c r="F724" s="442">
        <f>IF(C724="",0,IFERROR(VLOOKUP(COUNTIF($A$1:A724,"ANALISIS DE PRECIOS"),T_Rendimiento_Equipo,5,FALSE),0))</f>
        <v>0</v>
      </c>
      <c r="G724" s="439">
        <f t="shared" si="218"/>
        <v>0</v>
      </c>
    </row>
    <row r="725" spans="1:7" ht="19.899999999999999" customHeight="1" x14ac:dyDescent="0.2">
      <c r="A725" s="483"/>
      <c r="B725" s="426"/>
      <c r="C725" s="139"/>
      <c r="D725" s="426"/>
      <c r="E725" s="427"/>
      <c r="F725" s="448" t="s">
        <v>28</v>
      </c>
      <c r="G725" s="485">
        <f>SUBTOTAL(9,G718:G724)</f>
        <v>0</v>
      </c>
    </row>
    <row r="726" spans="1:7" ht="19.899999999999999" customHeight="1" x14ac:dyDescent="0.2">
      <c r="A726" s="480"/>
      <c r="B726" s="139"/>
      <c r="C726" s="422" t="s">
        <v>982</v>
      </c>
      <c r="D726" s="426"/>
      <c r="E726" s="427"/>
      <c r="F726" s="428"/>
      <c r="G726" s="481"/>
    </row>
    <row r="727" spans="1:7" ht="19.899999999999999" customHeight="1" x14ac:dyDescent="0.2">
      <c r="A727" s="720" t="s">
        <v>576</v>
      </c>
      <c r="B727" s="721"/>
      <c r="C727" s="722" t="s">
        <v>0</v>
      </c>
      <c r="D727" s="722" t="s">
        <v>1725</v>
      </c>
      <c r="E727" s="724" t="s">
        <v>24</v>
      </c>
      <c r="F727" s="726" t="s">
        <v>25</v>
      </c>
      <c r="G727" s="728" t="s">
        <v>26</v>
      </c>
    </row>
    <row r="728" spans="1:7" ht="19.899999999999999" customHeight="1" x14ac:dyDescent="0.2">
      <c r="A728" s="444" t="s">
        <v>577</v>
      </c>
      <c r="B728" s="444" t="s">
        <v>578</v>
      </c>
      <c r="C728" s="723"/>
      <c r="D728" s="723"/>
      <c r="E728" s="725"/>
      <c r="F728" s="727"/>
      <c r="G728" s="729"/>
    </row>
    <row r="729" spans="1:7" ht="19.899999999999999" customHeight="1" x14ac:dyDescent="0.2">
      <c r="A729" s="482">
        <f t="shared" ref="A729:A739" si="219">IFERROR(VLOOKUP(C729,T_Insumos,4,FALSE),0)</f>
        <v>0</v>
      </c>
      <c r="B729" s="445">
        <f t="shared" ref="B729:B739" si="220">IFERROR(VLOOKUP(C729,T_Insumos,5,FALSE),0)</f>
        <v>0</v>
      </c>
      <c r="C729" s="436">
        <f t="shared" ref="C729:C739" si="221">+C504</f>
        <v>0</v>
      </c>
      <c r="D729" s="493">
        <f t="shared" ref="D729:D739" si="222">IFERROR(VLOOKUP(C729,T_Insumos,2,FALSE),0)</f>
        <v>0</v>
      </c>
      <c r="E729" s="437"/>
      <c r="F729" s="439">
        <f t="shared" ref="F729:F739" si="223">IFERROR(VLOOKUP(C729,T_Insumos,3,FALSE),0)</f>
        <v>0</v>
      </c>
      <c r="G729" s="439">
        <f>ROUND(E729*F729,2)</f>
        <v>0</v>
      </c>
    </row>
    <row r="730" spans="1:7" ht="19.899999999999999" customHeight="1" x14ac:dyDescent="0.2">
      <c r="A730" s="482">
        <f t="shared" si="219"/>
        <v>0</v>
      </c>
      <c r="B730" s="445">
        <f t="shared" si="220"/>
        <v>0</v>
      </c>
      <c r="C730" s="436">
        <f t="shared" si="221"/>
        <v>0</v>
      </c>
      <c r="D730" s="493">
        <f t="shared" si="222"/>
        <v>0</v>
      </c>
      <c r="E730" s="437"/>
      <c r="F730" s="439">
        <f t="shared" si="223"/>
        <v>0</v>
      </c>
      <c r="G730" s="439">
        <f t="shared" ref="G730:G739" si="224">ROUND(E730*F730,2)</f>
        <v>0</v>
      </c>
    </row>
    <row r="731" spans="1:7" ht="19.899999999999999" customHeight="1" x14ac:dyDescent="0.2">
      <c r="A731" s="482">
        <f t="shared" si="219"/>
        <v>0</v>
      </c>
      <c r="B731" s="445">
        <f t="shared" si="220"/>
        <v>0</v>
      </c>
      <c r="C731" s="436">
        <f t="shared" si="221"/>
        <v>0</v>
      </c>
      <c r="D731" s="493">
        <f t="shared" si="222"/>
        <v>0</v>
      </c>
      <c r="E731" s="437"/>
      <c r="F731" s="439">
        <f t="shared" si="223"/>
        <v>0</v>
      </c>
      <c r="G731" s="439">
        <f t="shared" si="224"/>
        <v>0</v>
      </c>
    </row>
    <row r="732" spans="1:7" ht="19.899999999999999" customHeight="1" x14ac:dyDescent="0.2">
      <c r="A732" s="482">
        <f t="shared" si="219"/>
        <v>0</v>
      </c>
      <c r="B732" s="445">
        <f t="shared" si="220"/>
        <v>0</v>
      </c>
      <c r="C732" s="436">
        <f t="shared" si="221"/>
        <v>0</v>
      </c>
      <c r="D732" s="493">
        <f t="shared" si="222"/>
        <v>0</v>
      </c>
      <c r="E732" s="437"/>
      <c r="F732" s="439">
        <f t="shared" si="223"/>
        <v>0</v>
      </c>
      <c r="G732" s="439">
        <f t="shared" si="224"/>
        <v>0</v>
      </c>
    </row>
    <row r="733" spans="1:7" ht="19.899999999999999" customHeight="1" x14ac:dyDescent="0.2">
      <c r="A733" s="482">
        <f t="shared" si="219"/>
        <v>0</v>
      </c>
      <c r="B733" s="445">
        <f t="shared" si="220"/>
        <v>0</v>
      </c>
      <c r="C733" s="436">
        <f t="shared" si="221"/>
        <v>0</v>
      </c>
      <c r="D733" s="493">
        <f t="shared" si="222"/>
        <v>0</v>
      </c>
      <c r="E733" s="437"/>
      <c r="F733" s="439">
        <f t="shared" si="223"/>
        <v>0</v>
      </c>
      <c r="G733" s="439">
        <f t="shared" si="224"/>
        <v>0</v>
      </c>
    </row>
    <row r="734" spans="1:7" ht="19.899999999999999" customHeight="1" x14ac:dyDescent="0.2">
      <c r="A734" s="482">
        <f t="shared" si="219"/>
        <v>0</v>
      </c>
      <c r="B734" s="445">
        <f t="shared" si="220"/>
        <v>0</v>
      </c>
      <c r="C734" s="436">
        <f t="shared" si="221"/>
        <v>0</v>
      </c>
      <c r="D734" s="493">
        <f t="shared" si="222"/>
        <v>0</v>
      </c>
      <c r="E734" s="437"/>
      <c r="F734" s="439">
        <f t="shared" si="223"/>
        <v>0</v>
      </c>
      <c r="G734" s="439">
        <f t="shared" si="224"/>
        <v>0</v>
      </c>
    </row>
    <row r="735" spans="1:7" ht="19.899999999999999" customHeight="1" x14ac:dyDescent="0.2">
      <c r="A735" s="482">
        <f t="shared" si="219"/>
        <v>0</v>
      </c>
      <c r="B735" s="445">
        <f t="shared" si="220"/>
        <v>0</v>
      </c>
      <c r="C735" s="436">
        <f t="shared" si="221"/>
        <v>0</v>
      </c>
      <c r="D735" s="493">
        <f t="shared" si="222"/>
        <v>0</v>
      </c>
      <c r="E735" s="437"/>
      <c r="F735" s="439">
        <f t="shared" si="223"/>
        <v>0</v>
      </c>
      <c r="G735" s="439">
        <f t="shared" si="224"/>
        <v>0</v>
      </c>
    </row>
    <row r="736" spans="1:7" ht="19.899999999999999" customHeight="1" x14ac:dyDescent="0.2">
      <c r="A736" s="482">
        <f t="shared" si="219"/>
        <v>0</v>
      </c>
      <c r="B736" s="445">
        <f t="shared" si="220"/>
        <v>0</v>
      </c>
      <c r="C736" s="436">
        <f t="shared" si="221"/>
        <v>0</v>
      </c>
      <c r="D736" s="493">
        <f t="shared" si="222"/>
        <v>0</v>
      </c>
      <c r="E736" s="437"/>
      <c r="F736" s="439">
        <f t="shared" si="223"/>
        <v>0</v>
      </c>
      <c r="G736" s="439">
        <f t="shared" si="224"/>
        <v>0</v>
      </c>
    </row>
    <row r="737" spans="1:7" ht="19.899999999999999" customHeight="1" x14ac:dyDescent="0.2">
      <c r="A737" s="482">
        <f t="shared" si="219"/>
        <v>0</v>
      </c>
      <c r="B737" s="445">
        <f t="shared" si="220"/>
        <v>0</v>
      </c>
      <c r="C737" s="436">
        <f t="shared" si="221"/>
        <v>0</v>
      </c>
      <c r="D737" s="493">
        <f t="shared" si="222"/>
        <v>0</v>
      </c>
      <c r="E737" s="437"/>
      <c r="F737" s="439">
        <f t="shared" si="223"/>
        <v>0</v>
      </c>
      <c r="G737" s="439">
        <f t="shared" si="224"/>
        <v>0</v>
      </c>
    </row>
    <row r="738" spans="1:7" ht="19.899999999999999" customHeight="1" x14ac:dyDescent="0.2">
      <c r="A738" s="482">
        <f t="shared" si="219"/>
        <v>0</v>
      </c>
      <c r="B738" s="445">
        <f t="shared" si="220"/>
        <v>0</v>
      </c>
      <c r="C738" s="436">
        <f t="shared" si="221"/>
        <v>0</v>
      </c>
      <c r="D738" s="493">
        <f t="shared" si="222"/>
        <v>0</v>
      </c>
      <c r="E738" s="437"/>
      <c r="F738" s="439">
        <f t="shared" si="223"/>
        <v>0</v>
      </c>
      <c r="G738" s="439">
        <f t="shared" si="224"/>
        <v>0</v>
      </c>
    </row>
    <row r="739" spans="1:7" ht="19.899999999999999" customHeight="1" x14ac:dyDescent="0.2">
      <c r="A739" s="482">
        <f t="shared" si="219"/>
        <v>0</v>
      </c>
      <c r="B739" s="445">
        <f t="shared" si="220"/>
        <v>0</v>
      </c>
      <c r="C739" s="436">
        <f t="shared" si="221"/>
        <v>0</v>
      </c>
      <c r="D739" s="493">
        <f t="shared" si="222"/>
        <v>0</v>
      </c>
      <c r="E739" s="437"/>
      <c r="F739" s="439">
        <f t="shared" si="223"/>
        <v>0</v>
      </c>
      <c r="G739" s="439">
        <f t="shared" si="224"/>
        <v>0</v>
      </c>
    </row>
    <row r="740" spans="1:7" ht="19.899999999999999" customHeight="1" x14ac:dyDescent="0.2">
      <c r="A740" s="480"/>
      <c r="B740" s="139"/>
      <c r="C740" s="139"/>
      <c r="D740" s="426"/>
      <c r="E740" s="427"/>
      <c r="F740" s="448" t="s">
        <v>29</v>
      </c>
      <c r="G740" s="485">
        <f>SUBTOTAL(9,G729:G739)</f>
        <v>0</v>
      </c>
    </row>
    <row r="741" spans="1:7" ht="19.899999999999999" customHeight="1" x14ac:dyDescent="0.2">
      <c r="A741" s="480"/>
      <c r="B741" s="139"/>
      <c r="C741" s="422" t="s">
        <v>983</v>
      </c>
      <c r="D741" s="426"/>
      <c r="E741" s="427"/>
      <c r="F741" s="428"/>
      <c r="G741" s="481"/>
    </row>
    <row r="742" spans="1:7" ht="19.899999999999999" customHeight="1" x14ac:dyDescent="0.2">
      <c r="A742" s="720" t="s">
        <v>576</v>
      </c>
      <c r="B742" s="721"/>
      <c r="C742" s="722" t="s">
        <v>0</v>
      </c>
      <c r="D742" s="722" t="s">
        <v>1725</v>
      </c>
      <c r="E742" s="724" t="s">
        <v>24</v>
      </c>
      <c r="F742" s="726" t="s">
        <v>25</v>
      </c>
      <c r="G742" s="728" t="s">
        <v>26</v>
      </c>
    </row>
    <row r="743" spans="1:7" ht="19.899999999999999" customHeight="1" x14ac:dyDescent="0.2">
      <c r="A743" s="444" t="s">
        <v>577</v>
      </c>
      <c r="B743" s="444" t="s">
        <v>578</v>
      </c>
      <c r="C743" s="723"/>
      <c r="D743" s="723"/>
      <c r="E743" s="725"/>
      <c r="F743" s="727"/>
      <c r="G743" s="729"/>
    </row>
    <row r="744" spans="1:7" ht="19.899999999999999" customHeight="1" x14ac:dyDescent="0.2">
      <c r="A744" s="482">
        <f>IFERROR(VLOOKUP(C744,T_Insumos,4,FALSE),0)</f>
        <v>0</v>
      </c>
      <c r="B744" s="445">
        <f>IFERROR(VLOOKUP(C744,T_Insumos,5,FALSE),0)</f>
        <v>0</v>
      </c>
      <c r="C744" s="436"/>
      <c r="D744" s="493">
        <f>IF(C744=0,0,"$/tnkm")</f>
        <v>0</v>
      </c>
      <c r="E744" s="437"/>
      <c r="F744" s="439">
        <f>IFERROR(VLOOKUP(C744,T_Insumos,3,FALSE),0)</f>
        <v>0</v>
      </c>
      <c r="G744" s="439">
        <f>ROUND(E744*F744,2)</f>
        <v>0</v>
      </c>
    </row>
    <row r="745" spans="1:7" ht="19.899999999999999" customHeight="1" x14ac:dyDescent="0.2">
      <c r="A745" s="482">
        <f>IFERROR(VLOOKUP(C745,T_Insumos,4,FALSE),0)</f>
        <v>0</v>
      </c>
      <c r="B745" s="445">
        <f>IFERROR(VLOOKUP(C745,T_Insumos,5,FALSE),0)</f>
        <v>0</v>
      </c>
      <c r="C745" s="436"/>
      <c r="D745" s="493">
        <f>IF(C745=0,0,"$/tnkm")</f>
        <v>0</v>
      </c>
      <c r="E745" s="453"/>
      <c r="F745" s="439">
        <f>IFERROR(VLOOKUP(C745,T_Insumos,3,FALSE),0)</f>
        <v>0</v>
      </c>
      <c r="G745" s="439">
        <f t="shared" ref="G745" si="225">ROUND(E745*F745,2)</f>
        <v>0</v>
      </c>
    </row>
    <row r="746" spans="1:7" ht="19.899999999999999" customHeight="1" x14ac:dyDescent="0.2">
      <c r="A746" s="480"/>
      <c r="B746" s="139"/>
      <c r="C746" s="139"/>
      <c r="D746" s="426"/>
      <c r="E746" s="427"/>
      <c r="F746" s="448" t="s">
        <v>984</v>
      </c>
      <c r="G746" s="485">
        <f>SUBTOTAL(9,G744:G745)</f>
        <v>0</v>
      </c>
    </row>
    <row r="747" spans="1:7" ht="19.899999999999999" customHeight="1" x14ac:dyDescent="0.2">
      <c r="A747" s="483"/>
      <c r="B747" s="426"/>
      <c r="C747" s="139"/>
      <c r="D747" s="426"/>
      <c r="E747" s="427"/>
      <c r="F747" s="428"/>
      <c r="G747" s="481"/>
    </row>
    <row r="748" spans="1:7" ht="19.899999999999999" customHeight="1" x14ac:dyDescent="0.2">
      <c r="A748" s="541" t="str">
        <f>B682</f>
        <v>2.9</v>
      </c>
      <c r="B748" s="538" t="str">
        <f ca="1">C682</f>
        <v>Armadura Colocada en Obra</v>
      </c>
      <c r="C748" s="426"/>
      <c r="D748" s="426" t="s">
        <v>1704</v>
      </c>
      <c r="E748" s="539"/>
      <c r="F748" s="540" t="str">
        <f ca="1">"$/"&amp;G682</f>
        <v>$/KG</v>
      </c>
      <c r="G748" s="490">
        <f>SUBTOTAL(9,G705:G747)</f>
        <v>0</v>
      </c>
    </row>
    <row r="749" spans="1:7" ht="19.899999999999999" customHeight="1" x14ac:dyDescent="0.2">
      <c r="A749" s="486"/>
      <c r="B749" s="487"/>
      <c r="C749" s="488"/>
      <c r="D749" s="488" t="s">
        <v>1900</v>
      </c>
      <c r="E749" s="489"/>
      <c r="F749" s="542" t="str">
        <f ca="1">"$/"&amp;G682</f>
        <v>$/KG</v>
      </c>
      <c r="G749" s="490">
        <f>ROUND(G748*Coeficiente_Paso,2)</f>
        <v>0</v>
      </c>
    </row>
    <row r="750" spans="1:7" ht="19.899999999999999" customHeight="1" x14ac:dyDescent="0.2">
      <c r="A750" s="139"/>
      <c r="B750" s="139"/>
      <c r="C750" s="139"/>
      <c r="D750" s="139"/>
      <c r="E750" s="139"/>
      <c r="F750" s="139"/>
      <c r="G750" s="139"/>
    </row>
    <row r="751" spans="1:7" ht="19.899999999999999" customHeight="1" x14ac:dyDescent="0.2">
      <c r="A751" s="730" t="s">
        <v>31</v>
      </c>
      <c r="B751" s="731"/>
      <c r="C751" s="731"/>
      <c r="D751" s="731"/>
      <c r="E751" s="731"/>
      <c r="F751" s="731"/>
      <c r="G751" s="732"/>
    </row>
    <row r="752" spans="1:7" ht="19.899999999999999" customHeight="1" x14ac:dyDescent="0.2">
      <c r="A752" s="469" t="s">
        <v>711</v>
      </c>
      <c r="B752" s="420" t="str">
        <f>Comitente</f>
        <v>DEPARTAMENTO DE HIDRAULICA</v>
      </c>
      <c r="C752" s="421"/>
      <c r="D752" s="422"/>
      <c r="E752" s="422"/>
      <c r="F752" s="423"/>
      <c r="G752" s="470"/>
    </row>
    <row r="753" spans="1:7" ht="19.899999999999999" customHeight="1" x14ac:dyDescent="0.2">
      <c r="A753" s="469" t="s">
        <v>712</v>
      </c>
      <c r="B753" s="420">
        <f>Contratista</f>
        <v>0</v>
      </c>
      <c r="C753" s="424"/>
      <c r="D753" s="424"/>
      <c r="E753" s="424"/>
      <c r="F753" s="420"/>
      <c r="G753" s="471"/>
    </row>
    <row r="754" spans="1:7" ht="19.899999999999999" customHeight="1" x14ac:dyDescent="0.2">
      <c r="A754" s="469" t="s">
        <v>21</v>
      </c>
      <c r="B754" s="420" t="str">
        <f>Obra</f>
        <v>Encamisado Parcial del Canal de Calle América</v>
      </c>
      <c r="C754" s="424"/>
      <c r="D754" s="424"/>
      <c r="E754" s="424"/>
      <c r="F754" s="420" t="s">
        <v>32</v>
      </c>
      <c r="G754" s="471" t="str">
        <f>Fecha_Base</f>
        <v>X/X/2023</v>
      </c>
    </row>
    <row r="755" spans="1:7" ht="19.899999999999999" customHeight="1" x14ac:dyDescent="0.2">
      <c r="A755" s="472" t="s">
        <v>710</v>
      </c>
      <c r="B755" s="425" t="str">
        <f>Ubicación</f>
        <v>Departamento Rawson</v>
      </c>
      <c r="C755" s="425"/>
      <c r="D755" s="426"/>
      <c r="E755" s="427"/>
      <c r="F755" s="428"/>
      <c r="G755" s="473"/>
    </row>
    <row r="756" spans="1:7" ht="19.899999999999999" customHeight="1" x14ac:dyDescent="0.2">
      <c r="A756" s="472" t="s">
        <v>33</v>
      </c>
      <c r="B756" s="429">
        <f>IFERROR(VALUE(LEFT(B757,FIND(".",B757)-1)),"")</f>
        <v>2</v>
      </c>
      <c r="C756" s="139" t="str">
        <f ca="1">IFERROR(VLOOKUP(B756,T_Computo_Presupuesto,2,FALSE),0)</f>
        <v>CANAL AMÉRICA</v>
      </c>
      <c r="D756" s="139"/>
      <c r="E756" s="427"/>
      <c r="F756" s="428"/>
      <c r="G756" s="473"/>
    </row>
    <row r="757" spans="1:7" ht="19.899999999999999" customHeight="1" x14ac:dyDescent="0.2">
      <c r="A757" s="472" t="s">
        <v>22</v>
      </c>
      <c r="B757" s="430" t="str">
        <f>IFERROR(VLOOKUP(COUNTIF($A$1:A757,"ANALISIS DE PRECIOS"),T_NumeroItem,2,FALSE),"")</f>
        <v>2.10</v>
      </c>
      <c r="C757" s="733" t="str">
        <f ca="1">IFERROR(VLOOKUP(B757,T_Computo_Presupuesto,2,FALSE),0)</f>
        <v>Juntas de Contracción y Dilatación</v>
      </c>
      <c r="D757" s="733"/>
      <c r="E757" s="733"/>
      <c r="F757" s="425" t="s">
        <v>23</v>
      </c>
      <c r="G757" s="474" t="str">
        <f ca="1">IFERROR(VLOOKUP(B757,T_Computo_Presupuesto,4,FALSE),0)</f>
        <v>ML</v>
      </c>
    </row>
    <row r="758" spans="1:7" ht="19.899999999999999" customHeight="1" x14ac:dyDescent="0.2">
      <c r="A758" s="472"/>
      <c r="B758" s="425"/>
      <c r="C758" s="139"/>
      <c r="D758" s="426"/>
      <c r="E758" s="427"/>
      <c r="F758" s="139"/>
      <c r="G758" s="475"/>
    </row>
    <row r="759" spans="1:7" ht="19.899999999999999" customHeight="1" x14ac:dyDescent="0.2">
      <c r="A759" s="476"/>
      <c r="B759" s="431"/>
      <c r="C759" s="432" t="s">
        <v>967</v>
      </c>
      <c r="D759" s="431"/>
      <c r="E759" s="431"/>
      <c r="F759" s="431"/>
      <c r="G759" s="477"/>
    </row>
    <row r="760" spans="1:7" ht="19.899999999999999" customHeight="1" x14ac:dyDescent="0.2">
      <c r="A760" s="472"/>
      <c r="B760" s="433"/>
      <c r="C760" s="139"/>
      <c r="D760" s="426"/>
      <c r="E760" s="427"/>
      <c r="F760" s="425"/>
      <c r="G760" s="474"/>
    </row>
    <row r="761" spans="1:7" ht="19.899999999999999" customHeight="1" x14ac:dyDescent="0.2">
      <c r="A761" s="472"/>
      <c r="B761" s="433"/>
      <c r="C761" s="434" t="s">
        <v>968</v>
      </c>
      <c r="D761" s="435" t="s">
        <v>24</v>
      </c>
      <c r="E761" s="435" t="s">
        <v>969</v>
      </c>
      <c r="F761" s="435" t="s">
        <v>970</v>
      </c>
      <c r="G761" s="434" t="s">
        <v>971</v>
      </c>
    </row>
    <row r="762" spans="1:7" ht="19.899999999999999" customHeight="1" x14ac:dyDescent="0.2">
      <c r="A762" s="472"/>
      <c r="B762" s="433"/>
      <c r="C762" s="436">
        <f>+C537</f>
        <v>0</v>
      </c>
      <c r="D762" s="436">
        <f>+D537</f>
        <v>0</v>
      </c>
      <c r="E762" s="438">
        <f t="shared" ref="E762:E771" si="226">IFERROR(VLOOKUP(C762,T_Equipos,4,FALSE),0)</f>
        <v>0</v>
      </c>
      <c r="F762" s="439">
        <f t="shared" ref="F762:F771" si="227">IFERROR(VLOOKUP(C762,T_Equipos,5,FALSE),0)</f>
        <v>0</v>
      </c>
      <c r="G762" s="439">
        <f>ROUND(D762*F762,2)</f>
        <v>0</v>
      </c>
    </row>
    <row r="763" spans="1:7" ht="19.899999999999999" customHeight="1" x14ac:dyDescent="0.2">
      <c r="A763" s="472"/>
      <c r="B763" s="433"/>
      <c r="C763" s="436">
        <f t="shared" ref="C763:D767" si="228">+C538</f>
        <v>0</v>
      </c>
      <c r="D763" s="436">
        <f t="shared" si="228"/>
        <v>0</v>
      </c>
      <c r="E763" s="438">
        <f t="shared" si="226"/>
        <v>0</v>
      </c>
      <c r="F763" s="439">
        <f t="shared" si="227"/>
        <v>0</v>
      </c>
      <c r="G763" s="439">
        <f>ROUND(D763*F763,2)</f>
        <v>0</v>
      </c>
    </row>
    <row r="764" spans="1:7" ht="19.899999999999999" customHeight="1" x14ac:dyDescent="0.2">
      <c r="A764" s="472"/>
      <c r="B764" s="433"/>
      <c r="C764" s="436">
        <f t="shared" si="228"/>
        <v>0</v>
      </c>
      <c r="D764" s="436"/>
      <c r="E764" s="438">
        <f t="shared" si="226"/>
        <v>0</v>
      </c>
      <c r="F764" s="439">
        <f t="shared" si="227"/>
        <v>0</v>
      </c>
      <c r="G764" s="439">
        <f>ROUND(D764*F764,2)</f>
        <v>0</v>
      </c>
    </row>
    <row r="765" spans="1:7" ht="19.899999999999999" customHeight="1" x14ac:dyDescent="0.2">
      <c r="A765" s="472"/>
      <c r="B765" s="433"/>
      <c r="C765" s="436">
        <f t="shared" si="228"/>
        <v>0</v>
      </c>
      <c r="D765" s="436"/>
      <c r="E765" s="438">
        <f t="shared" si="226"/>
        <v>0</v>
      </c>
      <c r="F765" s="439">
        <f t="shared" si="227"/>
        <v>0</v>
      </c>
      <c r="G765" s="439">
        <f>ROUND(D765*F765,2)</f>
        <v>0</v>
      </c>
    </row>
    <row r="766" spans="1:7" ht="19.899999999999999" customHeight="1" x14ac:dyDescent="0.2">
      <c r="A766" s="472"/>
      <c r="B766" s="433"/>
      <c r="C766" s="436">
        <f t="shared" si="228"/>
        <v>0</v>
      </c>
      <c r="D766" s="436"/>
      <c r="E766" s="438">
        <f t="shared" si="226"/>
        <v>0</v>
      </c>
      <c r="F766" s="439">
        <f t="shared" si="227"/>
        <v>0</v>
      </c>
      <c r="G766" s="439">
        <f t="shared" ref="G766:G771" si="229">ROUND(D766*F766,2)</f>
        <v>0</v>
      </c>
    </row>
    <row r="767" spans="1:7" ht="19.899999999999999" customHeight="1" x14ac:dyDescent="0.2">
      <c r="A767" s="472"/>
      <c r="B767" s="433"/>
      <c r="C767" s="436">
        <f t="shared" si="228"/>
        <v>0</v>
      </c>
      <c r="D767" s="436"/>
      <c r="E767" s="438">
        <f t="shared" si="226"/>
        <v>0</v>
      </c>
      <c r="F767" s="439">
        <f t="shared" si="227"/>
        <v>0</v>
      </c>
      <c r="G767" s="439">
        <f t="shared" si="229"/>
        <v>0</v>
      </c>
    </row>
    <row r="768" spans="1:7" ht="19.899999999999999" customHeight="1" x14ac:dyDescent="0.2">
      <c r="A768" s="472"/>
      <c r="B768" s="433"/>
      <c r="C768" s="436">
        <f t="shared" ref="C768:D768" si="230">+C543</f>
        <v>0</v>
      </c>
      <c r="D768" s="436">
        <f t="shared" si="230"/>
        <v>0</v>
      </c>
      <c r="E768" s="438">
        <f t="shared" si="226"/>
        <v>0</v>
      </c>
      <c r="F768" s="439">
        <f t="shared" si="227"/>
        <v>0</v>
      </c>
      <c r="G768" s="439">
        <f t="shared" si="229"/>
        <v>0</v>
      </c>
    </row>
    <row r="769" spans="1:7" ht="19.899999999999999" customHeight="1" x14ac:dyDescent="0.2">
      <c r="A769" s="472"/>
      <c r="B769" s="433"/>
      <c r="C769" s="436">
        <f t="shared" ref="C769:D769" si="231">+C544</f>
        <v>0</v>
      </c>
      <c r="D769" s="436">
        <f t="shared" si="231"/>
        <v>0</v>
      </c>
      <c r="E769" s="438">
        <f t="shared" si="226"/>
        <v>0</v>
      </c>
      <c r="F769" s="439">
        <f t="shared" si="227"/>
        <v>0</v>
      </c>
      <c r="G769" s="439">
        <f t="shared" si="229"/>
        <v>0</v>
      </c>
    </row>
    <row r="770" spans="1:7" ht="19.899999999999999" customHeight="1" x14ac:dyDescent="0.2">
      <c r="A770" s="472"/>
      <c r="B770" s="433"/>
      <c r="C770" s="436"/>
      <c r="D770" s="437"/>
      <c r="E770" s="438">
        <f t="shared" si="226"/>
        <v>0</v>
      </c>
      <c r="F770" s="439">
        <f t="shared" si="227"/>
        <v>0</v>
      </c>
      <c r="G770" s="439">
        <f t="shared" si="229"/>
        <v>0</v>
      </c>
    </row>
    <row r="771" spans="1:7" ht="19.899999999999999" customHeight="1" x14ac:dyDescent="0.2">
      <c r="A771" s="472"/>
      <c r="B771" s="433"/>
      <c r="C771" s="436"/>
      <c r="D771" s="437"/>
      <c r="E771" s="438">
        <f t="shared" si="226"/>
        <v>0</v>
      </c>
      <c r="F771" s="439">
        <f t="shared" si="227"/>
        <v>0</v>
      </c>
      <c r="G771" s="439">
        <f t="shared" si="229"/>
        <v>0</v>
      </c>
    </row>
    <row r="772" spans="1:7" ht="19.899999999999999" customHeight="1" x14ac:dyDescent="0.2">
      <c r="A772" s="472"/>
      <c r="B772" s="433"/>
      <c r="C772" s="139"/>
      <c r="D772" s="139"/>
      <c r="E772" s="440"/>
      <c r="F772" s="425"/>
      <c r="G772" s="474"/>
    </row>
    <row r="773" spans="1:7" ht="19.899999999999999" customHeight="1" x14ac:dyDescent="0.2">
      <c r="A773" s="472"/>
      <c r="B773" s="139"/>
      <c r="C773" s="422" t="s">
        <v>972</v>
      </c>
      <c r="D773" s="425" t="s">
        <v>969</v>
      </c>
      <c r="E773" s="491">
        <f>SUMPRODUCT(D762:D771,E762:E771)</f>
        <v>0</v>
      </c>
      <c r="F773" s="425" t="s">
        <v>973</v>
      </c>
      <c r="G773" s="492">
        <f>SUM(G762:G771)</f>
        <v>0</v>
      </c>
    </row>
    <row r="774" spans="1:7" ht="19.899999999999999" customHeight="1" x14ac:dyDescent="0.2">
      <c r="A774" s="472"/>
      <c r="B774" s="433"/>
      <c r="C774" s="441"/>
      <c r="D774" s="440"/>
      <c r="E774" s="427"/>
      <c r="F774" s="425"/>
      <c r="G774" s="478"/>
    </row>
    <row r="775" spans="1:7" ht="19.899999999999999" customHeight="1" x14ac:dyDescent="0.2">
      <c r="A775" s="479"/>
      <c r="B775" s="433"/>
      <c r="C775" s="425" t="s">
        <v>974</v>
      </c>
      <c r="D775" s="442">
        <f>IFERROR(VLOOKUP(COUNTIF($A$1:A775,"ANALISIS DE PRECIOS"),T_Rendimiento_Equipo,5,FALSE),0)</f>
        <v>0</v>
      </c>
      <c r="E775" s="443" t="str">
        <f ca="1">G757&amp;"/día"</f>
        <v>ML/día</v>
      </c>
      <c r="F775" s="419"/>
      <c r="G775" s="474"/>
    </row>
    <row r="776" spans="1:7" ht="19.899999999999999" customHeight="1" x14ac:dyDescent="0.2">
      <c r="A776" s="472"/>
      <c r="B776" s="433"/>
      <c r="C776" s="139"/>
      <c r="D776" s="426"/>
      <c r="E776" s="427"/>
      <c r="F776" s="425"/>
      <c r="G776" s="474"/>
    </row>
    <row r="777" spans="1:7" ht="19.899999999999999" customHeight="1" x14ac:dyDescent="0.2">
      <c r="A777" s="720" t="s">
        <v>576</v>
      </c>
      <c r="B777" s="721"/>
      <c r="C777" s="722" t="s">
        <v>0</v>
      </c>
      <c r="D777" s="734" t="s">
        <v>1724</v>
      </c>
      <c r="E777" s="734" t="s">
        <v>1723</v>
      </c>
      <c r="F777" s="726" t="s">
        <v>975</v>
      </c>
      <c r="G777" s="728" t="s">
        <v>26</v>
      </c>
    </row>
    <row r="778" spans="1:7" ht="19.899999999999999" customHeight="1" x14ac:dyDescent="0.2">
      <c r="A778" s="444" t="s">
        <v>577</v>
      </c>
      <c r="B778" s="444" t="s">
        <v>578</v>
      </c>
      <c r="C778" s="723"/>
      <c r="D778" s="735"/>
      <c r="E778" s="725"/>
      <c r="F778" s="727"/>
      <c r="G778" s="729"/>
    </row>
    <row r="779" spans="1:7" ht="19.899999999999999" customHeight="1" x14ac:dyDescent="0.2">
      <c r="A779" s="480"/>
      <c r="B779" s="139"/>
      <c r="C779" s="422" t="s">
        <v>976</v>
      </c>
      <c r="D779" s="427"/>
      <c r="E779" s="427"/>
      <c r="F779" s="139"/>
      <c r="G779" s="481"/>
    </row>
    <row r="780" spans="1:7" ht="19.899999999999999" customHeight="1" x14ac:dyDescent="0.2">
      <c r="A780" s="482">
        <f t="shared" ref="A780:A788" si="232">IFERROR(VLOOKUP(C780,T_Insumos,4,FALSE),0)</f>
        <v>0</v>
      </c>
      <c r="B780" s="445">
        <f t="shared" ref="B780:B788" si="233">IFERROR(VLOOKUP(C780,T_Insumos,5,FALSE),0)</f>
        <v>0</v>
      </c>
      <c r="C780" s="436">
        <f>+C480</f>
        <v>0</v>
      </c>
      <c r="D780" s="446">
        <f t="shared" ref="D780:D788" si="234">IFERROR(VLOOKUP(C780,T_Insumos,3,FALSE),0)</f>
        <v>0</v>
      </c>
      <c r="E780" s="439">
        <f>D780*$G$323</f>
        <v>0</v>
      </c>
      <c r="F780" s="442">
        <f>IF(C780="",0,IFERROR(VLOOKUP(COUNTIF($A$1:A780,"ANALISIS DE PRECIOS"),T_Rendimiento_Equipo,5,FALSE),0))</f>
        <v>0</v>
      </c>
      <c r="G780" s="439">
        <f>IFERROR(ROUND(E780/F780,2),0)</f>
        <v>0</v>
      </c>
    </row>
    <row r="781" spans="1:7" ht="19.899999999999999" customHeight="1" x14ac:dyDescent="0.2">
      <c r="A781" s="482">
        <f t="shared" si="232"/>
        <v>0</v>
      </c>
      <c r="B781" s="445">
        <f t="shared" si="233"/>
        <v>0</v>
      </c>
      <c r="C781" s="436">
        <f t="shared" ref="C781:C783" si="235">+C481</f>
        <v>0</v>
      </c>
      <c r="D781" s="446">
        <f t="shared" si="234"/>
        <v>0</v>
      </c>
      <c r="E781" s="439">
        <f t="shared" ref="E781:E782" si="236">D781*$G$323</f>
        <v>0</v>
      </c>
      <c r="F781" s="442">
        <f>IF(C781="",0,IFERROR(VLOOKUP(COUNTIF($A$1:A781,"ANALISIS DE PRECIOS"),T_Rendimiento_Equipo,5,FALSE),0))</f>
        <v>0</v>
      </c>
      <c r="G781" s="439">
        <f t="shared" ref="G781:G788" si="237">IFERROR(ROUND(E781/F781,2),0)</f>
        <v>0</v>
      </c>
    </row>
    <row r="782" spans="1:7" ht="19.899999999999999" customHeight="1" x14ac:dyDescent="0.2">
      <c r="A782" s="482">
        <f t="shared" si="232"/>
        <v>0</v>
      </c>
      <c r="B782" s="445">
        <f t="shared" si="233"/>
        <v>0</v>
      </c>
      <c r="C782" s="436">
        <f t="shared" si="235"/>
        <v>0</v>
      </c>
      <c r="D782" s="446">
        <f t="shared" si="234"/>
        <v>0</v>
      </c>
      <c r="E782" s="439">
        <f t="shared" si="236"/>
        <v>0</v>
      </c>
      <c r="F782" s="442">
        <f>IF(C782="",0,IFERROR(VLOOKUP(COUNTIF($A$1:A782,"ANALISIS DE PRECIOS"),T_Rendimiento_Equipo,5,FALSE),0))</f>
        <v>0</v>
      </c>
      <c r="G782" s="439">
        <f t="shared" si="237"/>
        <v>0</v>
      </c>
    </row>
    <row r="783" spans="1:7" ht="19.899999999999999" customHeight="1" x14ac:dyDescent="0.2">
      <c r="A783" s="482">
        <f t="shared" si="232"/>
        <v>0</v>
      </c>
      <c r="B783" s="445">
        <f t="shared" si="233"/>
        <v>0</v>
      </c>
      <c r="C783" s="436">
        <f t="shared" si="235"/>
        <v>0</v>
      </c>
      <c r="D783" s="446">
        <f t="shared" si="234"/>
        <v>0</v>
      </c>
      <c r="E783" s="439">
        <f>D783*$E$323</f>
        <v>0</v>
      </c>
      <c r="F783" s="442">
        <f>IF(C783="",0,IFERROR(VLOOKUP(COUNTIF($A$1:A783,"ANALISIS DE PRECIOS"),T_Rendimiento_Equipo,5,FALSE),0))</f>
        <v>0</v>
      </c>
      <c r="G783" s="439">
        <f t="shared" si="237"/>
        <v>0</v>
      </c>
    </row>
    <row r="784" spans="1:7" ht="19.899999999999999" customHeight="1" x14ac:dyDescent="0.2">
      <c r="A784" s="482">
        <f t="shared" si="232"/>
        <v>0</v>
      </c>
      <c r="B784" s="445">
        <f t="shared" si="233"/>
        <v>0</v>
      </c>
      <c r="C784" s="447"/>
      <c r="D784" s="446">
        <f t="shared" si="234"/>
        <v>0</v>
      </c>
      <c r="E784" s="439"/>
      <c r="F784" s="442">
        <f>IF(C784="",0,IFERROR(VLOOKUP(COUNTIF($A$1:A784,"ANALISIS DE PRECIOS"),T_Rendimiento_Equipo,5,FALSE),0))</f>
        <v>0</v>
      </c>
      <c r="G784" s="439">
        <f t="shared" si="237"/>
        <v>0</v>
      </c>
    </row>
    <row r="785" spans="1:7" ht="19.899999999999999" customHeight="1" x14ac:dyDescent="0.2">
      <c r="A785" s="482">
        <f t="shared" si="232"/>
        <v>0</v>
      </c>
      <c r="B785" s="445">
        <f t="shared" si="233"/>
        <v>0</v>
      </c>
      <c r="C785" s="447"/>
      <c r="D785" s="446">
        <f t="shared" si="234"/>
        <v>0</v>
      </c>
      <c r="E785" s="439"/>
      <c r="F785" s="442">
        <f>IF(C785="",0,IFERROR(VLOOKUP(COUNTIF($A$1:A785,"ANALISIS DE PRECIOS"),T_Rendimiento_Equipo,5,FALSE),0))</f>
        <v>0</v>
      </c>
      <c r="G785" s="439">
        <f t="shared" si="237"/>
        <v>0</v>
      </c>
    </row>
    <row r="786" spans="1:7" ht="19.899999999999999" customHeight="1" x14ac:dyDescent="0.2">
      <c r="A786" s="482">
        <f t="shared" si="232"/>
        <v>0</v>
      </c>
      <c r="B786" s="445">
        <f t="shared" si="233"/>
        <v>0</v>
      </c>
      <c r="C786" s="447"/>
      <c r="D786" s="446">
        <f t="shared" si="234"/>
        <v>0</v>
      </c>
      <c r="E786" s="439"/>
      <c r="F786" s="442">
        <f>IF(C786="",0,IFERROR(VLOOKUP(COUNTIF($A$1:A786,"ANALISIS DE PRECIOS"),T_Rendimiento_Equipo,5,FALSE),0))</f>
        <v>0</v>
      </c>
      <c r="G786" s="439">
        <f t="shared" si="237"/>
        <v>0</v>
      </c>
    </row>
    <row r="787" spans="1:7" ht="19.899999999999999" customHeight="1" x14ac:dyDescent="0.2">
      <c r="A787" s="482">
        <f t="shared" si="232"/>
        <v>0</v>
      </c>
      <c r="B787" s="445">
        <f t="shared" si="233"/>
        <v>0</v>
      </c>
      <c r="C787" s="447"/>
      <c r="D787" s="446">
        <f t="shared" si="234"/>
        <v>0</v>
      </c>
      <c r="E787" s="439"/>
      <c r="F787" s="442">
        <f>IF(C787="",0,IFERROR(VLOOKUP(COUNTIF($A$1:A787,"ANALISIS DE PRECIOS"),T_Rendimiento_Equipo,5,FALSE),0))</f>
        <v>0</v>
      </c>
      <c r="G787" s="439">
        <f t="shared" si="237"/>
        <v>0</v>
      </c>
    </row>
    <row r="788" spans="1:7" ht="19.899999999999999" customHeight="1" x14ac:dyDescent="0.2">
      <c r="A788" s="482">
        <f t="shared" si="232"/>
        <v>0</v>
      </c>
      <c r="B788" s="445">
        <f t="shared" si="233"/>
        <v>0</v>
      </c>
      <c r="C788" s="436"/>
      <c r="D788" s="446">
        <f t="shared" si="234"/>
        <v>0</v>
      </c>
      <c r="E788" s="439"/>
      <c r="F788" s="442">
        <f>IF(C788="",0,IFERROR(VLOOKUP(COUNTIF($A$1:A788,"ANALISIS DE PRECIOS"),T_Rendimiento_Equipo,5,FALSE),0))</f>
        <v>0</v>
      </c>
      <c r="G788" s="439">
        <f t="shared" si="237"/>
        <v>0</v>
      </c>
    </row>
    <row r="789" spans="1:7" ht="19.899999999999999" customHeight="1" x14ac:dyDescent="0.2">
      <c r="A789" s="483"/>
      <c r="B789" s="426"/>
      <c r="C789" s="139"/>
      <c r="D789" s="426"/>
      <c r="E789" s="427"/>
      <c r="F789" s="448" t="s">
        <v>27</v>
      </c>
      <c r="G789" s="484">
        <f>SUBTOTAL(9,G780:G788)</f>
        <v>0</v>
      </c>
    </row>
    <row r="790" spans="1:7" ht="19.899999999999999" customHeight="1" x14ac:dyDescent="0.2">
      <c r="A790" s="480"/>
      <c r="B790" s="139"/>
      <c r="C790" s="422" t="s">
        <v>713</v>
      </c>
      <c r="D790" s="426"/>
      <c r="E790" s="427"/>
      <c r="F790" s="428"/>
      <c r="G790" s="481"/>
    </row>
    <row r="791" spans="1:7" ht="19.899999999999999" customHeight="1" x14ac:dyDescent="0.2">
      <c r="A791" s="720" t="s">
        <v>576</v>
      </c>
      <c r="B791" s="721"/>
      <c r="C791" s="722" t="s">
        <v>0</v>
      </c>
      <c r="D791" s="724" t="s">
        <v>24</v>
      </c>
      <c r="E791" s="724" t="s">
        <v>1964</v>
      </c>
      <c r="F791" s="726" t="s">
        <v>975</v>
      </c>
      <c r="G791" s="728" t="s">
        <v>26</v>
      </c>
    </row>
    <row r="792" spans="1:7" ht="19.899999999999999" customHeight="1" x14ac:dyDescent="0.2">
      <c r="A792" s="444" t="s">
        <v>577</v>
      </c>
      <c r="B792" s="444" t="s">
        <v>578</v>
      </c>
      <c r="C792" s="723"/>
      <c r="D792" s="725"/>
      <c r="E792" s="725"/>
      <c r="F792" s="727"/>
      <c r="G792" s="729"/>
    </row>
    <row r="793" spans="1:7" ht="19.899999999999999" customHeight="1" x14ac:dyDescent="0.2">
      <c r="A793" s="482">
        <f t="shared" ref="A793:A799" si="238">IFERROR(VLOOKUP(C793,T_Insumos,4,FALSE),0)</f>
        <v>0</v>
      </c>
      <c r="B793" s="445">
        <f t="shared" ref="B793:B799" si="239">IFERROR(VLOOKUP(C793,T_Insumos,5,FALSE),0)</f>
        <v>0</v>
      </c>
      <c r="C793" s="436">
        <f t="shared" ref="C793:C796" si="240">+C568</f>
        <v>0</v>
      </c>
      <c r="D793" s="442"/>
      <c r="E793" s="439">
        <f t="shared" ref="E793:E799" si="241">IFERROR(VLOOKUP(C793,T_Insumos,3,FALSE),0)</f>
        <v>0</v>
      </c>
      <c r="F793" s="442">
        <f>IF(C793="",0,IFERROR(VLOOKUP(COUNTIF($A$1:A793,"ANALISIS DE PRECIOS"),T_Rendimiento_Equipo,5,FALSE),0))</f>
        <v>0</v>
      </c>
      <c r="G793" s="439">
        <f>IFERROR(ROUND(D793*E793/F793,2),0)</f>
        <v>0</v>
      </c>
    </row>
    <row r="794" spans="1:7" ht="19.899999999999999" customHeight="1" x14ac:dyDescent="0.2">
      <c r="A794" s="482">
        <f t="shared" si="238"/>
        <v>0</v>
      </c>
      <c r="B794" s="445">
        <f t="shared" si="239"/>
        <v>0</v>
      </c>
      <c r="C794" s="436">
        <f t="shared" si="240"/>
        <v>0</v>
      </c>
      <c r="D794" s="442">
        <v>1</v>
      </c>
      <c r="E794" s="439">
        <f t="shared" si="241"/>
        <v>0</v>
      </c>
      <c r="F794" s="442">
        <f>IF(C794="",0,IFERROR(VLOOKUP(COUNTIF($A$1:A794,"ANALISIS DE PRECIOS"),T_Rendimiento_Equipo,5,FALSE),0))</f>
        <v>0</v>
      </c>
      <c r="G794" s="439">
        <f>IFERROR(ROUND(D794*E794/F794,2),0)</f>
        <v>0</v>
      </c>
    </row>
    <row r="795" spans="1:7" ht="19.899999999999999" customHeight="1" x14ac:dyDescent="0.2">
      <c r="A795" s="482">
        <f t="shared" si="238"/>
        <v>0</v>
      </c>
      <c r="B795" s="445">
        <f t="shared" si="239"/>
        <v>0</v>
      </c>
      <c r="C795" s="436">
        <f t="shared" si="240"/>
        <v>0</v>
      </c>
      <c r="D795" s="442"/>
      <c r="E795" s="439">
        <f t="shared" si="241"/>
        <v>0</v>
      </c>
      <c r="F795" s="442">
        <f>IF(C795="",0,IFERROR(VLOOKUP(COUNTIF($A$1:A795,"ANALISIS DE PRECIOS"),T_Rendimiento_Equipo,5,FALSE),0))</f>
        <v>0</v>
      </c>
      <c r="G795" s="439">
        <f t="shared" ref="G795:G799" si="242">IFERROR(ROUND(D795*E795/F795,2),0)</f>
        <v>0</v>
      </c>
    </row>
    <row r="796" spans="1:7" ht="19.899999999999999" customHeight="1" x14ac:dyDescent="0.2">
      <c r="A796" s="482">
        <f t="shared" si="238"/>
        <v>0</v>
      </c>
      <c r="B796" s="445">
        <f t="shared" si="239"/>
        <v>0</v>
      </c>
      <c r="C796" s="436">
        <f t="shared" si="240"/>
        <v>0</v>
      </c>
      <c r="D796" s="442">
        <v>2</v>
      </c>
      <c r="E796" s="439">
        <f t="shared" si="241"/>
        <v>0</v>
      </c>
      <c r="F796" s="442">
        <f>IF(C796="",0,IFERROR(VLOOKUP(COUNTIF($A$1:A796,"ANALISIS DE PRECIOS"),T_Rendimiento_Equipo,5,FALSE),0))</f>
        <v>0</v>
      </c>
      <c r="G796" s="439">
        <f t="shared" si="242"/>
        <v>0</v>
      </c>
    </row>
    <row r="797" spans="1:7" ht="19.899999999999999" customHeight="1" x14ac:dyDescent="0.2">
      <c r="A797" s="482">
        <f t="shared" si="238"/>
        <v>0</v>
      </c>
      <c r="B797" s="445">
        <f t="shared" si="239"/>
        <v>0</v>
      </c>
      <c r="C797" s="436"/>
      <c r="D797" s="442"/>
      <c r="E797" s="439">
        <f t="shared" si="241"/>
        <v>0</v>
      </c>
      <c r="F797" s="442">
        <f>IF(C797="",0,IFERROR(VLOOKUP(COUNTIF($A$1:A797,"ANALISIS DE PRECIOS"),T_Rendimiento_Equipo,5,FALSE),0))</f>
        <v>0</v>
      </c>
      <c r="G797" s="439">
        <f t="shared" si="242"/>
        <v>0</v>
      </c>
    </row>
    <row r="798" spans="1:7" ht="19.899999999999999" customHeight="1" x14ac:dyDescent="0.2">
      <c r="A798" s="482">
        <f t="shared" si="238"/>
        <v>0</v>
      </c>
      <c r="B798" s="445">
        <f t="shared" si="239"/>
        <v>0</v>
      </c>
      <c r="C798" s="436"/>
      <c r="D798" s="450"/>
      <c r="E798" s="439">
        <f t="shared" si="241"/>
        <v>0</v>
      </c>
      <c r="F798" s="442">
        <f>IF(C798="",0,IFERROR(VLOOKUP(COUNTIF($A$1:A798,"ANALISIS DE PRECIOS"),T_Rendimiento_Equipo,5,FALSE),0))</f>
        <v>0</v>
      </c>
      <c r="G798" s="439">
        <f t="shared" si="242"/>
        <v>0</v>
      </c>
    </row>
    <row r="799" spans="1:7" ht="19.899999999999999" customHeight="1" x14ac:dyDescent="0.2">
      <c r="A799" s="482">
        <f t="shared" si="238"/>
        <v>0</v>
      </c>
      <c r="B799" s="445">
        <f t="shared" si="239"/>
        <v>0</v>
      </c>
      <c r="C799" s="445"/>
      <c r="D799" s="451"/>
      <c r="E799" s="439">
        <f t="shared" si="241"/>
        <v>0</v>
      </c>
      <c r="F799" s="442">
        <f>IF(C799="",0,IFERROR(VLOOKUP(COUNTIF($A$1:A799,"ANALISIS DE PRECIOS"),T_Rendimiento_Equipo,5,FALSE),0))</f>
        <v>0</v>
      </c>
      <c r="G799" s="439">
        <f t="shared" si="242"/>
        <v>0</v>
      </c>
    </row>
    <row r="800" spans="1:7" ht="19.899999999999999" customHeight="1" x14ac:dyDescent="0.2">
      <c r="A800" s="483"/>
      <c r="B800" s="426"/>
      <c r="C800" s="139"/>
      <c r="D800" s="426"/>
      <c r="E800" s="427"/>
      <c r="F800" s="448" t="s">
        <v>28</v>
      </c>
      <c r="G800" s="485">
        <f>SUBTOTAL(9,G793:G799)</f>
        <v>0</v>
      </c>
    </row>
    <row r="801" spans="1:7" ht="19.899999999999999" customHeight="1" x14ac:dyDescent="0.2">
      <c r="A801" s="480"/>
      <c r="B801" s="139"/>
      <c r="C801" s="422" t="s">
        <v>982</v>
      </c>
      <c r="D801" s="426"/>
      <c r="E801" s="427"/>
      <c r="F801" s="428"/>
      <c r="G801" s="481"/>
    </row>
    <row r="802" spans="1:7" ht="19.899999999999999" customHeight="1" x14ac:dyDescent="0.2">
      <c r="A802" s="720" t="s">
        <v>576</v>
      </c>
      <c r="B802" s="721"/>
      <c r="C802" s="722" t="s">
        <v>0</v>
      </c>
      <c r="D802" s="722" t="s">
        <v>1725</v>
      </c>
      <c r="E802" s="724" t="s">
        <v>24</v>
      </c>
      <c r="F802" s="726" t="s">
        <v>25</v>
      </c>
      <c r="G802" s="728" t="s">
        <v>26</v>
      </c>
    </row>
    <row r="803" spans="1:7" ht="19.899999999999999" customHeight="1" x14ac:dyDescent="0.2">
      <c r="A803" s="444" t="s">
        <v>577</v>
      </c>
      <c r="B803" s="444" t="s">
        <v>578</v>
      </c>
      <c r="C803" s="723"/>
      <c r="D803" s="723"/>
      <c r="E803" s="725"/>
      <c r="F803" s="727"/>
      <c r="G803" s="729"/>
    </row>
    <row r="804" spans="1:7" ht="19.899999999999999" customHeight="1" x14ac:dyDescent="0.2">
      <c r="A804" s="482">
        <f t="shared" ref="A804:A814" si="243">IFERROR(VLOOKUP(C804,T_Insumos,4,FALSE),0)</f>
        <v>0</v>
      </c>
      <c r="B804" s="445">
        <f t="shared" ref="B804:B814" si="244">IFERROR(VLOOKUP(C804,T_Insumos,5,FALSE),0)</f>
        <v>0</v>
      </c>
      <c r="C804" s="436">
        <f t="shared" ref="C804:C814" si="245">+C579</f>
        <v>0</v>
      </c>
      <c r="D804" s="493">
        <f t="shared" ref="D804:D814" si="246">IFERROR(VLOOKUP(C804,T_Insumos,2,FALSE),0)</f>
        <v>0</v>
      </c>
      <c r="E804" s="437"/>
      <c r="F804" s="439">
        <f t="shared" ref="F804:F814" si="247">IFERROR(VLOOKUP(C804,T_Insumos,3,FALSE),0)</f>
        <v>0</v>
      </c>
      <c r="G804" s="439">
        <f>ROUND(E804*F804,2)</f>
        <v>0</v>
      </c>
    </row>
    <row r="805" spans="1:7" ht="19.899999999999999" customHeight="1" x14ac:dyDescent="0.2">
      <c r="A805" s="482">
        <f t="shared" si="243"/>
        <v>0</v>
      </c>
      <c r="B805" s="445">
        <f t="shared" si="244"/>
        <v>0</v>
      </c>
      <c r="C805" s="436">
        <f t="shared" si="245"/>
        <v>0</v>
      </c>
      <c r="D805" s="493">
        <f t="shared" si="246"/>
        <v>0</v>
      </c>
      <c r="E805" s="437"/>
      <c r="F805" s="439">
        <f t="shared" si="247"/>
        <v>0</v>
      </c>
      <c r="G805" s="439">
        <f t="shared" ref="G805:G814" si="248">ROUND(E805*F805,2)</f>
        <v>0</v>
      </c>
    </row>
    <row r="806" spans="1:7" ht="19.899999999999999" customHeight="1" x14ac:dyDescent="0.2">
      <c r="A806" s="482">
        <f t="shared" si="243"/>
        <v>0</v>
      </c>
      <c r="B806" s="445">
        <f t="shared" si="244"/>
        <v>0</v>
      </c>
      <c r="C806" s="436">
        <f t="shared" si="245"/>
        <v>0</v>
      </c>
      <c r="D806" s="493">
        <f t="shared" si="246"/>
        <v>0</v>
      </c>
      <c r="E806" s="437"/>
      <c r="F806" s="439">
        <f t="shared" si="247"/>
        <v>0</v>
      </c>
      <c r="G806" s="439">
        <f t="shared" si="248"/>
        <v>0</v>
      </c>
    </row>
    <row r="807" spans="1:7" ht="19.899999999999999" customHeight="1" x14ac:dyDescent="0.2">
      <c r="A807" s="482">
        <f t="shared" si="243"/>
        <v>0</v>
      </c>
      <c r="B807" s="445">
        <f t="shared" si="244"/>
        <v>0</v>
      </c>
      <c r="C807" s="436">
        <f t="shared" si="245"/>
        <v>0</v>
      </c>
      <c r="D807" s="493">
        <f t="shared" si="246"/>
        <v>0</v>
      </c>
      <c r="E807" s="437"/>
      <c r="F807" s="439">
        <f t="shared" si="247"/>
        <v>0</v>
      </c>
      <c r="G807" s="439">
        <f t="shared" si="248"/>
        <v>0</v>
      </c>
    </row>
    <row r="808" spans="1:7" ht="19.899999999999999" customHeight="1" x14ac:dyDescent="0.2">
      <c r="A808" s="482">
        <f t="shared" si="243"/>
        <v>0</v>
      </c>
      <c r="B808" s="445">
        <f t="shared" si="244"/>
        <v>0</v>
      </c>
      <c r="C808" s="436">
        <f t="shared" si="245"/>
        <v>0</v>
      </c>
      <c r="D808" s="493">
        <f t="shared" si="246"/>
        <v>0</v>
      </c>
      <c r="E808" s="437"/>
      <c r="F808" s="439">
        <f t="shared" si="247"/>
        <v>0</v>
      </c>
      <c r="G808" s="439">
        <f t="shared" si="248"/>
        <v>0</v>
      </c>
    </row>
    <row r="809" spans="1:7" ht="19.899999999999999" customHeight="1" x14ac:dyDescent="0.2">
      <c r="A809" s="482">
        <f t="shared" si="243"/>
        <v>0</v>
      </c>
      <c r="B809" s="445">
        <f t="shared" si="244"/>
        <v>0</v>
      </c>
      <c r="C809" s="436">
        <f t="shared" si="245"/>
        <v>0</v>
      </c>
      <c r="D809" s="493">
        <f t="shared" si="246"/>
        <v>0</v>
      </c>
      <c r="E809" s="437"/>
      <c r="F809" s="439">
        <f t="shared" si="247"/>
        <v>0</v>
      </c>
      <c r="G809" s="439">
        <f t="shared" si="248"/>
        <v>0</v>
      </c>
    </row>
    <row r="810" spans="1:7" ht="19.899999999999999" customHeight="1" x14ac:dyDescent="0.2">
      <c r="A810" s="482">
        <f t="shared" si="243"/>
        <v>0</v>
      </c>
      <c r="B810" s="445">
        <f t="shared" si="244"/>
        <v>0</v>
      </c>
      <c r="C810" s="436">
        <f t="shared" si="245"/>
        <v>0</v>
      </c>
      <c r="D810" s="493">
        <f t="shared" si="246"/>
        <v>0</v>
      </c>
      <c r="E810" s="437"/>
      <c r="F810" s="439">
        <f t="shared" si="247"/>
        <v>0</v>
      </c>
      <c r="G810" s="439">
        <f t="shared" si="248"/>
        <v>0</v>
      </c>
    </row>
    <row r="811" spans="1:7" ht="19.899999999999999" customHeight="1" x14ac:dyDescent="0.2">
      <c r="A811" s="482">
        <f t="shared" si="243"/>
        <v>0</v>
      </c>
      <c r="B811" s="445">
        <f t="shared" si="244"/>
        <v>0</v>
      </c>
      <c r="C811" s="436">
        <f t="shared" si="245"/>
        <v>0</v>
      </c>
      <c r="D811" s="493">
        <f t="shared" si="246"/>
        <v>0</v>
      </c>
      <c r="E811" s="437"/>
      <c r="F811" s="439">
        <f t="shared" si="247"/>
        <v>0</v>
      </c>
      <c r="G811" s="439">
        <f t="shared" si="248"/>
        <v>0</v>
      </c>
    </row>
    <row r="812" spans="1:7" ht="19.899999999999999" customHeight="1" x14ac:dyDescent="0.2">
      <c r="A812" s="482">
        <f t="shared" si="243"/>
        <v>0</v>
      </c>
      <c r="B812" s="445">
        <f t="shared" si="244"/>
        <v>0</v>
      </c>
      <c r="C812" s="436">
        <f t="shared" si="245"/>
        <v>0</v>
      </c>
      <c r="D812" s="493">
        <f t="shared" si="246"/>
        <v>0</v>
      </c>
      <c r="E812" s="437"/>
      <c r="F812" s="439">
        <f t="shared" si="247"/>
        <v>0</v>
      </c>
      <c r="G812" s="439">
        <f t="shared" si="248"/>
        <v>0</v>
      </c>
    </row>
    <row r="813" spans="1:7" ht="19.899999999999999" customHeight="1" x14ac:dyDescent="0.2">
      <c r="A813" s="482">
        <f t="shared" si="243"/>
        <v>0</v>
      </c>
      <c r="B813" s="445">
        <f t="shared" si="244"/>
        <v>0</v>
      </c>
      <c r="C813" s="436">
        <f t="shared" si="245"/>
        <v>0</v>
      </c>
      <c r="D813" s="493">
        <f t="shared" si="246"/>
        <v>0</v>
      </c>
      <c r="E813" s="437"/>
      <c r="F813" s="439">
        <f t="shared" si="247"/>
        <v>0</v>
      </c>
      <c r="G813" s="439">
        <f t="shared" si="248"/>
        <v>0</v>
      </c>
    </row>
    <row r="814" spans="1:7" ht="19.899999999999999" customHeight="1" x14ac:dyDescent="0.2">
      <c r="A814" s="482">
        <f t="shared" si="243"/>
        <v>0</v>
      </c>
      <c r="B814" s="445">
        <f t="shared" si="244"/>
        <v>0</v>
      </c>
      <c r="C814" s="436">
        <f t="shared" si="245"/>
        <v>0</v>
      </c>
      <c r="D814" s="493">
        <f t="shared" si="246"/>
        <v>0</v>
      </c>
      <c r="E814" s="437"/>
      <c r="F814" s="439">
        <f t="shared" si="247"/>
        <v>0</v>
      </c>
      <c r="G814" s="439">
        <f t="shared" si="248"/>
        <v>0</v>
      </c>
    </row>
    <row r="815" spans="1:7" ht="19.899999999999999" customHeight="1" x14ac:dyDescent="0.2">
      <c r="A815" s="480"/>
      <c r="B815" s="139"/>
      <c r="C815" s="139"/>
      <c r="D815" s="426"/>
      <c r="E815" s="427"/>
      <c r="F815" s="448" t="s">
        <v>29</v>
      </c>
      <c r="G815" s="485">
        <f>SUBTOTAL(9,G804:G814)</f>
        <v>0</v>
      </c>
    </row>
    <row r="816" spans="1:7" ht="19.899999999999999" customHeight="1" x14ac:dyDescent="0.2">
      <c r="A816" s="480"/>
      <c r="B816" s="139"/>
      <c r="C816" s="422" t="s">
        <v>983</v>
      </c>
      <c r="D816" s="426"/>
      <c r="E816" s="427"/>
      <c r="F816" s="428"/>
      <c r="G816" s="481"/>
    </row>
    <row r="817" spans="1:7" ht="19.899999999999999" customHeight="1" x14ac:dyDescent="0.2">
      <c r="A817" s="720" t="s">
        <v>576</v>
      </c>
      <c r="B817" s="721"/>
      <c r="C817" s="722" t="s">
        <v>0</v>
      </c>
      <c r="D817" s="722" t="s">
        <v>1725</v>
      </c>
      <c r="E817" s="724" t="s">
        <v>24</v>
      </c>
      <c r="F817" s="726" t="s">
        <v>25</v>
      </c>
      <c r="G817" s="728" t="s">
        <v>26</v>
      </c>
    </row>
    <row r="818" spans="1:7" ht="19.899999999999999" customHeight="1" x14ac:dyDescent="0.2">
      <c r="A818" s="444" t="s">
        <v>577</v>
      </c>
      <c r="B818" s="444" t="s">
        <v>578</v>
      </c>
      <c r="C818" s="723"/>
      <c r="D818" s="723"/>
      <c r="E818" s="725"/>
      <c r="F818" s="727"/>
      <c r="G818" s="729"/>
    </row>
    <row r="819" spans="1:7" ht="19.899999999999999" customHeight="1" x14ac:dyDescent="0.2">
      <c r="A819" s="482">
        <f>IFERROR(VLOOKUP(C819,T_Insumos,4,FALSE),0)</f>
        <v>0</v>
      </c>
      <c r="B819" s="445">
        <f>IFERROR(VLOOKUP(C819,T_Insumos,5,FALSE),0)</f>
        <v>0</v>
      </c>
      <c r="C819" s="436"/>
      <c r="D819" s="493">
        <f>IF(C819=0,0,"$/tnkm")</f>
        <v>0</v>
      </c>
      <c r="E819" s="437"/>
      <c r="F819" s="439">
        <f>IFERROR(VLOOKUP(C819,T_Insumos,3,FALSE),0)</f>
        <v>0</v>
      </c>
      <c r="G819" s="439">
        <f>ROUND(E819*F819,2)</f>
        <v>0</v>
      </c>
    </row>
    <row r="820" spans="1:7" ht="19.899999999999999" customHeight="1" x14ac:dyDescent="0.2">
      <c r="A820" s="482">
        <f>IFERROR(VLOOKUP(C820,T_Insumos,4,FALSE),0)</f>
        <v>0</v>
      </c>
      <c r="B820" s="445">
        <f>IFERROR(VLOOKUP(C820,T_Insumos,5,FALSE),0)</f>
        <v>0</v>
      </c>
      <c r="C820" s="436"/>
      <c r="D820" s="493">
        <f>IF(C820=0,0,"$/tnkm")</f>
        <v>0</v>
      </c>
      <c r="E820" s="453"/>
      <c r="F820" s="439">
        <f>IFERROR(VLOOKUP(C820,T_Insumos,3,FALSE),0)</f>
        <v>0</v>
      </c>
      <c r="G820" s="439">
        <f t="shared" ref="G820" si="249">ROUND(E820*F820,2)</f>
        <v>0</v>
      </c>
    </row>
    <row r="821" spans="1:7" ht="19.899999999999999" customHeight="1" x14ac:dyDescent="0.2">
      <c r="A821" s="480"/>
      <c r="B821" s="139"/>
      <c r="C821" s="139"/>
      <c r="D821" s="426"/>
      <c r="E821" s="427"/>
      <c r="F821" s="448" t="s">
        <v>984</v>
      </c>
      <c r="G821" s="485">
        <f>SUBTOTAL(9,G819:G820)</f>
        <v>0</v>
      </c>
    </row>
    <row r="822" spans="1:7" ht="19.899999999999999" customHeight="1" x14ac:dyDescent="0.2">
      <c r="A822" s="483"/>
      <c r="B822" s="426"/>
      <c r="C822" s="139"/>
      <c r="D822" s="426"/>
      <c r="E822" s="427"/>
      <c r="F822" s="428"/>
      <c r="G822" s="481"/>
    </row>
    <row r="823" spans="1:7" ht="19.899999999999999" customHeight="1" x14ac:dyDescent="0.2">
      <c r="A823" s="541" t="str">
        <f>B757</f>
        <v>2.10</v>
      </c>
      <c r="B823" s="538" t="str">
        <f ca="1">C757</f>
        <v>Juntas de Contracción y Dilatación</v>
      </c>
      <c r="C823" s="426"/>
      <c r="D823" s="426" t="s">
        <v>1704</v>
      </c>
      <c r="E823" s="539"/>
      <c r="F823" s="540" t="str">
        <f ca="1">"$/"&amp;G757</f>
        <v>$/ML</v>
      </c>
      <c r="G823" s="490">
        <f>SUBTOTAL(9,G780:G822)</f>
        <v>0</v>
      </c>
    </row>
    <row r="824" spans="1:7" ht="19.899999999999999" customHeight="1" x14ac:dyDescent="0.2">
      <c r="A824" s="486"/>
      <c r="B824" s="487"/>
      <c r="C824" s="488"/>
      <c r="D824" s="488" t="s">
        <v>1900</v>
      </c>
      <c r="E824" s="489"/>
      <c r="F824" s="542" t="str">
        <f ca="1">"$/"&amp;G757</f>
        <v>$/ML</v>
      </c>
      <c r="G824" s="490">
        <f>ROUND(G823*Coeficiente_Paso,2)</f>
        <v>0</v>
      </c>
    </row>
    <row r="825" spans="1:7" ht="19.899999999999999" customHeight="1" x14ac:dyDescent="0.2">
      <c r="A825" s="139"/>
      <c r="B825" s="139"/>
      <c r="C825" s="139"/>
      <c r="D825" s="139"/>
      <c r="E825" s="139"/>
      <c r="F825" s="139"/>
      <c r="G825" s="139"/>
    </row>
    <row r="826" spans="1:7" ht="19.899999999999999" customHeight="1" x14ac:dyDescent="0.2">
      <c r="A826" s="730" t="s">
        <v>31</v>
      </c>
      <c r="B826" s="731"/>
      <c r="C826" s="731"/>
      <c r="D826" s="731"/>
      <c r="E826" s="731"/>
      <c r="F826" s="731"/>
      <c r="G826" s="732"/>
    </row>
    <row r="827" spans="1:7" ht="19.899999999999999" customHeight="1" x14ac:dyDescent="0.2">
      <c r="A827" s="469" t="s">
        <v>711</v>
      </c>
      <c r="B827" s="420" t="str">
        <f>Comitente</f>
        <v>DEPARTAMENTO DE HIDRAULICA</v>
      </c>
      <c r="C827" s="421"/>
      <c r="D827" s="422"/>
      <c r="E827" s="422"/>
      <c r="F827" s="423"/>
      <c r="G827" s="470"/>
    </row>
    <row r="828" spans="1:7" ht="19.899999999999999" customHeight="1" x14ac:dyDescent="0.2">
      <c r="A828" s="469" t="s">
        <v>712</v>
      </c>
      <c r="B828" s="420">
        <f>Contratista</f>
        <v>0</v>
      </c>
      <c r="C828" s="424"/>
      <c r="D828" s="424"/>
      <c r="E828" s="424"/>
      <c r="F828" s="420"/>
      <c r="G828" s="471"/>
    </row>
    <row r="829" spans="1:7" ht="19.899999999999999" customHeight="1" x14ac:dyDescent="0.2">
      <c r="A829" s="469" t="s">
        <v>21</v>
      </c>
      <c r="B829" s="420" t="str">
        <f>Obra</f>
        <v>Encamisado Parcial del Canal de Calle América</v>
      </c>
      <c r="C829" s="424"/>
      <c r="D829" s="424"/>
      <c r="E829" s="424"/>
      <c r="F829" s="420" t="s">
        <v>32</v>
      </c>
      <c r="G829" s="471" t="str">
        <f>Fecha_Base</f>
        <v>X/X/2023</v>
      </c>
    </row>
    <row r="830" spans="1:7" ht="19.899999999999999" customHeight="1" x14ac:dyDescent="0.2">
      <c r="A830" s="472" t="s">
        <v>710</v>
      </c>
      <c r="B830" s="425" t="str">
        <f>Ubicación</f>
        <v>Departamento Rawson</v>
      </c>
      <c r="C830" s="425"/>
      <c r="D830" s="426"/>
      <c r="E830" s="427"/>
      <c r="F830" s="428"/>
      <c r="G830" s="473"/>
    </row>
    <row r="831" spans="1:7" ht="19.899999999999999" customHeight="1" x14ac:dyDescent="0.2">
      <c r="A831" s="472" t="s">
        <v>33</v>
      </c>
      <c r="B831" s="429">
        <f>IFERROR(VALUE(LEFT(B832,FIND(".",B832)-1)),"")</f>
        <v>2</v>
      </c>
      <c r="C831" s="139" t="str">
        <f ca="1">IFERROR(VLOOKUP(B831,T_Computo_Presupuesto,2,FALSE),0)</f>
        <v>CANAL AMÉRICA</v>
      </c>
      <c r="D831" s="139"/>
      <c r="E831" s="427"/>
      <c r="F831" s="428"/>
      <c r="G831" s="473"/>
    </row>
    <row r="832" spans="1:7" ht="19.899999999999999" customHeight="1" x14ac:dyDescent="0.2">
      <c r="A832" s="472" t="s">
        <v>22</v>
      </c>
      <c r="B832" s="430" t="str">
        <f>IFERROR(VLOOKUP(COUNTIF($A$1:A832,"ANALISIS DE PRECIOS"),T_NumeroItem,2,FALSE),"")</f>
        <v>2.11</v>
      </c>
      <c r="C832" s="733" t="str">
        <f ca="1">IFERROR(VLOOKUP(B832,T_Computo_Presupuesto,2,FALSE),0)</f>
        <v>Colocación de Membrana de 400 micrones</v>
      </c>
      <c r="D832" s="733"/>
      <c r="E832" s="733"/>
      <c r="F832" s="425" t="s">
        <v>23</v>
      </c>
      <c r="G832" s="474" t="str">
        <f ca="1">IFERROR(VLOOKUP(B832,T_Computo_Presupuesto,4,FALSE),0)</f>
        <v>M2</v>
      </c>
    </row>
    <row r="833" spans="1:7" ht="19.899999999999999" customHeight="1" x14ac:dyDescent="0.2">
      <c r="A833" s="472"/>
      <c r="B833" s="425"/>
      <c r="C833" s="139"/>
      <c r="D833" s="426"/>
      <c r="E833" s="427"/>
      <c r="F833" s="139"/>
      <c r="G833" s="475"/>
    </row>
    <row r="834" spans="1:7" ht="19.899999999999999" customHeight="1" x14ac:dyDescent="0.2">
      <c r="A834" s="476"/>
      <c r="B834" s="431"/>
      <c r="C834" s="432" t="s">
        <v>967</v>
      </c>
      <c r="D834" s="431"/>
      <c r="E834" s="431"/>
      <c r="F834" s="431"/>
      <c r="G834" s="477"/>
    </row>
    <row r="835" spans="1:7" ht="19.899999999999999" customHeight="1" x14ac:dyDescent="0.2">
      <c r="A835" s="472"/>
      <c r="B835" s="433"/>
      <c r="C835" s="139"/>
      <c r="D835" s="426"/>
      <c r="E835" s="427"/>
      <c r="F835" s="425"/>
      <c r="G835" s="474"/>
    </row>
    <row r="836" spans="1:7" ht="19.899999999999999" customHeight="1" x14ac:dyDescent="0.2">
      <c r="A836" s="472"/>
      <c r="B836" s="433"/>
      <c r="C836" s="434" t="s">
        <v>968</v>
      </c>
      <c r="D836" s="435" t="s">
        <v>24</v>
      </c>
      <c r="E836" s="435" t="s">
        <v>969</v>
      </c>
      <c r="F836" s="435" t="s">
        <v>970</v>
      </c>
      <c r="G836" s="434" t="s">
        <v>971</v>
      </c>
    </row>
    <row r="837" spans="1:7" ht="19.899999999999999" customHeight="1" x14ac:dyDescent="0.2">
      <c r="A837" s="472"/>
      <c r="B837" s="433"/>
      <c r="C837" s="436">
        <f>+C612</f>
        <v>0</v>
      </c>
      <c r="D837" s="436">
        <f>+D612</f>
        <v>0</v>
      </c>
      <c r="E837" s="438">
        <f t="shared" ref="E837:E846" si="250">IFERROR(VLOOKUP(C837,T_Equipos,4,FALSE),0)</f>
        <v>0</v>
      </c>
      <c r="F837" s="439">
        <f t="shared" ref="F837:F846" si="251">IFERROR(VLOOKUP(C837,T_Equipos,5,FALSE),0)</f>
        <v>0</v>
      </c>
      <c r="G837" s="439">
        <f>ROUND(D837*F837,2)</f>
        <v>0</v>
      </c>
    </row>
    <row r="838" spans="1:7" ht="19.899999999999999" customHeight="1" x14ac:dyDescent="0.2">
      <c r="A838" s="472"/>
      <c r="B838" s="433"/>
      <c r="C838" s="436">
        <f t="shared" ref="C838:D842" si="252">+C613</f>
        <v>0</v>
      </c>
      <c r="D838" s="436">
        <f t="shared" si="252"/>
        <v>0</v>
      </c>
      <c r="E838" s="438">
        <f t="shared" si="250"/>
        <v>0</v>
      </c>
      <c r="F838" s="439">
        <f t="shared" si="251"/>
        <v>0</v>
      </c>
      <c r="G838" s="439">
        <f>ROUND(D838*F838,2)</f>
        <v>0</v>
      </c>
    </row>
    <row r="839" spans="1:7" ht="19.899999999999999" customHeight="1" x14ac:dyDescent="0.2">
      <c r="A839" s="472"/>
      <c r="B839" s="433"/>
      <c r="C839" s="436">
        <f t="shared" si="252"/>
        <v>0</v>
      </c>
      <c r="D839" s="436"/>
      <c r="E839" s="438">
        <f t="shared" si="250"/>
        <v>0</v>
      </c>
      <c r="F839" s="439">
        <f t="shared" si="251"/>
        <v>0</v>
      </c>
      <c r="G839" s="439">
        <f>ROUND(D839*F839,2)</f>
        <v>0</v>
      </c>
    </row>
    <row r="840" spans="1:7" ht="19.899999999999999" customHeight="1" x14ac:dyDescent="0.2">
      <c r="A840" s="472"/>
      <c r="B840" s="433"/>
      <c r="C840" s="436">
        <f t="shared" si="252"/>
        <v>0</v>
      </c>
      <c r="D840" s="436"/>
      <c r="E840" s="438">
        <f t="shared" si="250"/>
        <v>0</v>
      </c>
      <c r="F840" s="439">
        <f t="shared" si="251"/>
        <v>0</v>
      </c>
      <c r="G840" s="439">
        <f>ROUND(D840*F840,2)</f>
        <v>0</v>
      </c>
    </row>
    <row r="841" spans="1:7" ht="19.899999999999999" customHeight="1" x14ac:dyDescent="0.2">
      <c r="A841" s="472"/>
      <c r="B841" s="433"/>
      <c r="C841" s="436">
        <f t="shared" si="252"/>
        <v>0</v>
      </c>
      <c r="D841" s="436"/>
      <c r="E841" s="438">
        <f t="shared" si="250"/>
        <v>0</v>
      </c>
      <c r="F841" s="439">
        <f t="shared" si="251"/>
        <v>0</v>
      </c>
      <c r="G841" s="439">
        <f t="shared" ref="G841:G846" si="253">ROUND(D841*F841,2)</f>
        <v>0</v>
      </c>
    </row>
    <row r="842" spans="1:7" ht="19.899999999999999" customHeight="1" x14ac:dyDescent="0.2">
      <c r="A842" s="472"/>
      <c r="B842" s="433"/>
      <c r="C842" s="436">
        <f t="shared" si="252"/>
        <v>0</v>
      </c>
      <c r="D842" s="436"/>
      <c r="E842" s="438">
        <f t="shared" si="250"/>
        <v>0</v>
      </c>
      <c r="F842" s="439">
        <f t="shared" si="251"/>
        <v>0</v>
      </c>
      <c r="G842" s="439">
        <f t="shared" si="253"/>
        <v>0</v>
      </c>
    </row>
    <row r="843" spans="1:7" ht="19.899999999999999" customHeight="1" x14ac:dyDescent="0.2">
      <c r="A843" s="472"/>
      <c r="B843" s="433"/>
      <c r="C843" s="436">
        <f t="shared" ref="C843:D843" si="254">+C618</f>
        <v>0</v>
      </c>
      <c r="D843" s="436">
        <f t="shared" si="254"/>
        <v>0</v>
      </c>
      <c r="E843" s="438">
        <f t="shared" si="250"/>
        <v>0</v>
      </c>
      <c r="F843" s="439">
        <f t="shared" si="251"/>
        <v>0</v>
      </c>
      <c r="G843" s="439">
        <f t="shared" si="253"/>
        <v>0</v>
      </c>
    </row>
    <row r="844" spans="1:7" ht="19.899999999999999" customHeight="1" x14ac:dyDescent="0.2">
      <c r="A844" s="472"/>
      <c r="B844" s="433"/>
      <c r="C844" s="436">
        <f t="shared" ref="C844:D844" si="255">+C619</f>
        <v>0</v>
      </c>
      <c r="D844" s="436">
        <f t="shared" si="255"/>
        <v>0</v>
      </c>
      <c r="E844" s="438">
        <f t="shared" si="250"/>
        <v>0</v>
      </c>
      <c r="F844" s="439">
        <f t="shared" si="251"/>
        <v>0</v>
      </c>
      <c r="G844" s="439">
        <f t="shared" si="253"/>
        <v>0</v>
      </c>
    </row>
    <row r="845" spans="1:7" ht="19.899999999999999" customHeight="1" x14ac:dyDescent="0.2">
      <c r="A845" s="472"/>
      <c r="B845" s="433"/>
      <c r="C845" s="436"/>
      <c r="D845" s="437"/>
      <c r="E845" s="438">
        <f t="shared" si="250"/>
        <v>0</v>
      </c>
      <c r="F845" s="439">
        <f t="shared" si="251"/>
        <v>0</v>
      </c>
      <c r="G845" s="439">
        <f t="shared" si="253"/>
        <v>0</v>
      </c>
    </row>
    <row r="846" spans="1:7" ht="19.899999999999999" customHeight="1" x14ac:dyDescent="0.2">
      <c r="A846" s="472"/>
      <c r="B846" s="433"/>
      <c r="C846" s="436"/>
      <c r="D846" s="437"/>
      <c r="E846" s="438">
        <f t="shared" si="250"/>
        <v>0</v>
      </c>
      <c r="F846" s="439">
        <f t="shared" si="251"/>
        <v>0</v>
      </c>
      <c r="G846" s="439">
        <f t="shared" si="253"/>
        <v>0</v>
      </c>
    </row>
    <row r="847" spans="1:7" ht="19.899999999999999" customHeight="1" x14ac:dyDescent="0.2">
      <c r="A847" s="472"/>
      <c r="B847" s="433"/>
      <c r="C847" s="139"/>
      <c r="D847" s="139"/>
      <c r="E847" s="440"/>
      <c r="F847" s="425"/>
      <c r="G847" s="474"/>
    </row>
    <row r="848" spans="1:7" ht="19.899999999999999" customHeight="1" x14ac:dyDescent="0.2">
      <c r="A848" s="472"/>
      <c r="B848" s="139"/>
      <c r="C848" s="422" t="s">
        <v>972</v>
      </c>
      <c r="D848" s="425" t="s">
        <v>969</v>
      </c>
      <c r="E848" s="491">
        <f>SUMPRODUCT(D837:D846,E837:E846)</f>
        <v>0</v>
      </c>
      <c r="F848" s="425" t="s">
        <v>973</v>
      </c>
      <c r="G848" s="492">
        <f>SUM(G837:G846)</f>
        <v>0</v>
      </c>
    </row>
    <row r="849" spans="1:7" ht="19.899999999999999" customHeight="1" x14ac:dyDescent="0.2">
      <c r="A849" s="472"/>
      <c r="B849" s="433"/>
      <c r="C849" s="441"/>
      <c r="D849" s="440"/>
      <c r="E849" s="427"/>
      <c r="F849" s="425"/>
      <c r="G849" s="478"/>
    </row>
    <row r="850" spans="1:7" ht="19.899999999999999" customHeight="1" x14ac:dyDescent="0.2">
      <c r="A850" s="479"/>
      <c r="B850" s="433"/>
      <c r="C850" s="425" t="s">
        <v>974</v>
      </c>
      <c r="D850" s="442">
        <f>IFERROR(VLOOKUP(COUNTIF($A$1:A850,"ANALISIS DE PRECIOS"),T_Rendimiento_Equipo,5,FALSE),0)</f>
        <v>0</v>
      </c>
      <c r="E850" s="443" t="str">
        <f ca="1">G832&amp;"/día"</f>
        <v>M2/día</v>
      </c>
      <c r="F850" s="419"/>
      <c r="G850" s="474"/>
    </row>
    <row r="851" spans="1:7" ht="19.899999999999999" customHeight="1" x14ac:dyDescent="0.2">
      <c r="A851" s="472"/>
      <c r="B851" s="433"/>
      <c r="C851" s="139"/>
      <c r="D851" s="426"/>
      <c r="E851" s="427"/>
      <c r="F851" s="425"/>
      <c r="G851" s="474"/>
    </row>
    <row r="852" spans="1:7" ht="19.899999999999999" customHeight="1" x14ac:dyDescent="0.2">
      <c r="A852" s="720" t="s">
        <v>576</v>
      </c>
      <c r="B852" s="721"/>
      <c r="C852" s="722" t="s">
        <v>0</v>
      </c>
      <c r="D852" s="734" t="s">
        <v>1724</v>
      </c>
      <c r="E852" s="734" t="s">
        <v>1723</v>
      </c>
      <c r="F852" s="726" t="s">
        <v>975</v>
      </c>
      <c r="G852" s="728" t="s">
        <v>26</v>
      </c>
    </row>
    <row r="853" spans="1:7" ht="19.899999999999999" customHeight="1" x14ac:dyDescent="0.2">
      <c r="A853" s="444" t="s">
        <v>577</v>
      </c>
      <c r="B853" s="444" t="s">
        <v>578</v>
      </c>
      <c r="C853" s="723"/>
      <c r="D853" s="735"/>
      <c r="E853" s="725"/>
      <c r="F853" s="727"/>
      <c r="G853" s="729"/>
    </row>
    <row r="854" spans="1:7" ht="19.899999999999999" customHeight="1" x14ac:dyDescent="0.2">
      <c r="A854" s="480"/>
      <c r="B854" s="139"/>
      <c r="C854" s="422" t="s">
        <v>976</v>
      </c>
      <c r="D854" s="427"/>
      <c r="E854" s="427"/>
      <c r="F854" s="139"/>
      <c r="G854" s="481"/>
    </row>
    <row r="855" spans="1:7" ht="19.899999999999999" customHeight="1" x14ac:dyDescent="0.2">
      <c r="A855" s="482">
        <f t="shared" ref="A855:A863" si="256">IFERROR(VLOOKUP(C855,T_Insumos,4,FALSE),0)</f>
        <v>0</v>
      </c>
      <c r="B855" s="445">
        <f t="shared" ref="B855:B863" si="257">IFERROR(VLOOKUP(C855,T_Insumos,5,FALSE),0)</f>
        <v>0</v>
      </c>
      <c r="C855" s="436">
        <f>+C555</f>
        <v>0</v>
      </c>
      <c r="D855" s="446">
        <f t="shared" ref="D855:D863" si="258">IFERROR(VLOOKUP(C855,T_Insumos,3,FALSE),0)</f>
        <v>0</v>
      </c>
      <c r="E855" s="439">
        <f>D855*$G$323</f>
        <v>0</v>
      </c>
      <c r="F855" s="442">
        <f>IF(C855="",0,IFERROR(VLOOKUP(COUNTIF($A$1:A855,"ANALISIS DE PRECIOS"),T_Rendimiento_Equipo,5,FALSE),0))</f>
        <v>0</v>
      </c>
      <c r="G855" s="439">
        <f>IFERROR(ROUND(E855/F855,2),0)</f>
        <v>0</v>
      </c>
    </row>
    <row r="856" spans="1:7" ht="19.899999999999999" customHeight="1" x14ac:dyDescent="0.2">
      <c r="A856" s="482">
        <f t="shared" si="256"/>
        <v>0</v>
      </c>
      <c r="B856" s="445">
        <f t="shared" si="257"/>
        <v>0</v>
      </c>
      <c r="C856" s="436">
        <f t="shared" ref="C856:C858" si="259">+C556</f>
        <v>0</v>
      </c>
      <c r="D856" s="446">
        <f t="shared" si="258"/>
        <v>0</v>
      </c>
      <c r="E856" s="439">
        <f t="shared" ref="E856:E857" si="260">D856*$G$323</f>
        <v>0</v>
      </c>
      <c r="F856" s="442">
        <f>IF(C856="",0,IFERROR(VLOOKUP(COUNTIF($A$1:A856,"ANALISIS DE PRECIOS"),T_Rendimiento_Equipo,5,FALSE),0))</f>
        <v>0</v>
      </c>
      <c r="G856" s="439">
        <f t="shared" ref="G856:G863" si="261">IFERROR(ROUND(E856/F856,2),0)</f>
        <v>0</v>
      </c>
    </row>
    <row r="857" spans="1:7" ht="19.899999999999999" customHeight="1" x14ac:dyDescent="0.2">
      <c r="A857" s="482">
        <f t="shared" si="256"/>
        <v>0</v>
      </c>
      <c r="B857" s="445">
        <f t="shared" si="257"/>
        <v>0</v>
      </c>
      <c r="C857" s="436">
        <f t="shared" si="259"/>
        <v>0</v>
      </c>
      <c r="D857" s="446">
        <f t="shared" si="258"/>
        <v>0</v>
      </c>
      <c r="E857" s="439">
        <f t="shared" si="260"/>
        <v>0</v>
      </c>
      <c r="F857" s="442">
        <f>IF(C857="",0,IFERROR(VLOOKUP(COUNTIF($A$1:A857,"ANALISIS DE PRECIOS"),T_Rendimiento_Equipo,5,FALSE),0))</f>
        <v>0</v>
      </c>
      <c r="G857" s="439">
        <f t="shared" si="261"/>
        <v>0</v>
      </c>
    </row>
    <row r="858" spans="1:7" ht="19.899999999999999" customHeight="1" x14ac:dyDescent="0.2">
      <c r="A858" s="482">
        <f t="shared" si="256"/>
        <v>0</v>
      </c>
      <c r="B858" s="445">
        <f t="shared" si="257"/>
        <v>0</v>
      </c>
      <c r="C858" s="436">
        <f t="shared" si="259"/>
        <v>0</v>
      </c>
      <c r="D858" s="446">
        <f t="shared" si="258"/>
        <v>0</v>
      </c>
      <c r="E858" s="439">
        <f>D858*$E$323</f>
        <v>0</v>
      </c>
      <c r="F858" s="442">
        <f>IF(C858="",0,IFERROR(VLOOKUP(COUNTIF($A$1:A858,"ANALISIS DE PRECIOS"),T_Rendimiento_Equipo,5,FALSE),0))</f>
        <v>0</v>
      </c>
      <c r="G858" s="439">
        <f t="shared" si="261"/>
        <v>0</v>
      </c>
    </row>
    <row r="859" spans="1:7" ht="19.899999999999999" customHeight="1" x14ac:dyDescent="0.2">
      <c r="A859" s="482">
        <f t="shared" si="256"/>
        <v>0</v>
      </c>
      <c r="B859" s="445">
        <f t="shared" si="257"/>
        <v>0</v>
      </c>
      <c r="C859" s="447"/>
      <c r="D859" s="446">
        <f t="shared" si="258"/>
        <v>0</v>
      </c>
      <c r="E859" s="439"/>
      <c r="F859" s="442">
        <f>IF(C859="",0,IFERROR(VLOOKUP(COUNTIF($A$1:A859,"ANALISIS DE PRECIOS"),T_Rendimiento_Equipo,5,FALSE),0))</f>
        <v>0</v>
      </c>
      <c r="G859" s="439">
        <f t="shared" si="261"/>
        <v>0</v>
      </c>
    </row>
    <row r="860" spans="1:7" ht="19.899999999999999" customHeight="1" x14ac:dyDescent="0.2">
      <c r="A860" s="482">
        <f t="shared" si="256"/>
        <v>0</v>
      </c>
      <c r="B860" s="445">
        <f t="shared" si="257"/>
        <v>0</v>
      </c>
      <c r="C860" s="447"/>
      <c r="D860" s="446">
        <f t="shared" si="258"/>
        <v>0</v>
      </c>
      <c r="E860" s="439"/>
      <c r="F860" s="442">
        <f>IF(C860="",0,IFERROR(VLOOKUP(COUNTIF($A$1:A860,"ANALISIS DE PRECIOS"),T_Rendimiento_Equipo,5,FALSE),0))</f>
        <v>0</v>
      </c>
      <c r="G860" s="439">
        <f t="shared" si="261"/>
        <v>0</v>
      </c>
    </row>
    <row r="861" spans="1:7" ht="19.899999999999999" customHeight="1" x14ac:dyDescent="0.2">
      <c r="A861" s="482">
        <f t="shared" si="256"/>
        <v>0</v>
      </c>
      <c r="B861" s="445">
        <f t="shared" si="257"/>
        <v>0</v>
      </c>
      <c r="C861" s="447"/>
      <c r="D861" s="446">
        <f t="shared" si="258"/>
        <v>0</v>
      </c>
      <c r="E861" s="439"/>
      <c r="F861" s="442">
        <f>IF(C861="",0,IFERROR(VLOOKUP(COUNTIF($A$1:A861,"ANALISIS DE PRECIOS"),T_Rendimiento_Equipo,5,FALSE),0))</f>
        <v>0</v>
      </c>
      <c r="G861" s="439">
        <f t="shared" si="261"/>
        <v>0</v>
      </c>
    </row>
    <row r="862" spans="1:7" ht="19.899999999999999" customHeight="1" x14ac:dyDescent="0.2">
      <c r="A862" s="482">
        <f t="shared" si="256"/>
        <v>0</v>
      </c>
      <c r="B862" s="445">
        <f t="shared" si="257"/>
        <v>0</v>
      </c>
      <c r="C862" s="447"/>
      <c r="D862" s="446">
        <f t="shared" si="258"/>
        <v>0</v>
      </c>
      <c r="E862" s="439"/>
      <c r="F862" s="442">
        <f>IF(C862="",0,IFERROR(VLOOKUP(COUNTIF($A$1:A862,"ANALISIS DE PRECIOS"),T_Rendimiento_Equipo,5,FALSE),0))</f>
        <v>0</v>
      </c>
      <c r="G862" s="439">
        <f t="shared" si="261"/>
        <v>0</v>
      </c>
    </row>
    <row r="863" spans="1:7" ht="19.899999999999999" customHeight="1" x14ac:dyDescent="0.2">
      <c r="A863" s="482">
        <f t="shared" si="256"/>
        <v>0</v>
      </c>
      <c r="B863" s="445">
        <f t="shared" si="257"/>
        <v>0</v>
      </c>
      <c r="C863" s="436"/>
      <c r="D863" s="446">
        <f t="shared" si="258"/>
        <v>0</v>
      </c>
      <c r="E863" s="439"/>
      <c r="F863" s="442">
        <f>IF(C863="",0,IFERROR(VLOOKUP(COUNTIF($A$1:A863,"ANALISIS DE PRECIOS"),T_Rendimiento_Equipo,5,FALSE),0))</f>
        <v>0</v>
      </c>
      <c r="G863" s="439">
        <f t="shared" si="261"/>
        <v>0</v>
      </c>
    </row>
    <row r="864" spans="1:7" ht="19.899999999999999" customHeight="1" x14ac:dyDescent="0.2">
      <c r="A864" s="483"/>
      <c r="B864" s="426"/>
      <c r="C864" s="139"/>
      <c r="D864" s="426"/>
      <c r="E864" s="427"/>
      <c r="F864" s="448" t="s">
        <v>27</v>
      </c>
      <c r="G864" s="484">
        <f>SUBTOTAL(9,G855:G863)</f>
        <v>0</v>
      </c>
    </row>
    <row r="865" spans="1:7" ht="19.899999999999999" customHeight="1" x14ac:dyDescent="0.2">
      <c r="A865" s="480"/>
      <c r="B865" s="139"/>
      <c r="C865" s="422" t="s">
        <v>713</v>
      </c>
      <c r="D865" s="426"/>
      <c r="E865" s="427"/>
      <c r="F865" s="428"/>
      <c r="G865" s="481"/>
    </row>
    <row r="866" spans="1:7" ht="19.899999999999999" customHeight="1" x14ac:dyDescent="0.2">
      <c r="A866" s="720" t="s">
        <v>576</v>
      </c>
      <c r="B866" s="721"/>
      <c r="C866" s="722" t="s">
        <v>0</v>
      </c>
      <c r="D866" s="724" t="s">
        <v>24</v>
      </c>
      <c r="E866" s="724" t="s">
        <v>1964</v>
      </c>
      <c r="F866" s="726" t="s">
        <v>975</v>
      </c>
      <c r="G866" s="728" t="s">
        <v>26</v>
      </c>
    </row>
    <row r="867" spans="1:7" ht="19.899999999999999" customHeight="1" x14ac:dyDescent="0.2">
      <c r="A867" s="444" t="s">
        <v>577</v>
      </c>
      <c r="B867" s="444" t="s">
        <v>578</v>
      </c>
      <c r="C867" s="723"/>
      <c r="D867" s="725"/>
      <c r="E867" s="725"/>
      <c r="F867" s="727"/>
      <c r="G867" s="729"/>
    </row>
    <row r="868" spans="1:7" ht="19.899999999999999" customHeight="1" x14ac:dyDescent="0.2">
      <c r="A868" s="482">
        <f t="shared" ref="A868:A874" si="262">IFERROR(VLOOKUP(C868,T_Insumos,4,FALSE),0)</f>
        <v>0</v>
      </c>
      <c r="B868" s="445">
        <f t="shared" ref="B868:B874" si="263">IFERROR(VLOOKUP(C868,T_Insumos,5,FALSE),0)</f>
        <v>0</v>
      </c>
      <c r="C868" s="436">
        <f t="shared" ref="C868:C871" si="264">+C643</f>
        <v>0</v>
      </c>
      <c r="D868" s="442"/>
      <c r="E868" s="439">
        <f t="shared" ref="E868:E874" si="265">IFERROR(VLOOKUP(C868,T_Insumos,3,FALSE),0)</f>
        <v>0</v>
      </c>
      <c r="F868" s="442">
        <f>IF(C868="",0,IFERROR(VLOOKUP(COUNTIF($A$1:A868,"ANALISIS DE PRECIOS"),T_Rendimiento_Equipo,5,FALSE),0))</f>
        <v>0</v>
      </c>
      <c r="G868" s="439">
        <f>IFERROR(ROUND(D868*E868/F868,2),0)</f>
        <v>0</v>
      </c>
    </row>
    <row r="869" spans="1:7" ht="19.899999999999999" customHeight="1" x14ac:dyDescent="0.2">
      <c r="A869" s="482">
        <f t="shared" si="262"/>
        <v>0</v>
      </c>
      <c r="B869" s="445">
        <f t="shared" si="263"/>
        <v>0</v>
      </c>
      <c r="C869" s="436">
        <f t="shared" si="264"/>
        <v>0</v>
      </c>
      <c r="D869" s="442">
        <v>1</v>
      </c>
      <c r="E869" s="439">
        <f t="shared" si="265"/>
        <v>0</v>
      </c>
      <c r="F869" s="442">
        <f>IF(C869="",0,IFERROR(VLOOKUP(COUNTIF($A$1:A869,"ANALISIS DE PRECIOS"),T_Rendimiento_Equipo,5,FALSE),0))</f>
        <v>0</v>
      </c>
      <c r="G869" s="439">
        <f>IFERROR(ROUND(D869*E869/F869,2),0)</f>
        <v>0</v>
      </c>
    </row>
    <row r="870" spans="1:7" ht="19.899999999999999" customHeight="1" x14ac:dyDescent="0.2">
      <c r="A870" s="482">
        <f t="shared" si="262"/>
        <v>0</v>
      </c>
      <c r="B870" s="445">
        <f t="shared" si="263"/>
        <v>0</v>
      </c>
      <c r="C870" s="436">
        <f t="shared" si="264"/>
        <v>0</v>
      </c>
      <c r="D870" s="442"/>
      <c r="E870" s="439">
        <f t="shared" si="265"/>
        <v>0</v>
      </c>
      <c r="F870" s="442">
        <f>IF(C870="",0,IFERROR(VLOOKUP(COUNTIF($A$1:A870,"ANALISIS DE PRECIOS"),T_Rendimiento_Equipo,5,FALSE),0))</f>
        <v>0</v>
      </c>
      <c r="G870" s="439">
        <f t="shared" ref="G870:G874" si="266">IFERROR(ROUND(D870*E870/F870,2),0)</f>
        <v>0</v>
      </c>
    </row>
    <row r="871" spans="1:7" ht="19.899999999999999" customHeight="1" x14ac:dyDescent="0.2">
      <c r="A871" s="482">
        <f t="shared" si="262"/>
        <v>0</v>
      </c>
      <c r="B871" s="445">
        <f t="shared" si="263"/>
        <v>0</v>
      </c>
      <c r="C871" s="436">
        <f t="shared" si="264"/>
        <v>0</v>
      </c>
      <c r="D871" s="442">
        <v>2</v>
      </c>
      <c r="E871" s="439">
        <f t="shared" si="265"/>
        <v>0</v>
      </c>
      <c r="F871" s="442">
        <f>IF(C871="",0,IFERROR(VLOOKUP(COUNTIF($A$1:A871,"ANALISIS DE PRECIOS"),T_Rendimiento_Equipo,5,FALSE),0))</f>
        <v>0</v>
      </c>
      <c r="G871" s="439">
        <f t="shared" si="266"/>
        <v>0</v>
      </c>
    </row>
    <row r="872" spans="1:7" ht="19.899999999999999" customHeight="1" x14ac:dyDescent="0.2">
      <c r="A872" s="482">
        <f t="shared" si="262"/>
        <v>0</v>
      </c>
      <c r="B872" s="445">
        <f t="shared" si="263"/>
        <v>0</v>
      </c>
      <c r="C872" s="436"/>
      <c r="D872" s="442"/>
      <c r="E872" s="439">
        <f t="shared" si="265"/>
        <v>0</v>
      </c>
      <c r="F872" s="442">
        <f>IF(C872="",0,IFERROR(VLOOKUP(COUNTIF($A$1:A872,"ANALISIS DE PRECIOS"),T_Rendimiento_Equipo,5,FALSE),0))</f>
        <v>0</v>
      </c>
      <c r="G872" s="439">
        <f t="shared" si="266"/>
        <v>0</v>
      </c>
    </row>
    <row r="873" spans="1:7" ht="19.899999999999999" customHeight="1" x14ac:dyDescent="0.2">
      <c r="A873" s="482">
        <f t="shared" si="262"/>
        <v>0</v>
      </c>
      <c r="B873" s="445">
        <f t="shared" si="263"/>
        <v>0</v>
      </c>
      <c r="C873" s="436"/>
      <c r="D873" s="450"/>
      <c r="E873" s="439">
        <f t="shared" si="265"/>
        <v>0</v>
      </c>
      <c r="F873" s="442">
        <f>IF(C873="",0,IFERROR(VLOOKUP(COUNTIF($A$1:A873,"ANALISIS DE PRECIOS"),T_Rendimiento_Equipo,5,FALSE),0))</f>
        <v>0</v>
      </c>
      <c r="G873" s="439">
        <f t="shared" si="266"/>
        <v>0</v>
      </c>
    </row>
    <row r="874" spans="1:7" ht="19.899999999999999" customHeight="1" x14ac:dyDescent="0.2">
      <c r="A874" s="482">
        <f t="shared" si="262"/>
        <v>0</v>
      </c>
      <c r="B874" s="445">
        <f t="shared" si="263"/>
        <v>0</v>
      </c>
      <c r="C874" s="445"/>
      <c r="D874" s="451"/>
      <c r="E874" s="439">
        <f t="shared" si="265"/>
        <v>0</v>
      </c>
      <c r="F874" s="442">
        <f>IF(C874="",0,IFERROR(VLOOKUP(COUNTIF($A$1:A874,"ANALISIS DE PRECIOS"),T_Rendimiento_Equipo,5,FALSE),0))</f>
        <v>0</v>
      </c>
      <c r="G874" s="439">
        <f t="shared" si="266"/>
        <v>0</v>
      </c>
    </row>
    <row r="875" spans="1:7" ht="19.899999999999999" customHeight="1" x14ac:dyDescent="0.2">
      <c r="A875" s="483"/>
      <c r="B875" s="426"/>
      <c r="C875" s="139"/>
      <c r="D875" s="426"/>
      <c r="E875" s="427"/>
      <c r="F875" s="448" t="s">
        <v>28</v>
      </c>
      <c r="G875" s="485">
        <f>SUBTOTAL(9,G868:G874)</f>
        <v>0</v>
      </c>
    </row>
    <row r="876" spans="1:7" ht="19.899999999999999" customHeight="1" x14ac:dyDescent="0.2">
      <c r="A876" s="480"/>
      <c r="B876" s="139"/>
      <c r="C876" s="422" t="s">
        <v>982</v>
      </c>
      <c r="D876" s="426"/>
      <c r="E876" s="427"/>
      <c r="F876" s="428"/>
      <c r="G876" s="481"/>
    </row>
    <row r="877" spans="1:7" ht="19.899999999999999" customHeight="1" x14ac:dyDescent="0.2">
      <c r="A877" s="720" t="s">
        <v>576</v>
      </c>
      <c r="B877" s="721"/>
      <c r="C877" s="722" t="s">
        <v>0</v>
      </c>
      <c r="D877" s="722" t="s">
        <v>1725</v>
      </c>
      <c r="E877" s="724" t="s">
        <v>24</v>
      </c>
      <c r="F877" s="726" t="s">
        <v>25</v>
      </c>
      <c r="G877" s="728" t="s">
        <v>26</v>
      </c>
    </row>
    <row r="878" spans="1:7" ht="19.899999999999999" customHeight="1" x14ac:dyDescent="0.2">
      <c r="A878" s="444" t="s">
        <v>577</v>
      </c>
      <c r="B878" s="444" t="s">
        <v>578</v>
      </c>
      <c r="C878" s="723"/>
      <c r="D878" s="723"/>
      <c r="E878" s="725"/>
      <c r="F878" s="727"/>
      <c r="G878" s="729"/>
    </row>
    <row r="879" spans="1:7" ht="19.899999999999999" customHeight="1" x14ac:dyDescent="0.2">
      <c r="A879" s="482">
        <f t="shared" ref="A879:A889" si="267">IFERROR(VLOOKUP(C879,T_Insumos,4,FALSE),0)</f>
        <v>0</v>
      </c>
      <c r="B879" s="445">
        <f t="shared" ref="B879:B889" si="268">IFERROR(VLOOKUP(C879,T_Insumos,5,FALSE),0)</f>
        <v>0</v>
      </c>
      <c r="C879" s="436">
        <f t="shared" ref="C879:C889" si="269">+C654</f>
        <v>0</v>
      </c>
      <c r="D879" s="493">
        <f t="shared" ref="D879:D889" si="270">IFERROR(VLOOKUP(C879,T_Insumos,2,FALSE),0)</f>
        <v>0</v>
      </c>
      <c r="E879" s="437"/>
      <c r="F879" s="439">
        <f t="shared" ref="F879:F889" si="271">IFERROR(VLOOKUP(C879,T_Insumos,3,FALSE),0)</f>
        <v>0</v>
      </c>
      <c r="G879" s="439">
        <f>ROUND(E879*F879,2)</f>
        <v>0</v>
      </c>
    </row>
    <row r="880" spans="1:7" ht="19.899999999999999" customHeight="1" x14ac:dyDescent="0.2">
      <c r="A880" s="482">
        <f t="shared" si="267"/>
        <v>0</v>
      </c>
      <c r="B880" s="445">
        <f t="shared" si="268"/>
        <v>0</v>
      </c>
      <c r="C880" s="436">
        <f t="shared" si="269"/>
        <v>0</v>
      </c>
      <c r="D880" s="493">
        <f t="shared" si="270"/>
        <v>0</v>
      </c>
      <c r="E880" s="437"/>
      <c r="F880" s="439">
        <f t="shared" si="271"/>
        <v>0</v>
      </c>
      <c r="G880" s="439">
        <f t="shared" ref="G880:G889" si="272">ROUND(E880*F880,2)</f>
        <v>0</v>
      </c>
    </row>
    <row r="881" spans="1:7" ht="19.899999999999999" customHeight="1" x14ac:dyDescent="0.2">
      <c r="A881" s="482">
        <f t="shared" si="267"/>
        <v>0</v>
      </c>
      <c r="B881" s="445">
        <f t="shared" si="268"/>
        <v>0</v>
      </c>
      <c r="C881" s="436">
        <f t="shared" si="269"/>
        <v>0</v>
      </c>
      <c r="D881" s="493">
        <f t="shared" si="270"/>
        <v>0</v>
      </c>
      <c r="E881" s="437"/>
      <c r="F881" s="439">
        <f t="shared" si="271"/>
        <v>0</v>
      </c>
      <c r="G881" s="439">
        <f t="shared" si="272"/>
        <v>0</v>
      </c>
    </row>
    <row r="882" spans="1:7" ht="19.899999999999999" customHeight="1" x14ac:dyDescent="0.2">
      <c r="A882" s="482">
        <f t="shared" si="267"/>
        <v>0</v>
      </c>
      <c r="B882" s="445">
        <f t="shared" si="268"/>
        <v>0</v>
      </c>
      <c r="C882" s="436">
        <f t="shared" si="269"/>
        <v>0</v>
      </c>
      <c r="D882" s="493">
        <f t="shared" si="270"/>
        <v>0</v>
      </c>
      <c r="E882" s="437"/>
      <c r="F882" s="439">
        <f t="shared" si="271"/>
        <v>0</v>
      </c>
      <c r="G882" s="439">
        <f t="shared" si="272"/>
        <v>0</v>
      </c>
    </row>
    <row r="883" spans="1:7" ht="19.899999999999999" customHeight="1" x14ac:dyDescent="0.2">
      <c r="A883" s="482">
        <f t="shared" si="267"/>
        <v>0</v>
      </c>
      <c r="B883" s="445">
        <f t="shared" si="268"/>
        <v>0</v>
      </c>
      <c r="C883" s="436">
        <f t="shared" si="269"/>
        <v>0</v>
      </c>
      <c r="D883" s="493">
        <f t="shared" si="270"/>
        <v>0</v>
      </c>
      <c r="E883" s="437"/>
      <c r="F883" s="439">
        <f t="shared" si="271"/>
        <v>0</v>
      </c>
      <c r="G883" s="439">
        <f t="shared" si="272"/>
        <v>0</v>
      </c>
    </row>
    <row r="884" spans="1:7" ht="19.899999999999999" customHeight="1" x14ac:dyDescent="0.2">
      <c r="A884" s="482">
        <f t="shared" si="267"/>
        <v>0</v>
      </c>
      <c r="B884" s="445">
        <f t="shared" si="268"/>
        <v>0</v>
      </c>
      <c r="C884" s="436">
        <f t="shared" si="269"/>
        <v>0</v>
      </c>
      <c r="D884" s="493">
        <f t="shared" si="270"/>
        <v>0</v>
      </c>
      <c r="E884" s="437"/>
      <c r="F884" s="439">
        <f t="shared" si="271"/>
        <v>0</v>
      </c>
      <c r="G884" s="439">
        <f t="shared" si="272"/>
        <v>0</v>
      </c>
    </row>
    <row r="885" spans="1:7" ht="19.899999999999999" customHeight="1" x14ac:dyDescent="0.2">
      <c r="A885" s="482">
        <f t="shared" si="267"/>
        <v>0</v>
      </c>
      <c r="B885" s="445">
        <f t="shared" si="268"/>
        <v>0</v>
      </c>
      <c r="C885" s="436">
        <f t="shared" si="269"/>
        <v>0</v>
      </c>
      <c r="D885" s="493">
        <f t="shared" si="270"/>
        <v>0</v>
      </c>
      <c r="E885" s="437"/>
      <c r="F885" s="439">
        <f t="shared" si="271"/>
        <v>0</v>
      </c>
      <c r="G885" s="439">
        <f t="shared" si="272"/>
        <v>0</v>
      </c>
    </row>
    <row r="886" spans="1:7" ht="19.899999999999999" customHeight="1" x14ac:dyDescent="0.2">
      <c r="A886" s="482">
        <f t="shared" si="267"/>
        <v>0</v>
      </c>
      <c r="B886" s="445">
        <f t="shared" si="268"/>
        <v>0</v>
      </c>
      <c r="C886" s="436">
        <f t="shared" si="269"/>
        <v>0</v>
      </c>
      <c r="D886" s="493">
        <f t="shared" si="270"/>
        <v>0</v>
      </c>
      <c r="E886" s="437"/>
      <c r="F886" s="439">
        <f t="shared" si="271"/>
        <v>0</v>
      </c>
      <c r="G886" s="439">
        <f t="shared" si="272"/>
        <v>0</v>
      </c>
    </row>
    <row r="887" spans="1:7" ht="19.899999999999999" customHeight="1" x14ac:dyDescent="0.2">
      <c r="A887" s="482">
        <f t="shared" si="267"/>
        <v>0</v>
      </c>
      <c r="B887" s="445">
        <f t="shared" si="268"/>
        <v>0</v>
      </c>
      <c r="C887" s="436">
        <f t="shared" si="269"/>
        <v>0</v>
      </c>
      <c r="D887" s="493">
        <f t="shared" si="270"/>
        <v>0</v>
      </c>
      <c r="E887" s="437"/>
      <c r="F887" s="439">
        <f t="shared" si="271"/>
        <v>0</v>
      </c>
      <c r="G887" s="439">
        <f t="shared" si="272"/>
        <v>0</v>
      </c>
    </row>
    <row r="888" spans="1:7" ht="19.899999999999999" customHeight="1" x14ac:dyDescent="0.2">
      <c r="A888" s="482">
        <f t="shared" si="267"/>
        <v>0</v>
      </c>
      <c r="B888" s="445">
        <f t="shared" si="268"/>
        <v>0</v>
      </c>
      <c r="C888" s="436">
        <f t="shared" si="269"/>
        <v>0</v>
      </c>
      <c r="D888" s="493">
        <f t="shared" si="270"/>
        <v>0</v>
      </c>
      <c r="E888" s="437"/>
      <c r="F888" s="439">
        <f t="shared" si="271"/>
        <v>0</v>
      </c>
      <c r="G888" s="439">
        <f t="shared" si="272"/>
        <v>0</v>
      </c>
    </row>
    <row r="889" spans="1:7" ht="19.899999999999999" customHeight="1" x14ac:dyDescent="0.2">
      <c r="A889" s="482">
        <f t="shared" si="267"/>
        <v>0</v>
      </c>
      <c r="B889" s="445">
        <f t="shared" si="268"/>
        <v>0</v>
      </c>
      <c r="C889" s="436">
        <f t="shared" si="269"/>
        <v>0</v>
      </c>
      <c r="D889" s="493">
        <f t="shared" si="270"/>
        <v>0</v>
      </c>
      <c r="E889" s="437"/>
      <c r="F889" s="439">
        <f t="shared" si="271"/>
        <v>0</v>
      </c>
      <c r="G889" s="439">
        <f t="shared" si="272"/>
        <v>0</v>
      </c>
    </row>
    <row r="890" spans="1:7" ht="19.899999999999999" customHeight="1" x14ac:dyDescent="0.2">
      <c r="A890" s="480"/>
      <c r="B890" s="139"/>
      <c r="C890" s="139"/>
      <c r="D890" s="426"/>
      <c r="E890" s="427"/>
      <c r="F890" s="448" t="s">
        <v>29</v>
      </c>
      <c r="G890" s="485">
        <f>SUBTOTAL(9,G879:G889)</f>
        <v>0</v>
      </c>
    </row>
    <row r="891" spans="1:7" ht="19.899999999999999" customHeight="1" x14ac:dyDescent="0.2">
      <c r="A891" s="480"/>
      <c r="B891" s="139"/>
      <c r="C891" s="422" t="s">
        <v>983</v>
      </c>
      <c r="D891" s="426"/>
      <c r="E891" s="427"/>
      <c r="F891" s="428"/>
      <c r="G891" s="481"/>
    </row>
    <row r="892" spans="1:7" ht="19.899999999999999" customHeight="1" x14ac:dyDescent="0.2">
      <c r="A892" s="720" t="s">
        <v>576</v>
      </c>
      <c r="B892" s="721"/>
      <c r="C892" s="722" t="s">
        <v>0</v>
      </c>
      <c r="D892" s="722" t="s">
        <v>1725</v>
      </c>
      <c r="E892" s="724" t="s">
        <v>24</v>
      </c>
      <c r="F892" s="726" t="s">
        <v>25</v>
      </c>
      <c r="G892" s="728" t="s">
        <v>26</v>
      </c>
    </row>
    <row r="893" spans="1:7" ht="19.899999999999999" customHeight="1" x14ac:dyDescent="0.2">
      <c r="A893" s="444" t="s">
        <v>577</v>
      </c>
      <c r="B893" s="444" t="s">
        <v>578</v>
      </c>
      <c r="C893" s="723"/>
      <c r="D893" s="723"/>
      <c r="E893" s="725"/>
      <c r="F893" s="727"/>
      <c r="G893" s="729"/>
    </row>
    <row r="894" spans="1:7" ht="19.899999999999999" customHeight="1" x14ac:dyDescent="0.2">
      <c r="A894" s="482">
        <f>IFERROR(VLOOKUP(C894,T_Insumos,4,FALSE),0)</f>
        <v>0</v>
      </c>
      <c r="B894" s="445">
        <f>IFERROR(VLOOKUP(C894,T_Insumos,5,FALSE),0)</f>
        <v>0</v>
      </c>
      <c r="C894" s="436"/>
      <c r="D894" s="493">
        <f>IF(C894=0,0,"$/tnkm")</f>
        <v>0</v>
      </c>
      <c r="E894" s="437"/>
      <c r="F894" s="439">
        <f>IFERROR(VLOOKUP(C894,T_Insumos,3,FALSE),0)</f>
        <v>0</v>
      </c>
      <c r="G894" s="439">
        <f>ROUND(E894*F894,2)</f>
        <v>0</v>
      </c>
    </row>
    <row r="895" spans="1:7" ht="19.899999999999999" customHeight="1" x14ac:dyDescent="0.2">
      <c r="A895" s="482">
        <f>IFERROR(VLOOKUP(C895,T_Insumos,4,FALSE),0)</f>
        <v>0</v>
      </c>
      <c r="B895" s="445">
        <f>IFERROR(VLOOKUP(C895,T_Insumos,5,FALSE),0)</f>
        <v>0</v>
      </c>
      <c r="C895" s="436"/>
      <c r="D895" s="493">
        <f>IF(C895=0,0,"$/tnkm")</f>
        <v>0</v>
      </c>
      <c r="E895" s="453"/>
      <c r="F895" s="439">
        <f>IFERROR(VLOOKUP(C895,T_Insumos,3,FALSE),0)</f>
        <v>0</v>
      </c>
      <c r="G895" s="439">
        <f t="shared" ref="G895" si="273">ROUND(E895*F895,2)</f>
        <v>0</v>
      </c>
    </row>
    <row r="896" spans="1:7" ht="19.899999999999999" customHeight="1" x14ac:dyDescent="0.2">
      <c r="A896" s="480"/>
      <c r="B896" s="139"/>
      <c r="C896" s="139"/>
      <c r="D896" s="426"/>
      <c r="E896" s="427"/>
      <c r="F896" s="448" t="s">
        <v>984</v>
      </c>
      <c r="G896" s="485">
        <f>SUBTOTAL(9,G894:G895)</f>
        <v>0</v>
      </c>
    </row>
    <row r="897" spans="1:7" ht="19.899999999999999" customHeight="1" x14ac:dyDescent="0.2">
      <c r="A897" s="483"/>
      <c r="B897" s="426"/>
      <c r="C897" s="139"/>
      <c r="D897" s="426"/>
      <c r="E897" s="427"/>
      <c r="F897" s="428"/>
      <c r="G897" s="481"/>
    </row>
    <row r="898" spans="1:7" ht="19.899999999999999" customHeight="1" x14ac:dyDescent="0.2">
      <c r="A898" s="541" t="str">
        <f>B832</f>
        <v>2.11</v>
      </c>
      <c r="B898" s="538" t="str">
        <f ca="1">C832</f>
        <v>Colocación de Membrana de 400 micrones</v>
      </c>
      <c r="C898" s="426"/>
      <c r="D898" s="426" t="s">
        <v>1704</v>
      </c>
      <c r="E898" s="539"/>
      <c r="F898" s="540" t="str">
        <f ca="1">"$/"&amp;G832</f>
        <v>$/M2</v>
      </c>
      <c r="G898" s="490">
        <f>SUBTOTAL(9,G855:G897)</f>
        <v>0</v>
      </c>
    </row>
    <row r="899" spans="1:7" ht="19.899999999999999" customHeight="1" x14ac:dyDescent="0.2">
      <c r="A899" s="486"/>
      <c r="B899" s="487"/>
      <c r="C899" s="488"/>
      <c r="D899" s="488" t="s">
        <v>1900</v>
      </c>
      <c r="E899" s="489"/>
      <c r="F899" s="542" t="str">
        <f ca="1">"$/"&amp;G832</f>
        <v>$/M2</v>
      </c>
      <c r="G899" s="490">
        <f>ROUND(G898*Coeficiente_Paso,2)</f>
        <v>0</v>
      </c>
    </row>
    <row r="900" spans="1:7" ht="19.899999999999999" customHeight="1" x14ac:dyDescent="0.2">
      <c r="A900" s="139"/>
      <c r="B900" s="139"/>
      <c r="C900" s="139"/>
      <c r="D900" s="139"/>
      <c r="E900" s="139"/>
      <c r="F900" s="139"/>
      <c r="G900" s="139"/>
    </row>
    <row r="901" spans="1:7" ht="19.899999999999999" customHeight="1" x14ac:dyDescent="0.2">
      <c r="A901" s="730" t="s">
        <v>31</v>
      </c>
      <c r="B901" s="731"/>
      <c r="C901" s="731"/>
      <c r="D901" s="731"/>
      <c r="E901" s="731"/>
      <c r="F901" s="731"/>
      <c r="G901" s="732"/>
    </row>
    <row r="902" spans="1:7" ht="19.899999999999999" customHeight="1" x14ac:dyDescent="0.2">
      <c r="A902" s="469" t="s">
        <v>711</v>
      </c>
      <c r="B902" s="420" t="str">
        <f>Comitente</f>
        <v>DEPARTAMENTO DE HIDRAULICA</v>
      </c>
      <c r="C902" s="421"/>
      <c r="D902" s="422"/>
      <c r="E902" s="422"/>
      <c r="F902" s="423"/>
      <c r="G902" s="470"/>
    </row>
    <row r="903" spans="1:7" ht="19.899999999999999" customHeight="1" x14ac:dyDescent="0.2">
      <c r="A903" s="469" t="s">
        <v>712</v>
      </c>
      <c r="B903" s="420">
        <f>Contratista</f>
        <v>0</v>
      </c>
      <c r="C903" s="424"/>
      <c r="D903" s="424"/>
      <c r="E903" s="424"/>
      <c r="F903" s="420"/>
      <c r="G903" s="471"/>
    </row>
    <row r="904" spans="1:7" ht="19.899999999999999" customHeight="1" x14ac:dyDescent="0.2">
      <c r="A904" s="469" t="s">
        <v>21</v>
      </c>
      <c r="B904" s="420" t="str">
        <f>Obra</f>
        <v>Encamisado Parcial del Canal de Calle América</v>
      </c>
      <c r="C904" s="424"/>
      <c r="D904" s="424"/>
      <c r="E904" s="424"/>
      <c r="F904" s="420" t="s">
        <v>32</v>
      </c>
      <c r="G904" s="471" t="str">
        <f>Fecha_Base</f>
        <v>X/X/2023</v>
      </c>
    </row>
    <row r="905" spans="1:7" ht="19.899999999999999" customHeight="1" x14ac:dyDescent="0.2">
      <c r="A905" s="472" t="s">
        <v>710</v>
      </c>
      <c r="B905" s="425" t="str">
        <f>Ubicación</f>
        <v>Departamento Rawson</v>
      </c>
      <c r="C905" s="425"/>
      <c r="D905" s="426"/>
      <c r="E905" s="427"/>
      <c r="F905" s="428"/>
      <c r="G905" s="473"/>
    </row>
    <row r="906" spans="1:7" ht="19.899999999999999" customHeight="1" x14ac:dyDescent="0.2">
      <c r="A906" s="472" t="s">
        <v>33</v>
      </c>
      <c r="B906" s="429">
        <f>IFERROR(VALUE(LEFT(B907,FIND(".",B907)-1)),"")</f>
        <v>3</v>
      </c>
      <c r="C906" s="139" t="str">
        <f ca="1">IFERROR(VLOOKUP(B906,T_Computo_Presupuesto,2,FALSE),0)</f>
        <v>PUENTES DE HORMIGÓN</v>
      </c>
      <c r="D906" s="139"/>
      <c r="E906" s="427"/>
      <c r="F906" s="428"/>
      <c r="G906" s="473"/>
    </row>
    <row r="907" spans="1:7" ht="19.899999999999999" customHeight="1" x14ac:dyDescent="0.2">
      <c r="A907" s="472" t="s">
        <v>22</v>
      </c>
      <c r="B907" s="430" t="str">
        <f>IFERROR(VLOOKUP(COUNTIF($A$1:A907,"ANALISIS DE PRECIOS"),T_NumeroItem,2,FALSE),"")</f>
        <v>3.1</v>
      </c>
      <c r="C907" s="733" t="str">
        <f ca="1">IFERROR(VLOOKUP(B907,T_Computo_Presupuesto,2,FALSE),0)</f>
        <v>Preparación y Limpieza del Terreno</v>
      </c>
      <c r="D907" s="733"/>
      <c r="E907" s="733"/>
      <c r="F907" s="425" t="s">
        <v>23</v>
      </c>
      <c r="G907" s="474" t="str">
        <f ca="1">IFERROR(VLOOKUP(B907,T_Computo_Presupuesto,4,FALSE),0)</f>
        <v>Gl</v>
      </c>
    </row>
    <row r="908" spans="1:7" ht="19.899999999999999" customHeight="1" x14ac:dyDescent="0.2">
      <c r="A908" s="472"/>
      <c r="B908" s="425"/>
      <c r="C908" s="139"/>
      <c r="D908" s="426"/>
      <c r="E908" s="427"/>
      <c r="F908" s="139"/>
      <c r="G908" s="475"/>
    </row>
    <row r="909" spans="1:7" ht="19.899999999999999" customHeight="1" x14ac:dyDescent="0.2">
      <c r="A909" s="476"/>
      <c r="B909" s="431"/>
      <c r="C909" s="432" t="s">
        <v>967</v>
      </c>
      <c r="D909" s="431"/>
      <c r="E909" s="431"/>
      <c r="F909" s="431"/>
      <c r="G909" s="477"/>
    </row>
    <row r="910" spans="1:7" ht="19.899999999999999" customHeight="1" x14ac:dyDescent="0.2">
      <c r="A910" s="472"/>
      <c r="B910" s="433"/>
      <c r="C910" s="139"/>
      <c r="D910" s="426"/>
      <c r="E910" s="427"/>
      <c r="F910" s="425"/>
      <c r="G910" s="474"/>
    </row>
    <row r="911" spans="1:7" ht="19.899999999999999" customHeight="1" x14ac:dyDescent="0.2">
      <c r="A911" s="472"/>
      <c r="B911" s="433"/>
      <c r="C911" s="434" t="s">
        <v>968</v>
      </c>
      <c r="D911" s="435" t="s">
        <v>24</v>
      </c>
      <c r="E911" s="435" t="s">
        <v>969</v>
      </c>
      <c r="F911" s="435" t="s">
        <v>970</v>
      </c>
      <c r="G911" s="434" t="s">
        <v>971</v>
      </c>
    </row>
    <row r="912" spans="1:7" ht="19.899999999999999" customHeight="1" x14ac:dyDescent="0.2">
      <c r="A912" s="472"/>
      <c r="B912" s="433"/>
      <c r="C912" s="436">
        <f>+C687</f>
        <v>0</v>
      </c>
      <c r="D912" s="436">
        <f>+D687</f>
        <v>0</v>
      </c>
      <c r="E912" s="438">
        <f t="shared" ref="E912:E921" si="274">IFERROR(VLOOKUP(C912,T_Equipos,4,FALSE),0)</f>
        <v>0</v>
      </c>
      <c r="F912" s="439">
        <f t="shared" ref="F912:F921" si="275">IFERROR(VLOOKUP(C912,T_Equipos,5,FALSE),0)</f>
        <v>0</v>
      </c>
      <c r="G912" s="439">
        <f>ROUND(D912*F912,2)</f>
        <v>0</v>
      </c>
    </row>
    <row r="913" spans="1:7" ht="19.899999999999999" customHeight="1" x14ac:dyDescent="0.2">
      <c r="A913" s="472"/>
      <c r="B913" s="433"/>
      <c r="C913" s="436">
        <f t="shared" ref="C913:D917" si="276">+C688</f>
        <v>0</v>
      </c>
      <c r="D913" s="436">
        <f t="shared" si="276"/>
        <v>0</v>
      </c>
      <c r="E913" s="438">
        <f t="shared" si="274"/>
        <v>0</v>
      </c>
      <c r="F913" s="439">
        <f t="shared" si="275"/>
        <v>0</v>
      </c>
      <c r="G913" s="439">
        <f>ROUND(D913*F913,2)</f>
        <v>0</v>
      </c>
    </row>
    <row r="914" spans="1:7" ht="19.899999999999999" customHeight="1" x14ac:dyDescent="0.2">
      <c r="A914" s="472"/>
      <c r="B914" s="433"/>
      <c r="C914" s="436">
        <f t="shared" si="276"/>
        <v>0</v>
      </c>
      <c r="D914" s="436"/>
      <c r="E914" s="438">
        <f t="shared" si="274"/>
        <v>0</v>
      </c>
      <c r="F914" s="439">
        <f t="shared" si="275"/>
        <v>0</v>
      </c>
      <c r="G914" s="439">
        <f>ROUND(D914*F914,2)</f>
        <v>0</v>
      </c>
    </row>
    <row r="915" spans="1:7" ht="19.899999999999999" customHeight="1" x14ac:dyDescent="0.2">
      <c r="A915" s="472"/>
      <c r="B915" s="433"/>
      <c r="C915" s="436">
        <f t="shared" si="276"/>
        <v>0</v>
      </c>
      <c r="D915" s="436"/>
      <c r="E915" s="438">
        <f t="shared" si="274"/>
        <v>0</v>
      </c>
      <c r="F915" s="439">
        <f t="shared" si="275"/>
        <v>0</v>
      </c>
      <c r="G915" s="439">
        <f>ROUND(D915*F915,2)</f>
        <v>0</v>
      </c>
    </row>
    <row r="916" spans="1:7" ht="19.899999999999999" customHeight="1" x14ac:dyDescent="0.2">
      <c r="A916" s="472"/>
      <c r="B916" s="433"/>
      <c r="C916" s="436">
        <f t="shared" si="276"/>
        <v>0</v>
      </c>
      <c r="D916" s="436"/>
      <c r="E916" s="438">
        <f t="shared" si="274"/>
        <v>0</v>
      </c>
      <c r="F916" s="439">
        <f t="shared" si="275"/>
        <v>0</v>
      </c>
      <c r="G916" s="439">
        <f t="shared" ref="G916:G921" si="277">ROUND(D916*F916,2)</f>
        <v>0</v>
      </c>
    </row>
    <row r="917" spans="1:7" ht="19.899999999999999" customHeight="1" x14ac:dyDescent="0.2">
      <c r="A917" s="472"/>
      <c r="B917" s="433"/>
      <c r="C917" s="436">
        <f t="shared" si="276"/>
        <v>0</v>
      </c>
      <c r="D917" s="436"/>
      <c r="E917" s="438">
        <f t="shared" si="274"/>
        <v>0</v>
      </c>
      <c r="F917" s="439">
        <f t="shared" si="275"/>
        <v>0</v>
      </c>
      <c r="G917" s="439">
        <f t="shared" si="277"/>
        <v>0</v>
      </c>
    </row>
    <row r="918" spans="1:7" ht="19.899999999999999" customHeight="1" x14ac:dyDescent="0.2">
      <c r="A918" s="472"/>
      <c r="B918" s="433"/>
      <c r="C918" s="436">
        <f t="shared" ref="C918:D918" si="278">+C693</f>
        <v>0</v>
      </c>
      <c r="D918" s="436">
        <f t="shared" si="278"/>
        <v>0</v>
      </c>
      <c r="E918" s="438">
        <f t="shared" si="274"/>
        <v>0</v>
      </c>
      <c r="F918" s="439">
        <f t="shared" si="275"/>
        <v>0</v>
      </c>
      <c r="G918" s="439">
        <f t="shared" si="277"/>
        <v>0</v>
      </c>
    </row>
    <row r="919" spans="1:7" ht="19.899999999999999" customHeight="1" x14ac:dyDescent="0.2">
      <c r="A919" s="472"/>
      <c r="B919" s="433"/>
      <c r="C919" s="436">
        <f t="shared" ref="C919:D919" si="279">+C694</f>
        <v>0</v>
      </c>
      <c r="D919" s="436">
        <f t="shared" si="279"/>
        <v>0</v>
      </c>
      <c r="E919" s="438">
        <f t="shared" si="274"/>
        <v>0</v>
      </c>
      <c r="F919" s="439">
        <f t="shared" si="275"/>
        <v>0</v>
      </c>
      <c r="G919" s="439">
        <f t="shared" si="277"/>
        <v>0</v>
      </c>
    </row>
    <row r="920" spans="1:7" ht="19.899999999999999" customHeight="1" x14ac:dyDescent="0.2">
      <c r="A920" s="472"/>
      <c r="B920" s="433"/>
      <c r="C920" s="436"/>
      <c r="D920" s="437"/>
      <c r="E920" s="438">
        <f t="shared" si="274"/>
        <v>0</v>
      </c>
      <c r="F920" s="439">
        <f t="shared" si="275"/>
        <v>0</v>
      </c>
      <c r="G920" s="439">
        <f t="shared" si="277"/>
        <v>0</v>
      </c>
    </row>
    <row r="921" spans="1:7" ht="19.899999999999999" customHeight="1" x14ac:dyDescent="0.2">
      <c r="A921" s="472"/>
      <c r="B921" s="433"/>
      <c r="C921" s="436"/>
      <c r="D921" s="437"/>
      <c r="E921" s="438">
        <f t="shared" si="274"/>
        <v>0</v>
      </c>
      <c r="F921" s="439">
        <f t="shared" si="275"/>
        <v>0</v>
      </c>
      <c r="G921" s="439">
        <f t="shared" si="277"/>
        <v>0</v>
      </c>
    </row>
    <row r="922" spans="1:7" ht="19.899999999999999" customHeight="1" x14ac:dyDescent="0.2">
      <c r="A922" s="472"/>
      <c r="B922" s="433"/>
      <c r="C922" s="139"/>
      <c r="D922" s="139"/>
      <c r="E922" s="440"/>
      <c r="F922" s="425"/>
      <c r="G922" s="474"/>
    </row>
    <row r="923" spans="1:7" ht="19.899999999999999" customHeight="1" x14ac:dyDescent="0.2">
      <c r="A923" s="472"/>
      <c r="B923" s="139"/>
      <c r="C923" s="422" t="s">
        <v>972</v>
      </c>
      <c r="D923" s="425" t="s">
        <v>969</v>
      </c>
      <c r="E923" s="491">
        <f>SUMPRODUCT(D912:D921,E912:E921)</f>
        <v>0</v>
      </c>
      <c r="F923" s="425" t="s">
        <v>973</v>
      </c>
      <c r="G923" s="492">
        <f>SUM(G912:G921)</f>
        <v>0</v>
      </c>
    </row>
    <row r="924" spans="1:7" ht="19.899999999999999" customHeight="1" x14ac:dyDescent="0.2">
      <c r="A924" s="472"/>
      <c r="B924" s="433"/>
      <c r="C924" s="441"/>
      <c r="D924" s="440"/>
      <c r="E924" s="427"/>
      <c r="F924" s="425"/>
      <c r="G924" s="478"/>
    </row>
    <row r="925" spans="1:7" ht="19.899999999999999" customHeight="1" x14ac:dyDescent="0.2">
      <c r="A925" s="479"/>
      <c r="B925" s="433"/>
      <c r="C925" s="425" t="s">
        <v>974</v>
      </c>
      <c r="D925" s="442">
        <f>IFERROR(VLOOKUP(COUNTIF($A$1:A925,"ANALISIS DE PRECIOS"),T_Rendimiento_Equipo,5,FALSE),0)</f>
        <v>0</v>
      </c>
      <c r="E925" s="443" t="str">
        <f ca="1">G907&amp;"/día"</f>
        <v>Gl/día</v>
      </c>
      <c r="F925" s="419"/>
      <c r="G925" s="474"/>
    </row>
    <row r="926" spans="1:7" ht="19.899999999999999" customHeight="1" x14ac:dyDescent="0.2">
      <c r="A926" s="472"/>
      <c r="B926" s="433"/>
      <c r="C926" s="139"/>
      <c r="D926" s="426"/>
      <c r="E926" s="427"/>
      <c r="F926" s="425"/>
      <c r="G926" s="474"/>
    </row>
    <row r="927" spans="1:7" ht="19.899999999999999" customHeight="1" x14ac:dyDescent="0.2">
      <c r="A927" s="720" t="s">
        <v>576</v>
      </c>
      <c r="B927" s="721"/>
      <c r="C927" s="722" t="s">
        <v>0</v>
      </c>
      <c r="D927" s="734" t="s">
        <v>1724</v>
      </c>
      <c r="E927" s="734" t="s">
        <v>1723</v>
      </c>
      <c r="F927" s="726" t="s">
        <v>975</v>
      </c>
      <c r="G927" s="728" t="s">
        <v>26</v>
      </c>
    </row>
    <row r="928" spans="1:7" ht="19.899999999999999" customHeight="1" x14ac:dyDescent="0.2">
      <c r="A928" s="444" t="s">
        <v>577</v>
      </c>
      <c r="B928" s="444" t="s">
        <v>578</v>
      </c>
      <c r="C928" s="723"/>
      <c r="D928" s="735"/>
      <c r="E928" s="725"/>
      <c r="F928" s="727"/>
      <c r="G928" s="729"/>
    </row>
    <row r="929" spans="1:7" ht="19.899999999999999" customHeight="1" x14ac:dyDescent="0.2">
      <c r="A929" s="480"/>
      <c r="B929" s="139"/>
      <c r="C929" s="422" t="s">
        <v>976</v>
      </c>
      <c r="D929" s="427"/>
      <c r="E929" s="427"/>
      <c r="F929" s="139"/>
      <c r="G929" s="481"/>
    </row>
    <row r="930" spans="1:7" ht="19.899999999999999" customHeight="1" x14ac:dyDescent="0.2">
      <c r="A930" s="482">
        <f t="shared" ref="A930:A938" si="280">IFERROR(VLOOKUP(C930,T_Insumos,4,FALSE),0)</f>
        <v>0</v>
      </c>
      <c r="B930" s="445">
        <f t="shared" ref="B930:B938" si="281">IFERROR(VLOOKUP(C930,T_Insumos,5,FALSE),0)</f>
        <v>0</v>
      </c>
      <c r="C930" s="436">
        <f>+C630</f>
        <v>0</v>
      </c>
      <c r="D930" s="446">
        <f t="shared" ref="D930:D938" si="282">IFERROR(VLOOKUP(C930,T_Insumos,3,FALSE),0)</f>
        <v>0</v>
      </c>
      <c r="E930" s="439">
        <f>D930*$G$323</f>
        <v>0</v>
      </c>
      <c r="F930" s="442">
        <f>IF(C930="",0,IFERROR(VLOOKUP(COUNTIF($A$1:A930,"ANALISIS DE PRECIOS"),T_Rendimiento_Equipo,5,FALSE),0))</f>
        <v>0</v>
      </c>
      <c r="G930" s="439">
        <f>IFERROR(ROUND(E930/F930,2),0)</f>
        <v>0</v>
      </c>
    </row>
    <row r="931" spans="1:7" ht="19.899999999999999" customHeight="1" x14ac:dyDescent="0.2">
      <c r="A931" s="482">
        <f t="shared" si="280"/>
        <v>0</v>
      </c>
      <c r="B931" s="445">
        <f t="shared" si="281"/>
        <v>0</v>
      </c>
      <c r="C931" s="436">
        <f t="shared" ref="C931:C933" si="283">+C631</f>
        <v>0</v>
      </c>
      <c r="D931" s="446">
        <f t="shared" si="282"/>
        <v>0</v>
      </c>
      <c r="E931" s="439">
        <f t="shared" ref="E931:E932" si="284">D931*$G$323</f>
        <v>0</v>
      </c>
      <c r="F931" s="442">
        <f>IF(C931="",0,IFERROR(VLOOKUP(COUNTIF($A$1:A931,"ANALISIS DE PRECIOS"),T_Rendimiento_Equipo,5,FALSE),0))</f>
        <v>0</v>
      </c>
      <c r="G931" s="439">
        <f t="shared" ref="G931:G938" si="285">IFERROR(ROUND(E931/F931,2),0)</f>
        <v>0</v>
      </c>
    </row>
    <row r="932" spans="1:7" ht="19.899999999999999" customHeight="1" x14ac:dyDescent="0.2">
      <c r="A932" s="482">
        <f t="shared" si="280"/>
        <v>0</v>
      </c>
      <c r="B932" s="445">
        <f t="shared" si="281"/>
        <v>0</v>
      </c>
      <c r="C932" s="436">
        <f t="shared" si="283"/>
        <v>0</v>
      </c>
      <c r="D932" s="446">
        <f t="shared" si="282"/>
        <v>0</v>
      </c>
      <c r="E932" s="439">
        <f t="shared" si="284"/>
        <v>0</v>
      </c>
      <c r="F932" s="442">
        <f>IF(C932="",0,IFERROR(VLOOKUP(COUNTIF($A$1:A932,"ANALISIS DE PRECIOS"),T_Rendimiento_Equipo,5,FALSE),0))</f>
        <v>0</v>
      </c>
      <c r="G932" s="439">
        <f t="shared" si="285"/>
        <v>0</v>
      </c>
    </row>
    <row r="933" spans="1:7" ht="19.899999999999999" customHeight="1" x14ac:dyDescent="0.2">
      <c r="A933" s="482">
        <f t="shared" si="280"/>
        <v>0</v>
      </c>
      <c r="B933" s="445">
        <f t="shared" si="281"/>
        <v>0</v>
      </c>
      <c r="C933" s="436">
        <f t="shared" si="283"/>
        <v>0</v>
      </c>
      <c r="D933" s="446">
        <f t="shared" si="282"/>
        <v>0</v>
      </c>
      <c r="E933" s="439">
        <f>D933*$E$323</f>
        <v>0</v>
      </c>
      <c r="F933" s="442">
        <f>IF(C933="",0,IFERROR(VLOOKUP(COUNTIF($A$1:A933,"ANALISIS DE PRECIOS"),T_Rendimiento_Equipo,5,FALSE),0))</f>
        <v>0</v>
      </c>
      <c r="G933" s="439">
        <f t="shared" si="285"/>
        <v>0</v>
      </c>
    </row>
    <row r="934" spans="1:7" ht="19.899999999999999" customHeight="1" x14ac:dyDescent="0.2">
      <c r="A934" s="482">
        <f t="shared" si="280"/>
        <v>0</v>
      </c>
      <c r="B934" s="445">
        <f t="shared" si="281"/>
        <v>0</v>
      </c>
      <c r="C934" s="447"/>
      <c r="D934" s="446">
        <f t="shared" si="282"/>
        <v>0</v>
      </c>
      <c r="E934" s="439"/>
      <c r="F934" s="442">
        <f>IF(C934="",0,IFERROR(VLOOKUP(COUNTIF($A$1:A934,"ANALISIS DE PRECIOS"),T_Rendimiento_Equipo,5,FALSE),0))</f>
        <v>0</v>
      </c>
      <c r="G934" s="439">
        <f t="shared" si="285"/>
        <v>0</v>
      </c>
    </row>
    <row r="935" spans="1:7" ht="19.899999999999999" customHeight="1" x14ac:dyDescent="0.2">
      <c r="A935" s="482">
        <f t="shared" si="280"/>
        <v>0</v>
      </c>
      <c r="B935" s="445">
        <f t="shared" si="281"/>
        <v>0</v>
      </c>
      <c r="C935" s="447"/>
      <c r="D935" s="446">
        <f t="shared" si="282"/>
        <v>0</v>
      </c>
      <c r="E935" s="439"/>
      <c r="F935" s="442">
        <f>IF(C935="",0,IFERROR(VLOOKUP(COUNTIF($A$1:A935,"ANALISIS DE PRECIOS"),T_Rendimiento_Equipo,5,FALSE),0))</f>
        <v>0</v>
      </c>
      <c r="G935" s="439">
        <f t="shared" si="285"/>
        <v>0</v>
      </c>
    </row>
    <row r="936" spans="1:7" ht="19.899999999999999" customHeight="1" x14ac:dyDescent="0.2">
      <c r="A936" s="482">
        <f t="shared" si="280"/>
        <v>0</v>
      </c>
      <c r="B936" s="445">
        <f t="shared" si="281"/>
        <v>0</v>
      </c>
      <c r="C936" s="447"/>
      <c r="D936" s="446">
        <f t="shared" si="282"/>
        <v>0</v>
      </c>
      <c r="E936" s="439"/>
      <c r="F936" s="442">
        <f>IF(C936="",0,IFERROR(VLOOKUP(COUNTIF($A$1:A936,"ANALISIS DE PRECIOS"),T_Rendimiento_Equipo,5,FALSE),0))</f>
        <v>0</v>
      </c>
      <c r="G936" s="439">
        <f t="shared" si="285"/>
        <v>0</v>
      </c>
    </row>
    <row r="937" spans="1:7" ht="19.899999999999999" customHeight="1" x14ac:dyDescent="0.2">
      <c r="A937" s="482">
        <f t="shared" si="280"/>
        <v>0</v>
      </c>
      <c r="B937" s="445">
        <f t="shared" si="281"/>
        <v>0</v>
      </c>
      <c r="C937" s="447"/>
      <c r="D937" s="446">
        <f t="shared" si="282"/>
        <v>0</v>
      </c>
      <c r="E937" s="439"/>
      <c r="F937" s="442">
        <f>IF(C937="",0,IFERROR(VLOOKUP(COUNTIF($A$1:A937,"ANALISIS DE PRECIOS"),T_Rendimiento_Equipo,5,FALSE),0))</f>
        <v>0</v>
      </c>
      <c r="G937" s="439">
        <f t="shared" si="285"/>
        <v>0</v>
      </c>
    </row>
    <row r="938" spans="1:7" ht="19.899999999999999" customHeight="1" x14ac:dyDescent="0.2">
      <c r="A938" s="482">
        <f t="shared" si="280"/>
        <v>0</v>
      </c>
      <c r="B938" s="445">
        <f t="shared" si="281"/>
        <v>0</v>
      </c>
      <c r="C938" s="436"/>
      <c r="D938" s="446">
        <f t="shared" si="282"/>
        <v>0</v>
      </c>
      <c r="E938" s="439"/>
      <c r="F938" s="442">
        <f>IF(C938="",0,IFERROR(VLOOKUP(COUNTIF($A$1:A938,"ANALISIS DE PRECIOS"),T_Rendimiento_Equipo,5,FALSE),0))</f>
        <v>0</v>
      </c>
      <c r="G938" s="439">
        <f t="shared" si="285"/>
        <v>0</v>
      </c>
    </row>
    <row r="939" spans="1:7" ht="19.899999999999999" customHeight="1" x14ac:dyDescent="0.2">
      <c r="A939" s="483"/>
      <c r="B939" s="426"/>
      <c r="C939" s="139"/>
      <c r="D939" s="426"/>
      <c r="E939" s="427"/>
      <c r="F939" s="448" t="s">
        <v>27</v>
      </c>
      <c r="G939" s="484">
        <f>SUBTOTAL(9,G930:G938)</f>
        <v>0</v>
      </c>
    </row>
    <row r="940" spans="1:7" ht="19.899999999999999" customHeight="1" x14ac:dyDescent="0.2">
      <c r="A940" s="480"/>
      <c r="B940" s="139"/>
      <c r="C940" s="422" t="s">
        <v>713</v>
      </c>
      <c r="D940" s="426"/>
      <c r="E940" s="427"/>
      <c r="F940" s="428"/>
      <c r="G940" s="481"/>
    </row>
    <row r="941" spans="1:7" ht="19.899999999999999" customHeight="1" x14ac:dyDescent="0.2">
      <c r="A941" s="720" t="s">
        <v>576</v>
      </c>
      <c r="B941" s="721"/>
      <c r="C941" s="722" t="s">
        <v>0</v>
      </c>
      <c r="D941" s="724" t="s">
        <v>24</v>
      </c>
      <c r="E941" s="724" t="s">
        <v>1964</v>
      </c>
      <c r="F941" s="726" t="s">
        <v>975</v>
      </c>
      <c r="G941" s="728" t="s">
        <v>26</v>
      </c>
    </row>
    <row r="942" spans="1:7" ht="19.899999999999999" customHeight="1" x14ac:dyDescent="0.2">
      <c r="A942" s="444" t="s">
        <v>577</v>
      </c>
      <c r="B942" s="444" t="s">
        <v>578</v>
      </c>
      <c r="C942" s="723"/>
      <c r="D942" s="725"/>
      <c r="E942" s="725"/>
      <c r="F942" s="727"/>
      <c r="G942" s="729"/>
    </row>
    <row r="943" spans="1:7" ht="19.899999999999999" customHeight="1" x14ac:dyDescent="0.2">
      <c r="A943" s="482">
        <f t="shared" ref="A943:A949" si="286">IFERROR(VLOOKUP(C943,T_Insumos,4,FALSE),0)</f>
        <v>0</v>
      </c>
      <c r="B943" s="445">
        <f t="shared" ref="B943:B949" si="287">IFERROR(VLOOKUP(C943,T_Insumos,5,FALSE),0)</f>
        <v>0</v>
      </c>
      <c r="C943" s="436">
        <f t="shared" ref="C943:C946" si="288">+C718</f>
        <v>0</v>
      </c>
      <c r="D943" s="442"/>
      <c r="E943" s="439">
        <f t="shared" ref="E943:E949" si="289">IFERROR(VLOOKUP(C943,T_Insumos,3,FALSE),0)</f>
        <v>0</v>
      </c>
      <c r="F943" s="442">
        <f>IF(C943="",0,IFERROR(VLOOKUP(COUNTIF($A$1:A943,"ANALISIS DE PRECIOS"),T_Rendimiento_Equipo,5,FALSE),0))</f>
        <v>0</v>
      </c>
      <c r="G943" s="439">
        <f>IFERROR(ROUND(D943*E943/F943,2),0)</f>
        <v>0</v>
      </c>
    </row>
    <row r="944" spans="1:7" ht="19.899999999999999" customHeight="1" x14ac:dyDescent="0.2">
      <c r="A944" s="482">
        <f t="shared" si="286"/>
        <v>0</v>
      </c>
      <c r="B944" s="445">
        <f t="shared" si="287"/>
        <v>0</v>
      </c>
      <c r="C944" s="436">
        <f t="shared" si="288"/>
        <v>0</v>
      </c>
      <c r="D944" s="442">
        <v>1</v>
      </c>
      <c r="E944" s="439">
        <f t="shared" si="289"/>
        <v>0</v>
      </c>
      <c r="F944" s="442">
        <f>IF(C944="",0,IFERROR(VLOOKUP(COUNTIF($A$1:A944,"ANALISIS DE PRECIOS"),T_Rendimiento_Equipo,5,FALSE),0))</f>
        <v>0</v>
      </c>
      <c r="G944" s="439">
        <f>IFERROR(ROUND(D944*E944/F944,2),0)</f>
        <v>0</v>
      </c>
    </row>
    <row r="945" spans="1:7" ht="19.899999999999999" customHeight="1" x14ac:dyDescent="0.2">
      <c r="A945" s="482">
        <f t="shared" si="286"/>
        <v>0</v>
      </c>
      <c r="B945" s="445">
        <f t="shared" si="287"/>
        <v>0</v>
      </c>
      <c r="C945" s="436">
        <f t="shared" si="288"/>
        <v>0</v>
      </c>
      <c r="D945" s="442"/>
      <c r="E945" s="439">
        <f t="shared" si="289"/>
        <v>0</v>
      </c>
      <c r="F945" s="442">
        <f>IF(C945="",0,IFERROR(VLOOKUP(COUNTIF($A$1:A945,"ANALISIS DE PRECIOS"),T_Rendimiento_Equipo,5,FALSE),0))</f>
        <v>0</v>
      </c>
      <c r="G945" s="439">
        <f t="shared" ref="G945:G949" si="290">IFERROR(ROUND(D945*E945/F945,2),0)</f>
        <v>0</v>
      </c>
    </row>
    <row r="946" spans="1:7" ht="19.899999999999999" customHeight="1" x14ac:dyDescent="0.2">
      <c r="A946" s="482">
        <f t="shared" si="286"/>
        <v>0</v>
      </c>
      <c r="B946" s="445">
        <f t="shared" si="287"/>
        <v>0</v>
      </c>
      <c r="C946" s="436">
        <f t="shared" si="288"/>
        <v>0</v>
      </c>
      <c r="D946" s="442">
        <v>2</v>
      </c>
      <c r="E946" s="439">
        <f t="shared" si="289"/>
        <v>0</v>
      </c>
      <c r="F946" s="442">
        <f>IF(C946="",0,IFERROR(VLOOKUP(COUNTIF($A$1:A946,"ANALISIS DE PRECIOS"),T_Rendimiento_Equipo,5,FALSE),0))</f>
        <v>0</v>
      </c>
      <c r="G946" s="439">
        <f t="shared" si="290"/>
        <v>0</v>
      </c>
    </row>
    <row r="947" spans="1:7" ht="19.899999999999999" customHeight="1" x14ac:dyDescent="0.2">
      <c r="A947" s="482">
        <f t="shared" si="286"/>
        <v>0</v>
      </c>
      <c r="B947" s="445">
        <f t="shared" si="287"/>
        <v>0</v>
      </c>
      <c r="C947" s="436"/>
      <c r="D947" s="442"/>
      <c r="E947" s="439">
        <f t="shared" si="289"/>
        <v>0</v>
      </c>
      <c r="F947" s="442">
        <f>IF(C947="",0,IFERROR(VLOOKUP(COUNTIF($A$1:A947,"ANALISIS DE PRECIOS"),T_Rendimiento_Equipo,5,FALSE),0))</f>
        <v>0</v>
      </c>
      <c r="G947" s="439">
        <f t="shared" si="290"/>
        <v>0</v>
      </c>
    </row>
    <row r="948" spans="1:7" ht="19.899999999999999" customHeight="1" x14ac:dyDescent="0.2">
      <c r="A948" s="482">
        <f t="shared" si="286"/>
        <v>0</v>
      </c>
      <c r="B948" s="445">
        <f t="shared" si="287"/>
        <v>0</v>
      </c>
      <c r="C948" s="436"/>
      <c r="D948" s="450"/>
      <c r="E948" s="439">
        <f t="shared" si="289"/>
        <v>0</v>
      </c>
      <c r="F948" s="442">
        <f>IF(C948="",0,IFERROR(VLOOKUP(COUNTIF($A$1:A948,"ANALISIS DE PRECIOS"),T_Rendimiento_Equipo,5,FALSE),0))</f>
        <v>0</v>
      </c>
      <c r="G948" s="439">
        <f t="shared" si="290"/>
        <v>0</v>
      </c>
    </row>
    <row r="949" spans="1:7" ht="19.899999999999999" customHeight="1" x14ac:dyDescent="0.2">
      <c r="A949" s="482">
        <f t="shared" si="286"/>
        <v>0</v>
      </c>
      <c r="B949" s="445">
        <f t="shared" si="287"/>
        <v>0</v>
      </c>
      <c r="C949" s="445"/>
      <c r="D949" s="451"/>
      <c r="E949" s="439">
        <f t="shared" si="289"/>
        <v>0</v>
      </c>
      <c r="F949" s="442">
        <f>IF(C949="",0,IFERROR(VLOOKUP(COUNTIF($A$1:A949,"ANALISIS DE PRECIOS"),T_Rendimiento_Equipo,5,FALSE),0))</f>
        <v>0</v>
      </c>
      <c r="G949" s="439">
        <f t="shared" si="290"/>
        <v>0</v>
      </c>
    </row>
    <row r="950" spans="1:7" ht="19.899999999999999" customHeight="1" x14ac:dyDescent="0.2">
      <c r="A950" s="483"/>
      <c r="B950" s="426"/>
      <c r="C950" s="139"/>
      <c r="D950" s="426"/>
      <c r="E950" s="427"/>
      <c r="F950" s="448" t="s">
        <v>28</v>
      </c>
      <c r="G950" s="485">
        <f>SUBTOTAL(9,G943:G949)</f>
        <v>0</v>
      </c>
    </row>
    <row r="951" spans="1:7" ht="19.899999999999999" customHeight="1" x14ac:dyDescent="0.2">
      <c r="A951" s="480"/>
      <c r="B951" s="139"/>
      <c r="C951" s="422" t="s">
        <v>982</v>
      </c>
      <c r="D951" s="426"/>
      <c r="E951" s="427"/>
      <c r="F951" s="428"/>
      <c r="G951" s="481"/>
    </row>
    <row r="952" spans="1:7" ht="19.899999999999999" customHeight="1" x14ac:dyDescent="0.2">
      <c r="A952" s="720" t="s">
        <v>576</v>
      </c>
      <c r="B952" s="721"/>
      <c r="C952" s="722" t="s">
        <v>0</v>
      </c>
      <c r="D952" s="722" t="s">
        <v>1725</v>
      </c>
      <c r="E952" s="724" t="s">
        <v>24</v>
      </c>
      <c r="F952" s="726" t="s">
        <v>25</v>
      </c>
      <c r="G952" s="728" t="s">
        <v>26</v>
      </c>
    </row>
    <row r="953" spans="1:7" ht="19.899999999999999" customHeight="1" x14ac:dyDescent="0.2">
      <c r="A953" s="444" t="s">
        <v>577</v>
      </c>
      <c r="B953" s="444" t="s">
        <v>578</v>
      </c>
      <c r="C953" s="723"/>
      <c r="D953" s="723"/>
      <c r="E953" s="725"/>
      <c r="F953" s="727"/>
      <c r="G953" s="729"/>
    </row>
    <row r="954" spans="1:7" ht="19.899999999999999" customHeight="1" x14ac:dyDescent="0.2">
      <c r="A954" s="482">
        <f t="shared" ref="A954:A964" si="291">IFERROR(VLOOKUP(C954,T_Insumos,4,FALSE),0)</f>
        <v>0</v>
      </c>
      <c r="B954" s="445">
        <f t="shared" ref="B954:B964" si="292">IFERROR(VLOOKUP(C954,T_Insumos,5,FALSE),0)</f>
        <v>0</v>
      </c>
      <c r="C954" s="436">
        <f t="shared" ref="C954:C964" si="293">+C729</f>
        <v>0</v>
      </c>
      <c r="D954" s="493">
        <f t="shared" ref="D954:D964" si="294">IFERROR(VLOOKUP(C954,T_Insumos,2,FALSE),0)</f>
        <v>0</v>
      </c>
      <c r="E954" s="437"/>
      <c r="F954" s="439">
        <f t="shared" ref="F954:F964" si="295">IFERROR(VLOOKUP(C954,T_Insumos,3,FALSE),0)</f>
        <v>0</v>
      </c>
      <c r="G954" s="439">
        <f>ROUND(E954*F954,2)</f>
        <v>0</v>
      </c>
    </row>
    <row r="955" spans="1:7" ht="19.899999999999999" customHeight="1" x14ac:dyDescent="0.2">
      <c r="A955" s="482">
        <f t="shared" si="291"/>
        <v>0</v>
      </c>
      <c r="B955" s="445">
        <f t="shared" si="292"/>
        <v>0</v>
      </c>
      <c r="C955" s="436">
        <f t="shared" si="293"/>
        <v>0</v>
      </c>
      <c r="D955" s="493">
        <f t="shared" si="294"/>
        <v>0</v>
      </c>
      <c r="E955" s="437"/>
      <c r="F955" s="439">
        <f t="shared" si="295"/>
        <v>0</v>
      </c>
      <c r="G955" s="439">
        <f t="shared" ref="G955:G964" si="296">ROUND(E955*F955,2)</f>
        <v>0</v>
      </c>
    </row>
    <row r="956" spans="1:7" ht="19.899999999999999" customHeight="1" x14ac:dyDescent="0.2">
      <c r="A956" s="482">
        <f t="shared" si="291"/>
        <v>0</v>
      </c>
      <c r="B956" s="445">
        <f t="shared" si="292"/>
        <v>0</v>
      </c>
      <c r="C956" s="436">
        <f t="shared" si="293"/>
        <v>0</v>
      </c>
      <c r="D956" s="493">
        <f t="shared" si="294"/>
        <v>0</v>
      </c>
      <c r="E956" s="437"/>
      <c r="F956" s="439">
        <f t="shared" si="295"/>
        <v>0</v>
      </c>
      <c r="G956" s="439">
        <f t="shared" si="296"/>
        <v>0</v>
      </c>
    </row>
    <row r="957" spans="1:7" ht="19.899999999999999" customHeight="1" x14ac:dyDescent="0.2">
      <c r="A957" s="482">
        <f t="shared" si="291"/>
        <v>0</v>
      </c>
      <c r="B957" s="445">
        <f t="shared" si="292"/>
        <v>0</v>
      </c>
      <c r="C957" s="436">
        <f t="shared" si="293"/>
        <v>0</v>
      </c>
      <c r="D957" s="493">
        <f t="shared" si="294"/>
        <v>0</v>
      </c>
      <c r="E957" s="437"/>
      <c r="F957" s="439">
        <f t="shared" si="295"/>
        <v>0</v>
      </c>
      <c r="G957" s="439">
        <f t="shared" si="296"/>
        <v>0</v>
      </c>
    </row>
    <row r="958" spans="1:7" ht="19.899999999999999" customHeight="1" x14ac:dyDescent="0.2">
      <c r="A958" s="482">
        <f t="shared" si="291"/>
        <v>0</v>
      </c>
      <c r="B958" s="445">
        <f t="shared" si="292"/>
        <v>0</v>
      </c>
      <c r="C958" s="436">
        <f t="shared" si="293"/>
        <v>0</v>
      </c>
      <c r="D958" s="493">
        <f t="shared" si="294"/>
        <v>0</v>
      </c>
      <c r="E958" s="437"/>
      <c r="F958" s="439">
        <f t="shared" si="295"/>
        <v>0</v>
      </c>
      <c r="G958" s="439">
        <f t="shared" si="296"/>
        <v>0</v>
      </c>
    </row>
    <row r="959" spans="1:7" ht="19.899999999999999" customHeight="1" x14ac:dyDescent="0.2">
      <c r="A959" s="482">
        <f t="shared" si="291"/>
        <v>0</v>
      </c>
      <c r="B959" s="445">
        <f t="shared" si="292"/>
        <v>0</v>
      </c>
      <c r="C959" s="436">
        <f t="shared" si="293"/>
        <v>0</v>
      </c>
      <c r="D959" s="493">
        <f t="shared" si="294"/>
        <v>0</v>
      </c>
      <c r="E959" s="437"/>
      <c r="F959" s="439">
        <f t="shared" si="295"/>
        <v>0</v>
      </c>
      <c r="G959" s="439">
        <f t="shared" si="296"/>
        <v>0</v>
      </c>
    </row>
    <row r="960" spans="1:7" ht="19.899999999999999" customHeight="1" x14ac:dyDescent="0.2">
      <c r="A960" s="482">
        <f t="shared" si="291"/>
        <v>0</v>
      </c>
      <c r="B960" s="445">
        <f t="shared" si="292"/>
        <v>0</v>
      </c>
      <c r="C960" s="436">
        <f t="shared" si="293"/>
        <v>0</v>
      </c>
      <c r="D960" s="493">
        <f t="shared" si="294"/>
        <v>0</v>
      </c>
      <c r="E960" s="437"/>
      <c r="F960" s="439">
        <f t="shared" si="295"/>
        <v>0</v>
      </c>
      <c r="G960" s="439">
        <f t="shared" si="296"/>
        <v>0</v>
      </c>
    </row>
    <row r="961" spans="1:7" ht="19.899999999999999" customHeight="1" x14ac:dyDescent="0.2">
      <c r="A961" s="482">
        <f t="shared" si="291"/>
        <v>0</v>
      </c>
      <c r="B961" s="445">
        <f t="shared" si="292"/>
        <v>0</v>
      </c>
      <c r="C961" s="436">
        <f t="shared" si="293"/>
        <v>0</v>
      </c>
      <c r="D961" s="493">
        <f t="shared" si="294"/>
        <v>0</v>
      </c>
      <c r="E961" s="437"/>
      <c r="F961" s="439">
        <f t="shared" si="295"/>
        <v>0</v>
      </c>
      <c r="G961" s="439">
        <f t="shared" si="296"/>
        <v>0</v>
      </c>
    </row>
    <row r="962" spans="1:7" ht="19.899999999999999" customHeight="1" x14ac:dyDescent="0.2">
      <c r="A962" s="482">
        <f t="shared" si="291"/>
        <v>0</v>
      </c>
      <c r="B962" s="445">
        <f t="shared" si="292"/>
        <v>0</v>
      </c>
      <c r="C962" s="436">
        <f t="shared" si="293"/>
        <v>0</v>
      </c>
      <c r="D962" s="493">
        <f t="shared" si="294"/>
        <v>0</v>
      </c>
      <c r="E962" s="437"/>
      <c r="F962" s="439">
        <f t="shared" si="295"/>
        <v>0</v>
      </c>
      <c r="G962" s="439">
        <f t="shared" si="296"/>
        <v>0</v>
      </c>
    </row>
    <row r="963" spans="1:7" ht="19.899999999999999" customHeight="1" x14ac:dyDescent="0.2">
      <c r="A963" s="482">
        <f t="shared" si="291"/>
        <v>0</v>
      </c>
      <c r="B963" s="445">
        <f t="shared" si="292"/>
        <v>0</v>
      </c>
      <c r="C963" s="436">
        <f t="shared" si="293"/>
        <v>0</v>
      </c>
      <c r="D963" s="493">
        <f t="shared" si="294"/>
        <v>0</v>
      </c>
      <c r="E963" s="437"/>
      <c r="F963" s="439">
        <f t="shared" si="295"/>
        <v>0</v>
      </c>
      <c r="G963" s="439">
        <f t="shared" si="296"/>
        <v>0</v>
      </c>
    </row>
    <row r="964" spans="1:7" ht="19.899999999999999" customHeight="1" x14ac:dyDescent="0.2">
      <c r="A964" s="482">
        <f t="shared" si="291"/>
        <v>0</v>
      </c>
      <c r="B964" s="445">
        <f t="shared" si="292"/>
        <v>0</v>
      </c>
      <c r="C964" s="436">
        <f t="shared" si="293"/>
        <v>0</v>
      </c>
      <c r="D964" s="493">
        <f t="shared" si="294"/>
        <v>0</v>
      </c>
      <c r="E964" s="437"/>
      <c r="F964" s="439">
        <f t="shared" si="295"/>
        <v>0</v>
      </c>
      <c r="G964" s="439">
        <f t="shared" si="296"/>
        <v>0</v>
      </c>
    </row>
    <row r="965" spans="1:7" ht="19.899999999999999" customHeight="1" x14ac:dyDescent="0.2">
      <c r="A965" s="480"/>
      <c r="B965" s="139"/>
      <c r="C965" s="139"/>
      <c r="D965" s="426"/>
      <c r="E965" s="427"/>
      <c r="F965" s="448" t="s">
        <v>29</v>
      </c>
      <c r="G965" s="485">
        <f>SUBTOTAL(9,G954:G964)</f>
        <v>0</v>
      </c>
    </row>
    <row r="966" spans="1:7" ht="19.899999999999999" customHeight="1" x14ac:dyDescent="0.2">
      <c r="A966" s="480"/>
      <c r="B966" s="139"/>
      <c r="C966" s="422" t="s">
        <v>983</v>
      </c>
      <c r="D966" s="426"/>
      <c r="E966" s="427"/>
      <c r="F966" s="428"/>
      <c r="G966" s="481"/>
    </row>
    <row r="967" spans="1:7" ht="19.899999999999999" customHeight="1" x14ac:dyDescent="0.2">
      <c r="A967" s="720" t="s">
        <v>576</v>
      </c>
      <c r="B967" s="721"/>
      <c r="C967" s="722" t="s">
        <v>0</v>
      </c>
      <c r="D967" s="722" t="s">
        <v>1725</v>
      </c>
      <c r="E967" s="724" t="s">
        <v>24</v>
      </c>
      <c r="F967" s="726" t="s">
        <v>25</v>
      </c>
      <c r="G967" s="728" t="s">
        <v>26</v>
      </c>
    </row>
    <row r="968" spans="1:7" ht="19.899999999999999" customHeight="1" x14ac:dyDescent="0.2">
      <c r="A968" s="444" t="s">
        <v>577</v>
      </c>
      <c r="B968" s="444" t="s">
        <v>578</v>
      </c>
      <c r="C968" s="723"/>
      <c r="D968" s="723"/>
      <c r="E968" s="725"/>
      <c r="F968" s="727"/>
      <c r="G968" s="729"/>
    </row>
    <row r="969" spans="1:7" ht="19.899999999999999" customHeight="1" x14ac:dyDescent="0.2">
      <c r="A969" s="482">
        <f>IFERROR(VLOOKUP(C969,T_Insumos,4,FALSE),0)</f>
        <v>0</v>
      </c>
      <c r="B969" s="445">
        <f>IFERROR(VLOOKUP(C969,T_Insumos,5,FALSE),0)</f>
        <v>0</v>
      </c>
      <c r="C969" s="436"/>
      <c r="D969" s="493">
        <f>IF(C969=0,0,"$/tnkm")</f>
        <v>0</v>
      </c>
      <c r="E969" s="437"/>
      <c r="F969" s="439">
        <f>IFERROR(VLOOKUP(C969,T_Insumos,3,FALSE),0)</f>
        <v>0</v>
      </c>
      <c r="G969" s="439">
        <f>ROUND(E969*F969,2)</f>
        <v>0</v>
      </c>
    </row>
    <row r="970" spans="1:7" ht="19.899999999999999" customHeight="1" x14ac:dyDescent="0.2">
      <c r="A970" s="482">
        <f>IFERROR(VLOOKUP(C970,T_Insumos,4,FALSE),0)</f>
        <v>0</v>
      </c>
      <c r="B970" s="445">
        <f>IFERROR(VLOOKUP(C970,T_Insumos,5,FALSE),0)</f>
        <v>0</v>
      </c>
      <c r="C970" s="436"/>
      <c r="D970" s="493">
        <f>IF(C970=0,0,"$/tnkm")</f>
        <v>0</v>
      </c>
      <c r="E970" s="453"/>
      <c r="F970" s="439">
        <f>IFERROR(VLOOKUP(C970,T_Insumos,3,FALSE),0)</f>
        <v>0</v>
      </c>
      <c r="G970" s="439">
        <f t="shared" ref="G970" si="297">ROUND(E970*F970,2)</f>
        <v>0</v>
      </c>
    </row>
    <row r="971" spans="1:7" ht="19.899999999999999" customHeight="1" x14ac:dyDescent="0.2">
      <c r="A971" s="480"/>
      <c r="B971" s="139"/>
      <c r="C971" s="139"/>
      <c r="D971" s="426"/>
      <c r="E971" s="427"/>
      <c r="F971" s="448" t="s">
        <v>984</v>
      </c>
      <c r="G971" s="485">
        <f>SUBTOTAL(9,G969:G970)</f>
        <v>0</v>
      </c>
    </row>
    <row r="972" spans="1:7" ht="19.899999999999999" customHeight="1" x14ac:dyDescent="0.2">
      <c r="A972" s="483"/>
      <c r="B972" s="426"/>
      <c r="C972" s="139"/>
      <c r="D972" s="426"/>
      <c r="E972" s="427"/>
      <c r="F972" s="428"/>
      <c r="G972" s="481"/>
    </row>
    <row r="973" spans="1:7" ht="19.899999999999999" customHeight="1" x14ac:dyDescent="0.2">
      <c r="A973" s="541" t="str">
        <f>B907</f>
        <v>3.1</v>
      </c>
      <c r="B973" s="538" t="str">
        <f ca="1">C907</f>
        <v>Preparación y Limpieza del Terreno</v>
      </c>
      <c r="C973" s="426"/>
      <c r="D973" s="426" t="s">
        <v>1704</v>
      </c>
      <c r="E973" s="539"/>
      <c r="F973" s="540" t="str">
        <f ca="1">"$/"&amp;G907</f>
        <v>$/Gl</v>
      </c>
      <c r="G973" s="490">
        <f>SUBTOTAL(9,G930:G972)</f>
        <v>0</v>
      </c>
    </row>
    <row r="974" spans="1:7" ht="19.899999999999999" customHeight="1" x14ac:dyDescent="0.2">
      <c r="A974" s="486"/>
      <c r="B974" s="487"/>
      <c r="C974" s="488"/>
      <c r="D974" s="488" t="s">
        <v>1900</v>
      </c>
      <c r="E974" s="489"/>
      <c r="F974" s="542" t="str">
        <f ca="1">"$/"&amp;G907</f>
        <v>$/Gl</v>
      </c>
      <c r="G974" s="490">
        <f>ROUND(G973*Coeficiente_Paso,2)</f>
        <v>0</v>
      </c>
    </row>
    <row r="975" spans="1:7" ht="19.899999999999999" customHeight="1" x14ac:dyDescent="0.2">
      <c r="A975" s="139"/>
      <c r="B975" s="139"/>
      <c r="C975" s="139"/>
      <c r="D975" s="139"/>
      <c r="E975" s="139"/>
      <c r="F975" s="139"/>
      <c r="G975" s="139"/>
    </row>
    <row r="976" spans="1:7" ht="19.899999999999999" customHeight="1" x14ac:dyDescent="0.2">
      <c r="A976" s="730" t="s">
        <v>31</v>
      </c>
      <c r="B976" s="731"/>
      <c r="C976" s="731"/>
      <c r="D976" s="731"/>
      <c r="E976" s="731"/>
      <c r="F976" s="731"/>
      <c r="G976" s="732"/>
    </row>
    <row r="977" spans="1:7" ht="19.899999999999999" customHeight="1" x14ac:dyDescent="0.2">
      <c r="A977" s="469" t="s">
        <v>711</v>
      </c>
      <c r="B977" s="420" t="str">
        <f>Comitente</f>
        <v>DEPARTAMENTO DE HIDRAULICA</v>
      </c>
      <c r="C977" s="421"/>
      <c r="D977" s="422"/>
      <c r="E977" s="422"/>
      <c r="F977" s="423"/>
      <c r="G977" s="470"/>
    </row>
    <row r="978" spans="1:7" ht="19.899999999999999" customHeight="1" x14ac:dyDescent="0.2">
      <c r="A978" s="469" t="s">
        <v>712</v>
      </c>
      <c r="B978" s="420">
        <f>Contratista</f>
        <v>0</v>
      </c>
      <c r="C978" s="424"/>
      <c r="D978" s="424"/>
      <c r="E978" s="424"/>
      <c r="F978" s="420"/>
      <c r="G978" s="471"/>
    </row>
    <row r="979" spans="1:7" ht="19.899999999999999" customHeight="1" x14ac:dyDescent="0.2">
      <c r="A979" s="469" t="s">
        <v>21</v>
      </c>
      <c r="B979" s="420" t="str">
        <f>Obra</f>
        <v>Encamisado Parcial del Canal de Calle América</v>
      </c>
      <c r="C979" s="424"/>
      <c r="D979" s="424"/>
      <c r="E979" s="424"/>
      <c r="F979" s="420" t="s">
        <v>32</v>
      </c>
      <c r="G979" s="471" t="str">
        <f>Fecha_Base</f>
        <v>X/X/2023</v>
      </c>
    </row>
    <row r="980" spans="1:7" ht="19.899999999999999" customHeight="1" x14ac:dyDescent="0.2">
      <c r="A980" s="472" t="s">
        <v>710</v>
      </c>
      <c r="B980" s="425" t="str">
        <f>Ubicación</f>
        <v>Departamento Rawson</v>
      </c>
      <c r="C980" s="425"/>
      <c r="D980" s="426"/>
      <c r="E980" s="427"/>
      <c r="F980" s="428"/>
      <c r="G980" s="473"/>
    </row>
    <row r="981" spans="1:7" ht="19.899999999999999" customHeight="1" x14ac:dyDescent="0.2">
      <c r="A981" s="472" t="s">
        <v>33</v>
      </c>
      <c r="B981" s="429">
        <f>IFERROR(VALUE(LEFT(B982,FIND(".",B982)-1)),"")</f>
        <v>3</v>
      </c>
      <c r="C981" s="139" t="str">
        <f ca="1">IFERROR(VLOOKUP(B981,T_Computo_Presupuesto,2,FALSE),0)</f>
        <v>PUENTES DE HORMIGÓN</v>
      </c>
      <c r="D981" s="139"/>
      <c r="E981" s="427"/>
      <c r="F981" s="428"/>
      <c r="G981" s="473"/>
    </row>
    <row r="982" spans="1:7" ht="19.899999999999999" customHeight="1" x14ac:dyDescent="0.2">
      <c r="A982" s="472" t="s">
        <v>22</v>
      </c>
      <c r="B982" s="430" t="str">
        <f>IFERROR(VLOOKUP(COUNTIF($A$1:A982,"ANALISIS DE PRECIOS"),T_NumeroItem,2,FALSE),"")</f>
        <v>3.2</v>
      </c>
      <c r="C982" s="733" t="str">
        <f ca="1">IFERROR(VLOOKUP(B982,T_Computo_Presupuesto,2,FALSE),0)</f>
        <v>Nivelación y Replanteo</v>
      </c>
      <c r="D982" s="733"/>
      <c r="E982" s="733"/>
      <c r="F982" s="425" t="s">
        <v>23</v>
      </c>
      <c r="G982" s="474" t="str">
        <f ca="1">IFERROR(VLOOKUP(B982,T_Computo_Presupuesto,4,FALSE),0)</f>
        <v>Gl</v>
      </c>
    </row>
    <row r="983" spans="1:7" ht="19.899999999999999" customHeight="1" x14ac:dyDescent="0.2">
      <c r="A983" s="472"/>
      <c r="B983" s="425"/>
      <c r="C983" s="139"/>
      <c r="D983" s="426"/>
      <c r="E983" s="427"/>
      <c r="F983" s="139"/>
      <c r="G983" s="475"/>
    </row>
    <row r="984" spans="1:7" ht="19.899999999999999" customHeight="1" x14ac:dyDescent="0.2">
      <c r="A984" s="476"/>
      <c r="B984" s="431"/>
      <c r="C984" s="432" t="s">
        <v>967</v>
      </c>
      <c r="D984" s="431"/>
      <c r="E984" s="431"/>
      <c r="F984" s="431"/>
      <c r="G984" s="477"/>
    </row>
    <row r="985" spans="1:7" ht="19.899999999999999" customHeight="1" x14ac:dyDescent="0.2">
      <c r="A985" s="472"/>
      <c r="B985" s="433"/>
      <c r="C985" s="139"/>
      <c r="D985" s="426"/>
      <c r="E985" s="427"/>
      <c r="F985" s="425"/>
      <c r="G985" s="474"/>
    </row>
    <row r="986" spans="1:7" ht="19.899999999999999" customHeight="1" x14ac:dyDescent="0.2">
      <c r="A986" s="472"/>
      <c r="B986" s="433"/>
      <c r="C986" s="434" t="s">
        <v>968</v>
      </c>
      <c r="D986" s="435" t="s">
        <v>24</v>
      </c>
      <c r="E986" s="435" t="s">
        <v>969</v>
      </c>
      <c r="F986" s="435" t="s">
        <v>970</v>
      </c>
      <c r="G986" s="434" t="s">
        <v>971</v>
      </c>
    </row>
    <row r="987" spans="1:7" ht="19.899999999999999" customHeight="1" x14ac:dyDescent="0.2">
      <c r="A987" s="472"/>
      <c r="B987" s="433"/>
      <c r="C987" s="436">
        <f>+C762</f>
        <v>0</v>
      </c>
      <c r="D987" s="436">
        <f>+D762</f>
        <v>0</v>
      </c>
      <c r="E987" s="438">
        <f t="shared" ref="E987:E996" si="298">IFERROR(VLOOKUP(C987,T_Equipos,4,FALSE),0)</f>
        <v>0</v>
      </c>
      <c r="F987" s="439">
        <f t="shared" ref="F987:F996" si="299">IFERROR(VLOOKUP(C987,T_Equipos,5,FALSE),0)</f>
        <v>0</v>
      </c>
      <c r="G987" s="439">
        <f>ROUND(D987*F987,2)</f>
        <v>0</v>
      </c>
    </row>
    <row r="988" spans="1:7" ht="19.899999999999999" customHeight="1" x14ac:dyDescent="0.2">
      <c r="A988" s="472"/>
      <c r="B988" s="433"/>
      <c r="C988" s="436">
        <f t="shared" ref="C988:D992" si="300">+C763</f>
        <v>0</v>
      </c>
      <c r="D988" s="436">
        <f t="shared" si="300"/>
        <v>0</v>
      </c>
      <c r="E988" s="438">
        <f t="shared" si="298"/>
        <v>0</v>
      </c>
      <c r="F988" s="439">
        <f t="shared" si="299"/>
        <v>0</v>
      </c>
      <c r="G988" s="439">
        <f>ROUND(D988*F988,2)</f>
        <v>0</v>
      </c>
    </row>
    <row r="989" spans="1:7" ht="19.899999999999999" customHeight="1" x14ac:dyDescent="0.2">
      <c r="A989" s="472"/>
      <c r="B989" s="433"/>
      <c r="C989" s="436">
        <f t="shared" si="300"/>
        <v>0</v>
      </c>
      <c r="D989" s="436"/>
      <c r="E989" s="438">
        <f t="shared" si="298"/>
        <v>0</v>
      </c>
      <c r="F989" s="439">
        <f t="shared" si="299"/>
        <v>0</v>
      </c>
      <c r="G989" s="439">
        <f>ROUND(D989*F989,2)</f>
        <v>0</v>
      </c>
    </row>
    <row r="990" spans="1:7" ht="19.899999999999999" customHeight="1" x14ac:dyDescent="0.2">
      <c r="A990" s="472"/>
      <c r="B990" s="433"/>
      <c r="C990" s="436">
        <f t="shared" si="300"/>
        <v>0</v>
      </c>
      <c r="D990" s="436"/>
      <c r="E990" s="438">
        <f t="shared" si="298"/>
        <v>0</v>
      </c>
      <c r="F990" s="439">
        <f t="shared" si="299"/>
        <v>0</v>
      </c>
      <c r="G990" s="439">
        <f>ROUND(D990*F990,2)</f>
        <v>0</v>
      </c>
    </row>
    <row r="991" spans="1:7" ht="19.899999999999999" customHeight="1" x14ac:dyDescent="0.2">
      <c r="A991" s="472"/>
      <c r="B991" s="433"/>
      <c r="C991" s="436">
        <f t="shared" si="300"/>
        <v>0</v>
      </c>
      <c r="D991" s="436"/>
      <c r="E991" s="438">
        <f t="shared" si="298"/>
        <v>0</v>
      </c>
      <c r="F991" s="439">
        <f t="shared" si="299"/>
        <v>0</v>
      </c>
      <c r="G991" s="439">
        <f t="shared" ref="G991:G996" si="301">ROUND(D991*F991,2)</f>
        <v>0</v>
      </c>
    </row>
    <row r="992" spans="1:7" ht="19.899999999999999" customHeight="1" x14ac:dyDescent="0.2">
      <c r="A992" s="472"/>
      <c r="B992" s="433"/>
      <c r="C992" s="436">
        <f t="shared" si="300"/>
        <v>0</v>
      </c>
      <c r="D992" s="436"/>
      <c r="E992" s="438">
        <f t="shared" si="298"/>
        <v>0</v>
      </c>
      <c r="F992" s="439">
        <f t="shared" si="299"/>
        <v>0</v>
      </c>
      <c r="G992" s="439">
        <f t="shared" si="301"/>
        <v>0</v>
      </c>
    </row>
    <row r="993" spans="1:7" ht="19.899999999999999" customHeight="1" x14ac:dyDescent="0.2">
      <c r="A993" s="472"/>
      <c r="B993" s="433"/>
      <c r="C993" s="436">
        <f t="shared" ref="C993:D993" si="302">+C768</f>
        <v>0</v>
      </c>
      <c r="D993" s="436">
        <f t="shared" si="302"/>
        <v>0</v>
      </c>
      <c r="E993" s="438">
        <f t="shared" si="298"/>
        <v>0</v>
      </c>
      <c r="F993" s="439">
        <f t="shared" si="299"/>
        <v>0</v>
      </c>
      <c r="G993" s="439">
        <f t="shared" si="301"/>
        <v>0</v>
      </c>
    </row>
    <row r="994" spans="1:7" ht="19.899999999999999" customHeight="1" x14ac:dyDescent="0.2">
      <c r="A994" s="472"/>
      <c r="B994" s="433"/>
      <c r="C994" s="436">
        <f t="shared" ref="C994:D994" si="303">+C769</f>
        <v>0</v>
      </c>
      <c r="D994" s="436">
        <f t="shared" si="303"/>
        <v>0</v>
      </c>
      <c r="E994" s="438">
        <f t="shared" si="298"/>
        <v>0</v>
      </c>
      <c r="F994" s="439">
        <f t="shared" si="299"/>
        <v>0</v>
      </c>
      <c r="G994" s="439">
        <f t="shared" si="301"/>
        <v>0</v>
      </c>
    </row>
    <row r="995" spans="1:7" ht="19.899999999999999" customHeight="1" x14ac:dyDescent="0.2">
      <c r="A995" s="472"/>
      <c r="B995" s="433"/>
      <c r="C995" s="436"/>
      <c r="D995" s="437"/>
      <c r="E995" s="438">
        <f t="shared" si="298"/>
        <v>0</v>
      </c>
      <c r="F995" s="439">
        <f t="shared" si="299"/>
        <v>0</v>
      </c>
      <c r="G995" s="439">
        <f t="shared" si="301"/>
        <v>0</v>
      </c>
    </row>
    <row r="996" spans="1:7" ht="19.899999999999999" customHeight="1" x14ac:dyDescent="0.2">
      <c r="A996" s="472"/>
      <c r="B996" s="433"/>
      <c r="C996" s="436"/>
      <c r="D996" s="437"/>
      <c r="E996" s="438">
        <f t="shared" si="298"/>
        <v>0</v>
      </c>
      <c r="F996" s="439">
        <f t="shared" si="299"/>
        <v>0</v>
      </c>
      <c r="G996" s="439">
        <f t="shared" si="301"/>
        <v>0</v>
      </c>
    </row>
    <row r="997" spans="1:7" ht="19.899999999999999" customHeight="1" x14ac:dyDescent="0.2">
      <c r="A997" s="472"/>
      <c r="B997" s="433"/>
      <c r="C997" s="139"/>
      <c r="D997" s="139"/>
      <c r="E997" s="440"/>
      <c r="F997" s="425"/>
      <c r="G997" s="474"/>
    </row>
    <row r="998" spans="1:7" ht="19.899999999999999" customHeight="1" x14ac:dyDescent="0.2">
      <c r="A998" s="472"/>
      <c r="B998" s="139"/>
      <c r="C998" s="422" t="s">
        <v>972</v>
      </c>
      <c r="D998" s="425" t="s">
        <v>969</v>
      </c>
      <c r="E998" s="491">
        <f>SUMPRODUCT(D987:D996,E987:E996)</f>
        <v>0</v>
      </c>
      <c r="F998" s="425" t="s">
        <v>973</v>
      </c>
      <c r="G998" s="492">
        <f>SUM(G987:G996)</f>
        <v>0</v>
      </c>
    </row>
    <row r="999" spans="1:7" ht="19.899999999999999" customHeight="1" x14ac:dyDescent="0.2">
      <c r="A999" s="472"/>
      <c r="B999" s="433"/>
      <c r="C999" s="441"/>
      <c r="D999" s="440"/>
      <c r="E999" s="427"/>
      <c r="F999" s="425"/>
      <c r="G999" s="478"/>
    </row>
    <row r="1000" spans="1:7" ht="19.899999999999999" customHeight="1" x14ac:dyDescent="0.2">
      <c r="A1000" s="479"/>
      <c r="B1000" s="433"/>
      <c r="C1000" s="425" t="s">
        <v>974</v>
      </c>
      <c r="D1000" s="442">
        <f>IFERROR(VLOOKUP(COUNTIF($A$1:A1000,"ANALISIS DE PRECIOS"),T_Rendimiento_Equipo,5,FALSE),0)</f>
        <v>0</v>
      </c>
      <c r="E1000" s="443" t="str">
        <f ca="1">G982&amp;"/día"</f>
        <v>Gl/día</v>
      </c>
      <c r="F1000" s="419"/>
      <c r="G1000" s="474"/>
    </row>
    <row r="1001" spans="1:7" ht="19.899999999999999" customHeight="1" x14ac:dyDescent="0.2">
      <c r="A1001" s="472"/>
      <c r="B1001" s="433"/>
      <c r="C1001" s="139"/>
      <c r="D1001" s="426"/>
      <c r="E1001" s="427"/>
      <c r="F1001" s="425"/>
      <c r="G1001" s="474"/>
    </row>
    <row r="1002" spans="1:7" ht="19.899999999999999" customHeight="1" x14ac:dyDescent="0.2">
      <c r="A1002" s="720" t="s">
        <v>576</v>
      </c>
      <c r="B1002" s="721"/>
      <c r="C1002" s="722" t="s">
        <v>0</v>
      </c>
      <c r="D1002" s="734" t="s">
        <v>1724</v>
      </c>
      <c r="E1002" s="734" t="s">
        <v>1723</v>
      </c>
      <c r="F1002" s="726" t="s">
        <v>975</v>
      </c>
      <c r="G1002" s="728" t="s">
        <v>26</v>
      </c>
    </row>
    <row r="1003" spans="1:7" ht="19.899999999999999" customHeight="1" x14ac:dyDescent="0.2">
      <c r="A1003" s="444" t="s">
        <v>577</v>
      </c>
      <c r="B1003" s="444" t="s">
        <v>578</v>
      </c>
      <c r="C1003" s="723"/>
      <c r="D1003" s="735"/>
      <c r="E1003" s="725"/>
      <c r="F1003" s="727"/>
      <c r="G1003" s="729"/>
    </row>
    <row r="1004" spans="1:7" ht="19.899999999999999" customHeight="1" x14ac:dyDescent="0.2">
      <c r="A1004" s="480"/>
      <c r="B1004" s="139"/>
      <c r="C1004" s="422" t="s">
        <v>976</v>
      </c>
      <c r="D1004" s="427"/>
      <c r="E1004" s="427"/>
      <c r="F1004" s="139"/>
      <c r="G1004" s="481"/>
    </row>
    <row r="1005" spans="1:7" ht="19.899999999999999" customHeight="1" x14ac:dyDescent="0.2">
      <c r="A1005" s="482">
        <f t="shared" ref="A1005:A1013" si="304">IFERROR(VLOOKUP(C1005,T_Insumos,4,FALSE),0)</f>
        <v>0</v>
      </c>
      <c r="B1005" s="445">
        <f t="shared" ref="B1005:B1013" si="305">IFERROR(VLOOKUP(C1005,T_Insumos,5,FALSE),0)</f>
        <v>0</v>
      </c>
      <c r="C1005" s="436">
        <f>+C705</f>
        <v>0</v>
      </c>
      <c r="D1005" s="446">
        <f t="shared" ref="D1005:D1013" si="306">IFERROR(VLOOKUP(C1005,T_Insumos,3,FALSE),0)</f>
        <v>0</v>
      </c>
      <c r="E1005" s="439">
        <f>D1005*$G$323</f>
        <v>0</v>
      </c>
      <c r="F1005" s="442">
        <f>IF(C1005="",0,IFERROR(VLOOKUP(COUNTIF($A$1:A1005,"ANALISIS DE PRECIOS"),T_Rendimiento_Equipo,5,FALSE),0))</f>
        <v>0</v>
      </c>
      <c r="G1005" s="439">
        <f>IFERROR(ROUND(E1005/F1005,2),0)</f>
        <v>0</v>
      </c>
    </row>
    <row r="1006" spans="1:7" ht="19.899999999999999" customHeight="1" x14ac:dyDescent="0.2">
      <c r="A1006" s="482">
        <f t="shared" si="304"/>
        <v>0</v>
      </c>
      <c r="B1006" s="445">
        <f t="shared" si="305"/>
        <v>0</v>
      </c>
      <c r="C1006" s="436">
        <f t="shared" ref="C1006:C1008" si="307">+C706</f>
        <v>0</v>
      </c>
      <c r="D1006" s="446">
        <f t="shared" si="306"/>
        <v>0</v>
      </c>
      <c r="E1006" s="439">
        <f t="shared" ref="E1006:E1007" si="308">D1006*$G$323</f>
        <v>0</v>
      </c>
      <c r="F1006" s="442">
        <f>IF(C1006="",0,IFERROR(VLOOKUP(COUNTIF($A$1:A1006,"ANALISIS DE PRECIOS"),T_Rendimiento_Equipo,5,FALSE),0))</f>
        <v>0</v>
      </c>
      <c r="G1006" s="439">
        <f t="shared" ref="G1006:G1013" si="309">IFERROR(ROUND(E1006/F1006,2),0)</f>
        <v>0</v>
      </c>
    </row>
    <row r="1007" spans="1:7" ht="19.899999999999999" customHeight="1" x14ac:dyDescent="0.2">
      <c r="A1007" s="482">
        <f t="shared" si="304"/>
        <v>0</v>
      </c>
      <c r="B1007" s="445">
        <f t="shared" si="305"/>
        <v>0</v>
      </c>
      <c r="C1007" s="436">
        <f t="shared" si="307"/>
        <v>0</v>
      </c>
      <c r="D1007" s="446">
        <f t="shared" si="306"/>
        <v>0</v>
      </c>
      <c r="E1007" s="439">
        <f t="shared" si="308"/>
        <v>0</v>
      </c>
      <c r="F1007" s="442">
        <f>IF(C1007="",0,IFERROR(VLOOKUP(COUNTIF($A$1:A1007,"ANALISIS DE PRECIOS"),T_Rendimiento_Equipo,5,FALSE),0))</f>
        <v>0</v>
      </c>
      <c r="G1007" s="439">
        <f t="shared" si="309"/>
        <v>0</v>
      </c>
    </row>
    <row r="1008" spans="1:7" ht="19.899999999999999" customHeight="1" x14ac:dyDescent="0.2">
      <c r="A1008" s="482">
        <f t="shared" si="304"/>
        <v>0</v>
      </c>
      <c r="B1008" s="445">
        <f t="shared" si="305"/>
        <v>0</v>
      </c>
      <c r="C1008" s="436">
        <f t="shared" si="307"/>
        <v>0</v>
      </c>
      <c r="D1008" s="446">
        <f t="shared" si="306"/>
        <v>0</v>
      </c>
      <c r="E1008" s="439">
        <f>D1008*$E$323</f>
        <v>0</v>
      </c>
      <c r="F1008" s="442">
        <f>IF(C1008="",0,IFERROR(VLOOKUP(COUNTIF($A$1:A1008,"ANALISIS DE PRECIOS"),T_Rendimiento_Equipo,5,FALSE),0))</f>
        <v>0</v>
      </c>
      <c r="G1008" s="439">
        <f t="shared" si="309"/>
        <v>0</v>
      </c>
    </row>
    <row r="1009" spans="1:7" ht="19.899999999999999" customHeight="1" x14ac:dyDescent="0.2">
      <c r="A1009" s="482">
        <f t="shared" si="304"/>
        <v>0</v>
      </c>
      <c r="B1009" s="445">
        <f t="shared" si="305"/>
        <v>0</v>
      </c>
      <c r="C1009" s="447"/>
      <c r="D1009" s="446">
        <f t="shared" si="306"/>
        <v>0</v>
      </c>
      <c r="E1009" s="439"/>
      <c r="F1009" s="442">
        <f>IF(C1009="",0,IFERROR(VLOOKUP(COUNTIF($A$1:A1009,"ANALISIS DE PRECIOS"),T_Rendimiento_Equipo,5,FALSE),0))</f>
        <v>0</v>
      </c>
      <c r="G1009" s="439">
        <f t="shared" si="309"/>
        <v>0</v>
      </c>
    </row>
    <row r="1010" spans="1:7" ht="19.899999999999999" customHeight="1" x14ac:dyDescent="0.2">
      <c r="A1010" s="482">
        <f t="shared" si="304"/>
        <v>0</v>
      </c>
      <c r="B1010" s="445">
        <f t="shared" si="305"/>
        <v>0</v>
      </c>
      <c r="C1010" s="447"/>
      <c r="D1010" s="446">
        <f t="shared" si="306"/>
        <v>0</v>
      </c>
      <c r="E1010" s="439"/>
      <c r="F1010" s="442">
        <f>IF(C1010="",0,IFERROR(VLOOKUP(COUNTIF($A$1:A1010,"ANALISIS DE PRECIOS"),T_Rendimiento_Equipo,5,FALSE),0))</f>
        <v>0</v>
      </c>
      <c r="G1010" s="439">
        <f t="shared" si="309"/>
        <v>0</v>
      </c>
    </row>
    <row r="1011" spans="1:7" ht="19.899999999999999" customHeight="1" x14ac:dyDescent="0.2">
      <c r="A1011" s="482">
        <f t="shared" si="304"/>
        <v>0</v>
      </c>
      <c r="B1011" s="445">
        <f t="shared" si="305"/>
        <v>0</v>
      </c>
      <c r="C1011" s="447"/>
      <c r="D1011" s="446">
        <f t="shared" si="306"/>
        <v>0</v>
      </c>
      <c r="E1011" s="439"/>
      <c r="F1011" s="442">
        <f>IF(C1011="",0,IFERROR(VLOOKUP(COUNTIF($A$1:A1011,"ANALISIS DE PRECIOS"),T_Rendimiento_Equipo,5,FALSE),0))</f>
        <v>0</v>
      </c>
      <c r="G1011" s="439">
        <f t="shared" si="309"/>
        <v>0</v>
      </c>
    </row>
    <row r="1012" spans="1:7" ht="19.899999999999999" customHeight="1" x14ac:dyDescent="0.2">
      <c r="A1012" s="482">
        <f t="shared" si="304"/>
        <v>0</v>
      </c>
      <c r="B1012" s="445">
        <f t="shared" si="305"/>
        <v>0</v>
      </c>
      <c r="C1012" s="447"/>
      <c r="D1012" s="446">
        <f t="shared" si="306"/>
        <v>0</v>
      </c>
      <c r="E1012" s="439"/>
      <c r="F1012" s="442">
        <f>IF(C1012="",0,IFERROR(VLOOKUP(COUNTIF($A$1:A1012,"ANALISIS DE PRECIOS"),T_Rendimiento_Equipo,5,FALSE),0))</f>
        <v>0</v>
      </c>
      <c r="G1012" s="439">
        <f t="shared" si="309"/>
        <v>0</v>
      </c>
    </row>
    <row r="1013" spans="1:7" ht="19.899999999999999" customHeight="1" x14ac:dyDescent="0.2">
      <c r="A1013" s="482">
        <f t="shared" si="304"/>
        <v>0</v>
      </c>
      <c r="B1013" s="445">
        <f t="shared" si="305"/>
        <v>0</v>
      </c>
      <c r="C1013" s="436"/>
      <c r="D1013" s="446">
        <f t="shared" si="306"/>
        <v>0</v>
      </c>
      <c r="E1013" s="439"/>
      <c r="F1013" s="442">
        <f>IF(C1013="",0,IFERROR(VLOOKUP(COUNTIF($A$1:A1013,"ANALISIS DE PRECIOS"),T_Rendimiento_Equipo,5,FALSE),0))</f>
        <v>0</v>
      </c>
      <c r="G1013" s="439">
        <f t="shared" si="309"/>
        <v>0</v>
      </c>
    </row>
    <row r="1014" spans="1:7" ht="19.899999999999999" customHeight="1" x14ac:dyDescent="0.2">
      <c r="A1014" s="483"/>
      <c r="B1014" s="426"/>
      <c r="C1014" s="139"/>
      <c r="D1014" s="426"/>
      <c r="E1014" s="427"/>
      <c r="F1014" s="448" t="s">
        <v>27</v>
      </c>
      <c r="G1014" s="484">
        <f>SUBTOTAL(9,G1005:G1013)</f>
        <v>0</v>
      </c>
    </row>
    <row r="1015" spans="1:7" ht="19.899999999999999" customHeight="1" x14ac:dyDescent="0.2">
      <c r="A1015" s="480"/>
      <c r="B1015" s="139"/>
      <c r="C1015" s="422" t="s">
        <v>713</v>
      </c>
      <c r="D1015" s="426"/>
      <c r="E1015" s="427"/>
      <c r="F1015" s="428"/>
      <c r="G1015" s="481"/>
    </row>
    <row r="1016" spans="1:7" ht="19.899999999999999" customHeight="1" x14ac:dyDescent="0.2">
      <c r="A1016" s="720" t="s">
        <v>576</v>
      </c>
      <c r="B1016" s="721"/>
      <c r="C1016" s="722" t="s">
        <v>0</v>
      </c>
      <c r="D1016" s="724" t="s">
        <v>24</v>
      </c>
      <c r="E1016" s="724" t="s">
        <v>1964</v>
      </c>
      <c r="F1016" s="726" t="s">
        <v>975</v>
      </c>
      <c r="G1016" s="728" t="s">
        <v>26</v>
      </c>
    </row>
    <row r="1017" spans="1:7" ht="19.899999999999999" customHeight="1" x14ac:dyDescent="0.2">
      <c r="A1017" s="444" t="s">
        <v>577</v>
      </c>
      <c r="B1017" s="444" t="s">
        <v>578</v>
      </c>
      <c r="C1017" s="723"/>
      <c r="D1017" s="725"/>
      <c r="E1017" s="725"/>
      <c r="F1017" s="727"/>
      <c r="G1017" s="729"/>
    </row>
    <row r="1018" spans="1:7" ht="19.899999999999999" customHeight="1" x14ac:dyDescent="0.2">
      <c r="A1018" s="482">
        <f t="shared" ref="A1018:A1024" si="310">IFERROR(VLOOKUP(C1018,T_Insumos,4,FALSE),0)</f>
        <v>0</v>
      </c>
      <c r="B1018" s="445">
        <f t="shared" ref="B1018:B1024" si="311">IFERROR(VLOOKUP(C1018,T_Insumos,5,FALSE),0)</f>
        <v>0</v>
      </c>
      <c r="C1018" s="436">
        <f t="shared" ref="C1018:C1021" si="312">+C793</f>
        <v>0</v>
      </c>
      <c r="D1018" s="442"/>
      <c r="E1018" s="439">
        <f t="shared" ref="E1018:E1024" si="313">IFERROR(VLOOKUP(C1018,T_Insumos,3,FALSE),0)</f>
        <v>0</v>
      </c>
      <c r="F1018" s="442">
        <f>IF(C1018="",0,IFERROR(VLOOKUP(COUNTIF($A$1:A1018,"ANALISIS DE PRECIOS"),T_Rendimiento_Equipo,5,FALSE),0))</f>
        <v>0</v>
      </c>
      <c r="G1018" s="439">
        <f>IFERROR(ROUND(D1018*E1018/F1018,2),0)</f>
        <v>0</v>
      </c>
    </row>
    <row r="1019" spans="1:7" ht="19.899999999999999" customHeight="1" x14ac:dyDescent="0.2">
      <c r="A1019" s="482">
        <f t="shared" si="310"/>
        <v>0</v>
      </c>
      <c r="B1019" s="445">
        <f t="shared" si="311"/>
        <v>0</v>
      </c>
      <c r="C1019" s="436">
        <f t="shared" si="312"/>
        <v>0</v>
      </c>
      <c r="D1019" s="442">
        <v>1</v>
      </c>
      <c r="E1019" s="439">
        <f t="shared" si="313"/>
        <v>0</v>
      </c>
      <c r="F1019" s="442">
        <f>IF(C1019="",0,IFERROR(VLOOKUP(COUNTIF($A$1:A1019,"ANALISIS DE PRECIOS"),T_Rendimiento_Equipo,5,FALSE),0))</f>
        <v>0</v>
      </c>
      <c r="G1019" s="439">
        <f>IFERROR(ROUND(D1019*E1019/F1019,2),0)</f>
        <v>0</v>
      </c>
    </row>
    <row r="1020" spans="1:7" ht="19.899999999999999" customHeight="1" x14ac:dyDescent="0.2">
      <c r="A1020" s="482">
        <f t="shared" si="310"/>
        <v>0</v>
      </c>
      <c r="B1020" s="445">
        <f t="shared" si="311"/>
        <v>0</v>
      </c>
      <c r="C1020" s="436">
        <f t="shared" si="312"/>
        <v>0</v>
      </c>
      <c r="D1020" s="442"/>
      <c r="E1020" s="439">
        <f t="shared" si="313"/>
        <v>0</v>
      </c>
      <c r="F1020" s="442">
        <f>IF(C1020="",0,IFERROR(VLOOKUP(COUNTIF($A$1:A1020,"ANALISIS DE PRECIOS"),T_Rendimiento_Equipo,5,FALSE),0))</f>
        <v>0</v>
      </c>
      <c r="G1020" s="439">
        <f t="shared" ref="G1020:G1024" si="314">IFERROR(ROUND(D1020*E1020/F1020,2),0)</f>
        <v>0</v>
      </c>
    </row>
    <row r="1021" spans="1:7" ht="19.899999999999999" customHeight="1" x14ac:dyDescent="0.2">
      <c r="A1021" s="482">
        <f t="shared" si="310"/>
        <v>0</v>
      </c>
      <c r="B1021" s="445">
        <f t="shared" si="311"/>
        <v>0</v>
      </c>
      <c r="C1021" s="436">
        <f t="shared" si="312"/>
        <v>0</v>
      </c>
      <c r="D1021" s="442">
        <v>2</v>
      </c>
      <c r="E1021" s="439">
        <f t="shared" si="313"/>
        <v>0</v>
      </c>
      <c r="F1021" s="442">
        <f>IF(C1021="",0,IFERROR(VLOOKUP(COUNTIF($A$1:A1021,"ANALISIS DE PRECIOS"),T_Rendimiento_Equipo,5,FALSE),0))</f>
        <v>0</v>
      </c>
      <c r="G1021" s="439">
        <f t="shared" si="314"/>
        <v>0</v>
      </c>
    </row>
    <row r="1022" spans="1:7" ht="19.899999999999999" customHeight="1" x14ac:dyDescent="0.2">
      <c r="A1022" s="482">
        <f t="shared" si="310"/>
        <v>0</v>
      </c>
      <c r="B1022" s="445">
        <f t="shared" si="311"/>
        <v>0</v>
      </c>
      <c r="C1022" s="436"/>
      <c r="D1022" s="442"/>
      <c r="E1022" s="439">
        <f t="shared" si="313"/>
        <v>0</v>
      </c>
      <c r="F1022" s="442">
        <f>IF(C1022="",0,IFERROR(VLOOKUP(COUNTIF($A$1:A1022,"ANALISIS DE PRECIOS"),T_Rendimiento_Equipo,5,FALSE),0))</f>
        <v>0</v>
      </c>
      <c r="G1022" s="439">
        <f t="shared" si="314"/>
        <v>0</v>
      </c>
    </row>
    <row r="1023" spans="1:7" ht="19.899999999999999" customHeight="1" x14ac:dyDescent="0.2">
      <c r="A1023" s="482">
        <f t="shared" si="310"/>
        <v>0</v>
      </c>
      <c r="B1023" s="445">
        <f t="shared" si="311"/>
        <v>0</v>
      </c>
      <c r="C1023" s="436"/>
      <c r="D1023" s="450"/>
      <c r="E1023" s="439">
        <f t="shared" si="313"/>
        <v>0</v>
      </c>
      <c r="F1023" s="442">
        <f>IF(C1023="",0,IFERROR(VLOOKUP(COUNTIF($A$1:A1023,"ANALISIS DE PRECIOS"),T_Rendimiento_Equipo,5,FALSE),0))</f>
        <v>0</v>
      </c>
      <c r="G1023" s="439">
        <f t="shared" si="314"/>
        <v>0</v>
      </c>
    </row>
    <row r="1024" spans="1:7" ht="19.899999999999999" customHeight="1" x14ac:dyDescent="0.2">
      <c r="A1024" s="482">
        <f t="shared" si="310"/>
        <v>0</v>
      </c>
      <c r="B1024" s="445">
        <f t="shared" si="311"/>
        <v>0</v>
      </c>
      <c r="C1024" s="445"/>
      <c r="D1024" s="451"/>
      <c r="E1024" s="439">
        <f t="shared" si="313"/>
        <v>0</v>
      </c>
      <c r="F1024" s="442">
        <f>IF(C1024="",0,IFERROR(VLOOKUP(COUNTIF($A$1:A1024,"ANALISIS DE PRECIOS"),T_Rendimiento_Equipo,5,FALSE),0))</f>
        <v>0</v>
      </c>
      <c r="G1024" s="439">
        <f t="shared" si="314"/>
        <v>0</v>
      </c>
    </row>
    <row r="1025" spans="1:7" ht="19.899999999999999" customHeight="1" x14ac:dyDescent="0.2">
      <c r="A1025" s="483"/>
      <c r="B1025" s="426"/>
      <c r="C1025" s="139"/>
      <c r="D1025" s="426"/>
      <c r="E1025" s="427"/>
      <c r="F1025" s="448" t="s">
        <v>28</v>
      </c>
      <c r="G1025" s="485">
        <f>SUBTOTAL(9,G1018:G1024)</f>
        <v>0</v>
      </c>
    </row>
    <row r="1026" spans="1:7" ht="19.899999999999999" customHeight="1" x14ac:dyDescent="0.2">
      <c r="A1026" s="480"/>
      <c r="B1026" s="139"/>
      <c r="C1026" s="422" t="s">
        <v>982</v>
      </c>
      <c r="D1026" s="426"/>
      <c r="E1026" s="427"/>
      <c r="F1026" s="428"/>
      <c r="G1026" s="481"/>
    </row>
    <row r="1027" spans="1:7" ht="19.899999999999999" customHeight="1" x14ac:dyDescent="0.2">
      <c r="A1027" s="720" t="s">
        <v>576</v>
      </c>
      <c r="B1027" s="721"/>
      <c r="C1027" s="722" t="s">
        <v>0</v>
      </c>
      <c r="D1027" s="722" t="s">
        <v>1725</v>
      </c>
      <c r="E1027" s="724" t="s">
        <v>24</v>
      </c>
      <c r="F1027" s="726" t="s">
        <v>25</v>
      </c>
      <c r="G1027" s="728" t="s">
        <v>26</v>
      </c>
    </row>
    <row r="1028" spans="1:7" ht="19.899999999999999" customHeight="1" x14ac:dyDescent="0.2">
      <c r="A1028" s="444" t="s">
        <v>577</v>
      </c>
      <c r="B1028" s="444" t="s">
        <v>578</v>
      </c>
      <c r="C1028" s="723"/>
      <c r="D1028" s="723"/>
      <c r="E1028" s="725"/>
      <c r="F1028" s="727"/>
      <c r="G1028" s="729"/>
    </row>
    <row r="1029" spans="1:7" ht="19.899999999999999" customHeight="1" x14ac:dyDescent="0.2">
      <c r="A1029" s="482">
        <f t="shared" ref="A1029:A1039" si="315">IFERROR(VLOOKUP(C1029,T_Insumos,4,FALSE),0)</f>
        <v>0</v>
      </c>
      <c r="B1029" s="445">
        <f t="shared" ref="B1029:B1039" si="316">IFERROR(VLOOKUP(C1029,T_Insumos,5,FALSE),0)</f>
        <v>0</v>
      </c>
      <c r="C1029" s="436">
        <f t="shared" ref="C1029:C1039" si="317">+C804</f>
        <v>0</v>
      </c>
      <c r="D1029" s="493">
        <f t="shared" ref="D1029:D1039" si="318">IFERROR(VLOOKUP(C1029,T_Insumos,2,FALSE),0)</f>
        <v>0</v>
      </c>
      <c r="E1029" s="437"/>
      <c r="F1029" s="439">
        <f t="shared" ref="F1029:F1039" si="319">IFERROR(VLOOKUP(C1029,T_Insumos,3,FALSE),0)</f>
        <v>0</v>
      </c>
      <c r="G1029" s="439">
        <f>ROUND(E1029*F1029,2)</f>
        <v>0</v>
      </c>
    </row>
    <row r="1030" spans="1:7" ht="19.899999999999999" customHeight="1" x14ac:dyDescent="0.2">
      <c r="A1030" s="482">
        <f t="shared" si="315"/>
        <v>0</v>
      </c>
      <c r="B1030" s="445">
        <f t="shared" si="316"/>
        <v>0</v>
      </c>
      <c r="C1030" s="436">
        <f t="shared" si="317"/>
        <v>0</v>
      </c>
      <c r="D1030" s="493">
        <f t="shared" si="318"/>
        <v>0</v>
      </c>
      <c r="E1030" s="437"/>
      <c r="F1030" s="439">
        <f t="shared" si="319"/>
        <v>0</v>
      </c>
      <c r="G1030" s="439">
        <f t="shared" ref="G1030:G1039" si="320">ROUND(E1030*F1030,2)</f>
        <v>0</v>
      </c>
    </row>
    <row r="1031" spans="1:7" ht="19.899999999999999" customHeight="1" x14ac:dyDescent="0.2">
      <c r="A1031" s="482">
        <f t="shared" si="315"/>
        <v>0</v>
      </c>
      <c r="B1031" s="445">
        <f t="shared" si="316"/>
        <v>0</v>
      </c>
      <c r="C1031" s="436">
        <f t="shared" si="317"/>
        <v>0</v>
      </c>
      <c r="D1031" s="493">
        <f t="shared" si="318"/>
        <v>0</v>
      </c>
      <c r="E1031" s="437"/>
      <c r="F1031" s="439">
        <f t="shared" si="319"/>
        <v>0</v>
      </c>
      <c r="G1031" s="439">
        <f t="shared" si="320"/>
        <v>0</v>
      </c>
    </row>
    <row r="1032" spans="1:7" ht="19.899999999999999" customHeight="1" x14ac:dyDescent="0.2">
      <c r="A1032" s="482">
        <f t="shared" si="315"/>
        <v>0</v>
      </c>
      <c r="B1032" s="445">
        <f t="shared" si="316"/>
        <v>0</v>
      </c>
      <c r="C1032" s="436">
        <f t="shared" si="317"/>
        <v>0</v>
      </c>
      <c r="D1032" s="493">
        <f t="shared" si="318"/>
        <v>0</v>
      </c>
      <c r="E1032" s="437"/>
      <c r="F1032" s="439">
        <f t="shared" si="319"/>
        <v>0</v>
      </c>
      <c r="G1032" s="439">
        <f t="shared" si="320"/>
        <v>0</v>
      </c>
    </row>
    <row r="1033" spans="1:7" ht="19.899999999999999" customHeight="1" x14ac:dyDescent="0.2">
      <c r="A1033" s="482">
        <f t="shared" si="315"/>
        <v>0</v>
      </c>
      <c r="B1033" s="445">
        <f t="shared" si="316"/>
        <v>0</v>
      </c>
      <c r="C1033" s="436">
        <f t="shared" si="317"/>
        <v>0</v>
      </c>
      <c r="D1033" s="493">
        <f t="shared" si="318"/>
        <v>0</v>
      </c>
      <c r="E1033" s="437"/>
      <c r="F1033" s="439">
        <f t="shared" si="319"/>
        <v>0</v>
      </c>
      <c r="G1033" s="439">
        <f t="shared" si="320"/>
        <v>0</v>
      </c>
    </row>
    <row r="1034" spans="1:7" ht="19.899999999999999" customHeight="1" x14ac:dyDescent="0.2">
      <c r="A1034" s="482">
        <f t="shared" si="315"/>
        <v>0</v>
      </c>
      <c r="B1034" s="445">
        <f t="shared" si="316"/>
        <v>0</v>
      </c>
      <c r="C1034" s="436">
        <f t="shared" si="317"/>
        <v>0</v>
      </c>
      <c r="D1034" s="493">
        <f t="shared" si="318"/>
        <v>0</v>
      </c>
      <c r="E1034" s="437"/>
      <c r="F1034" s="439">
        <f t="shared" si="319"/>
        <v>0</v>
      </c>
      <c r="G1034" s="439">
        <f t="shared" si="320"/>
        <v>0</v>
      </c>
    </row>
    <row r="1035" spans="1:7" ht="19.899999999999999" customHeight="1" x14ac:dyDescent="0.2">
      <c r="A1035" s="482">
        <f t="shared" si="315"/>
        <v>0</v>
      </c>
      <c r="B1035" s="445">
        <f t="shared" si="316"/>
        <v>0</v>
      </c>
      <c r="C1035" s="436">
        <f t="shared" si="317"/>
        <v>0</v>
      </c>
      <c r="D1035" s="493">
        <f t="shared" si="318"/>
        <v>0</v>
      </c>
      <c r="E1035" s="437"/>
      <c r="F1035" s="439">
        <f t="shared" si="319"/>
        <v>0</v>
      </c>
      <c r="G1035" s="439">
        <f t="shared" si="320"/>
        <v>0</v>
      </c>
    </row>
    <row r="1036" spans="1:7" ht="19.899999999999999" customHeight="1" x14ac:dyDescent="0.2">
      <c r="A1036" s="482">
        <f t="shared" si="315"/>
        <v>0</v>
      </c>
      <c r="B1036" s="445">
        <f t="shared" si="316"/>
        <v>0</v>
      </c>
      <c r="C1036" s="436">
        <f t="shared" si="317"/>
        <v>0</v>
      </c>
      <c r="D1036" s="493">
        <f t="shared" si="318"/>
        <v>0</v>
      </c>
      <c r="E1036" s="437"/>
      <c r="F1036" s="439">
        <f t="shared" si="319"/>
        <v>0</v>
      </c>
      <c r="G1036" s="439">
        <f t="shared" si="320"/>
        <v>0</v>
      </c>
    </row>
    <row r="1037" spans="1:7" ht="19.899999999999999" customHeight="1" x14ac:dyDescent="0.2">
      <c r="A1037" s="482">
        <f t="shared" si="315"/>
        <v>0</v>
      </c>
      <c r="B1037" s="445">
        <f t="shared" si="316"/>
        <v>0</v>
      </c>
      <c r="C1037" s="436">
        <f t="shared" si="317"/>
        <v>0</v>
      </c>
      <c r="D1037" s="493">
        <f t="shared" si="318"/>
        <v>0</v>
      </c>
      <c r="E1037" s="437"/>
      <c r="F1037" s="439">
        <f t="shared" si="319"/>
        <v>0</v>
      </c>
      <c r="G1037" s="439">
        <f t="shared" si="320"/>
        <v>0</v>
      </c>
    </row>
    <row r="1038" spans="1:7" ht="19.899999999999999" customHeight="1" x14ac:dyDescent="0.2">
      <c r="A1038" s="482">
        <f t="shared" si="315"/>
        <v>0</v>
      </c>
      <c r="B1038" s="445">
        <f t="shared" si="316"/>
        <v>0</v>
      </c>
      <c r="C1038" s="436">
        <f t="shared" si="317"/>
        <v>0</v>
      </c>
      <c r="D1038" s="493">
        <f t="shared" si="318"/>
        <v>0</v>
      </c>
      <c r="E1038" s="437"/>
      <c r="F1038" s="439">
        <f t="shared" si="319"/>
        <v>0</v>
      </c>
      <c r="G1038" s="439">
        <f t="shared" si="320"/>
        <v>0</v>
      </c>
    </row>
    <row r="1039" spans="1:7" ht="19.899999999999999" customHeight="1" x14ac:dyDescent="0.2">
      <c r="A1039" s="482">
        <f t="shared" si="315"/>
        <v>0</v>
      </c>
      <c r="B1039" s="445">
        <f t="shared" si="316"/>
        <v>0</v>
      </c>
      <c r="C1039" s="436">
        <f t="shared" si="317"/>
        <v>0</v>
      </c>
      <c r="D1039" s="493">
        <f t="shared" si="318"/>
        <v>0</v>
      </c>
      <c r="E1039" s="437"/>
      <c r="F1039" s="439">
        <f t="shared" si="319"/>
        <v>0</v>
      </c>
      <c r="G1039" s="439">
        <f t="shared" si="320"/>
        <v>0</v>
      </c>
    </row>
    <row r="1040" spans="1:7" ht="19.899999999999999" customHeight="1" x14ac:dyDescent="0.2">
      <c r="A1040" s="480"/>
      <c r="B1040" s="139"/>
      <c r="C1040" s="139"/>
      <c r="D1040" s="426"/>
      <c r="E1040" s="427"/>
      <c r="F1040" s="448" t="s">
        <v>29</v>
      </c>
      <c r="G1040" s="485">
        <f>SUBTOTAL(9,G1029:G1039)</f>
        <v>0</v>
      </c>
    </row>
    <row r="1041" spans="1:7" ht="19.899999999999999" customHeight="1" x14ac:dyDescent="0.2">
      <c r="A1041" s="480"/>
      <c r="B1041" s="139"/>
      <c r="C1041" s="422" t="s">
        <v>983</v>
      </c>
      <c r="D1041" s="426"/>
      <c r="E1041" s="427"/>
      <c r="F1041" s="428"/>
      <c r="G1041" s="481"/>
    </row>
    <row r="1042" spans="1:7" ht="19.899999999999999" customHeight="1" x14ac:dyDescent="0.2">
      <c r="A1042" s="720" t="s">
        <v>576</v>
      </c>
      <c r="B1042" s="721"/>
      <c r="C1042" s="722" t="s">
        <v>0</v>
      </c>
      <c r="D1042" s="722" t="s">
        <v>1725</v>
      </c>
      <c r="E1042" s="724" t="s">
        <v>24</v>
      </c>
      <c r="F1042" s="726" t="s">
        <v>25</v>
      </c>
      <c r="G1042" s="728" t="s">
        <v>26</v>
      </c>
    </row>
    <row r="1043" spans="1:7" ht="19.899999999999999" customHeight="1" x14ac:dyDescent="0.2">
      <c r="A1043" s="444" t="s">
        <v>577</v>
      </c>
      <c r="B1043" s="444" t="s">
        <v>578</v>
      </c>
      <c r="C1043" s="723"/>
      <c r="D1043" s="723"/>
      <c r="E1043" s="725"/>
      <c r="F1043" s="727"/>
      <c r="G1043" s="729"/>
    </row>
    <row r="1044" spans="1:7" ht="19.899999999999999" customHeight="1" x14ac:dyDescent="0.2">
      <c r="A1044" s="482">
        <f>IFERROR(VLOOKUP(C1044,T_Insumos,4,FALSE),0)</f>
        <v>0</v>
      </c>
      <c r="B1044" s="445">
        <f>IFERROR(VLOOKUP(C1044,T_Insumos,5,FALSE),0)</f>
        <v>0</v>
      </c>
      <c r="C1044" s="436"/>
      <c r="D1044" s="493">
        <f>IF(C1044=0,0,"$/tnkm")</f>
        <v>0</v>
      </c>
      <c r="E1044" s="437"/>
      <c r="F1044" s="439">
        <f>IFERROR(VLOOKUP(C1044,T_Insumos,3,FALSE),0)</f>
        <v>0</v>
      </c>
      <c r="G1044" s="439">
        <f>ROUND(E1044*F1044,2)</f>
        <v>0</v>
      </c>
    </row>
    <row r="1045" spans="1:7" ht="19.899999999999999" customHeight="1" x14ac:dyDescent="0.2">
      <c r="A1045" s="482">
        <f>IFERROR(VLOOKUP(C1045,T_Insumos,4,FALSE),0)</f>
        <v>0</v>
      </c>
      <c r="B1045" s="445">
        <f>IFERROR(VLOOKUP(C1045,T_Insumos,5,FALSE),0)</f>
        <v>0</v>
      </c>
      <c r="C1045" s="436"/>
      <c r="D1045" s="493">
        <f>IF(C1045=0,0,"$/tnkm")</f>
        <v>0</v>
      </c>
      <c r="E1045" s="453"/>
      <c r="F1045" s="439">
        <f>IFERROR(VLOOKUP(C1045,T_Insumos,3,FALSE),0)</f>
        <v>0</v>
      </c>
      <c r="G1045" s="439">
        <f t="shared" ref="G1045" si="321">ROUND(E1045*F1045,2)</f>
        <v>0</v>
      </c>
    </row>
    <row r="1046" spans="1:7" ht="19.899999999999999" customHeight="1" x14ac:dyDescent="0.2">
      <c r="A1046" s="480"/>
      <c r="B1046" s="139"/>
      <c r="C1046" s="139"/>
      <c r="D1046" s="426"/>
      <c r="E1046" s="427"/>
      <c r="F1046" s="448" t="s">
        <v>984</v>
      </c>
      <c r="G1046" s="485">
        <f>SUBTOTAL(9,G1044:G1045)</f>
        <v>0</v>
      </c>
    </row>
    <row r="1047" spans="1:7" ht="19.899999999999999" customHeight="1" x14ac:dyDescent="0.2">
      <c r="A1047" s="483"/>
      <c r="B1047" s="426"/>
      <c r="C1047" s="139"/>
      <c r="D1047" s="426"/>
      <c r="E1047" s="427"/>
      <c r="F1047" s="428"/>
      <c r="G1047" s="481"/>
    </row>
    <row r="1048" spans="1:7" ht="19.899999999999999" customHeight="1" x14ac:dyDescent="0.2">
      <c r="A1048" s="541" t="str">
        <f>B982</f>
        <v>3.2</v>
      </c>
      <c r="B1048" s="538" t="str">
        <f ca="1">C982</f>
        <v>Nivelación y Replanteo</v>
      </c>
      <c r="C1048" s="426"/>
      <c r="D1048" s="426" t="s">
        <v>1704</v>
      </c>
      <c r="E1048" s="539"/>
      <c r="F1048" s="540" t="str">
        <f ca="1">"$/"&amp;G982</f>
        <v>$/Gl</v>
      </c>
      <c r="G1048" s="490">
        <f>SUBTOTAL(9,G1005:G1047)</f>
        <v>0</v>
      </c>
    </row>
    <row r="1049" spans="1:7" ht="19.899999999999999" customHeight="1" x14ac:dyDescent="0.2">
      <c r="A1049" s="486"/>
      <c r="B1049" s="487"/>
      <c r="C1049" s="488"/>
      <c r="D1049" s="488" t="s">
        <v>1900</v>
      </c>
      <c r="E1049" s="489"/>
      <c r="F1049" s="542" t="str">
        <f ca="1">"$/"&amp;G982</f>
        <v>$/Gl</v>
      </c>
      <c r="G1049" s="490">
        <f>ROUND(G1048*Coeficiente_Paso,2)</f>
        <v>0</v>
      </c>
    </row>
    <row r="1050" spans="1:7" ht="19.899999999999999" customHeight="1" x14ac:dyDescent="0.2">
      <c r="A1050" s="139"/>
      <c r="B1050" s="139"/>
      <c r="C1050" s="139"/>
      <c r="D1050" s="139"/>
      <c r="E1050" s="139"/>
      <c r="F1050" s="139"/>
      <c r="G1050" s="139"/>
    </row>
    <row r="1051" spans="1:7" ht="19.899999999999999" customHeight="1" x14ac:dyDescent="0.2">
      <c r="A1051" s="730" t="s">
        <v>31</v>
      </c>
      <c r="B1051" s="731"/>
      <c r="C1051" s="731"/>
      <c r="D1051" s="731"/>
      <c r="E1051" s="731"/>
      <c r="F1051" s="731"/>
      <c r="G1051" s="732"/>
    </row>
    <row r="1052" spans="1:7" ht="19.899999999999999" customHeight="1" x14ac:dyDescent="0.2">
      <c r="A1052" s="469" t="s">
        <v>711</v>
      </c>
      <c r="B1052" s="420" t="str">
        <f>Comitente</f>
        <v>DEPARTAMENTO DE HIDRAULICA</v>
      </c>
      <c r="C1052" s="421"/>
      <c r="D1052" s="422"/>
      <c r="E1052" s="422"/>
      <c r="F1052" s="423"/>
      <c r="G1052" s="470"/>
    </row>
    <row r="1053" spans="1:7" ht="19.899999999999999" customHeight="1" x14ac:dyDescent="0.2">
      <c r="A1053" s="469" t="s">
        <v>712</v>
      </c>
      <c r="B1053" s="420">
        <f>Contratista</f>
        <v>0</v>
      </c>
      <c r="C1053" s="424"/>
      <c r="D1053" s="424"/>
      <c r="E1053" s="424"/>
      <c r="F1053" s="420"/>
      <c r="G1053" s="471"/>
    </row>
    <row r="1054" spans="1:7" ht="19.899999999999999" customHeight="1" x14ac:dyDescent="0.2">
      <c r="A1054" s="469" t="s">
        <v>21</v>
      </c>
      <c r="B1054" s="420" t="str">
        <f>Obra</f>
        <v>Encamisado Parcial del Canal de Calle América</v>
      </c>
      <c r="C1054" s="424"/>
      <c r="D1054" s="424"/>
      <c r="E1054" s="424"/>
      <c r="F1054" s="420" t="s">
        <v>32</v>
      </c>
      <c r="G1054" s="471" t="str">
        <f>Fecha_Base</f>
        <v>X/X/2023</v>
      </c>
    </row>
    <row r="1055" spans="1:7" ht="19.899999999999999" customHeight="1" x14ac:dyDescent="0.2">
      <c r="A1055" s="472" t="s">
        <v>710</v>
      </c>
      <c r="B1055" s="425" t="str">
        <f>Ubicación</f>
        <v>Departamento Rawson</v>
      </c>
      <c r="C1055" s="425"/>
      <c r="D1055" s="426"/>
      <c r="E1055" s="427"/>
      <c r="F1055" s="428"/>
      <c r="G1055" s="473"/>
    </row>
    <row r="1056" spans="1:7" ht="19.899999999999999" customHeight="1" x14ac:dyDescent="0.2">
      <c r="A1056" s="472" t="s">
        <v>33</v>
      </c>
      <c r="B1056" s="429">
        <f>IFERROR(VALUE(LEFT(B1057,FIND(".",B1057)-1)),"")</f>
        <v>3</v>
      </c>
      <c r="C1056" s="139" t="str">
        <f ca="1">IFERROR(VLOOKUP(B1056,T_Computo_Presupuesto,2,FALSE),0)</f>
        <v>PUENTES DE HORMIGÓN</v>
      </c>
      <c r="D1056" s="139"/>
      <c r="E1056" s="427"/>
      <c r="F1056" s="428"/>
      <c r="G1056" s="473"/>
    </row>
    <row r="1057" spans="1:7" ht="19.899999999999999" customHeight="1" x14ac:dyDescent="0.2">
      <c r="A1057" s="472" t="s">
        <v>22</v>
      </c>
      <c r="B1057" s="430" t="str">
        <f>IFERROR(VLOOKUP(COUNTIF($A$1:A1057,"ANALISIS DE PRECIOS"),T_NumeroItem,2,FALSE),"")</f>
        <v>3.3</v>
      </c>
      <c r="C1057" s="733" t="str">
        <f ca="1">IFERROR(VLOOKUP(B1057,T_Computo_Presupuesto,2,FALSE),0)</f>
        <v>Demolición de Puentes</v>
      </c>
      <c r="D1057" s="733"/>
      <c r="E1057" s="733"/>
      <c r="F1057" s="425" t="s">
        <v>23</v>
      </c>
      <c r="G1057" s="474" t="str">
        <f ca="1">IFERROR(VLOOKUP(B1057,T_Computo_Presupuesto,4,FALSE),0)</f>
        <v>Gl</v>
      </c>
    </row>
    <row r="1058" spans="1:7" ht="19.899999999999999" customHeight="1" x14ac:dyDescent="0.2">
      <c r="A1058" s="472"/>
      <c r="B1058" s="425"/>
      <c r="C1058" s="139"/>
      <c r="D1058" s="426"/>
      <c r="E1058" s="427"/>
      <c r="F1058" s="139"/>
      <c r="G1058" s="475"/>
    </row>
    <row r="1059" spans="1:7" ht="19.899999999999999" customHeight="1" x14ac:dyDescent="0.2">
      <c r="A1059" s="476"/>
      <c r="B1059" s="431"/>
      <c r="C1059" s="432" t="s">
        <v>967</v>
      </c>
      <c r="D1059" s="431"/>
      <c r="E1059" s="431"/>
      <c r="F1059" s="431"/>
      <c r="G1059" s="477"/>
    </row>
    <row r="1060" spans="1:7" ht="19.899999999999999" customHeight="1" x14ac:dyDescent="0.2">
      <c r="A1060" s="472"/>
      <c r="B1060" s="433"/>
      <c r="C1060" s="139"/>
      <c r="D1060" s="426"/>
      <c r="E1060" s="427"/>
      <c r="F1060" s="425"/>
      <c r="G1060" s="474"/>
    </row>
    <row r="1061" spans="1:7" ht="19.899999999999999" customHeight="1" x14ac:dyDescent="0.2">
      <c r="A1061" s="472"/>
      <c r="B1061" s="433"/>
      <c r="C1061" s="434" t="s">
        <v>968</v>
      </c>
      <c r="D1061" s="435" t="s">
        <v>24</v>
      </c>
      <c r="E1061" s="435" t="s">
        <v>969</v>
      </c>
      <c r="F1061" s="435" t="s">
        <v>970</v>
      </c>
      <c r="G1061" s="434" t="s">
        <v>971</v>
      </c>
    </row>
    <row r="1062" spans="1:7" ht="19.899999999999999" customHeight="1" x14ac:dyDescent="0.2">
      <c r="A1062" s="472"/>
      <c r="B1062" s="433"/>
      <c r="C1062" s="436">
        <f>+C837</f>
        <v>0</v>
      </c>
      <c r="D1062" s="436">
        <f>+D837</f>
        <v>0</v>
      </c>
      <c r="E1062" s="438">
        <f t="shared" ref="E1062:E1071" si="322">IFERROR(VLOOKUP(C1062,T_Equipos,4,FALSE),0)</f>
        <v>0</v>
      </c>
      <c r="F1062" s="439">
        <f t="shared" ref="F1062:F1071" si="323">IFERROR(VLOOKUP(C1062,T_Equipos,5,FALSE),0)</f>
        <v>0</v>
      </c>
      <c r="G1062" s="439">
        <f>ROUND(D1062*F1062,2)</f>
        <v>0</v>
      </c>
    </row>
    <row r="1063" spans="1:7" ht="19.899999999999999" customHeight="1" x14ac:dyDescent="0.2">
      <c r="A1063" s="472"/>
      <c r="B1063" s="433"/>
      <c r="C1063" s="436">
        <f t="shared" ref="C1063:D1067" si="324">+C838</f>
        <v>0</v>
      </c>
      <c r="D1063" s="436">
        <f t="shared" si="324"/>
        <v>0</v>
      </c>
      <c r="E1063" s="438">
        <f t="shared" si="322"/>
        <v>0</v>
      </c>
      <c r="F1063" s="439">
        <f t="shared" si="323"/>
        <v>0</v>
      </c>
      <c r="G1063" s="439">
        <f>ROUND(D1063*F1063,2)</f>
        <v>0</v>
      </c>
    </row>
    <row r="1064" spans="1:7" ht="19.899999999999999" customHeight="1" x14ac:dyDescent="0.2">
      <c r="A1064" s="472"/>
      <c r="B1064" s="433"/>
      <c r="C1064" s="436">
        <f t="shared" si="324"/>
        <v>0</v>
      </c>
      <c r="D1064" s="436"/>
      <c r="E1064" s="438">
        <f t="shared" si="322"/>
        <v>0</v>
      </c>
      <c r="F1064" s="439">
        <f t="shared" si="323"/>
        <v>0</v>
      </c>
      <c r="G1064" s="439">
        <f>ROUND(D1064*F1064,2)</f>
        <v>0</v>
      </c>
    </row>
    <row r="1065" spans="1:7" ht="19.899999999999999" customHeight="1" x14ac:dyDescent="0.2">
      <c r="A1065" s="472"/>
      <c r="B1065" s="433"/>
      <c r="C1065" s="436">
        <f t="shared" si="324"/>
        <v>0</v>
      </c>
      <c r="D1065" s="436"/>
      <c r="E1065" s="438">
        <f t="shared" si="322"/>
        <v>0</v>
      </c>
      <c r="F1065" s="439">
        <f t="shared" si="323"/>
        <v>0</v>
      </c>
      <c r="G1065" s="439">
        <f>ROUND(D1065*F1065,2)</f>
        <v>0</v>
      </c>
    </row>
    <row r="1066" spans="1:7" ht="19.899999999999999" customHeight="1" x14ac:dyDescent="0.2">
      <c r="A1066" s="472"/>
      <c r="B1066" s="433"/>
      <c r="C1066" s="436">
        <f t="shared" si="324"/>
        <v>0</v>
      </c>
      <c r="D1066" s="436"/>
      <c r="E1066" s="438">
        <f t="shared" si="322"/>
        <v>0</v>
      </c>
      <c r="F1066" s="439">
        <f t="shared" si="323"/>
        <v>0</v>
      </c>
      <c r="G1066" s="439">
        <f t="shared" ref="G1066:G1071" si="325">ROUND(D1066*F1066,2)</f>
        <v>0</v>
      </c>
    </row>
    <row r="1067" spans="1:7" ht="19.899999999999999" customHeight="1" x14ac:dyDescent="0.2">
      <c r="A1067" s="472"/>
      <c r="B1067" s="433"/>
      <c r="C1067" s="436">
        <f t="shared" si="324"/>
        <v>0</v>
      </c>
      <c r="D1067" s="436"/>
      <c r="E1067" s="438">
        <f t="shared" si="322"/>
        <v>0</v>
      </c>
      <c r="F1067" s="439">
        <f t="shared" si="323"/>
        <v>0</v>
      </c>
      <c r="G1067" s="439">
        <f t="shared" si="325"/>
        <v>0</v>
      </c>
    </row>
    <row r="1068" spans="1:7" ht="19.899999999999999" customHeight="1" x14ac:dyDescent="0.2">
      <c r="A1068" s="472"/>
      <c r="B1068" s="433"/>
      <c r="C1068" s="436">
        <f t="shared" ref="C1068:D1068" si="326">+C843</f>
        <v>0</v>
      </c>
      <c r="D1068" s="436">
        <f t="shared" si="326"/>
        <v>0</v>
      </c>
      <c r="E1068" s="438">
        <f t="shared" si="322"/>
        <v>0</v>
      </c>
      <c r="F1068" s="439">
        <f t="shared" si="323"/>
        <v>0</v>
      </c>
      <c r="G1068" s="439">
        <f t="shared" si="325"/>
        <v>0</v>
      </c>
    </row>
    <row r="1069" spans="1:7" ht="19.899999999999999" customHeight="1" x14ac:dyDescent="0.2">
      <c r="A1069" s="472"/>
      <c r="B1069" s="433"/>
      <c r="C1069" s="436">
        <f t="shared" ref="C1069:D1069" si="327">+C844</f>
        <v>0</v>
      </c>
      <c r="D1069" s="436">
        <f t="shared" si="327"/>
        <v>0</v>
      </c>
      <c r="E1069" s="438">
        <f t="shared" si="322"/>
        <v>0</v>
      </c>
      <c r="F1069" s="439">
        <f t="shared" si="323"/>
        <v>0</v>
      </c>
      <c r="G1069" s="439">
        <f t="shared" si="325"/>
        <v>0</v>
      </c>
    </row>
    <row r="1070" spans="1:7" ht="19.899999999999999" customHeight="1" x14ac:dyDescent="0.2">
      <c r="A1070" s="472"/>
      <c r="B1070" s="433"/>
      <c r="C1070" s="436"/>
      <c r="D1070" s="437"/>
      <c r="E1070" s="438">
        <f t="shared" si="322"/>
        <v>0</v>
      </c>
      <c r="F1070" s="439">
        <f t="shared" si="323"/>
        <v>0</v>
      </c>
      <c r="G1070" s="439">
        <f t="shared" si="325"/>
        <v>0</v>
      </c>
    </row>
    <row r="1071" spans="1:7" ht="19.899999999999999" customHeight="1" x14ac:dyDescent="0.2">
      <c r="A1071" s="472"/>
      <c r="B1071" s="433"/>
      <c r="C1071" s="436"/>
      <c r="D1071" s="437"/>
      <c r="E1071" s="438">
        <f t="shared" si="322"/>
        <v>0</v>
      </c>
      <c r="F1071" s="439">
        <f t="shared" si="323"/>
        <v>0</v>
      </c>
      <c r="G1071" s="439">
        <f t="shared" si="325"/>
        <v>0</v>
      </c>
    </row>
    <row r="1072" spans="1:7" ht="19.899999999999999" customHeight="1" x14ac:dyDescent="0.2">
      <c r="A1072" s="472"/>
      <c r="B1072" s="433"/>
      <c r="C1072" s="139"/>
      <c r="D1072" s="139"/>
      <c r="E1072" s="440"/>
      <c r="F1072" s="425"/>
      <c r="G1072" s="474"/>
    </row>
    <row r="1073" spans="1:7" ht="19.899999999999999" customHeight="1" x14ac:dyDescent="0.2">
      <c r="A1073" s="472"/>
      <c r="B1073" s="139"/>
      <c r="C1073" s="422" t="s">
        <v>972</v>
      </c>
      <c r="D1073" s="425" t="s">
        <v>969</v>
      </c>
      <c r="E1073" s="491">
        <f>SUMPRODUCT(D1062:D1071,E1062:E1071)</f>
        <v>0</v>
      </c>
      <c r="F1073" s="425" t="s">
        <v>973</v>
      </c>
      <c r="G1073" s="492">
        <f>SUM(G1062:G1071)</f>
        <v>0</v>
      </c>
    </row>
    <row r="1074" spans="1:7" ht="19.899999999999999" customHeight="1" x14ac:dyDescent="0.2">
      <c r="A1074" s="472"/>
      <c r="B1074" s="433"/>
      <c r="C1074" s="441"/>
      <c r="D1074" s="440"/>
      <c r="E1074" s="427"/>
      <c r="F1074" s="425"/>
      <c r="G1074" s="478"/>
    </row>
    <row r="1075" spans="1:7" ht="19.899999999999999" customHeight="1" x14ac:dyDescent="0.2">
      <c r="A1075" s="479"/>
      <c r="B1075" s="433"/>
      <c r="C1075" s="425" t="s">
        <v>974</v>
      </c>
      <c r="D1075" s="442">
        <f>IFERROR(VLOOKUP(COUNTIF($A$1:A1075,"ANALISIS DE PRECIOS"),T_Rendimiento_Equipo,5,FALSE),0)</f>
        <v>0</v>
      </c>
      <c r="E1075" s="443" t="str">
        <f ca="1">G1057&amp;"/día"</f>
        <v>Gl/día</v>
      </c>
      <c r="F1075" s="419"/>
      <c r="G1075" s="474"/>
    </row>
    <row r="1076" spans="1:7" ht="19.899999999999999" customHeight="1" x14ac:dyDescent="0.2">
      <c r="A1076" s="472"/>
      <c r="B1076" s="433"/>
      <c r="C1076" s="139"/>
      <c r="D1076" s="426"/>
      <c r="E1076" s="427"/>
      <c r="F1076" s="425"/>
      <c r="G1076" s="474"/>
    </row>
    <row r="1077" spans="1:7" ht="19.899999999999999" customHeight="1" x14ac:dyDescent="0.2">
      <c r="A1077" s="720" t="s">
        <v>576</v>
      </c>
      <c r="B1077" s="721"/>
      <c r="C1077" s="722" t="s">
        <v>0</v>
      </c>
      <c r="D1077" s="734" t="s">
        <v>1724</v>
      </c>
      <c r="E1077" s="734" t="s">
        <v>1723</v>
      </c>
      <c r="F1077" s="726" t="s">
        <v>975</v>
      </c>
      <c r="G1077" s="728" t="s">
        <v>26</v>
      </c>
    </row>
    <row r="1078" spans="1:7" ht="19.899999999999999" customHeight="1" x14ac:dyDescent="0.2">
      <c r="A1078" s="444" t="s">
        <v>577</v>
      </c>
      <c r="B1078" s="444" t="s">
        <v>578</v>
      </c>
      <c r="C1078" s="723"/>
      <c r="D1078" s="735"/>
      <c r="E1078" s="725"/>
      <c r="F1078" s="727"/>
      <c r="G1078" s="729"/>
    </row>
    <row r="1079" spans="1:7" ht="19.899999999999999" customHeight="1" x14ac:dyDescent="0.2">
      <c r="A1079" s="480"/>
      <c r="B1079" s="139"/>
      <c r="C1079" s="422" t="s">
        <v>976</v>
      </c>
      <c r="D1079" s="427"/>
      <c r="E1079" s="427"/>
      <c r="F1079" s="139"/>
      <c r="G1079" s="481"/>
    </row>
    <row r="1080" spans="1:7" ht="19.899999999999999" customHeight="1" x14ac:dyDescent="0.2">
      <c r="A1080" s="482">
        <f t="shared" ref="A1080:A1088" si="328">IFERROR(VLOOKUP(C1080,T_Insumos,4,FALSE),0)</f>
        <v>0</v>
      </c>
      <c r="B1080" s="445">
        <f t="shared" ref="B1080:B1088" si="329">IFERROR(VLOOKUP(C1080,T_Insumos,5,FALSE),0)</f>
        <v>0</v>
      </c>
      <c r="C1080" s="436">
        <f>+C780</f>
        <v>0</v>
      </c>
      <c r="D1080" s="446">
        <f t="shared" ref="D1080:D1088" si="330">IFERROR(VLOOKUP(C1080,T_Insumos,3,FALSE),0)</f>
        <v>0</v>
      </c>
      <c r="E1080" s="439">
        <f>D1080*$G$323</f>
        <v>0</v>
      </c>
      <c r="F1080" s="442">
        <f>IF(C1080="",0,IFERROR(VLOOKUP(COUNTIF($A$1:A1080,"ANALISIS DE PRECIOS"),T_Rendimiento_Equipo,5,FALSE),0))</f>
        <v>0</v>
      </c>
      <c r="G1080" s="439">
        <f>IFERROR(ROUND(E1080/F1080,2),0)</f>
        <v>0</v>
      </c>
    </row>
    <row r="1081" spans="1:7" ht="19.899999999999999" customHeight="1" x14ac:dyDescent="0.2">
      <c r="A1081" s="482">
        <f t="shared" si="328"/>
        <v>0</v>
      </c>
      <c r="B1081" s="445">
        <f t="shared" si="329"/>
        <v>0</v>
      </c>
      <c r="C1081" s="436">
        <f t="shared" ref="C1081:C1083" si="331">+C781</f>
        <v>0</v>
      </c>
      <c r="D1081" s="446">
        <f t="shared" si="330"/>
        <v>0</v>
      </c>
      <c r="E1081" s="439">
        <f t="shared" ref="E1081:E1082" si="332">D1081*$G$323</f>
        <v>0</v>
      </c>
      <c r="F1081" s="442">
        <f>IF(C1081="",0,IFERROR(VLOOKUP(COUNTIF($A$1:A1081,"ANALISIS DE PRECIOS"),T_Rendimiento_Equipo,5,FALSE),0))</f>
        <v>0</v>
      </c>
      <c r="G1081" s="439">
        <f t="shared" ref="G1081:G1088" si="333">IFERROR(ROUND(E1081/F1081,2),0)</f>
        <v>0</v>
      </c>
    </row>
    <row r="1082" spans="1:7" ht="19.899999999999999" customHeight="1" x14ac:dyDescent="0.2">
      <c r="A1082" s="482">
        <f t="shared" si="328"/>
        <v>0</v>
      </c>
      <c r="B1082" s="445">
        <f t="shared" si="329"/>
        <v>0</v>
      </c>
      <c r="C1082" s="436">
        <f t="shared" si="331"/>
        <v>0</v>
      </c>
      <c r="D1082" s="446">
        <f t="shared" si="330"/>
        <v>0</v>
      </c>
      <c r="E1082" s="439">
        <f t="shared" si="332"/>
        <v>0</v>
      </c>
      <c r="F1082" s="442">
        <f>IF(C1082="",0,IFERROR(VLOOKUP(COUNTIF($A$1:A1082,"ANALISIS DE PRECIOS"),T_Rendimiento_Equipo,5,FALSE),0))</f>
        <v>0</v>
      </c>
      <c r="G1082" s="439">
        <f t="shared" si="333"/>
        <v>0</v>
      </c>
    </row>
    <row r="1083" spans="1:7" ht="19.899999999999999" customHeight="1" x14ac:dyDescent="0.2">
      <c r="A1083" s="482">
        <f t="shared" si="328"/>
        <v>0</v>
      </c>
      <c r="B1083" s="445">
        <f t="shared" si="329"/>
        <v>0</v>
      </c>
      <c r="C1083" s="436">
        <f t="shared" si="331"/>
        <v>0</v>
      </c>
      <c r="D1083" s="446">
        <f t="shared" si="330"/>
        <v>0</v>
      </c>
      <c r="E1083" s="439">
        <f>D1083*$E$323</f>
        <v>0</v>
      </c>
      <c r="F1083" s="442">
        <f>IF(C1083="",0,IFERROR(VLOOKUP(COUNTIF($A$1:A1083,"ANALISIS DE PRECIOS"),T_Rendimiento_Equipo,5,FALSE),0))</f>
        <v>0</v>
      </c>
      <c r="G1083" s="439">
        <f t="shared" si="333"/>
        <v>0</v>
      </c>
    </row>
    <row r="1084" spans="1:7" ht="19.899999999999999" customHeight="1" x14ac:dyDescent="0.2">
      <c r="A1084" s="482">
        <f t="shared" si="328"/>
        <v>0</v>
      </c>
      <c r="B1084" s="445">
        <f t="shared" si="329"/>
        <v>0</v>
      </c>
      <c r="C1084" s="447"/>
      <c r="D1084" s="446">
        <f t="shared" si="330"/>
        <v>0</v>
      </c>
      <c r="E1084" s="439"/>
      <c r="F1084" s="442">
        <f>IF(C1084="",0,IFERROR(VLOOKUP(COUNTIF($A$1:A1084,"ANALISIS DE PRECIOS"),T_Rendimiento_Equipo,5,FALSE),0))</f>
        <v>0</v>
      </c>
      <c r="G1084" s="439">
        <f t="shared" si="333"/>
        <v>0</v>
      </c>
    </row>
    <row r="1085" spans="1:7" ht="19.899999999999999" customHeight="1" x14ac:dyDescent="0.2">
      <c r="A1085" s="482">
        <f t="shared" si="328"/>
        <v>0</v>
      </c>
      <c r="B1085" s="445">
        <f t="shared" si="329"/>
        <v>0</v>
      </c>
      <c r="C1085" s="447"/>
      <c r="D1085" s="446">
        <f t="shared" si="330"/>
        <v>0</v>
      </c>
      <c r="E1085" s="439"/>
      <c r="F1085" s="442">
        <f>IF(C1085="",0,IFERROR(VLOOKUP(COUNTIF($A$1:A1085,"ANALISIS DE PRECIOS"),T_Rendimiento_Equipo,5,FALSE),0))</f>
        <v>0</v>
      </c>
      <c r="G1085" s="439">
        <f t="shared" si="333"/>
        <v>0</v>
      </c>
    </row>
    <row r="1086" spans="1:7" ht="19.899999999999999" customHeight="1" x14ac:dyDescent="0.2">
      <c r="A1086" s="482">
        <f t="shared" si="328"/>
        <v>0</v>
      </c>
      <c r="B1086" s="445">
        <f t="shared" si="329"/>
        <v>0</v>
      </c>
      <c r="C1086" s="447"/>
      <c r="D1086" s="446">
        <f t="shared" si="330"/>
        <v>0</v>
      </c>
      <c r="E1086" s="439"/>
      <c r="F1086" s="442">
        <f>IF(C1086="",0,IFERROR(VLOOKUP(COUNTIF($A$1:A1086,"ANALISIS DE PRECIOS"),T_Rendimiento_Equipo,5,FALSE),0))</f>
        <v>0</v>
      </c>
      <c r="G1086" s="439">
        <f t="shared" si="333"/>
        <v>0</v>
      </c>
    </row>
    <row r="1087" spans="1:7" ht="19.899999999999999" customHeight="1" x14ac:dyDescent="0.2">
      <c r="A1087" s="482">
        <f t="shared" si="328"/>
        <v>0</v>
      </c>
      <c r="B1087" s="445">
        <f t="shared" si="329"/>
        <v>0</v>
      </c>
      <c r="C1087" s="447"/>
      <c r="D1087" s="446">
        <f t="shared" si="330"/>
        <v>0</v>
      </c>
      <c r="E1087" s="439"/>
      <c r="F1087" s="442">
        <f>IF(C1087="",0,IFERROR(VLOOKUP(COUNTIF($A$1:A1087,"ANALISIS DE PRECIOS"),T_Rendimiento_Equipo,5,FALSE),0))</f>
        <v>0</v>
      </c>
      <c r="G1087" s="439">
        <f t="shared" si="333"/>
        <v>0</v>
      </c>
    </row>
    <row r="1088" spans="1:7" ht="19.899999999999999" customHeight="1" x14ac:dyDescent="0.2">
      <c r="A1088" s="482">
        <f t="shared" si="328"/>
        <v>0</v>
      </c>
      <c r="B1088" s="445">
        <f t="shared" si="329"/>
        <v>0</v>
      </c>
      <c r="C1088" s="436"/>
      <c r="D1088" s="446">
        <f t="shared" si="330"/>
        <v>0</v>
      </c>
      <c r="E1088" s="439"/>
      <c r="F1088" s="442">
        <f>IF(C1088="",0,IFERROR(VLOOKUP(COUNTIF($A$1:A1088,"ANALISIS DE PRECIOS"),T_Rendimiento_Equipo,5,FALSE),0))</f>
        <v>0</v>
      </c>
      <c r="G1088" s="439">
        <f t="shared" si="333"/>
        <v>0</v>
      </c>
    </row>
    <row r="1089" spans="1:7" ht="19.899999999999999" customHeight="1" x14ac:dyDescent="0.2">
      <c r="A1089" s="483"/>
      <c r="B1089" s="426"/>
      <c r="C1089" s="139"/>
      <c r="D1089" s="426"/>
      <c r="E1089" s="427"/>
      <c r="F1089" s="448" t="s">
        <v>27</v>
      </c>
      <c r="G1089" s="484">
        <f>SUBTOTAL(9,G1080:G1088)</f>
        <v>0</v>
      </c>
    </row>
    <row r="1090" spans="1:7" ht="19.899999999999999" customHeight="1" x14ac:dyDescent="0.2">
      <c r="A1090" s="480"/>
      <c r="B1090" s="139"/>
      <c r="C1090" s="422" t="s">
        <v>713</v>
      </c>
      <c r="D1090" s="426"/>
      <c r="E1090" s="427"/>
      <c r="F1090" s="428"/>
      <c r="G1090" s="481"/>
    </row>
    <row r="1091" spans="1:7" ht="19.899999999999999" customHeight="1" x14ac:dyDescent="0.2">
      <c r="A1091" s="720" t="s">
        <v>576</v>
      </c>
      <c r="B1091" s="721"/>
      <c r="C1091" s="722" t="s">
        <v>0</v>
      </c>
      <c r="D1091" s="724" t="s">
        <v>24</v>
      </c>
      <c r="E1091" s="724" t="s">
        <v>1703</v>
      </c>
      <c r="F1091" s="726" t="s">
        <v>975</v>
      </c>
      <c r="G1091" s="728" t="s">
        <v>26</v>
      </c>
    </row>
    <row r="1092" spans="1:7" ht="19.899999999999999" customHeight="1" x14ac:dyDescent="0.2">
      <c r="A1092" s="444" t="s">
        <v>577</v>
      </c>
      <c r="B1092" s="444" t="s">
        <v>578</v>
      </c>
      <c r="C1092" s="723"/>
      <c r="D1092" s="725"/>
      <c r="E1092" s="725"/>
      <c r="F1092" s="727"/>
      <c r="G1092" s="729"/>
    </row>
    <row r="1093" spans="1:7" ht="19.899999999999999" customHeight="1" x14ac:dyDescent="0.2">
      <c r="A1093" s="482">
        <f t="shared" ref="A1093:A1099" si="334">IFERROR(VLOOKUP(C1093,T_Insumos,4,FALSE),0)</f>
        <v>0</v>
      </c>
      <c r="B1093" s="445">
        <f t="shared" ref="B1093:B1099" si="335">IFERROR(VLOOKUP(C1093,T_Insumos,5,FALSE),0)</f>
        <v>0</v>
      </c>
      <c r="C1093" s="436">
        <f t="shared" ref="C1093:C1096" si="336">+C868</f>
        <v>0</v>
      </c>
      <c r="D1093" s="442"/>
      <c r="E1093" s="439">
        <f t="shared" ref="E1093:E1099" si="337">IFERROR(VLOOKUP(C1093,T_Insumos,3,FALSE),0)</f>
        <v>0</v>
      </c>
      <c r="F1093" s="442">
        <f>IF(C1093="",0,IFERROR(VLOOKUP(COUNTIF($A$1:A1093,"ANALISIS DE PRECIOS"),T_Rendimiento_Equipo,5,FALSE),0))</f>
        <v>0</v>
      </c>
      <c r="G1093" s="439">
        <f>IFERROR(ROUND(D1093*E1093/F1093,2),0)</f>
        <v>0</v>
      </c>
    </row>
    <row r="1094" spans="1:7" ht="19.899999999999999" customHeight="1" x14ac:dyDescent="0.2">
      <c r="A1094" s="482">
        <f t="shared" si="334"/>
        <v>0</v>
      </c>
      <c r="B1094" s="445">
        <f t="shared" si="335"/>
        <v>0</v>
      </c>
      <c r="C1094" s="436">
        <f t="shared" si="336"/>
        <v>0</v>
      </c>
      <c r="D1094" s="442">
        <v>1</v>
      </c>
      <c r="E1094" s="439">
        <f t="shared" si="337"/>
        <v>0</v>
      </c>
      <c r="F1094" s="442">
        <f>IF(C1094="",0,IFERROR(VLOOKUP(COUNTIF($A$1:A1094,"ANALISIS DE PRECIOS"),T_Rendimiento_Equipo,5,FALSE),0))</f>
        <v>0</v>
      </c>
      <c r="G1094" s="439">
        <f>IFERROR(ROUND(D1094*E1094/F1094,2),0)</f>
        <v>0</v>
      </c>
    </row>
    <row r="1095" spans="1:7" ht="19.899999999999999" customHeight="1" x14ac:dyDescent="0.2">
      <c r="A1095" s="482">
        <f t="shared" si="334"/>
        <v>0</v>
      </c>
      <c r="B1095" s="445">
        <f t="shared" si="335"/>
        <v>0</v>
      </c>
      <c r="C1095" s="436">
        <f t="shared" si="336"/>
        <v>0</v>
      </c>
      <c r="D1095" s="442"/>
      <c r="E1095" s="439">
        <f t="shared" si="337"/>
        <v>0</v>
      </c>
      <c r="F1095" s="442">
        <f>IF(C1095="",0,IFERROR(VLOOKUP(COUNTIF($A$1:A1095,"ANALISIS DE PRECIOS"),T_Rendimiento_Equipo,5,FALSE),0))</f>
        <v>0</v>
      </c>
      <c r="G1095" s="439">
        <f t="shared" ref="G1095:G1099" si="338">IFERROR(ROUND(D1095*E1095/F1095,2),0)</f>
        <v>0</v>
      </c>
    </row>
    <row r="1096" spans="1:7" ht="19.899999999999999" customHeight="1" x14ac:dyDescent="0.2">
      <c r="A1096" s="482">
        <f t="shared" si="334"/>
        <v>0</v>
      </c>
      <c r="B1096" s="445">
        <f t="shared" si="335"/>
        <v>0</v>
      </c>
      <c r="C1096" s="436">
        <f t="shared" si="336"/>
        <v>0</v>
      </c>
      <c r="D1096" s="442">
        <v>2</v>
      </c>
      <c r="E1096" s="439">
        <f t="shared" si="337"/>
        <v>0</v>
      </c>
      <c r="F1096" s="442">
        <f>IF(C1096="",0,IFERROR(VLOOKUP(COUNTIF($A$1:A1096,"ANALISIS DE PRECIOS"),T_Rendimiento_Equipo,5,FALSE),0))</f>
        <v>0</v>
      </c>
      <c r="G1096" s="439">
        <f t="shared" si="338"/>
        <v>0</v>
      </c>
    </row>
    <row r="1097" spans="1:7" ht="19.899999999999999" customHeight="1" x14ac:dyDescent="0.2">
      <c r="A1097" s="482">
        <f t="shared" si="334"/>
        <v>0</v>
      </c>
      <c r="B1097" s="445">
        <f t="shared" si="335"/>
        <v>0</v>
      </c>
      <c r="C1097" s="436"/>
      <c r="D1097" s="442"/>
      <c r="E1097" s="439">
        <f t="shared" si="337"/>
        <v>0</v>
      </c>
      <c r="F1097" s="442">
        <f>IF(C1097="",0,IFERROR(VLOOKUP(COUNTIF($A$1:A1097,"ANALISIS DE PRECIOS"),T_Rendimiento_Equipo,5,FALSE),0))</f>
        <v>0</v>
      </c>
      <c r="G1097" s="439">
        <f t="shared" si="338"/>
        <v>0</v>
      </c>
    </row>
    <row r="1098" spans="1:7" ht="19.899999999999999" customHeight="1" x14ac:dyDescent="0.2">
      <c r="A1098" s="482">
        <f t="shared" si="334"/>
        <v>0</v>
      </c>
      <c r="B1098" s="445">
        <f t="shared" si="335"/>
        <v>0</v>
      </c>
      <c r="C1098" s="436"/>
      <c r="D1098" s="450"/>
      <c r="E1098" s="439">
        <f t="shared" si="337"/>
        <v>0</v>
      </c>
      <c r="F1098" s="442">
        <f>IF(C1098="",0,IFERROR(VLOOKUP(COUNTIF($A$1:A1098,"ANALISIS DE PRECIOS"),T_Rendimiento_Equipo,5,FALSE),0))</f>
        <v>0</v>
      </c>
      <c r="G1098" s="439">
        <f t="shared" si="338"/>
        <v>0</v>
      </c>
    </row>
    <row r="1099" spans="1:7" ht="19.899999999999999" customHeight="1" x14ac:dyDescent="0.2">
      <c r="A1099" s="482">
        <f t="shared" si="334"/>
        <v>0</v>
      </c>
      <c r="B1099" s="445">
        <f t="shared" si="335"/>
        <v>0</v>
      </c>
      <c r="C1099" s="445"/>
      <c r="D1099" s="451"/>
      <c r="E1099" s="439">
        <f t="shared" si="337"/>
        <v>0</v>
      </c>
      <c r="F1099" s="442">
        <f>IF(C1099="",0,IFERROR(VLOOKUP(COUNTIF($A$1:A1099,"ANALISIS DE PRECIOS"),T_Rendimiento_Equipo,5,FALSE),0))</f>
        <v>0</v>
      </c>
      <c r="G1099" s="439">
        <f t="shared" si="338"/>
        <v>0</v>
      </c>
    </row>
    <row r="1100" spans="1:7" ht="19.899999999999999" customHeight="1" x14ac:dyDescent="0.2">
      <c r="A1100" s="483"/>
      <c r="B1100" s="426"/>
      <c r="C1100" s="139"/>
      <c r="D1100" s="426"/>
      <c r="E1100" s="427"/>
      <c r="F1100" s="448" t="s">
        <v>28</v>
      </c>
      <c r="G1100" s="485">
        <f>SUBTOTAL(9,G1093:G1099)</f>
        <v>0</v>
      </c>
    </row>
    <row r="1101" spans="1:7" ht="19.899999999999999" customHeight="1" x14ac:dyDescent="0.2">
      <c r="A1101" s="480"/>
      <c r="B1101" s="139"/>
      <c r="C1101" s="422" t="s">
        <v>982</v>
      </c>
      <c r="D1101" s="426"/>
      <c r="E1101" s="427"/>
      <c r="F1101" s="428"/>
      <c r="G1101" s="481"/>
    </row>
    <row r="1102" spans="1:7" ht="19.899999999999999" customHeight="1" x14ac:dyDescent="0.2">
      <c r="A1102" s="720" t="s">
        <v>576</v>
      </c>
      <c r="B1102" s="721"/>
      <c r="C1102" s="722" t="s">
        <v>0</v>
      </c>
      <c r="D1102" s="722" t="s">
        <v>1725</v>
      </c>
      <c r="E1102" s="724" t="s">
        <v>24</v>
      </c>
      <c r="F1102" s="726" t="s">
        <v>25</v>
      </c>
      <c r="G1102" s="728" t="s">
        <v>26</v>
      </c>
    </row>
    <row r="1103" spans="1:7" ht="19.899999999999999" customHeight="1" x14ac:dyDescent="0.2">
      <c r="A1103" s="444" t="s">
        <v>577</v>
      </c>
      <c r="B1103" s="444" t="s">
        <v>578</v>
      </c>
      <c r="C1103" s="723"/>
      <c r="D1103" s="723"/>
      <c r="E1103" s="725"/>
      <c r="F1103" s="727"/>
      <c r="G1103" s="729"/>
    </row>
    <row r="1104" spans="1:7" ht="19.899999999999999" customHeight="1" x14ac:dyDescent="0.2">
      <c r="A1104" s="482">
        <f t="shared" ref="A1104:A1114" si="339">IFERROR(VLOOKUP(C1104,T_Insumos,4,FALSE),0)</f>
        <v>0</v>
      </c>
      <c r="B1104" s="445">
        <f t="shared" ref="B1104:B1114" si="340">IFERROR(VLOOKUP(C1104,T_Insumos,5,FALSE),0)</f>
        <v>0</v>
      </c>
      <c r="C1104" s="436">
        <f t="shared" ref="C1104:C1114" si="341">+C879</f>
        <v>0</v>
      </c>
      <c r="D1104" s="493">
        <f t="shared" ref="D1104:D1114" si="342">IFERROR(VLOOKUP(C1104,T_Insumos,2,FALSE),0)</f>
        <v>0</v>
      </c>
      <c r="E1104" s="437"/>
      <c r="F1104" s="439">
        <f t="shared" ref="F1104:F1114" si="343">IFERROR(VLOOKUP(C1104,T_Insumos,3,FALSE),0)</f>
        <v>0</v>
      </c>
      <c r="G1104" s="439">
        <f>ROUND(E1104*F1104,2)</f>
        <v>0</v>
      </c>
    </row>
    <row r="1105" spans="1:7" ht="19.899999999999999" customHeight="1" x14ac:dyDescent="0.2">
      <c r="A1105" s="482">
        <f t="shared" si="339"/>
        <v>0</v>
      </c>
      <c r="B1105" s="445">
        <f t="shared" si="340"/>
        <v>0</v>
      </c>
      <c r="C1105" s="436">
        <f t="shared" si="341"/>
        <v>0</v>
      </c>
      <c r="D1105" s="493">
        <f t="shared" si="342"/>
        <v>0</v>
      </c>
      <c r="E1105" s="437"/>
      <c r="F1105" s="439">
        <f t="shared" si="343"/>
        <v>0</v>
      </c>
      <c r="G1105" s="439">
        <f t="shared" ref="G1105:G1114" si="344">ROUND(E1105*F1105,2)</f>
        <v>0</v>
      </c>
    </row>
    <row r="1106" spans="1:7" ht="19.899999999999999" customHeight="1" x14ac:dyDescent="0.2">
      <c r="A1106" s="482">
        <f t="shared" si="339"/>
        <v>0</v>
      </c>
      <c r="B1106" s="445">
        <f t="shared" si="340"/>
        <v>0</v>
      </c>
      <c r="C1106" s="436">
        <f t="shared" si="341"/>
        <v>0</v>
      </c>
      <c r="D1106" s="493">
        <f t="shared" si="342"/>
        <v>0</v>
      </c>
      <c r="E1106" s="437"/>
      <c r="F1106" s="439">
        <f t="shared" si="343"/>
        <v>0</v>
      </c>
      <c r="G1106" s="439">
        <f t="shared" si="344"/>
        <v>0</v>
      </c>
    </row>
    <row r="1107" spans="1:7" ht="19.899999999999999" customHeight="1" x14ac:dyDescent="0.2">
      <c r="A1107" s="482">
        <f t="shared" si="339"/>
        <v>0</v>
      </c>
      <c r="B1107" s="445">
        <f t="shared" si="340"/>
        <v>0</v>
      </c>
      <c r="C1107" s="436">
        <f t="shared" si="341"/>
        <v>0</v>
      </c>
      <c r="D1107" s="493">
        <f t="shared" si="342"/>
        <v>0</v>
      </c>
      <c r="E1107" s="437"/>
      <c r="F1107" s="439">
        <f t="shared" si="343"/>
        <v>0</v>
      </c>
      <c r="G1107" s="439">
        <f t="shared" si="344"/>
        <v>0</v>
      </c>
    </row>
    <row r="1108" spans="1:7" ht="19.899999999999999" customHeight="1" x14ac:dyDescent="0.2">
      <c r="A1108" s="482">
        <f t="shared" si="339"/>
        <v>0</v>
      </c>
      <c r="B1108" s="445">
        <f t="shared" si="340"/>
        <v>0</v>
      </c>
      <c r="C1108" s="436">
        <f t="shared" si="341"/>
        <v>0</v>
      </c>
      <c r="D1108" s="493">
        <f t="shared" si="342"/>
        <v>0</v>
      </c>
      <c r="E1108" s="437"/>
      <c r="F1108" s="439">
        <f t="shared" si="343"/>
        <v>0</v>
      </c>
      <c r="G1108" s="439">
        <f t="shared" si="344"/>
        <v>0</v>
      </c>
    </row>
    <row r="1109" spans="1:7" ht="19.899999999999999" customHeight="1" x14ac:dyDescent="0.2">
      <c r="A1109" s="482">
        <f t="shared" si="339"/>
        <v>0</v>
      </c>
      <c r="B1109" s="445">
        <f t="shared" si="340"/>
        <v>0</v>
      </c>
      <c r="C1109" s="436">
        <f t="shared" si="341"/>
        <v>0</v>
      </c>
      <c r="D1109" s="493">
        <f t="shared" si="342"/>
        <v>0</v>
      </c>
      <c r="E1109" s="437"/>
      <c r="F1109" s="439">
        <f t="shared" si="343"/>
        <v>0</v>
      </c>
      <c r="G1109" s="439">
        <f t="shared" si="344"/>
        <v>0</v>
      </c>
    </row>
    <row r="1110" spans="1:7" ht="19.899999999999999" customHeight="1" x14ac:dyDescent="0.2">
      <c r="A1110" s="482">
        <f t="shared" si="339"/>
        <v>0</v>
      </c>
      <c r="B1110" s="445">
        <f t="shared" si="340"/>
        <v>0</v>
      </c>
      <c r="C1110" s="436">
        <f t="shared" si="341"/>
        <v>0</v>
      </c>
      <c r="D1110" s="493">
        <f t="shared" si="342"/>
        <v>0</v>
      </c>
      <c r="E1110" s="437"/>
      <c r="F1110" s="439">
        <f t="shared" si="343"/>
        <v>0</v>
      </c>
      <c r="G1110" s="439">
        <f t="shared" si="344"/>
        <v>0</v>
      </c>
    </row>
    <row r="1111" spans="1:7" ht="19.899999999999999" customHeight="1" x14ac:dyDescent="0.2">
      <c r="A1111" s="482">
        <f t="shared" si="339"/>
        <v>0</v>
      </c>
      <c r="B1111" s="445">
        <f t="shared" si="340"/>
        <v>0</v>
      </c>
      <c r="C1111" s="436">
        <f t="shared" si="341"/>
        <v>0</v>
      </c>
      <c r="D1111" s="493">
        <f t="shared" si="342"/>
        <v>0</v>
      </c>
      <c r="E1111" s="437"/>
      <c r="F1111" s="439">
        <f t="shared" si="343"/>
        <v>0</v>
      </c>
      <c r="G1111" s="439">
        <f t="shared" si="344"/>
        <v>0</v>
      </c>
    </row>
    <row r="1112" spans="1:7" ht="19.899999999999999" customHeight="1" x14ac:dyDescent="0.2">
      <c r="A1112" s="482">
        <f t="shared" si="339"/>
        <v>0</v>
      </c>
      <c r="B1112" s="445">
        <f t="shared" si="340"/>
        <v>0</v>
      </c>
      <c r="C1112" s="436">
        <f t="shared" si="341"/>
        <v>0</v>
      </c>
      <c r="D1112" s="493">
        <f t="shared" si="342"/>
        <v>0</v>
      </c>
      <c r="E1112" s="437"/>
      <c r="F1112" s="439">
        <f t="shared" si="343"/>
        <v>0</v>
      </c>
      <c r="G1112" s="439">
        <f t="shared" si="344"/>
        <v>0</v>
      </c>
    </row>
    <row r="1113" spans="1:7" ht="19.899999999999999" customHeight="1" x14ac:dyDescent="0.2">
      <c r="A1113" s="482">
        <f t="shared" si="339"/>
        <v>0</v>
      </c>
      <c r="B1113" s="445">
        <f t="shared" si="340"/>
        <v>0</v>
      </c>
      <c r="C1113" s="436">
        <f t="shared" si="341"/>
        <v>0</v>
      </c>
      <c r="D1113" s="493">
        <f t="shared" si="342"/>
        <v>0</v>
      </c>
      <c r="E1113" s="437"/>
      <c r="F1113" s="439">
        <f t="shared" si="343"/>
        <v>0</v>
      </c>
      <c r="G1113" s="439">
        <f t="shared" si="344"/>
        <v>0</v>
      </c>
    </row>
    <row r="1114" spans="1:7" ht="19.899999999999999" customHeight="1" x14ac:dyDescent="0.2">
      <c r="A1114" s="482">
        <f t="shared" si="339"/>
        <v>0</v>
      </c>
      <c r="B1114" s="445">
        <f t="shared" si="340"/>
        <v>0</v>
      </c>
      <c r="C1114" s="436">
        <f t="shared" si="341"/>
        <v>0</v>
      </c>
      <c r="D1114" s="493">
        <f t="shared" si="342"/>
        <v>0</v>
      </c>
      <c r="E1114" s="437"/>
      <c r="F1114" s="439">
        <f t="shared" si="343"/>
        <v>0</v>
      </c>
      <c r="G1114" s="439">
        <f t="shared" si="344"/>
        <v>0</v>
      </c>
    </row>
    <row r="1115" spans="1:7" ht="19.899999999999999" customHeight="1" x14ac:dyDescent="0.2">
      <c r="A1115" s="480"/>
      <c r="B1115" s="139"/>
      <c r="C1115" s="139"/>
      <c r="D1115" s="426"/>
      <c r="E1115" s="427"/>
      <c r="F1115" s="448" t="s">
        <v>29</v>
      </c>
      <c r="G1115" s="485">
        <f>SUBTOTAL(9,G1104:G1114)</f>
        <v>0</v>
      </c>
    </row>
    <row r="1116" spans="1:7" ht="19.899999999999999" customHeight="1" x14ac:dyDescent="0.2">
      <c r="A1116" s="480"/>
      <c r="B1116" s="139"/>
      <c r="C1116" s="422" t="s">
        <v>983</v>
      </c>
      <c r="D1116" s="426"/>
      <c r="E1116" s="427"/>
      <c r="F1116" s="428"/>
      <c r="G1116" s="481"/>
    </row>
    <row r="1117" spans="1:7" ht="19.899999999999999" customHeight="1" x14ac:dyDescent="0.2">
      <c r="A1117" s="720" t="s">
        <v>576</v>
      </c>
      <c r="B1117" s="721"/>
      <c r="C1117" s="722" t="s">
        <v>0</v>
      </c>
      <c r="D1117" s="722" t="s">
        <v>1725</v>
      </c>
      <c r="E1117" s="724" t="s">
        <v>24</v>
      </c>
      <c r="F1117" s="726" t="s">
        <v>25</v>
      </c>
      <c r="G1117" s="728" t="s">
        <v>26</v>
      </c>
    </row>
    <row r="1118" spans="1:7" ht="19.899999999999999" customHeight="1" x14ac:dyDescent="0.2">
      <c r="A1118" s="444" t="s">
        <v>577</v>
      </c>
      <c r="B1118" s="444" t="s">
        <v>578</v>
      </c>
      <c r="C1118" s="723"/>
      <c r="D1118" s="723"/>
      <c r="E1118" s="725"/>
      <c r="F1118" s="727"/>
      <c r="G1118" s="729"/>
    </row>
    <row r="1119" spans="1:7" ht="19.899999999999999" customHeight="1" x14ac:dyDescent="0.2">
      <c r="A1119" s="482">
        <f>IFERROR(VLOOKUP(C1119,T_Insumos,4,FALSE),0)</f>
        <v>0</v>
      </c>
      <c r="B1119" s="445">
        <f>IFERROR(VLOOKUP(C1119,T_Insumos,5,FALSE),0)</f>
        <v>0</v>
      </c>
      <c r="C1119" s="436"/>
      <c r="D1119" s="493">
        <f>IF(C1119=0,0,"$/tnkm")</f>
        <v>0</v>
      </c>
      <c r="E1119" s="437"/>
      <c r="F1119" s="439">
        <f>IFERROR(VLOOKUP(C1119,T_Insumos,3,FALSE),0)</f>
        <v>0</v>
      </c>
      <c r="G1119" s="439">
        <f>ROUND(E1119*F1119,2)</f>
        <v>0</v>
      </c>
    </row>
    <row r="1120" spans="1:7" ht="19.899999999999999" customHeight="1" x14ac:dyDescent="0.2">
      <c r="A1120" s="482">
        <f>IFERROR(VLOOKUP(C1120,T_Insumos,4,FALSE),0)</f>
        <v>0</v>
      </c>
      <c r="B1120" s="445">
        <f>IFERROR(VLOOKUP(C1120,T_Insumos,5,FALSE),0)</f>
        <v>0</v>
      </c>
      <c r="C1120" s="436"/>
      <c r="D1120" s="493">
        <f>IF(C1120=0,0,"$/tnkm")</f>
        <v>0</v>
      </c>
      <c r="E1120" s="453"/>
      <c r="F1120" s="439">
        <f>IFERROR(VLOOKUP(C1120,T_Insumos,3,FALSE),0)</f>
        <v>0</v>
      </c>
      <c r="G1120" s="439">
        <f t="shared" ref="G1120" si="345">ROUND(E1120*F1120,2)</f>
        <v>0</v>
      </c>
    </row>
    <row r="1121" spans="1:7" ht="19.899999999999999" customHeight="1" x14ac:dyDescent="0.2">
      <c r="A1121" s="480"/>
      <c r="B1121" s="139"/>
      <c r="C1121" s="139"/>
      <c r="D1121" s="426"/>
      <c r="E1121" s="427"/>
      <c r="F1121" s="448" t="s">
        <v>984</v>
      </c>
      <c r="G1121" s="485">
        <f>SUBTOTAL(9,G1119:G1120)</f>
        <v>0</v>
      </c>
    </row>
    <row r="1122" spans="1:7" ht="19.899999999999999" customHeight="1" x14ac:dyDescent="0.2">
      <c r="A1122" s="483"/>
      <c r="B1122" s="426"/>
      <c r="C1122" s="139"/>
      <c r="D1122" s="426"/>
      <c r="E1122" s="427"/>
      <c r="F1122" s="428"/>
      <c r="G1122" s="481"/>
    </row>
    <row r="1123" spans="1:7" ht="19.899999999999999" customHeight="1" x14ac:dyDescent="0.2">
      <c r="A1123" s="541" t="str">
        <f>B1057</f>
        <v>3.3</v>
      </c>
      <c r="B1123" s="538" t="str">
        <f ca="1">C1057</f>
        <v>Demolición de Puentes</v>
      </c>
      <c r="C1123" s="426"/>
      <c r="D1123" s="426" t="s">
        <v>1704</v>
      </c>
      <c r="E1123" s="539"/>
      <c r="F1123" s="540" t="str">
        <f ca="1">"$/"&amp;G1057</f>
        <v>$/Gl</v>
      </c>
      <c r="G1123" s="490">
        <f>SUBTOTAL(9,G1080:G1122)</f>
        <v>0</v>
      </c>
    </row>
    <row r="1124" spans="1:7" ht="19.899999999999999" customHeight="1" x14ac:dyDescent="0.2">
      <c r="A1124" s="486"/>
      <c r="B1124" s="487"/>
      <c r="C1124" s="488"/>
      <c r="D1124" s="488" t="s">
        <v>1900</v>
      </c>
      <c r="E1124" s="489"/>
      <c r="F1124" s="542" t="str">
        <f ca="1">"$/"&amp;G1057</f>
        <v>$/Gl</v>
      </c>
      <c r="G1124" s="490">
        <f>ROUND(G1123*Coeficiente_Paso,2)</f>
        <v>0</v>
      </c>
    </row>
    <row r="1125" spans="1:7" ht="19.899999999999999" customHeight="1" x14ac:dyDescent="0.2">
      <c r="A1125" s="139"/>
      <c r="B1125" s="139"/>
      <c r="C1125" s="139"/>
      <c r="D1125" s="139"/>
      <c r="E1125" s="139"/>
      <c r="F1125" s="139"/>
      <c r="G1125" s="139"/>
    </row>
    <row r="1126" spans="1:7" ht="19.899999999999999" customHeight="1" x14ac:dyDescent="0.2">
      <c r="A1126" s="730" t="s">
        <v>31</v>
      </c>
      <c r="B1126" s="731"/>
      <c r="C1126" s="731"/>
      <c r="D1126" s="731"/>
      <c r="E1126" s="731"/>
      <c r="F1126" s="731"/>
      <c r="G1126" s="732"/>
    </row>
    <row r="1127" spans="1:7" ht="19.899999999999999" customHeight="1" x14ac:dyDescent="0.2">
      <c r="A1127" s="469" t="s">
        <v>711</v>
      </c>
      <c r="B1127" s="420" t="str">
        <f>Comitente</f>
        <v>DEPARTAMENTO DE HIDRAULICA</v>
      </c>
      <c r="C1127" s="421"/>
      <c r="D1127" s="422"/>
      <c r="E1127" s="422"/>
      <c r="F1127" s="423"/>
      <c r="G1127" s="470"/>
    </row>
    <row r="1128" spans="1:7" ht="19.899999999999999" customHeight="1" x14ac:dyDescent="0.2">
      <c r="A1128" s="469" t="s">
        <v>712</v>
      </c>
      <c r="B1128" s="420">
        <f>Contratista</f>
        <v>0</v>
      </c>
      <c r="C1128" s="424"/>
      <c r="D1128" s="424"/>
      <c r="E1128" s="424"/>
      <c r="F1128" s="420"/>
      <c r="G1128" s="471"/>
    </row>
    <row r="1129" spans="1:7" ht="19.899999999999999" customHeight="1" x14ac:dyDescent="0.2">
      <c r="A1129" s="469" t="s">
        <v>21</v>
      </c>
      <c r="B1129" s="420" t="str">
        <f>Obra</f>
        <v>Encamisado Parcial del Canal de Calle América</v>
      </c>
      <c r="C1129" s="424"/>
      <c r="D1129" s="424"/>
      <c r="E1129" s="424"/>
      <c r="F1129" s="420" t="s">
        <v>32</v>
      </c>
      <c r="G1129" s="471" t="str">
        <f>Fecha_Base</f>
        <v>X/X/2023</v>
      </c>
    </row>
    <row r="1130" spans="1:7" ht="19.899999999999999" customHeight="1" x14ac:dyDescent="0.2">
      <c r="A1130" s="472" t="s">
        <v>710</v>
      </c>
      <c r="B1130" s="425" t="str">
        <f>Ubicación</f>
        <v>Departamento Rawson</v>
      </c>
      <c r="C1130" s="425"/>
      <c r="D1130" s="426"/>
      <c r="E1130" s="427"/>
      <c r="F1130" s="428"/>
      <c r="G1130" s="473"/>
    </row>
    <row r="1131" spans="1:7" ht="19.899999999999999" customHeight="1" x14ac:dyDescent="0.2">
      <c r="A1131" s="472" t="s">
        <v>33</v>
      </c>
      <c r="B1131" s="429">
        <f>IFERROR(VALUE(LEFT(B1132,FIND(".",B1132)-1)),"")</f>
        <v>3</v>
      </c>
      <c r="C1131" s="139" t="str">
        <f ca="1">IFERROR(VLOOKUP(B1131,T_Computo_Presupuesto,2,FALSE),0)</f>
        <v>PUENTES DE HORMIGÓN</v>
      </c>
      <c r="D1131" s="139"/>
      <c r="E1131" s="427"/>
      <c r="F1131" s="428"/>
      <c r="G1131" s="473"/>
    </row>
    <row r="1132" spans="1:7" ht="19.899999999999999" customHeight="1" x14ac:dyDescent="0.2">
      <c r="A1132" s="472" t="s">
        <v>22</v>
      </c>
      <c r="B1132" s="430" t="str">
        <f>IFERROR(VLOOKUP(COUNTIF($A$1:A1132,"ANALISIS DE PRECIOS"),T_NumeroItem,2,FALSE),"")</f>
        <v>3.4</v>
      </c>
      <c r="C1132" s="733" t="str">
        <f ca="1">IFERROR(VLOOKUP(B1132,T_Computo_Presupuesto,2,FALSE),0)</f>
        <v>Relleno y Compactación con Cama de Asiento</v>
      </c>
      <c r="D1132" s="733"/>
      <c r="E1132" s="733"/>
      <c r="F1132" s="425" t="s">
        <v>23</v>
      </c>
      <c r="G1132" s="474" t="str">
        <f ca="1">IFERROR(VLOOKUP(B1132,T_Computo_Presupuesto,4,FALSE),0)</f>
        <v>M3</v>
      </c>
    </row>
    <row r="1133" spans="1:7" ht="19.899999999999999" customHeight="1" x14ac:dyDescent="0.2">
      <c r="A1133" s="472"/>
      <c r="B1133" s="425"/>
      <c r="C1133" s="139"/>
      <c r="D1133" s="426"/>
      <c r="E1133" s="427"/>
      <c r="F1133" s="139"/>
      <c r="G1133" s="475"/>
    </row>
    <row r="1134" spans="1:7" ht="19.899999999999999" customHeight="1" x14ac:dyDescent="0.2">
      <c r="A1134" s="476"/>
      <c r="B1134" s="431"/>
      <c r="C1134" s="432" t="s">
        <v>967</v>
      </c>
      <c r="D1134" s="431"/>
      <c r="E1134" s="431"/>
      <c r="F1134" s="431"/>
      <c r="G1134" s="477"/>
    </row>
    <row r="1135" spans="1:7" ht="19.899999999999999" customHeight="1" x14ac:dyDescent="0.2">
      <c r="A1135" s="472"/>
      <c r="B1135" s="433"/>
      <c r="C1135" s="139"/>
      <c r="D1135" s="426"/>
      <c r="E1135" s="427"/>
      <c r="F1135" s="425"/>
      <c r="G1135" s="474"/>
    </row>
    <row r="1136" spans="1:7" ht="19.899999999999999" customHeight="1" x14ac:dyDescent="0.2">
      <c r="A1136" s="472"/>
      <c r="B1136" s="433"/>
      <c r="C1136" s="434" t="s">
        <v>968</v>
      </c>
      <c r="D1136" s="435" t="s">
        <v>24</v>
      </c>
      <c r="E1136" s="435" t="s">
        <v>969</v>
      </c>
      <c r="F1136" s="435" t="s">
        <v>970</v>
      </c>
      <c r="G1136" s="434" t="s">
        <v>971</v>
      </c>
    </row>
    <row r="1137" spans="1:7" ht="19.899999999999999" customHeight="1" x14ac:dyDescent="0.2">
      <c r="A1137" s="472"/>
      <c r="B1137" s="433"/>
      <c r="C1137" s="436">
        <f>+C912</f>
        <v>0</v>
      </c>
      <c r="D1137" s="436">
        <f>+D912</f>
        <v>0</v>
      </c>
      <c r="E1137" s="438">
        <f t="shared" ref="E1137:E1146" si="346">IFERROR(VLOOKUP(C1137,T_Equipos,4,FALSE),0)</f>
        <v>0</v>
      </c>
      <c r="F1137" s="439">
        <f t="shared" ref="F1137:F1146" si="347">IFERROR(VLOOKUP(C1137,T_Equipos,5,FALSE),0)</f>
        <v>0</v>
      </c>
      <c r="G1137" s="439">
        <f>ROUND(D1137*F1137,2)</f>
        <v>0</v>
      </c>
    </row>
    <row r="1138" spans="1:7" ht="19.899999999999999" customHeight="1" x14ac:dyDescent="0.2">
      <c r="A1138" s="472"/>
      <c r="B1138" s="433"/>
      <c r="C1138" s="436">
        <f t="shared" ref="C1138:D1142" si="348">+C913</f>
        <v>0</v>
      </c>
      <c r="D1138" s="436">
        <f t="shared" si="348"/>
        <v>0</v>
      </c>
      <c r="E1138" s="438">
        <f t="shared" si="346"/>
        <v>0</v>
      </c>
      <c r="F1138" s="439">
        <f t="shared" si="347"/>
        <v>0</v>
      </c>
      <c r="G1138" s="439">
        <f>ROUND(D1138*F1138,2)</f>
        <v>0</v>
      </c>
    </row>
    <row r="1139" spans="1:7" ht="19.899999999999999" customHeight="1" x14ac:dyDescent="0.2">
      <c r="A1139" s="472"/>
      <c r="B1139" s="433"/>
      <c r="C1139" s="436">
        <f t="shared" si="348"/>
        <v>0</v>
      </c>
      <c r="D1139" s="436"/>
      <c r="E1139" s="438">
        <f t="shared" si="346"/>
        <v>0</v>
      </c>
      <c r="F1139" s="439">
        <f t="shared" si="347"/>
        <v>0</v>
      </c>
      <c r="G1139" s="439">
        <f>ROUND(D1139*F1139,2)</f>
        <v>0</v>
      </c>
    </row>
    <row r="1140" spans="1:7" ht="19.899999999999999" customHeight="1" x14ac:dyDescent="0.2">
      <c r="A1140" s="472"/>
      <c r="B1140" s="433"/>
      <c r="C1140" s="436">
        <f t="shared" si="348"/>
        <v>0</v>
      </c>
      <c r="D1140" s="436"/>
      <c r="E1140" s="438">
        <f t="shared" si="346"/>
        <v>0</v>
      </c>
      <c r="F1140" s="439">
        <f t="shared" si="347"/>
        <v>0</v>
      </c>
      <c r="G1140" s="439">
        <f>ROUND(D1140*F1140,2)</f>
        <v>0</v>
      </c>
    </row>
    <row r="1141" spans="1:7" ht="19.899999999999999" customHeight="1" x14ac:dyDescent="0.2">
      <c r="A1141" s="472"/>
      <c r="B1141" s="433"/>
      <c r="C1141" s="436">
        <f t="shared" si="348"/>
        <v>0</v>
      </c>
      <c r="D1141" s="436"/>
      <c r="E1141" s="438">
        <f t="shared" si="346"/>
        <v>0</v>
      </c>
      <c r="F1141" s="439">
        <f t="shared" si="347"/>
        <v>0</v>
      </c>
      <c r="G1141" s="439">
        <f t="shared" ref="G1141:G1146" si="349">ROUND(D1141*F1141,2)</f>
        <v>0</v>
      </c>
    </row>
    <row r="1142" spans="1:7" ht="19.899999999999999" customHeight="1" x14ac:dyDescent="0.2">
      <c r="A1142" s="472"/>
      <c r="B1142" s="433"/>
      <c r="C1142" s="436">
        <f t="shared" si="348"/>
        <v>0</v>
      </c>
      <c r="D1142" s="436"/>
      <c r="E1142" s="438">
        <f t="shared" si="346"/>
        <v>0</v>
      </c>
      <c r="F1142" s="439">
        <f t="shared" si="347"/>
        <v>0</v>
      </c>
      <c r="G1142" s="439">
        <f t="shared" si="349"/>
        <v>0</v>
      </c>
    </row>
    <row r="1143" spans="1:7" ht="19.899999999999999" customHeight="1" x14ac:dyDescent="0.2">
      <c r="A1143" s="472"/>
      <c r="B1143" s="433"/>
      <c r="C1143" s="436">
        <f t="shared" ref="C1143:D1143" si="350">+C918</f>
        <v>0</v>
      </c>
      <c r="D1143" s="436">
        <f t="shared" si="350"/>
        <v>0</v>
      </c>
      <c r="E1143" s="438">
        <f t="shared" si="346"/>
        <v>0</v>
      </c>
      <c r="F1143" s="439">
        <f t="shared" si="347"/>
        <v>0</v>
      </c>
      <c r="G1143" s="439">
        <f t="shared" si="349"/>
        <v>0</v>
      </c>
    </row>
    <row r="1144" spans="1:7" ht="19.899999999999999" customHeight="1" x14ac:dyDescent="0.2">
      <c r="A1144" s="472"/>
      <c r="B1144" s="433"/>
      <c r="C1144" s="436">
        <f t="shared" ref="C1144:D1144" si="351">+C919</f>
        <v>0</v>
      </c>
      <c r="D1144" s="436">
        <f t="shared" si="351"/>
        <v>0</v>
      </c>
      <c r="E1144" s="438">
        <f t="shared" si="346"/>
        <v>0</v>
      </c>
      <c r="F1144" s="439">
        <f t="shared" si="347"/>
        <v>0</v>
      </c>
      <c r="G1144" s="439">
        <f t="shared" si="349"/>
        <v>0</v>
      </c>
    </row>
    <row r="1145" spans="1:7" ht="19.899999999999999" customHeight="1" x14ac:dyDescent="0.2">
      <c r="A1145" s="472"/>
      <c r="B1145" s="433"/>
      <c r="C1145" s="436"/>
      <c r="D1145" s="437"/>
      <c r="E1145" s="438">
        <f t="shared" si="346"/>
        <v>0</v>
      </c>
      <c r="F1145" s="439">
        <f t="shared" si="347"/>
        <v>0</v>
      </c>
      <c r="G1145" s="439">
        <f t="shared" si="349"/>
        <v>0</v>
      </c>
    </row>
    <row r="1146" spans="1:7" ht="19.899999999999999" customHeight="1" x14ac:dyDescent="0.2">
      <c r="A1146" s="472"/>
      <c r="B1146" s="433"/>
      <c r="C1146" s="436"/>
      <c r="D1146" s="437"/>
      <c r="E1146" s="438">
        <f t="shared" si="346"/>
        <v>0</v>
      </c>
      <c r="F1146" s="439">
        <f t="shared" si="347"/>
        <v>0</v>
      </c>
      <c r="G1146" s="439">
        <f t="shared" si="349"/>
        <v>0</v>
      </c>
    </row>
    <row r="1147" spans="1:7" ht="19.899999999999999" customHeight="1" x14ac:dyDescent="0.2">
      <c r="A1147" s="472"/>
      <c r="B1147" s="433"/>
      <c r="C1147" s="139"/>
      <c r="D1147" s="139"/>
      <c r="E1147" s="440"/>
      <c r="F1147" s="425"/>
      <c r="G1147" s="474"/>
    </row>
    <row r="1148" spans="1:7" ht="19.899999999999999" customHeight="1" x14ac:dyDescent="0.2">
      <c r="A1148" s="472"/>
      <c r="B1148" s="139"/>
      <c r="C1148" s="422" t="s">
        <v>972</v>
      </c>
      <c r="D1148" s="425" t="s">
        <v>969</v>
      </c>
      <c r="E1148" s="491">
        <f>SUMPRODUCT(D1137:D1146,E1137:E1146)</f>
        <v>0</v>
      </c>
      <c r="F1148" s="425" t="s">
        <v>973</v>
      </c>
      <c r="G1148" s="492">
        <f>SUM(G1137:G1146)</f>
        <v>0</v>
      </c>
    </row>
    <row r="1149" spans="1:7" ht="19.899999999999999" customHeight="1" x14ac:dyDescent="0.2">
      <c r="A1149" s="472"/>
      <c r="B1149" s="433"/>
      <c r="C1149" s="441"/>
      <c r="D1149" s="440"/>
      <c r="E1149" s="427"/>
      <c r="F1149" s="425"/>
      <c r="G1149" s="478"/>
    </row>
    <row r="1150" spans="1:7" ht="19.899999999999999" customHeight="1" x14ac:dyDescent="0.2">
      <c r="A1150" s="479"/>
      <c r="B1150" s="433"/>
      <c r="C1150" s="425" t="s">
        <v>974</v>
      </c>
      <c r="D1150" s="442">
        <f>IFERROR(VLOOKUP(COUNTIF($A$1:A1150,"ANALISIS DE PRECIOS"),T_Rendimiento_Equipo,5,FALSE),0)</f>
        <v>0</v>
      </c>
      <c r="E1150" s="443" t="str">
        <f ca="1">G1132&amp;"/día"</f>
        <v>M3/día</v>
      </c>
      <c r="F1150" s="419"/>
      <c r="G1150" s="474"/>
    </row>
    <row r="1151" spans="1:7" ht="19.899999999999999" customHeight="1" x14ac:dyDescent="0.2">
      <c r="A1151" s="472"/>
      <c r="B1151" s="433"/>
      <c r="C1151" s="139"/>
      <c r="D1151" s="426"/>
      <c r="E1151" s="427"/>
      <c r="F1151" s="425"/>
      <c r="G1151" s="474"/>
    </row>
    <row r="1152" spans="1:7" ht="19.899999999999999" customHeight="1" x14ac:dyDescent="0.2">
      <c r="A1152" s="720" t="s">
        <v>576</v>
      </c>
      <c r="B1152" s="721"/>
      <c r="C1152" s="722" t="s">
        <v>0</v>
      </c>
      <c r="D1152" s="734" t="s">
        <v>1724</v>
      </c>
      <c r="E1152" s="734" t="s">
        <v>1723</v>
      </c>
      <c r="F1152" s="726" t="s">
        <v>975</v>
      </c>
      <c r="G1152" s="728" t="s">
        <v>26</v>
      </c>
    </row>
    <row r="1153" spans="1:7" ht="19.899999999999999" customHeight="1" x14ac:dyDescent="0.2">
      <c r="A1153" s="444" t="s">
        <v>577</v>
      </c>
      <c r="B1153" s="444" t="s">
        <v>578</v>
      </c>
      <c r="C1153" s="723"/>
      <c r="D1153" s="735"/>
      <c r="E1153" s="725"/>
      <c r="F1153" s="727"/>
      <c r="G1153" s="729"/>
    </row>
    <row r="1154" spans="1:7" ht="19.899999999999999" customHeight="1" x14ac:dyDescent="0.2">
      <c r="A1154" s="480"/>
      <c r="B1154" s="139"/>
      <c r="C1154" s="422" t="s">
        <v>976</v>
      </c>
      <c r="D1154" s="427"/>
      <c r="E1154" s="427"/>
      <c r="F1154" s="139"/>
      <c r="G1154" s="481"/>
    </row>
    <row r="1155" spans="1:7" ht="19.899999999999999" customHeight="1" x14ac:dyDescent="0.2">
      <c r="A1155" s="482">
        <f t="shared" ref="A1155:A1163" si="352">IFERROR(VLOOKUP(C1155,T_Insumos,4,FALSE),0)</f>
        <v>0</v>
      </c>
      <c r="B1155" s="445">
        <f t="shared" ref="B1155:B1163" si="353">IFERROR(VLOOKUP(C1155,T_Insumos,5,FALSE),0)</f>
        <v>0</v>
      </c>
      <c r="C1155" s="436">
        <f>+C855</f>
        <v>0</v>
      </c>
      <c r="D1155" s="446">
        <f t="shared" ref="D1155:D1163" si="354">IFERROR(VLOOKUP(C1155,T_Insumos,3,FALSE),0)</f>
        <v>0</v>
      </c>
      <c r="E1155" s="439">
        <f>D1155*$G$323</f>
        <v>0</v>
      </c>
      <c r="F1155" s="442">
        <f>IF(C1155="",0,IFERROR(VLOOKUP(COUNTIF($A$1:A1155,"ANALISIS DE PRECIOS"),T_Rendimiento_Equipo,5,FALSE),0))</f>
        <v>0</v>
      </c>
      <c r="G1155" s="439">
        <f>IFERROR(ROUND(E1155/F1155,2),0)</f>
        <v>0</v>
      </c>
    </row>
    <row r="1156" spans="1:7" ht="19.899999999999999" customHeight="1" x14ac:dyDescent="0.2">
      <c r="A1156" s="482">
        <f t="shared" si="352"/>
        <v>0</v>
      </c>
      <c r="B1156" s="445">
        <f t="shared" si="353"/>
        <v>0</v>
      </c>
      <c r="C1156" s="436">
        <f t="shared" ref="C1156:C1158" si="355">+C856</f>
        <v>0</v>
      </c>
      <c r="D1156" s="446">
        <f t="shared" si="354"/>
        <v>0</v>
      </c>
      <c r="E1156" s="439">
        <f t="shared" ref="E1156:E1157" si="356">D1156*$G$323</f>
        <v>0</v>
      </c>
      <c r="F1156" s="442">
        <f>IF(C1156="",0,IFERROR(VLOOKUP(COUNTIF($A$1:A1156,"ANALISIS DE PRECIOS"),T_Rendimiento_Equipo,5,FALSE),0))</f>
        <v>0</v>
      </c>
      <c r="G1156" s="439">
        <f t="shared" ref="G1156:G1163" si="357">IFERROR(ROUND(E1156/F1156,2),0)</f>
        <v>0</v>
      </c>
    </row>
    <row r="1157" spans="1:7" ht="19.899999999999999" customHeight="1" x14ac:dyDescent="0.2">
      <c r="A1157" s="482">
        <f t="shared" si="352"/>
        <v>0</v>
      </c>
      <c r="B1157" s="445">
        <f t="shared" si="353"/>
        <v>0</v>
      </c>
      <c r="C1157" s="436">
        <f t="shared" si="355"/>
        <v>0</v>
      </c>
      <c r="D1157" s="446">
        <f t="shared" si="354"/>
        <v>0</v>
      </c>
      <c r="E1157" s="439">
        <f t="shared" si="356"/>
        <v>0</v>
      </c>
      <c r="F1157" s="442">
        <f>IF(C1157="",0,IFERROR(VLOOKUP(COUNTIF($A$1:A1157,"ANALISIS DE PRECIOS"),T_Rendimiento_Equipo,5,FALSE),0))</f>
        <v>0</v>
      </c>
      <c r="G1157" s="439">
        <f t="shared" si="357"/>
        <v>0</v>
      </c>
    </row>
    <row r="1158" spans="1:7" ht="19.899999999999999" customHeight="1" x14ac:dyDescent="0.2">
      <c r="A1158" s="482">
        <f t="shared" si="352"/>
        <v>0</v>
      </c>
      <c r="B1158" s="445">
        <f t="shared" si="353"/>
        <v>0</v>
      </c>
      <c r="C1158" s="436">
        <f t="shared" si="355"/>
        <v>0</v>
      </c>
      <c r="D1158" s="446">
        <f t="shared" si="354"/>
        <v>0</v>
      </c>
      <c r="E1158" s="439">
        <f>D1158*$E$323</f>
        <v>0</v>
      </c>
      <c r="F1158" s="442">
        <f>IF(C1158="",0,IFERROR(VLOOKUP(COUNTIF($A$1:A1158,"ANALISIS DE PRECIOS"),T_Rendimiento_Equipo,5,FALSE),0))</f>
        <v>0</v>
      </c>
      <c r="G1158" s="439">
        <f t="shared" si="357"/>
        <v>0</v>
      </c>
    </row>
    <row r="1159" spans="1:7" ht="19.899999999999999" customHeight="1" x14ac:dyDescent="0.2">
      <c r="A1159" s="482">
        <f t="shared" si="352"/>
        <v>0</v>
      </c>
      <c r="B1159" s="445">
        <f t="shared" si="353"/>
        <v>0</v>
      </c>
      <c r="C1159" s="447"/>
      <c r="D1159" s="446">
        <f t="shared" si="354"/>
        <v>0</v>
      </c>
      <c r="E1159" s="439"/>
      <c r="F1159" s="442">
        <f>IF(C1159="",0,IFERROR(VLOOKUP(COUNTIF($A$1:A1159,"ANALISIS DE PRECIOS"),T_Rendimiento_Equipo,5,FALSE),0))</f>
        <v>0</v>
      </c>
      <c r="G1159" s="439">
        <f t="shared" si="357"/>
        <v>0</v>
      </c>
    </row>
    <row r="1160" spans="1:7" ht="19.899999999999999" customHeight="1" x14ac:dyDescent="0.2">
      <c r="A1160" s="482">
        <f t="shared" si="352"/>
        <v>0</v>
      </c>
      <c r="B1160" s="445">
        <f t="shared" si="353"/>
        <v>0</v>
      </c>
      <c r="C1160" s="447"/>
      <c r="D1160" s="446">
        <f t="shared" si="354"/>
        <v>0</v>
      </c>
      <c r="E1160" s="439"/>
      <c r="F1160" s="442">
        <f>IF(C1160="",0,IFERROR(VLOOKUP(COUNTIF($A$1:A1160,"ANALISIS DE PRECIOS"),T_Rendimiento_Equipo,5,FALSE),0))</f>
        <v>0</v>
      </c>
      <c r="G1160" s="439">
        <f t="shared" si="357"/>
        <v>0</v>
      </c>
    </row>
    <row r="1161" spans="1:7" ht="19.899999999999999" customHeight="1" x14ac:dyDescent="0.2">
      <c r="A1161" s="482">
        <f t="shared" si="352"/>
        <v>0</v>
      </c>
      <c r="B1161" s="445">
        <f t="shared" si="353"/>
        <v>0</v>
      </c>
      <c r="C1161" s="447"/>
      <c r="D1161" s="446">
        <f t="shared" si="354"/>
        <v>0</v>
      </c>
      <c r="E1161" s="439"/>
      <c r="F1161" s="442">
        <f>IF(C1161="",0,IFERROR(VLOOKUP(COUNTIF($A$1:A1161,"ANALISIS DE PRECIOS"),T_Rendimiento_Equipo,5,FALSE),0))</f>
        <v>0</v>
      </c>
      <c r="G1161" s="439">
        <f t="shared" si="357"/>
        <v>0</v>
      </c>
    </row>
    <row r="1162" spans="1:7" ht="19.899999999999999" customHeight="1" x14ac:dyDescent="0.2">
      <c r="A1162" s="482">
        <f t="shared" si="352"/>
        <v>0</v>
      </c>
      <c r="B1162" s="445">
        <f t="shared" si="353"/>
        <v>0</v>
      </c>
      <c r="C1162" s="447"/>
      <c r="D1162" s="446">
        <f t="shared" si="354"/>
        <v>0</v>
      </c>
      <c r="E1162" s="439"/>
      <c r="F1162" s="442">
        <f>IF(C1162="",0,IFERROR(VLOOKUP(COUNTIF($A$1:A1162,"ANALISIS DE PRECIOS"),T_Rendimiento_Equipo,5,FALSE),0))</f>
        <v>0</v>
      </c>
      <c r="G1162" s="439">
        <f t="shared" si="357"/>
        <v>0</v>
      </c>
    </row>
    <row r="1163" spans="1:7" ht="19.899999999999999" customHeight="1" x14ac:dyDescent="0.2">
      <c r="A1163" s="482">
        <f t="shared" si="352"/>
        <v>0</v>
      </c>
      <c r="B1163" s="445">
        <f t="shared" si="353"/>
        <v>0</v>
      </c>
      <c r="C1163" s="436"/>
      <c r="D1163" s="446">
        <f t="shared" si="354"/>
        <v>0</v>
      </c>
      <c r="E1163" s="439"/>
      <c r="F1163" s="442">
        <f>IF(C1163="",0,IFERROR(VLOOKUP(COUNTIF($A$1:A1163,"ANALISIS DE PRECIOS"),T_Rendimiento_Equipo,5,FALSE),0))</f>
        <v>0</v>
      </c>
      <c r="G1163" s="439">
        <f t="shared" si="357"/>
        <v>0</v>
      </c>
    </row>
    <row r="1164" spans="1:7" ht="19.899999999999999" customHeight="1" x14ac:dyDescent="0.2">
      <c r="A1164" s="483"/>
      <c r="B1164" s="426"/>
      <c r="C1164" s="139"/>
      <c r="D1164" s="426"/>
      <c r="E1164" s="427"/>
      <c r="F1164" s="448" t="s">
        <v>27</v>
      </c>
      <c r="G1164" s="484">
        <f>SUBTOTAL(9,G1155:G1163)</f>
        <v>0</v>
      </c>
    </row>
    <row r="1165" spans="1:7" ht="19.899999999999999" customHeight="1" x14ac:dyDescent="0.2">
      <c r="A1165" s="480"/>
      <c r="B1165" s="139"/>
      <c r="C1165" s="422" t="s">
        <v>713</v>
      </c>
      <c r="D1165" s="426"/>
      <c r="E1165" s="427"/>
      <c r="F1165" s="428"/>
      <c r="G1165" s="481"/>
    </row>
    <row r="1166" spans="1:7" ht="19.899999999999999" customHeight="1" x14ac:dyDescent="0.2">
      <c r="A1166" s="720" t="s">
        <v>576</v>
      </c>
      <c r="B1166" s="721"/>
      <c r="C1166" s="722" t="s">
        <v>0</v>
      </c>
      <c r="D1166" s="724" t="s">
        <v>24</v>
      </c>
      <c r="E1166" s="724" t="s">
        <v>1964</v>
      </c>
      <c r="F1166" s="726" t="s">
        <v>975</v>
      </c>
      <c r="G1166" s="728" t="s">
        <v>26</v>
      </c>
    </row>
    <row r="1167" spans="1:7" ht="19.899999999999999" customHeight="1" x14ac:dyDescent="0.2">
      <c r="A1167" s="444" t="s">
        <v>577</v>
      </c>
      <c r="B1167" s="444" t="s">
        <v>578</v>
      </c>
      <c r="C1167" s="723"/>
      <c r="D1167" s="725"/>
      <c r="E1167" s="725"/>
      <c r="F1167" s="727"/>
      <c r="G1167" s="729"/>
    </row>
    <row r="1168" spans="1:7" ht="19.899999999999999" customHeight="1" x14ac:dyDescent="0.2">
      <c r="A1168" s="482">
        <f t="shared" ref="A1168:A1174" si="358">IFERROR(VLOOKUP(C1168,T_Insumos,4,FALSE),0)</f>
        <v>0</v>
      </c>
      <c r="B1168" s="445">
        <f t="shared" ref="B1168:B1174" si="359">IFERROR(VLOOKUP(C1168,T_Insumos,5,FALSE),0)</f>
        <v>0</v>
      </c>
      <c r="C1168" s="436">
        <f t="shared" ref="C1168:C1171" si="360">+C943</f>
        <v>0</v>
      </c>
      <c r="D1168" s="442"/>
      <c r="E1168" s="439">
        <f t="shared" ref="E1168:E1174" si="361">IFERROR(VLOOKUP(C1168,T_Insumos,3,FALSE),0)</f>
        <v>0</v>
      </c>
      <c r="F1168" s="442">
        <f>IF(C1168="",0,IFERROR(VLOOKUP(COUNTIF($A$1:A1168,"ANALISIS DE PRECIOS"),T_Rendimiento_Equipo,5,FALSE),0))</f>
        <v>0</v>
      </c>
      <c r="G1168" s="439">
        <f>IFERROR(ROUND(D1168*E1168/F1168,2),0)</f>
        <v>0</v>
      </c>
    </row>
    <row r="1169" spans="1:7" ht="19.899999999999999" customHeight="1" x14ac:dyDescent="0.2">
      <c r="A1169" s="482">
        <f t="shared" si="358"/>
        <v>0</v>
      </c>
      <c r="B1169" s="445">
        <f t="shared" si="359"/>
        <v>0</v>
      </c>
      <c r="C1169" s="436">
        <f t="shared" si="360"/>
        <v>0</v>
      </c>
      <c r="D1169" s="442">
        <v>1</v>
      </c>
      <c r="E1169" s="439">
        <f t="shared" si="361"/>
        <v>0</v>
      </c>
      <c r="F1169" s="442">
        <f>IF(C1169="",0,IFERROR(VLOOKUP(COUNTIF($A$1:A1169,"ANALISIS DE PRECIOS"),T_Rendimiento_Equipo,5,FALSE),0))</f>
        <v>0</v>
      </c>
      <c r="G1169" s="439">
        <f>IFERROR(ROUND(D1169*E1169/F1169,2),0)</f>
        <v>0</v>
      </c>
    </row>
    <row r="1170" spans="1:7" ht="19.899999999999999" customHeight="1" x14ac:dyDescent="0.2">
      <c r="A1170" s="482">
        <f t="shared" si="358"/>
        <v>0</v>
      </c>
      <c r="B1170" s="445">
        <f t="shared" si="359"/>
        <v>0</v>
      </c>
      <c r="C1170" s="436">
        <f t="shared" si="360"/>
        <v>0</v>
      </c>
      <c r="D1170" s="442"/>
      <c r="E1170" s="439">
        <f t="shared" si="361"/>
        <v>0</v>
      </c>
      <c r="F1170" s="442">
        <f>IF(C1170="",0,IFERROR(VLOOKUP(COUNTIF($A$1:A1170,"ANALISIS DE PRECIOS"),T_Rendimiento_Equipo,5,FALSE),0))</f>
        <v>0</v>
      </c>
      <c r="G1170" s="439">
        <f t="shared" ref="G1170:G1174" si="362">IFERROR(ROUND(D1170*E1170/F1170,2),0)</f>
        <v>0</v>
      </c>
    </row>
    <row r="1171" spans="1:7" ht="19.899999999999999" customHeight="1" x14ac:dyDescent="0.2">
      <c r="A1171" s="482">
        <f t="shared" si="358"/>
        <v>0</v>
      </c>
      <c r="B1171" s="445">
        <f t="shared" si="359"/>
        <v>0</v>
      </c>
      <c r="C1171" s="436">
        <f t="shared" si="360"/>
        <v>0</v>
      </c>
      <c r="D1171" s="442">
        <v>2</v>
      </c>
      <c r="E1171" s="439">
        <f t="shared" si="361"/>
        <v>0</v>
      </c>
      <c r="F1171" s="442">
        <f>IF(C1171="",0,IFERROR(VLOOKUP(COUNTIF($A$1:A1171,"ANALISIS DE PRECIOS"),T_Rendimiento_Equipo,5,FALSE),0))</f>
        <v>0</v>
      </c>
      <c r="G1171" s="439">
        <f t="shared" si="362"/>
        <v>0</v>
      </c>
    </row>
    <row r="1172" spans="1:7" ht="19.899999999999999" customHeight="1" x14ac:dyDescent="0.2">
      <c r="A1172" s="482">
        <f t="shared" si="358"/>
        <v>0</v>
      </c>
      <c r="B1172" s="445">
        <f t="shared" si="359"/>
        <v>0</v>
      </c>
      <c r="C1172" s="436"/>
      <c r="D1172" s="442"/>
      <c r="E1172" s="439">
        <f t="shared" si="361"/>
        <v>0</v>
      </c>
      <c r="F1172" s="442">
        <f>IF(C1172="",0,IFERROR(VLOOKUP(COUNTIF($A$1:A1172,"ANALISIS DE PRECIOS"),T_Rendimiento_Equipo,5,FALSE),0))</f>
        <v>0</v>
      </c>
      <c r="G1172" s="439">
        <f t="shared" si="362"/>
        <v>0</v>
      </c>
    </row>
    <row r="1173" spans="1:7" ht="19.899999999999999" customHeight="1" x14ac:dyDescent="0.2">
      <c r="A1173" s="482">
        <f t="shared" si="358"/>
        <v>0</v>
      </c>
      <c r="B1173" s="445">
        <f t="shared" si="359"/>
        <v>0</v>
      </c>
      <c r="C1173" s="436"/>
      <c r="D1173" s="450"/>
      <c r="E1173" s="439">
        <f t="shared" si="361"/>
        <v>0</v>
      </c>
      <c r="F1173" s="442">
        <f>IF(C1173="",0,IFERROR(VLOOKUP(COUNTIF($A$1:A1173,"ANALISIS DE PRECIOS"),T_Rendimiento_Equipo,5,FALSE),0))</f>
        <v>0</v>
      </c>
      <c r="G1173" s="439">
        <f t="shared" si="362"/>
        <v>0</v>
      </c>
    </row>
    <row r="1174" spans="1:7" ht="19.899999999999999" customHeight="1" x14ac:dyDescent="0.2">
      <c r="A1174" s="482">
        <f t="shared" si="358"/>
        <v>0</v>
      </c>
      <c r="B1174" s="445">
        <f t="shared" si="359"/>
        <v>0</v>
      </c>
      <c r="C1174" s="445"/>
      <c r="D1174" s="451"/>
      <c r="E1174" s="439">
        <f t="shared" si="361"/>
        <v>0</v>
      </c>
      <c r="F1174" s="442">
        <f>IF(C1174="",0,IFERROR(VLOOKUP(COUNTIF($A$1:A1174,"ANALISIS DE PRECIOS"),T_Rendimiento_Equipo,5,FALSE),0))</f>
        <v>0</v>
      </c>
      <c r="G1174" s="439">
        <f t="shared" si="362"/>
        <v>0</v>
      </c>
    </row>
    <row r="1175" spans="1:7" ht="19.899999999999999" customHeight="1" x14ac:dyDescent="0.2">
      <c r="A1175" s="483"/>
      <c r="B1175" s="426"/>
      <c r="C1175" s="139"/>
      <c r="D1175" s="426"/>
      <c r="E1175" s="427"/>
      <c r="F1175" s="448" t="s">
        <v>28</v>
      </c>
      <c r="G1175" s="485">
        <f>SUBTOTAL(9,G1168:G1174)</f>
        <v>0</v>
      </c>
    </row>
    <row r="1176" spans="1:7" ht="19.899999999999999" customHeight="1" x14ac:dyDescent="0.2">
      <c r="A1176" s="480"/>
      <c r="B1176" s="139"/>
      <c r="C1176" s="422" t="s">
        <v>982</v>
      </c>
      <c r="D1176" s="426"/>
      <c r="E1176" s="427"/>
      <c r="F1176" s="428"/>
      <c r="G1176" s="481"/>
    </row>
    <row r="1177" spans="1:7" ht="19.899999999999999" customHeight="1" x14ac:dyDescent="0.2">
      <c r="A1177" s="720" t="s">
        <v>576</v>
      </c>
      <c r="B1177" s="721"/>
      <c r="C1177" s="722" t="s">
        <v>0</v>
      </c>
      <c r="D1177" s="722" t="s">
        <v>1725</v>
      </c>
      <c r="E1177" s="724" t="s">
        <v>24</v>
      </c>
      <c r="F1177" s="726" t="s">
        <v>25</v>
      </c>
      <c r="G1177" s="728" t="s">
        <v>26</v>
      </c>
    </row>
    <row r="1178" spans="1:7" ht="19.899999999999999" customHeight="1" x14ac:dyDescent="0.2">
      <c r="A1178" s="444" t="s">
        <v>577</v>
      </c>
      <c r="B1178" s="444" t="s">
        <v>578</v>
      </c>
      <c r="C1178" s="723"/>
      <c r="D1178" s="723"/>
      <c r="E1178" s="725"/>
      <c r="F1178" s="727"/>
      <c r="G1178" s="729"/>
    </row>
    <row r="1179" spans="1:7" ht="19.899999999999999" customHeight="1" x14ac:dyDescent="0.2">
      <c r="A1179" s="482">
        <f t="shared" ref="A1179:A1189" si="363">IFERROR(VLOOKUP(C1179,T_Insumos,4,FALSE),0)</f>
        <v>0</v>
      </c>
      <c r="B1179" s="445">
        <f t="shared" ref="B1179:B1189" si="364">IFERROR(VLOOKUP(C1179,T_Insumos,5,FALSE),0)</f>
        <v>0</v>
      </c>
      <c r="C1179" s="436">
        <f t="shared" ref="C1179:C1189" si="365">+C954</f>
        <v>0</v>
      </c>
      <c r="D1179" s="493">
        <f t="shared" ref="D1179:D1189" si="366">IFERROR(VLOOKUP(C1179,T_Insumos,2,FALSE),0)</f>
        <v>0</v>
      </c>
      <c r="E1179" s="437"/>
      <c r="F1179" s="439">
        <f t="shared" ref="F1179:F1189" si="367">IFERROR(VLOOKUP(C1179,T_Insumos,3,FALSE),0)</f>
        <v>0</v>
      </c>
      <c r="G1179" s="439">
        <f>ROUND(E1179*F1179,2)</f>
        <v>0</v>
      </c>
    </row>
    <row r="1180" spans="1:7" ht="19.899999999999999" customHeight="1" x14ac:dyDescent="0.2">
      <c r="A1180" s="482">
        <f t="shared" si="363"/>
        <v>0</v>
      </c>
      <c r="B1180" s="445">
        <f t="shared" si="364"/>
        <v>0</v>
      </c>
      <c r="C1180" s="436">
        <f t="shared" si="365"/>
        <v>0</v>
      </c>
      <c r="D1180" s="493">
        <f t="shared" si="366"/>
        <v>0</v>
      </c>
      <c r="E1180" s="437"/>
      <c r="F1180" s="439">
        <f t="shared" si="367"/>
        <v>0</v>
      </c>
      <c r="G1180" s="439">
        <f t="shared" ref="G1180:G1189" si="368">ROUND(E1180*F1180,2)</f>
        <v>0</v>
      </c>
    </row>
    <row r="1181" spans="1:7" ht="19.899999999999999" customHeight="1" x14ac:dyDescent="0.2">
      <c r="A1181" s="482">
        <f t="shared" si="363"/>
        <v>0</v>
      </c>
      <c r="B1181" s="445">
        <f t="shared" si="364"/>
        <v>0</v>
      </c>
      <c r="C1181" s="436">
        <f t="shared" si="365"/>
        <v>0</v>
      </c>
      <c r="D1181" s="493">
        <f t="shared" si="366"/>
        <v>0</v>
      </c>
      <c r="E1181" s="437"/>
      <c r="F1181" s="439">
        <f t="shared" si="367"/>
        <v>0</v>
      </c>
      <c r="G1181" s="439">
        <f t="shared" si="368"/>
        <v>0</v>
      </c>
    </row>
    <row r="1182" spans="1:7" ht="19.899999999999999" customHeight="1" x14ac:dyDescent="0.2">
      <c r="A1182" s="482">
        <f t="shared" si="363"/>
        <v>0</v>
      </c>
      <c r="B1182" s="445">
        <f t="shared" si="364"/>
        <v>0</v>
      </c>
      <c r="C1182" s="436">
        <f t="shared" si="365"/>
        <v>0</v>
      </c>
      <c r="D1182" s="493">
        <f t="shared" si="366"/>
        <v>0</v>
      </c>
      <c r="E1182" s="437"/>
      <c r="F1182" s="439">
        <f t="shared" si="367"/>
        <v>0</v>
      </c>
      <c r="G1182" s="439">
        <f t="shared" si="368"/>
        <v>0</v>
      </c>
    </row>
    <row r="1183" spans="1:7" ht="19.899999999999999" customHeight="1" x14ac:dyDescent="0.2">
      <c r="A1183" s="482">
        <f t="shared" si="363"/>
        <v>0</v>
      </c>
      <c r="B1183" s="445">
        <f t="shared" si="364"/>
        <v>0</v>
      </c>
      <c r="C1183" s="436">
        <f t="shared" si="365"/>
        <v>0</v>
      </c>
      <c r="D1183" s="493">
        <f t="shared" si="366"/>
        <v>0</v>
      </c>
      <c r="E1183" s="437"/>
      <c r="F1183" s="439">
        <f t="shared" si="367"/>
        <v>0</v>
      </c>
      <c r="G1183" s="439">
        <f t="shared" si="368"/>
        <v>0</v>
      </c>
    </row>
    <row r="1184" spans="1:7" ht="19.899999999999999" customHeight="1" x14ac:dyDescent="0.2">
      <c r="A1184" s="482">
        <f t="shared" si="363"/>
        <v>0</v>
      </c>
      <c r="B1184" s="445">
        <f t="shared" si="364"/>
        <v>0</v>
      </c>
      <c r="C1184" s="436">
        <f t="shared" si="365"/>
        <v>0</v>
      </c>
      <c r="D1184" s="493">
        <f t="shared" si="366"/>
        <v>0</v>
      </c>
      <c r="E1184" s="437"/>
      <c r="F1184" s="439">
        <f t="shared" si="367"/>
        <v>0</v>
      </c>
      <c r="G1184" s="439">
        <f t="shared" si="368"/>
        <v>0</v>
      </c>
    </row>
    <row r="1185" spans="1:7" ht="19.899999999999999" customHeight="1" x14ac:dyDescent="0.2">
      <c r="A1185" s="482">
        <f t="shared" si="363"/>
        <v>0</v>
      </c>
      <c r="B1185" s="445">
        <f t="shared" si="364"/>
        <v>0</v>
      </c>
      <c r="C1185" s="436">
        <f t="shared" si="365"/>
        <v>0</v>
      </c>
      <c r="D1185" s="493">
        <f t="shared" si="366"/>
        <v>0</v>
      </c>
      <c r="E1185" s="437"/>
      <c r="F1185" s="439">
        <f t="shared" si="367"/>
        <v>0</v>
      </c>
      <c r="G1185" s="439">
        <f t="shared" si="368"/>
        <v>0</v>
      </c>
    </row>
    <row r="1186" spans="1:7" ht="19.899999999999999" customHeight="1" x14ac:dyDescent="0.2">
      <c r="A1186" s="482">
        <f t="shared" si="363"/>
        <v>0</v>
      </c>
      <c r="B1186" s="445">
        <f t="shared" si="364"/>
        <v>0</v>
      </c>
      <c r="C1186" s="436">
        <f t="shared" si="365"/>
        <v>0</v>
      </c>
      <c r="D1186" s="493">
        <f t="shared" si="366"/>
        <v>0</v>
      </c>
      <c r="E1186" s="437"/>
      <c r="F1186" s="439">
        <f t="shared" si="367"/>
        <v>0</v>
      </c>
      <c r="G1186" s="439">
        <f t="shared" si="368"/>
        <v>0</v>
      </c>
    </row>
    <row r="1187" spans="1:7" ht="19.899999999999999" customHeight="1" x14ac:dyDescent="0.2">
      <c r="A1187" s="482">
        <f t="shared" si="363"/>
        <v>0</v>
      </c>
      <c r="B1187" s="445">
        <f t="shared" si="364"/>
        <v>0</v>
      </c>
      <c r="C1187" s="436">
        <f t="shared" si="365"/>
        <v>0</v>
      </c>
      <c r="D1187" s="493">
        <f t="shared" si="366"/>
        <v>0</v>
      </c>
      <c r="E1187" s="437"/>
      <c r="F1187" s="439">
        <f t="shared" si="367"/>
        <v>0</v>
      </c>
      <c r="G1187" s="439">
        <f t="shared" si="368"/>
        <v>0</v>
      </c>
    </row>
    <row r="1188" spans="1:7" ht="19.899999999999999" customHeight="1" x14ac:dyDescent="0.2">
      <c r="A1188" s="482">
        <f t="shared" si="363"/>
        <v>0</v>
      </c>
      <c r="B1188" s="445">
        <f t="shared" si="364"/>
        <v>0</v>
      </c>
      <c r="C1188" s="436">
        <f t="shared" si="365"/>
        <v>0</v>
      </c>
      <c r="D1188" s="493">
        <f t="shared" si="366"/>
        <v>0</v>
      </c>
      <c r="E1188" s="437"/>
      <c r="F1188" s="439">
        <f t="shared" si="367"/>
        <v>0</v>
      </c>
      <c r="G1188" s="439">
        <f t="shared" si="368"/>
        <v>0</v>
      </c>
    </row>
    <row r="1189" spans="1:7" ht="19.899999999999999" customHeight="1" x14ac:dyDescent="0.2">
      <c r="A1189" s="482">
        <f t="shared" si="363"/>
        <v>0</v>
      </c>
      <c r="B1189" s="445">
        <f t="shared" si="364"/>
        <v>0</v>
      </c>
      <c r="C1189" s="436">
        <f t="shared" si="365"/>
        <v>0</v>
      </c>
      <c r="D1189" s="493">
        <f t="shared" si="366"/>
        <v>0</v>
      </c>
      <c r="E1189" s="437"/>
      <c r="F1189" s="439">
        <f t="shared" si="367"/>
        <v>0</v>
      </c>
      <c r="G1189" s="439">
        <f t="shared" si="368"/>
        <v>0</v>
      </c>
    </row>
    <row r="1190" spans="1:7" ht="19.899999999999999" customHeight="1" x14ac:dyDescent="0.2">
      <c r="A1190" s="480"/>
      <c r="B1190" s="139"/>
      <c r="C1190" s="139"/>
      <c r="D1190" s="426"/>
      <c r="E1190" s="427"/>
      <c r="F1190" s="448" t="s">
        <v>29</v>
      </c>
      <c r="G1190" s="485">
        <f>SUBTOTAL(9,G1179:G1189)</f>
        <v>0</v>
      </c>
    </row>
    <row r="1191" spans="1:7" ht="19.899999999999999" customHeight="1" x14ac:dyDescent="0.2">
      <c r="A1191" s="480"/>
      <c r="B1191" s="139"/>
      <c r="C1191" s="422" t="s">
        <v>983</v>
      </c>
      <c r="D1191" s="426"/>
      <c r="E1191" s="427"/>
      <c r="F1191" s="428"/>
      <c r="G1191" s="481"/>
    </row>
    <row r="1192" spans="1:7" ht="19.899999999999999" customHeight="1" x14ac:dyDescent="0.2">
      <c r="A1192" s="720" t="s">
        <v>576</v>
      </c>
      <c r="B1192" s="721"/>
      <c r="C1192" s="722" t="s">
        <v>0</v>
      </c>
      <c r="D1192" s="722" t="s">
        <v>1725</v>
      </c>
      <c r="E1192" s="724" t="s">
        <v>24</v>
      </c>
      <c r="F1192" s="726" t="s">
        <v>25</v>
      </c>
      <c r="G1192" s="728" t="s">
        <v>26</v>
      </c>
    </row>
    <row r="1193" spans="1:7" ht="19.899999999999999" customHeight="1" x14ac:dyDescent="0.2">
      <c r="A1193" s="444" t="s">
        <v>577</v>
      </c>
      <c r="B1193" s="444" t="s">
        <v>578</v>
      </c>
      <c r="C1193" s="723"/>
      <c r="D1193" s="723"/>
      <c r="E1193" s="725"/>
      <c r="F1193" s="727"/>
      <c r="G1193" s="729"/>
    </row>
    <row r="1194" spans="1:7" ht="19.899999999999999" customHeight="1" x14ac:dyDescent="0.2">
      <c r="A1194" s="482">
        <f>IFERROR(VLOOKUP(C1194,T_Insumos,4,FALSE),0)</f>
        <v>0</v>
      </c>
      <c r="B1194" s="445">
        <f>IFERROR(VLOOKUP(C1194,T_Insumos,5,FALSE),0)</f>
        <v>0</v>
      </c>
      <c r="C1194" s="436"/>
      <c r="D1194" s="493">
        <f>IF(C1194=0,0,"$/tnkm")</f>
        <v>0</v>
      </c>
      <c r="E1194" s="437"/>
      <c r="F1194" s="439">
        <f>IFERROR(VLOOKUP(C1194,T_Insumos,3,FALSE),0)</f>
        <v>0</v>
      </c>
      <c r="G1194" s="439">
        <f>ROUND(E1194*F1194,2)</f>
        <v>0</v>
      </c>
    </row>
    <row r="1195" spans="1:7" ht="19.899999999999999" customHeight="1" x14ac:dyDescent="0.2">
      <c r="A1195" s="482">
        <f>IFERROR(VLOOKUP(C1195,T_Insumos,4,FALSE),0)</f>
        <v>0</v>
      </c>
      <c r="B1195" s="445">
        <f>IFERROR(VLOOKUP(C1195,T_Insumos,5,FALSE),0)</f>
        <v>0</v>
      </c>
      <c r="C1195" s="436"/>
      <c r="D1195" s="493">
        <f>IF(C1195=0,0,"$/tnkm")</f>
        <v>0</v>
      </c>
      <c r="E1195" s="453"/>
      <c r="F1195" s="439">
        <f>IFERROR(VLOOKUP(C1195,T_Insumos,3,FALSE),0)</f>
        <v>0</v>
      </c>
      <c r="G1195" s="439">
        <f t="shared" ref="G1195" si="369">ROUND(E1195*F1195,2)</f>
        <v>0</v>
      </c>
    </row>
    <row r="1196" spans="1:7" ht="19.899999999999999" customHeight="1" x14ac:dyDescent="0.2">
      <c r="A1196" s="480"/>
      <c r="B1196" s="139"/>
      <c r="C1196" s="139"/>
      <c r="D1196" s="426"/>
      <c r="E1196" s="427"/>
      <c r="F1196" s="448" t="s">
        <v>984</v>
      </c>
      <c r="G1196" s="485">
        <f>SUBTOTAL(9,G1194:G1195)</f>
        <v>0</v>
      </c>
    </row>
    <row r="1197" spans="1:7" ht="19.899999999999999" customHeight="1" x14ac:dyDescent="0.2">
      <c r="A1197" s="483"/>
      <c r="B1197" s="426"/>
      <c r="C1197" s="139"/>
      <c r="D1197" s="426"/>
      <c r="E1197" s="427"/>
      <c r="F1197" s="428"/>
      <c r="G1197" s="481"/>
    </row>
    <row r="1198" spans="1:7" ht="19.899999999999999" customHeight="1" x14ac:dyDescent="0.2">
      <c r="A1198" s="541" t="str">
        <f>B1132</f>
        <v>3.4</v>
      </c>
      <c r="B1198" s="538" t="str">
        <f ca="1">C1132</f>
        <v>Relleno y Compactación con Cama de Asiento</v>
      </c>
      <c r="C1198" s="426"/>
      <c r="D1198" s="426" t="s">
        <v>1704</v>
      </c>
      <c r="E1198" s="539"/>
      <c r="F1198" s="540" t="str">
        <f ca="1">"$/"&amp;G1132</f>
        <v>$/M3</v>
      </c>
      <c r="G1198" s="490">
        <f>SUBTOTAL(9,G1155:G1197)</f>
        <v>0</v>
      </c>
    </row>
    <row r="1199" spans="1:7" ht="19.899999999999999" customHeight="1" x14ac:dyDescent="0.2">
      <c r="A1199" s="486"/>
      <c r="B1199" s="487"/>
      <c r="C1199" s="488"/>
      <c r="D1199" s="488" t="s">
        <v>1900</v>
      </c>
      <c r="E1199" s="489"/>
      <c r="F1199" s="542" t="str">
        <f ca="1">"$/"&amp;G1132</f>
        <v>$/M3</v>
      </c>
      <c r="G1199" s="490">
        <f>ROUND(G1198*Coeficiente_Paso,2)</f>
        <v>0</v>
      </c>
    </row>
    <row r="1200" spans="1:7" ht="19.899999999999999" customHeight="1" x14ac:dyDescent="0.2">
      <c r="A1200" s="139"/>
      <c r="B1200" s="139"/>
      <c r="C1200" s="139"/>
      <c r="D1200" s="139"/>
      <c r="E1200" s="139"/>
      <c r="F1200" s="139"/>
      <c r="G1200" s="139"/>
    </row>
    <row r="1201" spans="1:7" ht="19.899999999999999" customHeight="1" x14ac:dyDescent="0.2">
      <c r="A1201" s="730" t="s">
        <v>31</v>
      </c>
      <c r="B1201" s="731"/>
      <c r="C1201" s="731"/>
      <c r="D1201" s="731"/>
      <c r="E1201" s="731"/>
      <c r="F1201" s="731"/>
      <c r="G1201" s="732"/>
    </row>
    <row r="1202" spans="1:7" ht="19.899999999999999" customHeight="1" x14ac:dyDescent="0.2">
      <c r="A1202" s="469" t="s">
        <v>711</v>
      </c>
      <c r="B1202" s="420" t="str">
        <f>Comitente</f>
        <v>DEPARTAMENTO DE HIDRAULICA</v>
      </c>
      <c r="C1202" s="421"/>
      <c r="D1202" s="422"/>
      <c r="E1202" s="422"/>
      <c r="F1202" s="423"/>
      <c r="G1202" s="470"/>
    </row>
    <row r="1203" spans="1:7" ht="19.899999999999999" customHeight="1" x14ac:dyDescent="0.2">
      <c r="A1203" s="469" t="s">
        <v>712</v>
      </c>
      <c r="B1203" s="420">
        <f>Contratista</f>
        <v>0</v>
      </c>
      <c r="C1203" s="424"/>
      <c r="D1203" s="424"/>
      <c r="E1203" s="424"/>
      <c r="F1203" s="420"/>
      <c r="G1203" s="471"/>
    </row>
    <row r="1204" spans="1:7" ht="19.899999999999999" customHeight="1" x14ac:dyDescent="0.2">
      <c r="A1204" s="469" t="s">
        <v>21</v>
      </c>
      <c r="B1204" s="420" t="str">
        <f>Obra</f>
        <v>Encamisado Parcial del Canal de Calle América</v>
      </c>
      <c r="C1204" s="424"/>
      <c r="D1204" s="424"/>
      <c r="E1204" s="424"/>
      <c r="F1204" s="420" t="s">
        <v>32</v>
      </c>
      <c r="G1204" s="471" t="str">
        <f>Fecha_Base</f>
        <v>X/X/2023</v>
      </c>
    </row>
    <row r="1205" spans="1:7" ht="19.899999999999999" customHeight="1" x14ac:dyDescent="0.2">
      <c r="A1205" s="472" t="s">
        <v>710</v>
      </c>
      <c r="B1205" s="425" t="str">
        <f>Ubicación</f>
        <v>Departamento Rawson</v>
      </c>
      <c r="C1205" s="425"/>
      <c r="D1205" s="426"/>
      <c r="E1205" s="427"/>
      <c r="F1205" s="428"/>
      <c r="G1205" s="473"/>
    </row>
    <row r="1206" spans="1:7" ht="19.899999999999999" customHeight="1" x14ac:dyDescent="0.2">
      <c r="A1206" s="472" t="s">
        <v>33</v>
      </c>
      <c r="B1206" s="429">
        <f>IFERROR(VALUE(LEFT(B1207,FIND(".",B1207)-1)),"")</f>
        <v>3</v>
      </c>
      <c r="C1206" s="139" t="str">
        <f ca="1">IFERROR(VLOOKUP(B1206,T_Computo_Presupuesto,2,FALSE),0)</f>
        <v>PUENTES DE HORMIGÓN</v>
      </c>
      <c r="D1206" s="139"/>
      <c r="E1206" s="427"/>
      <c r="F1206" s="428"/>
      <c r="G1206" s="473"/>
    </row>
    <row r="1207" spans="1:7" ht="19.899999999999999" customHeight="1" x14ac:dyDescent="0.2">
      <c r="A1207" s="472" t="s">
        <v>22</v>
      </c>
      <c r="B1207" s="430" t="str">
        <f>IFERROR(VLOOKUP(COUNTIF($A$1:A1207,"ANALISIS DE PRECIOS"),T_NumeroItem,2,FALSE),"")</f>
        <v>3.5</v>
      </c>
      <c r="C1207" s="733" t="str">
        <f ca="1">IFERROR(VLOOKUP(B1207,T_Computo_Presupuesto,2,FALSE),0)</f>
        <v>Excavación Cimiento</v>
      </c>
      <c r="D1207" s="733"/>
      <c r="E1207" s="733"/>
      <c r="F1207" s="425" t="s">
        <v>23</v>
      </c>
      <c r="G1207" s="474" t="str">
        <f ca="1">IFERROR(VLOOKUP(B1207,T_Computo_Presupuesto,4,FALSE),0)</f>
        <v>M3</v>
      </c>
    </row>
    <row r="1208" spans="1:7" ht="19.899999999999999" customHeight="1" x14ac:dyDescent="0.2">
      <c r="A1208" s="472"/>
      <c r="B1208" s="425"/>
      <c r="C1208" s="139"/>
      <c r="D1208" s="426"/>
      <c r="E1208" s="427"/>
      <c r="F1208" s="139"/>
      <c r="G1208" s="475"/>
    </row>
    <row r="1209" spans="1:7" ht="19.899999999999999" customHeight="1" x14ac:dyDescent="0.2">
      <c r="A1209" s="476"/>
      <c r="B1209" s="431"/>
      <c r="C1209" s="432" t="s">
        <v>967</v>
      </c>
      <c r="D1209" s="431"/>
      <c r="E1209" s="431"/>
      <c r="F1209" s="431"/>
      <c r="G1209" s="477"/>
    </row>
    <row r="1210" spans="1:7" ht="19.899999999999999" customHeight="1" x14ac:dyDescent="0.2">
      <c r="A1210" s="472"/>
      <c r="B1210" s="433"/>
      <c r="C1210" s="139"/>
      <c r="D1210" s="426"/>
      <c r="E1210" s="427"/>
      <c r="F1210" s="425"/>
      <c r="G1210" s="474"/>
    </row>
    <row r="1211" spans="1:7" ht="19.899999999999999" customHeight="1" x14ac:dyDescent="0.2">
      <c r="A1211" s="472"/>
      <c r="B1211" s="433"/>
      <c r="C1211" s="434" t="s">
        <v>968</v>
      </c>
      <c r="D1211" s="435" t="s">
        <v>24</v>
      </c>
      <c r="E1211" s="435" t="s">
        <v>969</v>
      </c>
      <c r="F1211" s="435" t="s">
        <v>970</v>
      </c>
      <c r="G1211" s="434" t="s">
        <v>971</v>
      </c>
    </row>
    <row r="1212" spans="1:7" ht="19.899999999999999" customHeight="1" x14ac:dyDescent="0.2">
      <c r="A1212" s="472"/>
      <c r="B1212" s="433"/>
      <c r="C1212" s="436">
        <f>+C987</f>
        <v>0</v>
      </c>
      <c r="D1212" s="436">
        <f>+D987</f>
        <v>0</v>
      </c>
      <c r="E1212" s="438">
        <f t="shared" ref="E1212:E1221" si="370">IFERROR(VLOOKUP(C1212,T_Equipos,4,FALSE),0)</f>
        <v>0</v>
      </c>
      <c r="F1212" s="439">
        <f t="shared" ref="F1212:F1221" si="371">IFERROR(VLOOKUP(C1212,T_Equipos,5,FALSE),0)</f>
        <v>0</v>
      </c>
      <c r="G1212" s="439">
        <f>ROUND(D1212*F1212,2)</f>
        <v>0</v>
      </c>
    </row>
    <row r="1213" spans="1:7" ht="19.899999999999999" customHeight="1" x14ac:dyDescent="0.2">
      <c r="A1213" s="472"/>
      <c r="B1213" s="433"/>
      <c r="C1213" s="436">
        <f t="shared" ref="C1213:D1217" si="372">+C988</f>
        <v>0</v>
      </c>
      <c r="D1213" s="436">
        <f t="shared" si="372"/>
        <v>0</v>
      </c>
      <c r="E1213" s="438">
        <f t="shared" si="370"/>
        <v>0</v>
      </c>
      <c r="F1213" s="439">
        <f t="shared" si="371"/>
        <v>0</v>
      </c>
      <c r="G1213" s="439">
        <f>ROUND(D1213*F1213,2)</f>
        <v>0</v>
      </c>
    </row>
    <row r="1214" spans="1:7" ht="19.899999999999999" customHeight="1" x14ac:dyDescent="0.2">
      <c r="A1214" s="472"/>
      <c r="B1214" s="433"/>
      <c r="C1214" s="436">
        <f t="shared" si="372"/>
        <v>0</v>
      </c>
      <c r="D1214" s="436"/>
      <c r="E1214" s="438">
        <f t="shared" si="370"/>
        <v>0</v>
      </c>
      <c r="F1214" s="439">
        <f t="shared" si="371"/>
        <v>0</v>
      </c>
      <c r="G1214" s="439">
        <f>ROUND(D1214*F1214,2)</f>
        <v>0</v>
      </c>
    </row>
    <row r="1215" spans="1:7" ht="19.899999999999999" customHeight="1" x14ac:dyDescent="0.2">
      <c r="A1215" s="472"/>
      <c r="B1215" s="433"/>
      <c r="C1215" s="436">
        <f t="shared" si="372"/>
        <v>0</v>
      </c>
      <c r="D1215" s="436"/>
      <c r="E1215" s="438">
        <f t="shared" si="370"/>
        <v>0</v>
      </c>
      <c r="F1215" s="439">
        <f t="shared" si="371"/>
        <v>0</v>
      </c>
      <c r="G1215" s="439">
        <f>ROUND(D1215*F1215,2)</f>
        <v>0</v>
      </c>
    </row>
    <row r="1216" spans="1:7" ht="19.899999999999999" customHeight="1" x14ac:dyDescent="0.2">
      <c r="A1216" s="472"/>
      <c r="B1216" s="433"/>
      <c r="C1216" s="436">
        <f t="shared" si="372"/>
        <v>0</v>
      </c>
      <c r="D1216" s="436"/>
      <c r="E1216" s="438">
        <f t="shared" si="370"/>
        <v>0</v>
      </c>
      <c r="F1216" s="439">
        <f t="shared" si="371"/>
        <v>0</v>
      </c>
      <c r="G1216" s="439">
        <f t="shared" ref="G1216:G1221" si="373">ROUND(D1216*F1216,2)</f>
        <v>0</v>
      </c>
    </row>
    <row r="1217" spans="1:7" ht="19.899999999999999" customHeight="1" x14ac:dyDescent="0.2">
      <c r="A1217" s="472"/>
      <c r="B1217" s="433"/>
      <c r="C1217" s="436">
        <f t="shared" si="372"/>
        <v>0</v>
      </c>
      <c r="D1217" s="436"/>
      <c r="E1217" s="438">
        <f t="shared" si="370"/>
        <v>0</v>
      </c>
      <c r="F1217" s="439">
        <f t="shared" si="371"/>
        <v>0</v>
      </c>
      <c r="G1217" s="439">
        <f t="shared" si="373"/>
        <v>0</v>
      </c>
    </row>
    <row r="1218" spans="1:7" ht="19.899999999999999" customHeight="1" x14ac:dyDescent="0.2">
      <c r="A1218" s="472"/>
      <c r="B1218" s="433"/>
      <c r="C1218" s="436">
        <f t="shared" ref="C1218:D1218" si="374">+C993</f>
        <v>0</v>
      </c>
      <c r="D1218" s="436">
        <f t="shared" si="374"/>
        <v>0</v>
      </c>
      <c r="E1218" s="438">
        <f t="shared" si="370"/>
        <v>0</v>
      </c>
      <c r="F1218" s="439">
        <f t="shared" si="371"/>
        <v>0</v>
      </c>
      <c r="G1218" s="439">
        <f t="shared" si="373"/>
        <v>0</v>
      </c>
    </row>
    <row r="1219" spans="1:7" ht="19.899999999999999" customHeight="1" x14ac:dyDescent="0.2">
      <c r="A1219" s="472"/>
      <c r="B1219" s="433"/>
      <c r="C1219" s="436">
        <f t="shared" ref="C1219:D1219" si="375">+C994</f>
        <v>0</v>
      </c>
      <c r="D1219" s="436">
        <f t="shared" si="375"/>
        <v>0</v>
      </c>
      <c r="E1219" s="438">
        <f t="shared" si="370"/>
        <v>0</v>
      </c>
      <c r="F1219" s="439">
        <f t="shared" si="371"/>
        <v>0</v>
      </c>
      <c r="G1219" s="439">
        <f t="shared" si="373"/>
        <v>0</v>
      </c>
    </row>
    <row r="1220" spans="1:7" ht="19.899999999999999" customHeight="1" x14ac:dyDescent="0.2">
      <c r="A1220" s="472"/>
      <c r="B1220" s="433"/>
      <c r="C1220" s="436"/>
      <c r="D1220" s="437"/>
      <c r="E1220" s="438">
        <f t="shared" si="370"/>
        <v>0</v>
      </c>
      <c r="F1220" s="439">
        <f t="shared" si="371"/>
        <v>0</v>
      </c>
      <c r="G1220" s="439">
        <f t="shared" si="373"/>
        <v>0</v>
      </c>
    </row>
    <row r="1221" spans="1:7" ht="19.899999999999999" customHeight="1" x14ac:dyDescent="0.2">
      <c r="A1221" s="472"/>
      <c r="B1221" s="433"/>
      <c r="C1221" s="436"/>
      <c r="D1221" s="437"/>
      <c r="E1221" s="438">
        <f t="shared" si="370"/>
        <v>0</v>
      </c>
      <c r="F1221" s="439">
        <f t="shared" si="371"/>
        <v>0</v>
      </c>
      <c r="G1221" s="439">
        <f t="shared" si="373"/>
        <v>0</v>
      </c>
    </row>
    <row r="1222" spans="1:7" ht="19.899999999999999" customHeight="1" x14ac:dyDescent="0.2">
      <c r="A1222" s="472"/>
      <c r="B1222" s="433"/>
      <c r="C1222" s="139"/>
      <c r="D1222" s="139"/>
      <c r="E1222" s="440"/>
      <c r="F1222" s="425"/>
      <c r="G1222" s="474"/>
    </row>
    <row r="1223" spans="1:7" ht="19.899999999999999" customHeight="1" x14ac:dyDescent="0.2">
      <c r="A1223" s="472"/>
      <c r="B1223" s="139"/>
      <c r="C1223" s="422" t="s">
        <v>972</v>
      </c>
      <c r="D1223" s="425" t="s">
        <v>969</v>
      </c>
      <c r="E1223" s="491">
        <f>SUMPRODUCT(D1212:D1221,E1212:E1221)</f>
        <v>0</v>
      </c>
      <c r="F1223" s="425" t="s">
        <v>973</v>
      </c>
      <c r="G1223" s="492">
        <f>SUM(G1212:G1221)</f>
        <v>0</v>
      </c>
    </row>
    <row r="1224" spans="1:7" ht="19.899999999999999" customHeight="1" x14ac:dyDescent="0.2">
      <c r="A1224" s="472"/>
      <c r="B1224" s="433"/>
      <c r="C1224" s="441"/>
      <c r="D1224" s="440"/>
      <c r="E1224" s="427"/>
      <c r="F1224" s="425"/>
      <c r="G1224" s="478"/>
    </row>
    <row r="1225" spans="1:7" ht="19.899999999999999" customHeight="1" x14ac:dyDescent="0.2">
      <c r="A1225" s="479"/>
      <c r="B1225" s="433"/>
      <c r="C1225" s="425" t="s">
        <v>974</v>
      </c>
      <c r="D1225" s="442">
        <f>IFERROR(VLOOKUP(COUNTIF($A$1:A1225,"ANALISIS DE PRECIOS"),T_Rendimiento_Equipo,5,FALSE),0)</f>
        <v>0</v>
      </c>
      <c r="E1225" s="443" t="str">
        <f ca="1">G1207&amp;"/día"</f>
        <v>M3/día</v>
      </c>
      <c r="F1225" s="419"/>
      <c r="G1225" s="474"/>
    </row>
    <row r="1226" spans="1:7" ht="19.899999999999999" customHeight="1" x14ac:dyDescent="0.2">
      <c r="A1226" s="472"/>
      <c r="B1226" s="433"/>
      <c r="C1226" s="139"/>
      <c r="D1226" s="426"/>
      <c r="E1226" s="427"/>
      <c r="F1226" s="425"/>
      <c r="G1226" s="474"/>
    </row>
    <row r="1227" spans="1:7" ht="19.899999999999999" customHeight="1" x14ac:dyDescent="0.2">
      <c r="A1227" s="720" t="s">
        <v>576</v>
      </c>
      <c r="B1227" s="721"/>
      <c r="C1227" s="722" t="s">
        <v>0</v>
      </c>
      <c r="D1227" s="734" t="s">
        <v>1724</v>
      </c>
      <c r="E1227" s="734" t="s">
        <v>1723</v>
      </c>
      <c r="F1227" s="726" t="s">
        <v>975</v>
      </c>
      <c r="G1227" s="728" t="s">
        <v>26</v>
      </c>
    </row>
    <row r="1228" spans="1:7" ht="19.899999999999999" customHeight="1" x14ac:dyDescent="0.2">
      <c r="A1228" s="444" t="s">
        <v>577</v>
      </c>
      <c r="B1228" s="444" t="s">
        <v>578</v>
      </c>
      <c r="C1228" s="723"/>
      <c r="D1228" s="735"/>
      <c r="E1228" s="725"/>
      <c r="F1228" s="727"/>
      <c r="G1228" s="729"/>
    </row>
    <row r="1229" spans="1:7" ht="19.899999999999999" customHeight="1" x14ac:dyDescent="0.2">
      <c r="A1229" s="480"/>
      <c r="B1229" s="139"/>
      <c r="C1229" s="422" t="s">
        <v>976</v>
      </c>
      <c r="D1229" s="427"/>
      <c r="E1229" s="427"/>
      <c r="F1229" s="139"/>
      <c r="G1229" s="481"/>
    </row>
    <row r="1230" spans="1:7" ht="19.899999999999999" customHeight="1" x14ac:dyDescent="0.2">
      <c r="A1230" s="482">
        <f t="shared" ref="A1230:A1238" si="376">IFERROR(VLOOKUP(C1230,T_Insumos,4,FALSE),0)</f>
        <v>0</v>
      </c>
      <c r="B1230" s="445">
        <f t="shared" ref="B1230:B1238" si="377">IFERROR(VLOOKUP(C1230,T_Insumos,5,FALSE),0)</f>
        <v>0</v>
      </c>
      <c r="C1230" s="436">
        <f>+C930</f>
        <v>0</v>
      </c>
      <c r="D1230" s="446">
        <f t="shared" ref="D1230:D1238" si="378">IFERROR(VLOOKUP(C1230,T_Insumos,3,FALSE),0)</f>
        <v>0</v>
      </c>
      <c r="E1230" s="439">
        <f>D1230*$G$323</f>
        <v>0</v>
      </c>
      <c r="F1230" s="442">
        <f>IF(C1230="",0,IFERROR(VLOOKUP(COUNTIF($A$1:A1230,"ANALISIS DE PRECIOS"),T_Rendimiento_Equipo,5,FALSE),0))</f>
        <v>0</v>
      </c>
      <c r="G1230" s="439">
        <f>IFERROR(ROUND(E1230/F1230,2),0)</f>
        <v>0</v>
      </c>
    </row>
    <row r="1231" spans="1:7" ht="19.899999999999999" customHeight="1" x14ac:dyDescent="0.2">
      <c r="A1231" s="482">
        <f t="shared" si="376"/>
        <v>0</v>
      </c>
      <c r="B1231" s="445">
        <f t="shared" si="377"/>
        <v>0</v>
      </c>
      <c r="C1231" s="436">
        <f t="shared" ref="C1231:C1233" si="379">+C931</f>
        <v>0</v>
      </c>
      <c r="D1231" s="446">
        <f t="shared" si="378"/>
        <v>0</v>
      </c>
      <c r="E1231" s="439">
        <f t="shared" ref="E1231:E1232" si="380">D1231*$G$323</f>
        <v>0</v>
      </c>
      <c r="F1231" s="442">
        <f>IF(C1231="",0,IFERROR(VLOOKUP(COUNTIF($A$1:A1231,"ANALISIS DE PRECIOS"),T_Rendimiento_Equipo,5,FALSE),0))</f>
        <v>0</v>
      </c>
      <c r="G1231" s="439">
        <f t="shared" ref="G1231:G1238" si="381">IFERROR(ROUND(E1231/F1231,2),0)</f>
        <v>0</v>
      </c>
    </row>
    <row r="1232" spans="1:7" ht="19.899999999999999" customHeight="1" x14ac:dyDescent="0.2">
      <c r="A1232" s="482">
        <f t="shared" si="376"/>
        <v>0</v>
      </c>
      <c r="B1232" s="445">
        <f t="shared" si="377"/>
        <v>0</v>
      </c>
      <c r="C1232" s="436">
        <f t="shared" si="379"/>
        <v>0</v>
      </c>
      <c r="D1232" s="446">
        <f t="shared" si="378"/>
        <v>0</v>
      </c>
      <c r="E1232" s="439">
        <f t="shared" si="380"/>
        <v>0</v>
      </c>
      <c r="F1232" s="442">
        <f>IF(C1232="",0,IFERROR(VLOOKUP(COUNTIF($A$1:A1232,"ANALISIS DE PRECIOS"),T_Rendimiento_Equipo,5,FALSE),0))</f>
        <v>0</v>
      </c>
      <c r="G1232" s="439">
        <f t="shared" si="381"/>
        <v>0</v>
      </c>
    </row>
    <row r="1233" spans="1:7" ht="19.899999999999999" customHeight="1" x14ac:dyDescent="0.2">
      <c r="A1233" s="482">
        <f t="shared" si="376"/>
        <v>0</v>
      </c>
      <c r="B1233" s="445">
        <f t="shared" si="377"/>
        <v>0</v>
      </c>
      <c r="C1233" s="436">
        <f t="shared" si="379"/>
        <v>0</v>
      </c>
      <c r="D1233" s="446">
        <f t="shared" si="378"/>
        <v>0</v>
      </c>
      <c r="E1233" s="439">
        <f>D1233*$E$323</f>
        <v>0</v>
      </c>
      <c r="F1233" s="442">
        <f>IF(C1233="",0,IFERROR(VLOOKUP(COUNTIF($A$1:A1233,"ANALISIS DE PRECIOS"),T_Rendimiento_Equipo,5,FALSE),0))</f>
        <v>0</v>
      </c>
      <c r="G1233" s="439">
        <f t="shared" si="381"/>
        <v>0</v>
      </c>
    </row>
    <row r="1234" spans="1:7" ht="19.899999999999999" customHeight="1" x14ac:dyDescent="0.2">
      <c r="A1234" s="482">
        <f t="shared" si="376"/>
        <v>0</v>
      </c>
      <c r="B1234" s="445">
        <f t="shared" si="377"/>
        <v>0</v>
      </c>
      <c r="C1234" s="447"/>
      <c r="D1234" s="446">
        <f t="shared" si="378"/>
        <v>0</v>
      </c>
      <c r="E1234" s="439"/>
      <c r="F1234" s="442">
        <f>IF(C1234="",0,IFERROR(VLOOKUP(COUNTIF($A$1:A1234,"ANALISIS DE PRECIOS"),T_Rendimiento_Equipo,5,FALSE),0))</f>
        <v>0</v>
      </c>
      <c r="G1234" s="439">
        <f t="shared" si="381"/>
        <v>0</v>
      </c>
    </row>
    <row r="1235" spans="1:7" ht="19.899999999999999" customHeight="1" x14ac:dyDescent="0.2">
      <c r="A1235" s="482">
        <f t="shared" si="376"/>
        <v>0</v>
      </c>
      <c r="B1235" s="445">
        <f t="shared" si="377"/>
        <v>0</v>
      </c>
      <c r="C1235" s="447"/>
      <c r="D1235" s="446">
        <f t="shared" si="378"/>
        <v>0</v>
      </c>
      <c r="E1235" s="439"/>
      <c r="F1235" s="442">
        <f>IF(C1235="",0,IFERROR(VLOOKUP(COUNTIF($A$1:A1235,"ANALISIS DE PRECIOS"),T_Rendimiento_Equipo,5,FALSE),0))</f>
        <v>0</v>
      </c>
      <c r="G1235" s="439">
        <f t="shared" si="381"/>
        <v>0</v>
      </c>
    </row>
    <row r="1236" spans="1:7" ht="19.899999999999999" customHeight="1" x14ac:dyDescent="0.2">
      <c r="A1236" s="482">
        <f t="shared" si="376"/>
        <v>0</v>
      </c>
      <c r="B1236" s="445">
        <f t="shared" si="377"/>
        <v>0</v>
      </c>
      <c r="C1236" s="447"/>
      <c r="D1236" s="446">
        <f t="shared" si="378"/>
        <v>0</v>
      </c>
      <c r="E1236" s="439"/>
      <c r="F1236" s="442">
        <f>IF(C1236="",0,IFERROR(VLOOKUP(COUNTIF($A$1:A1236,"ANALISIS DE PRECIOS"),T_Rendimiento_Equipo,5,FALSE),0))</f>
        <v>0</v>
      </c>
      <c r="G1236" s="439">
        <f t="shared" si="381"/>
        <v>0</v>
      </c>
    </row>
    <row r="1237" spans="1:7" ht="19.899999999999999" customHeight="1" x14ac:dyDescent="0.2">
      <c r="A1237" s="482">
        <f t="shared" si="376"/>
        <v>0</v>
      </c>
      <c r="B1237" s="445">
        <f t="shared" si="377"/>
        <v>0</v>
      </c>
      <c r="C1237" s="447"/>
      <c r="D1237" s="446">
        <f t="shared" si="378"/>
        <v>0</v>
      </c>
      <c r="E1237" s="439"/>
      <c r="F1237" s="442">
        <f>IF(C1237="",0,IFERROR(VLOOKUP(COUNTIF($A$1:A1237,"ANALISIS DE PRECIOS"),T_Rendimiento_Equipo,5,FALSE),0))</f>
        <v>0</v>
      </c>
      <c r="G1237" s="439">
        <f t="shared" si="381"/>
        <v>0</v>
      </c>
    </row>
    <row r="1238" spans="1:7" ht="19.899999999999999" customHeight="1" x14ac:dyDescent="0.2">
      <c r="A1238" s="482">
        <f t="shared" si="376"/>
        <v>0</v>
      </c>
      <c r="B1238" s="445">
        <f t="shared" si="377"/>
        <v>0</v>
      </c>
      <c r="C1238" s="436"/>
      <c r="D1238" s="446">
        <f t="shared" si="378"/>
        <v>0</v>
      </c>
      <c r="E1238" s="439"/>
      <c r="F1238" s="442">
        <f>IF(C1238="",0,IFERROR(VLOOKUP(COUNTIF($A$1:A1238,"ANALISIS DE PRECIOS"),T_Rendimiento_Equipo,5,FALSE),0))</f>
        <v>0</v>
      </c>
      <c r="G1238" s="439">
        <f t="shared" si="381"/>
        <v>0</v>
      </c>
    </row>
    <row r="1239" spans="1:7" ht="19.899999999999999" customHeight="1" x14ac:dyDescent="0.2">
      <c r="A1239" s="483"/>
      <c r="B1239" s="426"/>
      <c r="C1239" s="139"/>
      <c r="D1239" s="426"/>
      <c r="E1239" s="427"/>
      <c r="F1239" s="448" t="s">
        <v>27</v>
      </c>
      <c r="G1239" s="484">
        <f>SUBTOTAL(9,G1230:G1238)</f>
        <v>0</v>
      </c>
    </row>
    <row r="1240" spans="1:7" ht="19.899999999999999" customHeight="1" x14ac:dyDescent="0.2">
      <c r="A1240" s="480"/>
      <c r="B1240" s="139"/>
      <c r="C1240" s="422" t="s">
        <v>713</v>
      </c>
      <c r="D1240" s="426"/>
      <c r="E1240" s="427"/>
      <c r="F1240" s="428"/>
      <c r="G1240" s="481"/>
    </row>
    <row r="1241" spans="1:7" ht="19.899999999999999" customHeight="1" x14ac:dyDescent="0.2">
      <c r="A1241" s="720" t="s">
        <v>576</v>
      </c>
      <c r="B1241" s="721"/>
      <c r="C1241" s="722" t="s">
        <v>0</v>
      </c>
      <c r="D1241" s="724" t="s">
        <v>24</v>
      </c>
      <c r="E1241" s="724" t="s">
        <v>1964</v>
      </c>
      <c r="F1241" s="726" t="s">
        <v>975</v>
      </c>
      <c r="G1241" s="728" t="s">
        <v>26</v>
      </c>
    </row>
    <row r="1242" spans="1:7" ht="19.899999999999999" customHeight="1" x14ac:dyDescent="0.2">
      <c r="A1242" s="444" t="s">
        <v>577</v>
      </c>
      <c r="B1242" s="444" t="s">
        <v>578</v>
      </c>
      <c r="C1242" s="723"/>
      <c r="D1242" s="725"/>
      <c r="E1242" s="725"/>
      <c r="F1242" s="727"/>
      <c r="G1242" s="729"/>
    </row>
    <row r="1243" spans="1:7" ht="19.899999999999999" customHeight="1" x14ac:dyDescent="0.2">
      <c r="A1243" s="482">
        <f t="shared" ref="A1243:A1249" si="382">IFERROR(VLOOKUP(C1243,T_Insumos,4,FALSE),0)</f>
        <v>0</v>
      </c>
      <c r="B1243" s="445">
        <f t="shared" ref="B1243:B1249" si="383">IFERROR(VLOOKUP(C1243,T_Insumos,5,FALSE),0)</f>
        <v>0</v>
      </c>
      <c r="C1243" s="436">
        <f t="shared" ref="C1243:C1246" si="384">+C1018</f>
        <v>0</v>
      </c>
      <c r="D1243" s="442"/>
      <c r="E1243" s="439">
        <f t="shared" ref="E1243:E1249" si="385">IFERROR(VLOOKUP(C1243,T_Insumos,3,FALSE),0)</f>
        <v>0</v>
      </c>
      <c r="F1243" s="442">
        <f>IF(C1243="",0,IFERROR(VLOOKUP(COUNTIF($A$1:A1243,"ANALISIS DE PRECIOS"),T_Rendimiento_Equipo,5,FALSE),0))</f>
        <v>0</v>
      </c>
      <c r="G1243" s="439">
        <f>IFERROR(ROUND(D1243*E1243/F1243,2),0)</f>
        <v>0</v>
      </c>
    </row>
    <row r="1244" spans="1:7" ht="19.899999999999999" customHeight="1" x14ac:dyDescent="0.2">
      <c r="A1244" s="482">
        <f t="shared" si="382"/>
        <v>0</v>
      </c>
      <c r="B1244" s="445">
        <f t="shared" si="383"/>
        <v>0</v>
      </c>
      <c r="C1244" s="436">
        <f t="shared" si="384"/>
        <v>0</v>
      </c>
      <c r="D1244" s="442">
        <v>1</v>
      </c>
      <c r="E1244" s="439">
        <f t="shared" si="385"/>
        <v>0</v>
      </c>
      <c r="F1244" s="442">
        <f>IF(C1244="",0,IFERROR(VLOOKUP(COUNTIF($A$1:A1244,"ANALISIS DE PRECIOS"),T_Rendimiento_Equipo,5,FALSE),0))</f>
        <v>0</v>
      </c>
      <c r="G1244" s="439">
        <f>IFERROR(ROUND(D1244*E1244/F1244,2),0)</f>
        <v>0</v>
      </c>
    </row>
    <row r="1245" spans="1:7" ht="19.899999999999999" customHeight="1" x14ac:dyDescent="0.2">
      <c r="A1245" s="482">
        <f t="shared" si="382"/>
        <v>0</v>
      </c>
      <c r="B1245" s="445">
        <f t="shared" si="383"/>
        <v>0</v>
      </c>
      <c r="C1245" s="436">
        <f t="shared" si="384"/>
        <v>0</v>
      </c>
      <c r="D1245" s="442"/>
      <c r="E1245" s="439">
        <f t="shared" si="385"/>
        <v>0</v>
      </c>
      <c r="F1245" s="442">
        <f>IF(C1245="",0,IFERROR(VLOOKUP(COUNTIF($A$1:A1245,"ANALISIS DE PRECIOS"),T_Rendimiento_Equipo,5,FALSE),0))</f>
        <v>0</v>
      </c>
      <c r="G1245" s="439">
        <f t="shared" ref="G1245:G1249" si="386">IFERROR(ROUND(D1245*E1245/F1245,2),0)</f>
        <v>0</v>
      </c>
    </row>
    <row r="1246" spans="1:7" ht="19.899999999999999" customHeight="1" x14ac:dyDescent="0.2">
      <c r="A1246" s="482">
        <f t="shared" si="382"/>
        <v>0</v>
      </c>
      <c r="B1246" s="445">
        <f t="shared" si="383"/>
        <v>0</v>
      </c>
      <c r="C1246" s="436">
        <f t="shared" si="384"/>
        <v>0</v>
      </c>
      <c r="D1246" s="442">
        <v>2</v>
      </c>
      <c r="E1246" s="439">
        <f t="shared" si="385"/>
        <v>0</v>
      </c>
      <c r="F1246" s="442">
        <f>IF(C1246="",0,IFERROR(VLOOKUP(COUNTIF($A$1:A1246,"ANALISIS DE PRECIOS"),T_Rendimiento_Equipo,5,FALSE),0))</f>
        <v>0</v>
      </c>
      <c r="G1246" s="439">
        <f t="shared" si="386"/>
        <v>0</v>
      </c>
    </row>
    <row r="1247" spans="1:7" ht="19.899999999999999" customHeight="1" x14ac:dyDescent="0.2">
      <c r="A1247" s="482">
        <f t="shared" si="382"/>
        <v>0</v>
      </c>
      <c r="B1247" s="445">
        <f t="shared" si="383"/>
        <v>0</v>
      </c>
      <c r="C1247" s="436"/>
      <c r="D1247" s="442"/>
      <c r="E1247" s="439">
        <f t="shared" si="385"/>
        <v>0</v>
      </c>
      <c r="F1247" s="442">
        <f>IF(C1247="",0,IFERROR(VLOOKUP(COUNTIF($A$1:A1247,"ANALISIS DE PRECIOS"),T_Rendimiento_Equipo,5,FALSE),0))</f>
        <v>0</v>
      </c>
      <c r="G1247" s="439">
        <f t="shared" si="386"/>
        <v>0</v>
      </c>
    </row>
    <row r="1248" spans="1:7" ht="19.899999999999999" customHeight="1" x14ac:dyDescent="0.2">
      <c r="A1248" s="482">
        <f t="shared" si="382"/>
        <v>0</v>
      </c>
      <c r="B1248" s="445">
        <f t="shared" si="383"/>
        <v>0</v>
      </c>
      <c r="C1248" s="436"/>
      <c r="D1248" s="450"/>
      <c r="E1248" s="439">
        <f t="shared" si="385"/>
        <v>0</v>
      </c>
      <c r="F1248" s="442">
        <f>IF(C1248="",0,IFERROR(VLOOKUP(COUNTIF($A$1:A1248,"ANALISIS DE PRECIOS"),T_Rendimiento_Equipo,5,FALSE),0))</f>
        <v>0</v>
      </c>
      <c r="G1248" s="439">
        <f t="shared" si="386"/>
        <v>0</v>
      </c>
    </row>
    <row r="1249" spans="1:7" ht="19.899999999999999" customHeight="1" x14ac:dyDescent="0.2">
      <c r="A1249" s="482">
        <f t="shared" si="382"/>
        <v>0</v>
      </c>
      <c r="B1249" s="445">
        <f t="shared" si="383"/>
        <v>0</v>
      </c>
      <c r="C1249" s="445"/>
      <c r="D1249" s="451"/>
      <c r="E1249" s="439">
        <f t="shared" si="385"/>
        <v>0</v>
      </c>
      <c r="F1249" s="442">
        <f>IF(C1249="",0,IFERROR(VLOOKUP(COUNTIF($A$1:A1249,"ANALISIS DE PRECIOS"),T_Rendimiento_Equipo,5,FALSE),0))</f>
        <v>0</v>
      </c>
      <c r="G1249" s="439">
        <f t="shared" si="386"/>
        <v>0</v>
      </c>
    </row>
    <row r="1250" spans="1:7" ht="19.899999999999999" customHeight="1" x14ac:dyDescent="0.2">
      <c r="A1250" s="483"/>
      <c r="B1250" s="426"/>
      <c r="C1250" s="139"/>
      <c r="D1250" s="426"/>
      <c r="E1250" s="427"/>
      <c r="F1250" s="448" t="s">
        <v>28</v>
      </c>
      <c r="G1250" s="485">
        <f>SUBTOTAL(9,G1243:G1249)</f>
        <v>0</v>
      </c>
    </row>
    <row r="1251" spans="1:7" ht="19.899999999999999" customHeight="1" x14ac:dyDescent="0.2">
      <c r="A1251" s="480"/>
      <c r="B1251" s="139"/>
      <c r="C1251" s="422" t="s">
        <v>982</v>
      </c>
      <c r="D1251" s="426"/>
      <c r="E1251" s="427"/>
      <c r="F1251" s="428"/>
      <c r="G1251" s="481"/>
    </row>
    <row r="1252" spans="1:7" ht="19.899999999999999" customHeight="1" x14ac:dyDescent="0.2">
      <c r="A1252" s="720" t="s">
        <v>576</v>
      </c>
      <c r="B1252" s="721"/>
      <c r="C1252" s="722" t="s">
        <v>0</v>
      </c>
      <c r="D1252" s="722" t="s">
        <v>1725</v>
      </c>
      <c r="E1252" s="724" t="s">
        <v>24</v>
      </c>
      <c r="F1252" s="726" t="s">
        <v>25</v>
      </c>
      <c r="G1252" s="728" t="s">
        <v>26</v>
      </c>
    </row>
    <row r="1253" spans="1:7" ht="19.899999999999999" customHeight="1" x14ac:dyDescent="0.2">
      <c r="A1253" s="444" t="s">
        <v>577</v>
      </c>
      <c r="B1253" s="444" t="s">
        <v>578</v>
      </c>
      <c r="C1253" s="723"/>
      <c r="D1253" s="723"/>
      <c r="E1253" s="725"/>
      <c r="F1253" s="727"/>
      <c r="G1253" s="729"/>
    </row>
    <row r="1254" spans="1:7" ht="19.899999999999999" customHeight="1" x14ac:dyDescent="0.2">
      <c r="A1254" s="482">
        <f t="shared" ref="A1254:A1264" si="387">IFERROR(VLOOKUP(C1254,T_Insumos,4,FALSE),0)</f>
        <v>0</v>
      </c>
      <c r="B1254" s="445">
        <f t="shared" ref="B1254:B1264" si="388">IFERROR(VLOOKUP(C1254,T_Insumos,5,FALSE),0)</f>
        <v>0</v>
      </c>
      <c r="C1254" s="436">
        <f t="shared" ref="C1254:C1264" si="389">+C1029</f>
        <v>0</v>
      </c>
      <c r="D1254" s="493">
        <f t="shared" ref="D1254:D1264" si="390">IFERROR(VLOOKUP(C1254,T_Insumos,2,FALSE),0)</f>
        <v>0</v>
      </c>
      <c r="E1254" s="437"/>
      <c r="F1254" s="439">
        <f t="shared" ref="F1254:F1264" si="391">IFERROR(VLOOKUP(C1254,T_Insumos,3,FALSE),0)</f>
        <v>0</v>
      </c>
      <c r="G1254" s="439">
        <f>ROUND(E1254*F1254,2)</f>
        <v>0</v>
      </c>
    </row>
    <row r="1255" spans="1:7" ht="19.899999999999999" customHeight="1" x14ac:dyDescent="0.2">
      <c r="A1255" s="482">
        <f t="shared" si="387"/>
        <v>0</v>
      </c>
      <c r="B1255" s="445">
        <f t="shared" si="388"/>
        <v>0</v>
      </c>
      <c r="C1255" s="436">
        <f t="shared" si="389"/>
        <v>0</v>
      </c>
      <c r="D1255" s="493">
        <f t="shared" si="390"/>
        <v>0</v>
      </c>
      <c r="E1255" s="437"/>
      <c r="F1255" s="439">
        <f t="shared" si="391"/>
        <v>0</v>
      </c>
      <c r="G1255" s="439">
        <f t="shared" ref="G1255:G1264" si="392">ROUND(E1255*F1255,2)</f>
        <v>0</v>
      </c>
    </row>
    <row r="1256" spans="1:7" ht="19.899999999999999" customHeight="1" x14ac:dyDescent="0.2">
      <c r="A1256" s="482">
        <f t="shared" si="387"/>
        <v>0</v>
      </c>
      <c r="B1256" s="445">
        <f t="shared" si="388"/>
        <v>0</v>
      </c>
      <c r="C1256" s="436">
        <f t="shared" si="389"/>
        <v>0</v>
      </c>
      <c r="D1256" s="493">
        <f t="shared" si="390"/>
        <v>0</v>
      </c>
      <c r="E1256" s="437"/>
      <c r="F1256" s="439">
        <f t="shared" si="391"/>
        <v>0</v>
      </c>
      <c r="G1256" s="439">
        <f t="shared" si="392"/>
        <v>0</v>
      </c>
    </row>
    <row r="1257" spans="1:7" ht="19.899999999999999" customHeight="1" x14ac:dyDescent="0.2">
      <c r="A1257" s="482">
        <f t="shared" si="387"/>
        <v>0</v>
      </c>
      <c r="B1257" s="445">
        <f t="shared" si="388"/>
        <v>0</v>
      </c>
      <c r="C1257" s="436">
        <f t="shared" si="389"/>
        <v>0</v>
      </c>
      <c r="D1257" s="493">
        <f t="shared" si="390"/>
        <v>0</v>
      </c>
      <c r="E1257" s="437"/>
      <c r="F1257" s="439">
        <f t="shared" si="391"/>
        <v>0</v>
      </c>
      <c r="G1257" s="439">
        <f t="shared" si="392"/>
        <v>0</v>
      </c>
    </row>
    <row r="1258" spans="1:7" ht="19.899999999999999" customHeight="1" x14ac:dyDescent="0.2">
      <c r="A1258" s="482">
        <f t="shared" si="387"/>
        <v>0</v>
      </c>
      <c r="B1258" s="445">
        <f t="shared" si="388"/>
        <v>0</v>
      </c>
      <c r="C1258" s="436">
        <f t="shared" si="389"/>
        <v>0</v>
      </c>
      <c r="D1258" s="493">
        <f t="shared" si="390"/>
        <v>0</v>
      </c>
      <c r="E1258" s="437"/>
      <c r="F1258" s="439">
        <f t="shared" si="391"/>
        <v>0</v>
      </c>
      <c r="G1258" s="439">
        <f t="shared" si="392"/>
        <v>0</v>
      </c>
    </row>
    <row r="1259" spans="1:7" ht="19.899999999999999" customHeight="1" x14ac:dyDescent="0.2">
      <c r="A1259" s="482">
        <f t="shared" si="387"/>
        <v>0</v>
      </c>
      <c r="B1259" s="445">
        <f t="shared" si="388"/>
        <v>0</v>
      </c>
      <c r="C1259" s="436">
        <f t="shared" si="389"/>
        <v>0</v>
      </c>
      <c r="D1259" s="493">
        <f t="shared" si="390"/>
        <v>0</v>
      </c>
      <c r="E1259" s="437"/>
      <c r="F1259" s="439">
        <f t="shared" si="391"/>
        <v>0</v>
      </c>
      <c r="G1259" s="439">
        <f t="shared" si="392"/>
        <v>0</v>
      </c>
    </row>
    <row r="1260" spans="1:7" ht="19.899999999999999" customHeight="1" x14ac:dyDescent="0.2">
      <c r="A1260" s="482">
        <f t="shared" si="387"/>
        <v>0</v>
      </c>
      <c r="B1260" s="445">
        <f t="shared" si="388"/>
        <v>0</v>
      </c>
      <c r="C1260" s="436">
        <f t="shared" si="389"/>
        <v>0</v>
      </c>
      <c r="D1260" s="493">
        <f t="shared" si="390"/>
        <v>0</v>
      </c>
      <c r="E1260" s="437"/>
      <c r="F1260" s="439">
        <f t="shared" si="391"/>
        <v>0</v>
      </c>
      <c r="G1260" s="439">
        <f t="shared" si="392"/>
        <v>0</v>
      </c>
    </row>
    <row r="1261" spans="1:7" ht="19.899999999999999" customHeight="1" x14ac:dyDescent="0.2">
      <c r="A1261" s="482">
        <f t="shared" si="387"/>
        <v>0</v>
      </c>
      <c r="B1261" s="445">
        <f t="shared" si="388"/>
        <v>0</v>
      </c>
      <c r="C1261" s="436">
        <f t="shared" si="389"/>
        <v>0</v>
      </c>
      <c r="D1261" s="493">
        <f t="shared" si="390"/>
        <v>0</v>
      </c>
      <c r="E1261" s="437"/>
      <c r="F1261" s="439">
        <f t="shared" si="391"/>
        <v>0</v>
      </c>
      <c r="G1261" s="439">
        <f t="shared" si="392"/>
        <v>0</v>
      </c>
    </row>
    <row r="1262" spans="1:7" ht="19.899999999999999" customHeight="1" x14ac:dyDescent="0.2">
      <c r="A1262" s="482">
        <f t="shared" si="387"/>
        <v>0</v>
      </c>
      <c r="B1262" s="445">
        <f t="shared" si="388"/>
        <v>0</v>
      </c>
      <c r="C1262" s="436">
        <f t="shared" si="389"/>
        <v>0</v>
      </c>
      <c r="D1262" s="493">
        <f t="shared" si="390"/>
        <v>0</v>
      </c>
      <c r="E1262" s="437"/>
      <c r="F1262" s="439">
        <f t="shared" si="391"/>
        <v>0</v>
      </c>
      <c r="G1262" s="439">
        <f t="shared" si="392"/>
        <v>0</v>
      </c>
    </row>
    <row r="1263" spans="1:7" ht="19.899999999999999" customHeight="1" x14ac:dyDescent="0.2">
      <c r="A1263" s="482">
        <f t="shared" si="387"/>
        <v>0</v>
      </c>
      <c r="B1263" s="445">
        <f t="shared" si="388"/>
        <v>0</v>
      </c>
      <c r="C1263" s="436">
        <f t="shared" si="389"/>
        <v>0</v>
      </c>
      <c r="D1263" s="493">
        <f t="shared" si="390"/>
        <v>0</v>
      </c>
      <c r="E1263" s="437"/>
      <c r="F1263" s="439">
        <f t="shared" si="391"/>
        <v>0</v>
      </c>
      <c r="G1263" s="439">
        <f t="shared" si="392"/>
        <v>0</v>
      </c>
    </row>
    <row r="1264" spans="1:7" ht="19.899999999999999" customHeight="1" x14ac:dyDescent="0.2">
      <c r="A1264" s="482">
        <f t="shared" si="387"/>
        <v>0</v>
      </c>
      <c r="B1264" s="445">
        <f t="shared" si="388"/>
        <v>0</v>
      </c>
      <c r="C1264" s="436">
        <f t="shared" si="389"/>
        <v>0</v>
      </c>
      <c r="D1264" s="493">
        <f t="shared" si="390"/>
        <v>0</v>
      </c>
      <c r="E1264" s="437"/>
      <c r="F1264" s="439">
        <f t="shared" si="391"/>
        <v>0</v>
      </c>
      <c r="G1264" s="439">
        <f t="shared" si="392"/>
        <v>0</v>
      </c>
    </row>
    <row r="1265" spans="1:7" ht="19.899999999999999" customHeight="1" x14ac:dyDescent="0.2">
      <c r="A1265" s="480"/>
      <c r="B1265" s="139"/>
      <c r="C1265" s="139"/>
      <c r="D1265" s="426"/>
      <c r="E1265" s="427"/>
      <c r="F1265" s="448" t="s">
        <v>29</v>
      </c>
      <c r="G1265" s="485">
        <f>SUBTOTAL(9,G1254:G1264)</f>
        <v>0</v>
      </c>
    </row>
    <row r="1266" spans="1:7" ht="19.899999999999999" customHeight="1" x14ac:dyDescent="0.2">
      <c r="A1266" s="480"/>
      <c r="B1266" s="139"/>
      <c r="C1266" s="422" t="s">
        <v>983</v>
      </c>
      <c r="D1266" s="426"/>
      <c r="E1266" s="427"/>
      <c r="F1266" s="428"/>
      <c r="G1266" s="481"/>
    </row>
    <row r="1267" spans="1:7" ht="19.899999999999999" customHeight="1" x14ac:dyDescent="0.2">
      <c r="A1267" s="720" t="s">
        <v>576</v>
      </c>
      <c r="B1267" s="721"/>
      <c r="C1267" s="722" t="s">
        <v>0</v>
      </c>
      <c r="D1267" s="722" t="s">
        <v>1725</v>
      </c>
      <c r="E1267" s="724" t="s">
        <v>24</v>
      </c>
      <c r="F1267" s="726" t="s">
        <v>25</v>
      </c>
      <c r="G1267" s="728" t="s">
        <v>26</v>
      </c>
    </row>
    <row r="1268" spans="1:7" ht="19.899999999999999" customHeight="1" x14ac:dyDescent="0.2">
      <c r="A1268" s="444" t="s">
        <v>577</v>
      </c>
      <c r="B1268" s="444" t="s">
        <v>578</v>
      </c>
      <c r="C1268" s="723"/>
      <c r="D1268" s="723"/>
      <c r="E1268" s="725"/>
      <c r="F1268" s="727"/>
      <c r="G1268" s="729"/>
    </row>
    <row r="1269" spans="1:7" ht="19.899999999999999" customHeight="1" x14ac:dyDescent="0.2">
      <c r="A1269" s="482">
        <f>IFERROR(VLOOKUP(C1269,T_Insumos,4,FALSE),0)</f>
        <v>0</v>
      </c>
      <c r="B1269" s="445">
        <f>IFERROR(VLOOKUP(C1269,T_Insumos,5,FALSE),0)</f>
        <v>0</v>
      </c>
      <c r="C1269" s="436"/>
      <c r="D1269" s="493">
        <f>IF(C1269=0,0,"$/tnkm")</f>
        <v>0</v>
      </c>
      <c r="E1269" s="437"/>
      <c r="F1269" s="439">
        <f>IFERROR(VLOOKUP(C1269,T_Insumos,3,FALSE),0)</f>
        <v>0</v>
      </c>
      <c r="G1269" s="439">
        <f>ROUND(E1269*F1269,2)</f>
        <v>0</v>
      </c>
    </row>
    <row r="1270" spans="1:7" ht="19.899999999999999" customHeight="1" x14ac:dyDescent="0.2">
      <c r="A1270" s="482">
        <f>IFERROR(VLOOKUP(C1270,T_Insumos,4,FALSE),0)</f>
        <v>0</v>
      </c>
      <c r="B1270" s="445">
        <f>IFERROR(VLOOKUP(C1270,T_Insumos,5,FALSE),0)</f>
        <v>0</v>
      </c>
      <c r="C1270" s="436"/>
      <c r="D1270" s="493">
        <f>IF(C1270=0,0,"$/tnkm")</f>
        <v>0</v>
      </c>
      <c r="E1270" s="453"/>
      <c r="F1270" s="439">
        <f>IFERROR(VLOOKUP(C1270,T_Insumos,3,FALSE),0)</f>
        <v>0</v>
      </c>
      <c r="G1270" s="439">
        <f t="shared" ref="G1270" si="393">ROUND(E1270*F1270,2)</f>
        <v>0</v>
      </c>
    </row>
    <row r="1271" spans="1:7" ht="19.899999999999999" customHeight="1" x14ac:dyDescent="0.2">
      <c r="A1271" s="480"/>
      <c r="B1271" s="139"/>
      <c r="C1271" s="139"/>
      <c r="D1271" s="426"/>
      <c r="E1271" s="427"/>
      <c r="F1271" s="448" t="s">
        <v>984</v>
      </c>
      <c r="G1271" s="485">
        <f>SUBTOTAL(9,G1269:G1270)</f>
        <v>0</v>
      </c>
    </row>
    <row r="1272" spans="1:7" ht="19.899999999999999" customHeight="1" x14ac:dyDescent="0.2">
      <c r="A1272" s="483"/>
      <c r="B1272" s="426"/>
      <c r="C1272" s="139"/>
      <c r="D1272" s="426"/>
      <c r="E1272" s="427"/>
      <c r="F1272" s="428"/>
      <c r="G1272" s="481"/>
    </row>
    <row r="1273" spans="1:7" ht="19.899999999999999" customHeight="1" x14ac:dyDescent="0.2">
      <c r="A1273" s="541" t="str">
        <f>B1207</f>
        <v>3.5</v>
      </c>
      <c r="B1273" s="538" t="str">
        <f ca="1">C1207</f>
        <v>Excavación Cimiento</v>
      </c>
      <c r="C1273" s="426"/>
      <c r="D1273" s="426" t="s">
        <v>1704</v>
      </c>
      <c r="E1273" s="539"/>
      <c r="F1273" s="540" t="str">
        <f ca="1">"$/"&amp;G1207</f>
        <v>$/M3</v>
      </c>
      <c r="G1273" s="490">
        <f>SUBTOTAL(9,G1230:G1272)</f>
        <v>0</v>
      </c>
    </row>
    <row r="1274" spans="1:7" ht="19.899999999999999" customHeight="1" x14ac:dyDescent="0.2">
      <c r="A1274" s="486"/>
      <c r="B1274" s="487"/>
      <c r="C1274" s="488"/>
      <c r="D1274" s="488" t="s">
        <v>1900</v>
      </c>
      <c r="E1274" s="489"/>
      <c r="F1274" s="542" t="str">
        <f ca="1">"$/"&amp;G1207</f>
        <v>$/M3</v>
      </c>
      <c r="G1274" s="490">
        <f>ROUND(G1273*Coeficiente_Paso,2)</f>
        <v>0</v>
      </c>
    </row>
    <row r="1275" spans="1:7" ht="19.899999999999999" customHeight="1" x14ac:dyDescent="0.2">
      <c r="A1275" s="139"/>
      <c r="B1275" s="139"/>
      <c r="C1275" s="139"/>
      <c r="D1275" s="139"/>
      <c r="E1275" s="139"/>
      <c r="F1275" s="139"/>
      <c r="G1275" s="139"/>
    </row>
    <row r="1276" spans="1:7" ht="19.899999999999999" customHeight="1" x14ac:dyDescent="0.2">
      <c r="A1276" s="730" t="s">
        <v>31</v>
      </c>
      <c r="B1276" s="731"/>
      <c r="C1276" s="731"/>
      <c r="D1276" s="731"/>
      <c r="E1276" s="731"/>
      <c r="F1276" s="731"/>
      <c r="G1276" s="732"/>
    </row>
    <row r="1277" spans="1:7" ht="19.899999999999999" customHeight="1" x14ac:dyDescent="0.2">
      <c r="A1277" s="469" t="s">
        <v>711</v>
      </c>
      <c r="B1277" s="420" t="str">
        <f>Comitente</f>
        <v>DEPARTAMENTO DE HIDRAULICA</v>
      </c>
      <c r="C1277" s="421"/>
      <c r="D1277" s="422"/>
      <c r="E1277" s="422"/>
      <c r="F1277" s="423"/>
      <c r="G1277" s="470"/>
    </row>
    <row r="1278" spans="1:7" ht="19.899999999999999" customHeight="1" x14ac:dyDescent="0.2">
      <c r="A1278" s="469" t="s">
        <v>712</v>
      </c>
      <c r="B1278" s="420">
        <f>Contratista</f>
        <v>0</v>
      </c>
      <c r="C1278" s="424"/>
      <c r="D1278" s="424"/>
      <c r="E1278" s="424"/>
      <c r="F1278" s="420"/>
      <c r="G1278" s="471"/>
    </row>
    <row r="1279" spans="1:7" ht="19.899999999999999" customHeight="1" x14ac:dyDescent="0.2">
      <c r="A1279" s="469" t="s">
        <v>21</v>
      </c>
      <c r="B1279" s="420" t="str">
        <f>Obra</f>
        <v>Encamisado Parcial del Canal de Calle América</v>
      </c>
      <c r="C1279" s="424"/>
      <c r="D1279" s="424"/>
      <c r="E1279" s="424"/>
      <c r="F1279" s="420" t="s">
        <v>32</v>
      </c>
      <c r="G1279" s="471" t="str">
        <f>Fecha_Base</f>
        <v>X/X/2023</v>
      </c>
    </row>
    <row r="1280" spans="1:7" ht="19.899999999999999" customHeight="1" x14ac:dyDescent="0.2">
      <c r="A1280" s="472" t="s">
        <v>710</v>
      </c>
      <c r="B1280" s="425" t="str">
        <f>Ubicación</f>
        <v>Departamento Rawson</v>
      </c>
      <c r="C1280" s="425"/>
      <c r="D1280" s="426"/>
      <c r="E1280" s="427"/>
      <c r="F1280" s="428"/>
      <c r="G1280" s="473"/>
    </row>
    <row r="1281" spans="1:7" ht="19.899999999999999" customHeight="1" x14ac:dyDescent="0.2">
      <c r="A1281" s="472" t="s">
        <v>33</v>
      </c>
      <c r="B1281" s="429">
        <f>IFERROR(VALUE(LEFT(B1282,FIND(".",B1282)-1)),"")</f>
        <v>3</v>
      </c>
      <c r="C1281" s="139" t="str">
        <f ca="1">IFERROR(VLOOKUP(B1281,T_Computo_Presupuesto,2,FALSE),0)</f>
        <v>PUENTES DE HORMIGÓN</v>
      </c>
      <c r="D1281" s="139"/>
      <c r="E1281" s="427"/>
      <c r="F1281" s="428"/>
      <c r="G1281" s="473"/>
    </row>
    <row r="1282" spans="1:7" ht="19.899999999999999" customHeight="1" x14ac:dyDescent="0.2">
      <c r="A1282" s="472" t="s">
        <v>22</v>
      </c>
      <c r="B1282" s="430" t="str">
        <f>IFERROR(VLOOKUP(COUNTIF($A$1:A1282,"ANALISIS DE PRECIOS"),T_NumeroItem,2,FALSE),"")</f>
        <v>3.6</v>
      </c>
      <c r="C1282" s="733" t="str">
        <f ca="1">IFERROR(VLOOKUP(B1282,T_Computo_Presupuesto,2,FALSE),0)</f>
        <v>Hormigón de Limpieza</v>
      </c>
      <c r="D1282" s="733"/>
      <c r="E1282" s="733"/>
      <c r="F1282" s="425" t="s">
        <v>23</v>
      </c>
      <c r="G1282" s="474" t="str">
        <f ca="1">IFERROR(VLOOKUP(B1282,T_Computo_Presupuesto,4,FALSE),0)</f>
        <v>M3</v>
      </c>
    </row>
    <row r="1283" spans="1:7" ht="19.899999999999999" customHeight="1" x14ac:dyDescent="0.2">
      <c r="A1283" s="472"/>
      <c r="B1283" s="425"/>
      <c r="C1283" s="139"/>
      <c r="D1283" s="426"/>
      <c r="E1283" s="427"/>
      <c r="F1283" s="139"/>
      <c r="G1283" s="475"/>
    </row>
    <row r="1284" spans="1:7" ht="19.899999999999999" customHeight="1" x14ac:dyDescent="0.2">
      <c r="A1284" s="476"/>
      <c r="B1284" s="431"/>
      <c r="C1284" s="432" t="s">
        <v>967</v>
      </c>
      <c r="D1284" s="431"/>
      <c r="E1284" s="431"/>
      <c r="F1284" s="431"/>
      <c r="G1284" s="477"/>
    </row>
    <row r="1285" spans="1:7" ht="19.899999999999999" customHeight="1" x14ac:dyDescent="0.2">
      <c r="A1285" s="472"/>
      <c r="B1285" s="433"/>
      <c r="C1285" s="139"/>
      <c r="D1285" s="426"/>
      <c r="E1285" s="427"/>
      <c r="F1285" s="425"/>
      <c r="G1285" s="474"/>
    </row>
    <row r="1286" spans="1:7" ht="19.899999999999999" customHeight="1" x14ac:dyDescent="0.2">
      <c r="A1286" s="472"/>
      <c r="B1286" s="433"/>
      <c r="C1286" s="434" t="s">
        <v>968</v>
      </c>
      <c r="D1286" s="435" t="s">
        <v>24</v>
      </c>
      <c r="E1286" s="435" t="s">
        <v>969</v>
      </c>
      <c r="F1286" s="435" t="s">
        <v>970</v>
      </c>
      <c r="G1286" s="434" t="s">
        <v>971</v>
      </c>
    </row>
    <row r="1287" spans="1:7" ht="19.899999999999999" customHeight="1" x14ac:dyDescent="0.2">
      <c r="A1287" s="472"/>
      <c r="B1287" s="433"/>
      <c r="C1287" s="436">
        <f>+C1062</f>
        <v>0</v>
      </c>
      <c r="D1287" s="436">
        <f>+D1062</f>
        <v>0</v>
      </c>
      <c r="E1287" s="438">
        <f t="shared" ref="E1287:E1296" si="394">IFERROR(VLOOKUP(C1287,T_Equipos,4,FALSE),0)</f>
        <v>0</v>
      </c>
      <c r="F1287" s="439">
        <f t="shared" ref="F1287:F1296" si="395">IFERROR(VLOOKUP(C1287,T_Equipos,5,FALSE),0)</f>
        <v>0</v>
      </c>
      <c r="G1287" s="439">
        <f>ROUND(D1287*F1287,2)</f>
        <v>0</v>
      </c>
    </row>
    <row r="1288" spans="1:7" ht="19.899999999999999" customHeight="1" x14ac:dyDescent="0.2">
      <c r="A1288" s="472"/>
      <c r="B1288" s="433"/>
      <c r="C1288" s="436">
        <f t="shared" ref="C1288:D1292" si="396">+C1063</f>
        <v>0</v>
      </c>
      <c r="D1288" s="436">
        <f t="shared" si="396"/>
        <v>0</v>
      </c>
      <c r="E1288" s="438">
        <f t="shared" si="394"/>
        <v>0</v>
      </c>
      <c r="F1288" s="439">
        <f t="shared" si="395"/>
        <v>0</v>
      </c>
      <c r="G1288" s="439">
        <f>ROUND(D1288*F1288,2)</f>
        <v>0</v>
      </c>
    </row>
    <row r="1289" spans="1:7" ht="19.899999999999999" customHeight="1" x14ac:dyDescent="0.2">
      <c r="A1289" s="472"/>
      <c r="B1289" s="433"/>
      <c r="C1289" s="436">
        <f t="shared" si="396"/>
        <v>0</v>
      </c>
      <c r="D1289" s="436"/>
      <c r="E1289" s="438">
        <f t="shared" si="394"/>
        <v>0</v>
      </c>
      <c r="F1289" s="439">
        <f t="shared" si="395"/>
        <v>0</v>
      </c>
      <c r="G1289" s="439">
        <f>ROUND(D1289*F1289,2)</f>
        <v>0</v>
      </c>
    </row>
    <row r="1290" spans="1:7" ht="19.899999999999999" customHeight="1" x14ac:dyDescent="0.2">
      <c r="A1290" s="472"/>
      <c r="B1290" s="433"/>
      <c r="C1290" s="436">
        <f t="shared" si="396"/>
        <v>0</v>
      </c>
      <c r="D1290" s="436"/>
      <c r="E1290" s="438">
        <f t="shared" si="394"/>
        <v>0</v>
      </c>
      <c r="F1290" s="439">
        <f t="shared" si="395"/>
        <v>0</v>
      </c>
      <c r="G1290" s="439">
        <f>ROUND(D1290*F1290,2)</f>
        <v>0</v>
      </c>
    </row>
    <row r="1291" spans="1:7" ht="19.899999999999999" customHeight="1" x14ac:dyDescent="0.2">
      <c r="A1291" s="472"/>
      <c r="B1291" s="433"/>
      <c r="C1291" s="436">
        <f t="shared" si="396"/>
        <v>0</v>
      </c>
      <c r="D1291" s="436"/>
      <c r="E1291" s="438">
        <f t="shared" si="394"/>
        <v>0</v>
      </c>
      <c r="F1291" s="439">
        <f t="shared" si="395"/>
        <v>0</v>
      </c>
      <c r="G1291" s="439">
        <f t="shared" ref="G1291:G1296" si="397">ROUND(D1291*F1291,2)</f>
        <v>0</v>
      </c>
    </row>
    <row r="1292" spans="1:7" ht="19.899999999999999" customHeight="1" x14ac:dyDescent="0.2">
      <c r="A1292" s="472"/>
      <c r="B1292" s="433"/>
      <c r="C1292" s="436">
        <f t="shared" si="396"/>
        <v>0</v>
      </c>
      <c r="D1292" s="436"/>
      <c r="E1292" s="438">
        <f t="shared" si="394"/>
        <v>0</v>
      </c>
      <c r="F1292" s="439">
        <f t="shared" si="395"/>
        <v>0</v>
      </c>
      <c r="G1292" s="439">
        <f t="shared" si="397"/>
        <v>0</v>
      </c>
    </row>
    <row r="1293" spans="1:7" ht="19.899999999999999" customHeight="1" x14ac:dyDescent="0.2">
      <c r="A1293" s="472"/>
      <c r="B1293" s="433"/>
      <c r="C1293" s="436">
        <f t="shared" ref="C1293:D1293" si="398">+C1068</f>
        <v>0</v>
      </c>
      <c r="D1293" s="436">
        <f t="shared" si="398"/>
        <v>0</v>
      </c>
      <c r="E1293" s="438">
        <f t="shared" si="394"/>
        <v>0</v>
      </c>
      <c r="F1293" s="439">
        <f t="shared" si="395"/>
        <v>0</v>
      </c>
      <c r="G1293" s="439">
        <f t="shared" si="397"/>
        <v>0</v>
      </c>
    </row>
    <row r="1294" spans="1:7" ht="19.899999999999999" customHeight="1" x14ac:dyDescent="0.2">
      <c r="A1294" s="472"/>
      <c r="B1294" s="433"/>
      <c r="C1294" s="436">
        <f t="shared" ref="C1294:D1294" si="399">+C1069</f>
        <v>0</v>
      </c>
      <c r="D1294" s="436">
        <f t="shared" si="399"/>
        <v>0</v>
      </c>
      <c r="E1294" s="438">
        <f t="shared" si="394"/>
        <v>0</v>
      </c>
      <c r="F1294" s="439">
        <f t="shared" si="395"/>
        <v>0</v>
      </c>
      <c r="G1294" s="439">
        <f t="shared" si="397"/>
        <v>0</v>
      </c>
    </row>
    <row r="1295" spans="1:7" ht="19.899999999999999" customHeight="1" x14ac:dyDescent="0.2">
      <c r="A1295" s="472"/>
      <c r="B1295" s="433"/>
      <c r="C1295" s="436"/>
      <c r="D1295" s="437"/>
      <c r="E1295" s="438">
        <f t="shared" si="394"/>
        <v>0</v>
      </c>
      <c r="F1295" s="439">
        <f t="shared" si="395"/>
        <v>0</v>
      </c>
      <c r="G1295" s="439">
        <f t="shared" si="397"/>
        <v>0</v>
      </c>
    </row>
    <row r="1296" spans="1:7" ht="19.899999999999999" customHeight="1" x14ac:dyDescent="0.2">
      <c r="A1296" s="472"/>
      <c r="B1296" s="433"/>
      <c r="C1296" s="436"/>
      <c r="D1296" s="437"/>
      <c r="E1296" s="438">
        <f t="shared" si="394"/>
        <v>0</v>
      </c>
      <c r="F1296" s="439">
        <f t="shared" si="395"/>
        <v>0</v>
      </c>
      <c r="G1296" s="439">
        <f t="shared" si="397"/>
        <v>0</v>
      </c>
    </row>
    <row r="1297" spans="1:7" ht="19.899999999999999" customHeight="1" x14ac:dyDescent="0.2">
      <c r="A1297" s="472"/>
      <c r="B1297" s="433"/>
      <c r="C1297" s="139"/>
      <c r="D1297" s="139"/>
      <c r="E1297" s="440"/>
      <c r="F1297" s="425"/>
      <c r="G1297" s="474"/>
    </row>
    <row r="1298" spans="1:7" ht="19.899999999999999" customHeight="1" x14ac:dyDescent="0.2">
      <c r="A1298" s="472"/>
      <c r="B1298" s="139"/>
      <c r="C1298" s="422" t="s">
        <v>972</v>
      </c>
      <c r="D1298" s="425" t="s">
        <v>969</v>
      </c>
      <c r="E1298" s="491">
        <f>SUMPRODUCT(D1287:D1296,E1287:E1296)</f>
        <v>0</v>
      </c>
      <c r="F1298" s="425" t="s">
        <v>973</v>
      </c>
      <c r="G1298" s="492">
        <f>SUM(G1287:G1296)</f>
        <v>0</v>
      </c>
    </row>
    <row r="1299" spans="1:7" ht="19.899999999999999" customHeight="1" x14ac:dyDescent="0.2">
      <c r="A1299" s="472"/>
      <c r="B1299" s="433"/>
      <c r="C1299" s="441"/>
      <c r="D1299" s="440"/>
      <c r="E1299" s="427"/>
      <c r="F1299" s="425"/>
      <c r="G1299" s="478"/>
    </row>
    <row r="1300" spans="1:7" ht="19.899999999999999" customHeight="1" x14ac:dyDescent="0.2">
      <c r="A1300" s="479"/>
      <c r="B1300" s="433"/>
      <c r="C1300" s="425" t="s">
        <v>974</v>
      </c>
      <c r="D1300" s="442">
        <f>IFERROR(VLOOKUP(COUNTIF($A$1:A1300,"ANALISIS DE PRECIOS"),T_Rendimiento_Equipo,5,FALSE),0)</f>
        <v>0</v>
      </c>
      <c r="E1300" s="443" t="str">
        <f ca="1">G1282&amp;"/día"</f>
        <v>M3/día</v>
      </c>
      <c r="F1300" s="419"/>
      <c r="G1300" s="474"/>
    </row>
    <row r="1301" spans="1:7" ht="19.899999999999999" customHeight="1" x14ac:dyDescent="0.2">
      <c r="A1301" s="472"/>
      <c r="B1301" s="433"/>
      <c r="C1301" s="139"/>
      <c r="D1301" s="426"/>
      <c r="E1301" s="427"/>
      <c r="F1301" s="425"/>
      <c r="G1301" s="474"/>
    </row>
    <row r="1302" spans="1:7" ht="19.899999999999999" customHeight="1" x14ac:dyDescent="0.2">
      <c r="A1302" s="720" t="s">
        <v>576</v>
      </c>
      <c r="B1302" s="721"/>
      <c r="C1302" s="722" t="s">
        <v>0</v>
      </c>
      <c r="D1302" s="734" t="s">
        <v>1724</v>
      </c>
      <c r="E1302" s="734" t="s">
        <v>1723</v>
      </c>
      <c r="F1302" s="726" t="s">
        <v>975</v>
      </c>
      <c r="G1302" s="728" t="s">
        <v>26</v>
      </c>
    </row>
    <row r="1303" spans="1:7" ht="19.899999999999999" customHeight="1" x14ac:dyDescent="0.2">
      <c r="A1303" s="444" t="s">
        <v>577</v>
      </c>
      <c r="B1303" s="444" t="s">
        <v>578</v>
      </c>
      <c r="C1303" s="723"/>
      <c r="D1303" s="735"/>
      <c r="E1303" s="725"/>
      <c r="F1303" s="727"/>
      <c r="G1303" s="729"/>
    </row>
    <row r="1304" spans="1:7" ht="19.899999999999999" customHeight="1" x14ac:dyDescent="0.2">
      <c r="A1304" s="480"/>
      <c r="B1304" s="139"/>
      <c r="C1304" s="422" t="s">
        <v>976</v>
      </c>
      <c r="D1304" s="427"/>
      <c r="E1304" s="427"/>
      <c r="F1304" s="139"/>
      <c r="G1304" s="481"/>
    </row>
    <row r="1305" spans="1:7" ht="19.899999999999999" customHeight="1" x14ac:dyDescent="0.2">
      <c r="A1305" s="482">
        <f t="shared" ref="A1305:A1313" si="400">IFERROR(VLOOKUP(C1305,T_Insumos,4,FALSE),0)</f>
        <v>0</v>
      </c>
      <c r="B1305" s="445">
        <f t="shared" ref="B1305:B1313" si="401">IFERROR(VLOOKUP(C1305,T_Insumos,5,FALSE),0)</f>
        <v>0</v>
      </c>
      <c r="C1305" s="436">
        <f>+C1005</f>
        <v>0</v>
      </c>
      <c r="D1305" s="446">
        <f t="shared" ref="D1305:D1313" si="402">IFERROR(VLOOKUP(C1305,T_Insumos,3,FALSE),0)</f>
        <v>0</v>
      </c>
      <c r="E1305" s="439">
        <f>D1305*$G$323</f>
        <v>0</v>
      </c>
      <c r="F1305" s="442">
        <f>IF(C1305="",0,IFERROR(VLOOKUP(COUNTIF($A$1:A1305,"ANALISIS DE PRECIOS"),T_Rendimiento_Equipo,5,FALSE),0))</f>
        <v>0</v>
      </c>
      <c r="G1305" s="439">
        <f>IFERROR(ROUND(E1305/F1305,2),0)</f>
        <v>0</v>
      </c>
    </row>
    <row r="1306" spans="1:7" ht="19.899999999999999" customHeight="1" x14ac:dyDescent="0.2">
      <c r="A1306" s="482">
        <f t="shared" si="400"/>
        <v>0</v>
      </c>
      <c r="B1306" s="445">
        <f t="shared" si="401"/>
        <v>0</v>
      </c>
      <c r="C1306" s="436">
        <f t="shared" ref="C1306:C1308" si="403">+C1006</f>
        <v>0</v>
      </c>
      <c r="D1306" s="446">
        <f t="shared" si="402"/>
        <v>0</v>
      </c>
      <c r="E1306" s="439">
        <f t="shared" ref="E1306:E1307" si="404">D1306*$G$323</f>
        <v>0</v>
      </c>
      <c r="F1306" s="442">
        <f>IF(C1306="",0,IFERROR(VLOOKUP(COUNTIF($A$1:A1306,"ANALISIS DE PRECIOS"),T_Rendimiento_Equipo,5,FALSE),0))</f>
        <v>0</v>
      </c>
      <c r="G1306" s="439">
        <f t="shared" ref="G1306:G1313" si="405">IFERROR(ROUND(E1306/F1306,2),0)</f>
        <v>0</v>
      </c>
    </row>
    <row r="1307" spans="1:7" ht="19.899999999999999" customHeight="1" x14ac:dyDescent="0.2">
      <c r="A1307" s="482">
        <f t="shared" si="400"/>
        <v>0</v>
      </c>
      <c r="B1307" s="445">
        <f t="shared" si="401"/>
        <v>0</v>
      </c>
      <c r="C1307" s="436">
        <f t="shared" si="403"/>
        <v>0</v>
      </c>
      <c r="D1307" s="446">
        <f t="shared" si="402"/>
        <v>0</v>
      </c>
      <c r="E1307" s="439">
        <f t="shared" si="404"/>
        <v>0</v>
      </c>
      <c r="F1307" s="442">
        <f>IF(C1307="",0,IFERROR(VLOOKUP(COUNTIF($A$1:A1307,"ANALISIS DE PRECIOS"),T_Rendimiento_Equipo,5,FALSE),0))</f>
        <v>0</v>
      </c>
      <c r="G1307" s="439">
        <f t="shared" si="405"/>
        <v>0</v>
      </c>
    </row>
    <row r="1308" spans="1:7" ht="19.899999999999999" customHeight="1" x14ac:dyDescent="0.2">
      <c r="A1308" s="482">
        <f t="shared" si="400"/>
        <v>0</v>
      </c>
      <c r="B1308" s="445">
        <f t="shared" si="401"/>
        <v>0</v>
      </c>
      <c r="C1308" s="436">
        <f t="shared" si="403"/>
        <v>0</v>
      </c>
      <c r="D1308" s="446">
        <f t="shared" si="402"/>
        <v>0</v>
      </c>
      <c r="E1308" s="439">
        <f>D1308*$E$323</f>
        <v>0</v>
      </c>
      <c r="F1308" s="442">
        <f>IF(C1308="",0,IFERROR(VLOOKUP(COUNTIF($A$1:A1308,"ANALISIS DE PRECIOS"),T_Rendimiento_Equipo,5,FALSE),0))</f>
        <v>0</v>
      </c>
      <c r="G1308" s="439">
        <f t="shared" si="405"/>
        <v>0</v>
      </c>
    </row>
    <row r="1309" spans="1:7" ht="19.899999999999999" customHeight="1" x14ac:dyDescent="0.2">
      <c r="A1309" s="482">
        <f t="shared" si="400"/>
        <v>0</v>
      </c>
      <c r="B1309" s="445">
        <f t="shared" si="401"/>
        <v>0</v>
      </c>
      <c r="C1309" s="447"/>
      <c r="D1309" s="446">
        <f t="shared" si="402"/>
        <v>0</v>
      </c>
      <c r="E1309" s="439"/>
      <c r="F1309" s="442">
        <f>IF(C1309="",0,IFERROR(VLOOKUP(COUNTIF($A$1:A1309,"ANALISIS DE PRECIOS"),T_Rendimiento_Equipo,5,FALSE),0))</f>
        <v>0</v>
      </c>
      <c r="G1309" s="439">
        <f t="shared" si="405"/>
        <v>0</v>
      </c>
    </row>
    <row r="1310" spans="1:7" ht="19.899999999999999" customHeight="1" x14ac:dyDescent="0.2">
      <c r="A1310" s="482">
        <f t="shared" si="400"/>
        <v>0</v>
      </c>
      <c r="B1310" s="445">
        <f t="shared" si="401"/>
        <v>0</v>
      </c>
      <c r="C1310" s="447"/>
      <c r="D1310" s="446">
        <f t="shared" si="402"/>
        <v>0</v>
      </c>
      <c r="E1310" s="439"/>
      <c r="F1310" s="442">
        <f>IF(C1310="",0,IFERROR(VLOOKUP(COUNTIF($A$1:A1310,"ANALISIS DE PRECIOS"),T_Rendimiento_Equipo,5,FALSE),0))</f>
        <v>0</v>
      </c>
      <c r="G1310" s="439">
        <f t="shared" si="405"/>
        <v>0</v>
      </c>
    </row>
    <row r="1311" spans="1:7" ht="19.899999999999999" customHeight="1" x14ac:dyDescent="0.2">
      <c r="A1311" s="482">
        <f t="shared" si="400"/>
        <v>0</v>
      </c>
      <c r="B1311" s="445">
        <f t="shared" si="401"/>
        <v>0</v>
      </c>
      <c r="C1311" s="447"/>
      <c r="D1311" s="446">
        <f t="shared" si="402"/>
        <v>0</v>
      </c>
      <c r="E1311" s="439"/>
      <c r="F1311" s="442">
        <f>IF(C1311="",0,IFERROR(VLOOKUP(COUNTIF($A$1:A1311,"ANALISIS DE PRECIOS"),T_Rendimiento_Equipo,5,FALSE),0))</f>
        <v>0</v>
      </c>
      <c r="G1311" s="439">
        <f t="shared" si="405"/>
        <v>0</v>
      </c>
    </row>
    <row r="1312" spans="1:7" ht="19.899999999999999" customHeight="1" x14ac:dyDescent="0.2">
      <c r="A1312" s="482">
        <f t="shared" si="400"/>
        <v>0</v>
      </c>
      <c r="B1312" s="445">
        <f t="shared" si="401"/>
        <v>0</v>
      </c>
      <c r="C1312" s="447"/>
      <c r="D1312" s="446">
        <f t="shared" si="402"/>
        <v>0</v>
      </c>
      <c r="E1312" s="439"/>
      <c r="F1312" s="442">
        <f>IF(C1312="",0,IFERROR(VLOOKUP(COUNTIF($A$1:A1312,"ANALISIS DE PRECIOS"),T_Rendimiento_Equipo,5,FALSE),0))</f>
        <v>0</v>
      </c>
      <c r="G1312" s="439">
        <f t="shared" si="405"/>
        <v>0</v>
      </c>
    </row>
    <row r="1313" spans="1:7" ht="19.899999999999999" customHeight="1" x14ac:dyDescent="0.2">
      <c r="A1313" s="482">
        <f t="shared" si="400"/>
        <v>0</v>
      </c>
      <c r="B1313" s="445">
        <f t="shared" si="401"/>
        <v>0</v>
      </c>
      <c r="C1313" s="436"/>
      <c r="D1313" s="446">
        <f t="shared" si="402"/>
        <v>0</v>
      </c>
      <c r="E1313" s="439"/>
      <c r="F1313" s="442">
        <f>IF(C1313="",0,IFERROR(VLOOKUP(COUNTIF($A$1:A1313,"ANALISIS DE PRECIOS"),T_Rendimiento_Equipo,5,FALSE),0))</f>
        <v>0</v>
      </c>
      <c r="G1313" s="439">
        <f t="shared" si="405"/>
        <v>0</v>
      </c>
    </row>
    <row r="1314" spans="1:7" ht="19.899999999999999" customHeight="1" x14ac:dyDescent="0.2">
      <c r="A1314" s="483"/>
      <c r="B1314" s="426"/>
      <c r="C1314" s="139"/>
      <c r="D1314" s="426"/>
      <c r="E1314" s="427"/>
      <c r="F1314" s="448" t="s">
        <v>27</v>
      </c>
      <c r="G1314" s="484">
        <f>SUBTOTAL(9,G1305:G1313)</f>
        <v>0</v>
      </c>
    </row>
    <row r="1315" spans="1:7" ht="19.899999999999999" customHeight="1" x14ac:dyDescent="0.2">
      <c r="A1315" s="480"/>
      <c r="B1315" s="139"/>
      <c r="C1315" s="422" t="s">
        <v>713</v>
      </c>
      <c r="D1315" s="426"/>
      <c r="E1315" s="427"/>
      <c r="F1315" s="428"/>
      <c r="G1315" s="481"/>
    </row>
    <row r="1316" spans="1:7" ht="19.899999999999999" customHeight="1" x14ac:dyDescent="0.2">
      <c r="A1316" s="720" t="s">
        <v>576</v>
      </c>
      <c r="B1316" s="721"/>
      <c r="C1316" s="722" t="s">
        <v>0</v>
      </c>
      <c r="D1316" s="724" t="s">
        <v>24</v>
      </c>
      <c r="E1316" s="724" t="s">
        <v>1964</v>
      </c>
      <c r="F1316" s="726" t="s">
        <v>975</v>
      </c>
      <c r="G1316" s="728" t="s">
        <v>26</v>
      </c>
    </row>
    <row r="1317" spans="1:7" ht="19.899999999999999" customHeight="1" x14ac:dyDescent="0.2">
      <c r="A1317" s="444" t="s">
        <v>577</v>
      </c>
      <c r="B1317" s="444" t="s">
        <v>578</v>
      </c>
      <c r="C1317" s="723"/>
      <c r="D1317" s="725"/>
      <c r="E1317" s="725"/>
      <c r="F1317" s="727"/>
      <c r="G1317" s="729"/>
    </row>
    <row r="1318" spans="1:7" ht="19.899999999999999" customHeight="1" x14ac:dyDescent="0.2">
      <c r="A1318" s="482">
        <f t="shared" ref="A1318:A1324" si="406">IFERROR(VLOOKUP(C1318,T_Insumos,4,FALSE),0)</f>
        <v>0</v>
      </c>
      <c r="B1318" s="445">
        <f t="shared" ref="B1318:B1324" si="407">IFERROR(VLOOKUP(C1318,T_Insumos,5,FALSE),0)</f>
        <v>0</v>
      </c>
      <c r="C1318" s="436">
        <f t="shared" ref="C1318:C1321" si="408">+C1093</f>
        <v>0</v>
      </c>
      <c r="D1318" s="442"/>
      <c r="E1318" s="439">
        <f t="shared" ref="E1318:E1324" si="409">IFERROR(VLOOKUP(C1318,T_Insumos,3,FALSE),0)</f>
        <v>0</v>
      </c>
      <c r="F1318" s="442">
        <f>IF(C1318="",0,IFERROR(VLOOKUP(COUNTIF($A$1:A1318,"ANALISIS DE PRECIOS"),T_Rendimiento_Equipo,5,FALSE),0))</f>
        <v>0</v>
      </c>
      <c r="G1318" s="439">
        <f>IFERROR(ROUND(D1318*E1318/F1318,2),0)</f>
        <v>0</v>
      </c>
    </row>
    <row r="1319" spans="1:7" ht="19.899999999999999" customHeight="1" x14ac:dyDescent="0.2">
      <c r="A1319" s="482">
        <f t="shared" si="406"/>
        <v>0</v>
      </c>
      <c r="B1319" s="445">
        <f t="shared" si="407"/>
        <v>0</v>
      </c>
      <c r="C1319" s="436">
        <f t="shared" si="408"/>
        <v>0</v>
      </c>
      <c r="D1319" s="442">
        <v>1</v>
      </c>
      <c r="E1319" s="439">
        <f t="shared" si="409"/>
        <v>0</v>
      </c>
      <c r="F1319" s="442">
        <f>IF(C1319="",0,IFERROR(VLOOKUP(COUNTIF($A$1:A1319,"ANALISIS DE PRECIOS"),T_Rendimiento_Equipo,5,FALSE),0))</f>
        <v>0</v>
      </c>
      <c r="G1319" s="439">
        <f>IFERROR(ROUND(D1319*E1319/F1319,2),0)</f>
        <v>0</v>
      </c>
    </row>
    <row r="1320" spans="1:7" ht="19.899999999999999" customHeight="1" x14ac:dyDescent="0.2">
      <c r="A1320" s="482">
        <f t="shared" si="406"/>
        <v>0</v>
      </c>
      <c r="B1320" s="445">
        <f t="shared" si="407"/>
        <v>0</v>
      </c>
      <c r="C1320" s="436">
        <f t="shared" si="408"/>
        <v>0</v>
      </c>
      <c r="D1320" s="442"/>
      <c r="E1320" s="439">
        <f t="shared" si="409"/>
        <v>0</v>
      </c>
      <c r="F1320" s="442">
        <f>IF(C1320="",0,IFERROR(VLOOKUP(COUNTIF($A$1:A1320,"ANALISIS DE PRECIOS"),T_Rendimiento_Equipo,5,FALSE),0))</f>
        <v>0</v>
      </c>
      <c r="G1320" s="439">
        <f t="shared" ref="G1320:G1324" si="410">IFERROR(ROUND(D1320*E1320/F1320,2),0)</f>
        <v>0</v>
      </c>
    </row>
    <row r="1321" spans="1:7" ht="19.899999999999999" customHeight="1" x14ac:dyDescent="0.2">
      <c r="A1321" s="482">
        <f t="shared" si="406"/>
        <v>0</v>
      </c>
      <c r="B1321" s="445">
        <f t="shared" si="407"/>
        <v>0</v>
      </c>
      <c r="C1321" s="436">
        <f t="shared" si="408"/>
        <v>0</v>
      </c>
      <c r="D1321" s="442">
        <v>2</v>
      </c>
      <c r="E1321" s="439">
        <f t="shared" si="409"/>
        <v>0</v>
      </c>
      <c r="F1321" s="442">
        <f>IF(C1321="",0,IFERROR(VLOOKUP(COUNTIF($A$1:A1321,"ANALISIS DE PRECIOS"),T_Rendimiento_Equipo,5,FALSE),0))</f>
        <v>0</v>
      </c>
      <c r="G1321" s="439">
        <f t="shared" si="410"/>
        <v>0</v>
      </c>
    </row>
    <row r="1322" spans="1:7" ht="19.899999999999999" customHeight="1" x14ac:dyDescent="0.2">
      <c r="A1322" s="482">
        <f t="shared" si="406"/>
        <v>0</v>
      </c>
      <c r="B1322" s="445">
        <f t="shared" si="407"/>
        <v>0</v>
      </c>
      <c r="C1322" s="436"/>
      <c r="D1322" s="442"/>
      <c r="E1322" s="439">
        <f t="shared" si="409"/>
        <v>0</v>
      </c>
      <c r="F1322" s="442">
        <f>IF(C1322="",0,IFERROR(VLOOKUP(COUNTIF($A$1:A1322,"ANALISIS DE PRECIOS"),T_Rendimiento_Equipo,5,FALSE),0))</f>
        <v>0</v>
      </c>
      <c r="G1322" s="439">
        <f t="shared" si="410"/>
        <v>0</v>
      </c>
    </row>
    <row r="1323" spans="1:7" ht="19.899999999999999" customHeight="1" x14ac:dyDescent="0.2">
      <c r="A1323" s="482">
        <f t="shared" si="406"/>
        <v>0</v>
      </c>
      <c r="B1323" s="445">
        <f t="shared" si="407"/>
        <v>0</v>
      </c>
      <c r="C1323" s="436"/>
      <c r="D1323" s="450"/>
      <c r="E1323" s="439">
        <f t="shared" si="409"/>
        <v>0</v>
      </c>
      <c r="F1323" s="442">
        <f>IF(C1323="",0,IFERROR(VLOOKUP(COUNTIF($A$1:A1323,"ANALISIS DE PRECIOS"),T_Rendimiento_Equipo,5,FALSE),0))</f>
        <v>0</v>
      </c>
      <c r="G1323" s="439">
        <f t="shared" si="410"/>
        <v>0</v>
      </c>
    </row>
    <row r="1324" spans="1:7" ht="19.899999999999999" customHeight="1" x14ac:dyDescent="0.2">
      <c r="A1324" s="482">
        <f t="shared" si="406"/>
        <v>0</v>
      </c>
      <c r="B1324" s="445">
        <f t="shared" si="407"/>
        <v>0</v>
      </c>
      <c r="C1324" s="445"/>
      <c r="D1324" s="451"/>
      <c r="E1324" s="439">
        <f t="shared" si="409"/>
        <v>0</v>
      </c>
      <c r="F1324" s="442">
        <f>IF(C1324="",0,IFERROR(VLOOKUP(COUNTIF($A$1:A1324,"ANALISIS DE PRECIOS"),T_Rendimiento_Equipo,5,FALSE),0))</f>
        <v>0</v>
      </c>
      <c r="G1324" s="439">
        <f t="shared" si="410"/>
        <v>0</v>
      </c>
    </row>
    <row r="1325" spans="1:7" ht="19.899999999999999" customHeight="1" x14ac:dyDescent="0.2">
      <c r="A1325" s="483"/>
      <c r="B1325" s="426"/>
      <c r="C1325" s="139"/>
      <c r="D1325" s="426"/>
      <c r="E1325" s="427"/>
      <c r="F1325" s="448" t="s">
        <v>28</v>
      </c>
      <c r="G1325" s="485">
        <f>SUBTOTAL(9,G1318:G1324)</f>
        <v>0</v>
      </c>
    </row>
    <row r="1326" spans="1:7" ht="19.899999999999999" customHeight="1" x14ac:dyDescent="0.2">
      <c r="A1326" s="480"/>
      <c r="B1326" s="139"/>
      <c r="C1326" s="422" t="s">
        <v>982</v>
      </c>
      <c r="D1326" s="426"/>
      <c r="E1326" s="427"/>
      <c r="F1326" s="428"/>
      <c r="G1326" s="481"/>
    </row>
    <row r="1327" spans="1:7" ht="19.899999999999999" customHeight="1" x14ac:dyDescent="0.2">
      <c r="A1327" s="720" t="s">
        <v>576</v>
      </c>
      <c r="B1327" s="721"/>
      <c r="C1327" s="722" t="s">
        <v>0</v>
      </c>
      <c r="D1327" s="722" t="s">
        <v>1725</v>
      </c>
      <c r="E1327" s="724" t="s">
        <v>24</v>
      </c>
      <c r="F1327" s="726" t="s">
        <v>25</v>
      </c>
      <c r="G1327" s="728" t="s">
        <v>26</v>
      </c>
    </row>
    <row r="1328" spans="1:7" ht="19.899999999999999" customHeight="1" x14ac:dyDescent="0.2">
      <c r="A1328" s="444" t="s">
        <v>577</v>
      </c>
      <c r="B1328" s="444" t="s">
        <v>578</v>
      </c>
      <c r="C1328" s="723"/>
      <c r="D1328" s="723"/>
      <c r="E1328" s="725"/>
      <c r="F1328" s="727"/>
      <c r="G1328" s="729"/>
    </row>
    <row r="1329" spans="1:7" ht="19.899999999999999" customHeight="1" x14ac:dyDescent="0.2">
      <c r="A1329" s="482">
        <f t="shared" ref="A1329:A1339" si="411">IFERROR(VLOOKUP(C1329,T_Insumos,4,FALSE),0)</f>
        <v>0</v>
      </c>
      <c r="B1329" s="445">
        <f t="shared" ref="B1329:B1339" si="412">IFERROR(VLOOKUP(C1329,T_Insumos,5,FALSE),0)</f>
        <v>0</v>
      </c>
      <c r="C1329" s="436">
        <f t="shared" ref="C1329:C1339" si="413">+C1104</f>
        <v>0</v>
      </c>
      <c r="D1329" s="493">
        <f t="shared" ref="D1329:D1339" si="414">IFERROR(VLOOKUP(C1329,T_Insumos,2,FALSE),0)</f>
        <v>0</v>
      </c>
      <c r="E1329" s="437"/>
      <c r="F1329" s="439">
        <f t="shared" ref="F1329:F1339" si="415">IFERROR(VLOOKUP(C1329,T_Insumos,3,FALSE),0)</f>
        <v>0</v>
      </c>
      <c r="G1329" s="439">
        <f>ROUND(E1329*F1329,2)</f>
        <v>0</v>
      </c>
    </row>
    <row r="1330" spans="1:7" ht="19.899999999999999" customHeight="1" x14ac:dyDescent="0.2">
      <c r="A1330" s="482">
        <f t="shared" si="411"/>
        <v>0</v>
      </c>
      <c r="B1330" s="445">
        <f t="shared" si="412"/>
        <v>0</v>
      </c>
      <c r="C1330" s="436">
        <f t="shared" si="413"/>
        <v>0</v>
      </c>
      <c r="D1330" s="493">
        <f t="shared" si="414"/>
        <v>0</v>
      </c>
      <c r="E1330" s="437"/>
      <c r="F1330" s="439">
        <f t="shared" si="415"/>
        <v>0</v>
      </c>
      <c r="G1330" s="439">
        <f t="shared" ref="G1330:G1339" si="416">ROUND(E1330*F1330,2)</f>
        <v>0</v>
      </c>
    </row>
    <row r="1331" spans="1:7" ht="19.899999999999999" customHeight="1" x14ac:dyDescent="0.2">
      <c r="A1331" s="482">
        <f t="shared" si="411"/>
        <v>0</v>
      </c>
      <c r="B1331" s="445">
        <f t="shared" si="412"/>
        <v>0</v>
      </c>
      <c r="C1331" s="436">
        <f t="shared" si="413"/>
        <v>0</v>
      </c>
      <c r="D1331" s="493">
        <f t="shared" si="414"/>
        <v>0</v>
      </c>
      <c r="E1331" s="437"/>
      <c r="F1331" s="439">
        <f t="shared" si="415"/>
        <v>0</v>
      </c>
      <c r="G1331" s="439">
        <f t="shared" si="416"/>
        <v>0</v>
      </c>
    </row>
    <row r="1332" spans="1:7" ht="19.899999999999999" customHeight="1" x14ac:dyDescent="0.2">
      <c r="A1332" s="482">
        <f t="shared" si="411"/>
        <v>0</v>
      </c>
      <c r="B1332" s="445">
        <f t="shared" si="412"/>
        <v>0</v>
      </c>
      <c r="C1332" s="436">
        <f t="shared" si="413"/>
        <v>0</v>
      </c>
      <c r="D1332" s="493">
        <f t="shared" si="414"/>
        <v>0</v>
      </c>
      <c r="E1332" s="437"/>
      <c r="F1332" s="439">
        <f t="shared" si="415"/>
        <v>0</v>
      </c>
      <c r="G1332" s="439">
        <f t="shared" si="416"/>
        <v>0</v>
      </c>
    </row>
    <row r="1333" spans="1:7" ht="19.899999999999999" customHeight="1" x14ac:dyDescent="0.2">
      <c r="A1333" s="482">
        <f t="shared" si="411"/>
        <v>0</v>
      </c>
      <c r="B1333" s="445">
        <f t="shared" si="412"/>
        <v>0</v>
      </c>
      <c r="C1333" s="436">
        <f t="shared" si="413"/>
        <v>0</v>
      </c>
      <c r="D1333" s="493">
        <f t="shared" si="414"/>
        <v>0</v>
      </c>
      <c r="E1333" s="437"/>
      <c r="F1333" s="439">
        <f t="shared" si="415"/>
        <v>0</v>
      </c>
      <c r="G1333" s="439">
        <f t="shared" si="416"/>
        <v>0</v>
      </c>
    </row>
    <row r="1334" spans="1:7" ht="19.899999999999999" customHeight="1" x14ac:dyDescent="0.2">
      <c r="A1334" s="482">
        <f t="shared" si="411"/>
        <v>0</v>
      </c>
      <c r="B1334" s="445">
        <f t="shared" si="412"/>
        <v>0</v>
      </c>
      <c r="C1334" s="436">
        <f t="shared" si="413"/>
        <v>0</v>
      </c>
      <c r="D1334" s="493">
        <f t="shared" si="414"/>
        <v>0</v>
      </c>
      <c r="E1334" s="437"/>
      <c r="F1334" s="439">
        <f t="shared" si="415"/>
        <v>0</v>
      </c>
      <c r="G1334" s="439">
        <f t="shared" si="416"/>
        <v>0</v>
      </c>
    </row>
    <row r="1335" spans="1:7" ht="19.899999999999999" customHeight="1" x14ac:dyDescent="0.2">
      <c r="A1335" s="482">
        <f t="shared" si="411"/>
        <v>0</v>
      </c>
      <c r="B1335" s="445">
        <f t="shared" si="412"/>
        <v>0</v>
      </c>
      <c r="C1335" s="436">
        <f t="shared" si="413"/>
        <v>0</v>
      </c>
      <c r="D1335" s="493">
        <f t="shared" si="414"/>
        <v>0</v>
      </c>
      <c r="E1335" s="437"/>
      <c r="F1335" s="439">
        <f t="shared" si="415"/>
        <v>0</v>
      </c>
      <c r="G1335" s="439">
        <f t="shared" si="416"/>
        <v>0</v>
      </c>
    </row>
    <row r="1336" spans="1:7" ht="19.899999999999999" customHeight="1" x14ac:dyDescent="0.2">
      <c r="A1336" s="482">
        <f t="shared" si="411"/>
        <v>0</v>
      </c>
      <c r="B1336" s="445">
        <f t="shared" si="412"/>
        <v>0</v>
      </c>
      <c r="C1336" s="436">
        <f t="shared" si="413"/>
        <v>0</v>
      </c>
      <c r="D1336" s="493">
        <f t="shared" si="414"/>
        <v>0</v>
      </c>
      <c r="E1336" s="437"/>
      <c r="F1336" s="439">
        <f t="shared" si="415"/>
        <v>0</v>
      </c>
      <c r="G1336" s="439">
        <f t="shared" si="416"/>
        <v>0</v>
      </c>
    </row>
    <row r="1337" spans="1:7" ht="19.899999999999999" customHeight="1" x14ac:dyDescent="0.2">
      <c r="A1337" s="482">
        <f t="shared" si="411"/>
        <v>0</v>
      </c>
      <c r="B1337" s="445">
        <f t="shared" si="412"/>
        <v>0</v>
      </c>
      <c r="C1337" s="436">
        <f t="shared" si="413"/>
        <v>0</v>
      </c>
      <c r="D1337" s="493">
        <f t="shared" si="414"/>
        <v>0</v>
      </c>
      <c r="E1337" s="437"/>
      <c r="F1337" s="439">
        <f t="shared" si="415"/>
        <v>0</v>
      </c>
      <c r="G1337" s="439">
        <f t="shared" si="416"/>
        <v>0</v>
      </c>
    </row>
    <row r="1338" spans="1:7" ht="19.899999999999999" customHeight="1" x14ac:dyDescent="0.2">
      <c r="A1338" s="482">
        <f t="shared" si="411"/>
        <v>0</v>
      </c>
      <c r="B1338" s="445">
        <f t="shared" si="412"/>
        <v>0</v>
      </c>
      <c r="C1338" s="436">
        <f t="shared" si="413"/>
        <v>0</v>
      </c>
      <c r="D1338" s="493">
        <f t="shared" si="414"/>
        <v>0</v>
      </c>
      <c r="E1338" s="437"/>
      <c r="F1338" s="439">
        <f t="shared" si="415"/>
        <v>0</v>
      </c>
      <c r="G1338" s="439">
        <f t="shared" si="416"/>
        <v>0</v>
      </c>
    </row>
    <row r="1339" spans="1:7" ht="19.899999999999999" customHeight="1" x14ac:dyDescent="0.2">
      <c r="A1339" s="482">
        <f t="shared" si="411"/>
        <v>0</v>
      </c>
      <c r="B1339" s="445">
        <f t="shared" si="412"/>
        <v>0</v>
      </c>
      <c r="C1339" s="436">
        <f t="shared" si="413"/>
        <v>0</v>
      </c>
      <c r="D1339" s="493">
        <f t="shared" si="414"/>
        <v>0</v>
      </c>
      <c r="E1339" s="437"/>
      <c r="F1339" s="439">
        <f t="shared" si="415"/>
        <v>0</v>
      </c>
      <c r="G1339" s="439">
        <f t="shared" si="416"/>
        <v>0</v>
      </c>
    </row>
    <row r="1340" spans="1:7" ht="19.899999999999999" customHeight="1" x14ac:dyDescent="0.2">
      <c r="A1340" s="480"/>
      <c r="B1340" s="139"/>
      <c r="C1340" s="139"/>
      <c r="D1340" s="426"/>
      <c r="E1340" s="427"/>
      <c r="F1340" s="448" t="s">
        <v>29</v>
      </c>
      <c r="G1340" s="485">
        <f>SUBTOTAL(9,G1329:G1339)</f>
        <v>0</v>
      </c>
    </row>
    <row r="1341" spans="1:7" ht="19.899999999999999" customHeight="1" x14ac:dyDescent="0.2">
      <c r="A1341" s="480"/>
      <c r="B1341" s="139"/>
      <c r="C1341" s="422" t="s">
        <v>983</v>
      </c>
      <c r="D1341" s="426"/>
      <c r="E1341" s="427"/>
      <c r="F1341" s="428"/>
      <c r="G1341" s="481"/>
    </row>
    <row r="1342" spans="1:7" ht="19.899999999999999" customHeight="1" x14ac:dyDescent="0.2">
      <c r="A1342" s="720" t="s">
        <v>576</v>
      </c>
      <c r="B1342" s="721"/>
      <c r="C1342" s="722" t="s">
        <v>0</v>
      </c>
      <c r="D1342" s="722" t="s">
        <v>1725</v>
      </c>
      <c r="E1342" s="724" t="s">
        <v>24</v>
      </c>
      <c r="F1342" s="726" t="s">
        <v>25</v>
      </c>
      <c r="G1342" s="728" t="s">
        <v>26</v>
      </c>
    </row>
    <row r="1343" spans="1:7" ht="19.899999999999999" customHeight="1" x14ac:dyDescent="0.2">
      <c r="A1343" s="444" t="s">
        <v>577</v>
      </c>
      <c r="B1343" s="444" t="s">
        <v>578</v>
      </c>
      <c r="C1343" s="723"/>
      <c r="D1343" s="723"/>
      <c r="E1343" s="725"/>
      <c r="F1343" s="727"/>
      <c r="G1343" s="729"/>
    </row>
    <row r="1344" spans="1:7" ht="19.899999999999999" customHeight="1" x14ac:dyDescent="0.2">
      <c r="A1344" s="482">
        <f>IFERROR(VLOOKUP(C1344,T_Insumos,4,FALSE),0)</f>
        <v>0</v>
      </c>
      <c r="B1344" s="445">
        <f>IFERROR(VLOOKUP(C1344,T_Insumos,5,FALSE),0)</f>
        <v>0</v>
      </c>
      <c r="C1344" s="436"/>
      <c r="D1344" s="493">
        <f>IF(C1344=0,0,"$/tnkm")</f>
        <v>0</v>
      </c>
      <c r="E1344" s="437"/>
      <c r="F1344" s="439">
        <f>IFERROR(VLOOKUP(C1344,T_Insumos,3,FALSE),0)</f>
        <v>0</v>
      </c>
      <c r="G1344" s="439">
        <f>ROUND(E1344*F1344,2)</f>
        <v>0</v>
      </c>
    </row>
    <row r="1345" spans="1:7" ht="19.899999999999999" customHeight="1" x14ac:dyDescent="0.2">
      <c r="A1345" s="482">
        <f>IFERROR(VLOOKUP(C1345,T_Insumos,4,FALSE),0)</f>
        <v>0</v>
      </c>
      <c r="B1345" s="445">
        <f>IFERROR(VLOOKUP(C1345,T_Insumos,5,FALSE),0)</f>
        <v>0</v>
      </c>
      <c r="C1345" s="436"/>
      <c r="D1345" s="493">
        <f>IF(C1345=0,0,"$/tnkm")</f>
        <v>0</v>
      </c>
      <c r="E1345" s="453"/>
      <c r="F1345" s="439">
        <f>IFERROR(VLOOKUP(C1345,T_Insumos,3,FALSE),0)</f>
        <v>0</v>
      </c>
      <c r="G1345" s="439">
        <f t="shared" ref="G1345" si="417">ROUND(E1345*F1345,2)</f>
        <v>0</v>
      </c>
    </row>
    <row r="1346" spans="1:7" ht="19.899999999999999" customHeight="1" x14ac:dyDescent="0.2">
      <c r="A1346" s="480"/>
      <c r="B1346" s="139"/>
      <c r="C1346" s="139"/>
      <c r="D1346" s="426"/>
      <c r="E1346" s="427"/>
      <c r="F1346" s="448" t="s">
        <v>984</v>
      </c>
      <c r="G1346" s="485">
        <f>SUBTOTAL(9,G1344:G1345)</f>
        <v>0</v>
      </c>
    </row>
    <row r="1347" spans="1:7" ht="19.899999999999999" customHeight="1" x14ac:dyDescent="0.2">
      <c r="A1347" s="483"/>
      <c r="B1347" s="426"/>
      <c r="C1347" s="139"/>
      <c r="D1347" s="426"/>
      <c r="E1347" s="427"/>
      <c r="F1347" s="428"/>
      <c r="G1347" s="481"/>
    </row>
    <row r="1348" spans="1:7" ht="19.899999999999999" customHeight="1" x14ac:dyDescent="0.2">
      <c r="A1348" s="541" t="str">
        <f>B1282</f>
        <v>3.6</v>
      </c>
      <c r="B1348" s="538" t="str">
        <f ca="1">C1282</f>
        <v>Hormigón de Limpieza</v>
      </c>
      <c r="C1348" s="426"/>
      <c r="D1348" s="426" t="s">
        <v>1704</v>
      </c>
      <c r="E1348" s="539"/>
      <c r="F1348" s="540" t="str">
        <f ca="1">"$/"&amp;G1282</f>
        <v>$/M3</v>
      </c>
      <c r="G1348" s="490">
        <f>SUBTOTAL(9,G1305:G1347)</f>
        <v>0</v>
      </c>
    </row>
    <row r="1349" spans="1:7" ht="19.899999999999999" customHeight="1" x14ac:dyDescent="0.2">
      <c r="A1349" s="486"/>
      <c r="B1349" s="487"/>
      <c r="C1349" s="488"/>
      <c r="D1349" s="488" t="s">
        <v>1900</v>
      </c>
      <c r="E1349" s="489"/>
      <c r="F1349" s="542" t="str">
        <f ca="1">"$/"&amp;G1282</f>
        <v>$/M3</v>
      </c>
      <c r="G1349" s="490">
        <f>ROUND(G1348*Coeficiente_Paso,2)</f>
        <v>0</v>
      </c>
    </row>
    <row r="1350" spans="1:7" ht="19.899999999999999" customHeight="1" x14ac:dyDescent="0.2">
      <c r="A1350" s="139"/>
      <c r="B1350" s="139"/>
      <c r="C1350" s="139"/>
      <c r="D1350" s="139"/>
      <c r="E1350" s="139"/>
      <c r="F1350" s="139"/>
      <c r="G1350" s="139"/>
    </row>
    <row r="1351" spans="1:7" ht="19.899999999999999" customHeight="1" x14ac:dyDescent="0.2">
      <c r="A1351" s="730" t="s">
        <v>31</v>
      </c>
      <c r="B1351" s="731"/>
      <c r="C1351" s="731"/>
      <c r="D1351" s="731"/>
      <c r="E1351" s="731"/>
      <c r="F1351" s="731"/>
      <c r="G1351" s="732"/>
    </row>
    <row r="1352" spans="1:7" ht="19.899999999999999" customHeight="1" x14ac:dyDescent="0.2">
      <c r="A1352" s="469" t="s">
        <v>711</v>
      </c>
      <c r="B1352" s="420" t="str">
        <f>Comitente</f>
        <v>DEPARTAMENTO DE HIDRAULICA</v>
      </c>
      <c r="C1352" s="421"/>
      <c r="D1352" s="422"/>
      <c r="E1352" s="422"/>
      <c r="F1352" s="423"/>
      <c r="G1352" s="470"/>
    </row>
    <row r="1353" spans="1:7" ht="19.899999999999999" customHeight="1" x14ac:dyDescent="0.2">
      <c r="A1353" s="469" t="s">
        <v>712</v>
      </c>
      <c r="B1353" s="420">
        <f>Contratista</f>
        <v>0</v>
      </c>
      <c r="C1353" s="424"/>
      <c r="D1353" s="424"/>
      <c r="E1353" s="424"/>
      <c r="F1353" s="420"/>
      <c r="G1353" s="471"/>
    </row>
    <row r="1354" spans="1:7" ht="19.899999999999999" customHeight="1" x14ac:dyDescent="0.2">
      <c r="A1354" s="469" t="s">
        <v>21</v>
      </c>
      <c r="B1354" s="420" t="str">
        <f>Obra</f>
        <v>Encamisado Parcial del Canal de Calle América</v>
      </c>
      <c r="C1354" s="424"/>
      <c r="D1354" s="424"/>
      <c r="E1354" s="424"/>
      <c r="F1354" s="420" t="s">
        <v>32</v>
      </c>
      <c r="G1354" s="471" t="str">
        <f>Fecha_Base</f>
        <v>X/X/2023</v>
      </c>
    </row>
    <row r="1355" spans="1:7" ht="19.899999999999999" customHeight="1" x14ac:dyDescent="0.2">
      <c r="A1355" s="472" t="s">
        <v>710</v>
      </c>
      <c r="B1355" s="425" t="str">
        <f>Ubicación</f>
        <v>Departamento Rawson</v>
      </c>
      <c r="C1355" s="425"/>
      <c r="D1355" s="426"/>
      <c r="E1355" s="427"/>
      <c r="F1355" s="428"/>
      <c r="G1355" s="473"/>
    </row>
    <row r="1356" spans="1:7" ht="19.899999999999999" customHeight="1" x14ac:dyDescent="0.2">
      <c r="A1356" s="472" t="s">
        <v>33</v>
      </c>
      <c r="B1356" s="429">
        <f>IFERROR(VALUE(LEFT(B1357,FIND(".",B1357)-1)),"")</f>
        <v>3</v>
      </c>
      <c r="C1356" s="139" t="str">
        <f ca="1">IFERROR(VLOOKUP(B1356,T_Computo_Presupuesto,2,FALSE),0)</f>
        <v>PUENTES DE HORMIGÓN</v>
      </c>
      <c r="D1356" s="139"/>
      <c r="E1356" s="427"/>
      <c r="F1356" s="428"/>
      <c r="G1356" s="473"/>
    </row>
    <row r="1357" spans="1:7" ht="19.899999999999999" customHeight="1" x14ac:dyDescent="0.2">
      <c r="A1357" s="472" t="s">
        <v>22</v>
      </c>
      <c r="B1357" s="430" t="str">
        <f>IFERROR(VLOOKUP(COUNTIF($A$1:A1357,"ANALISIS DE PRECIOS"),T_NumeroItem,2,FALSE),"")</f>
        <v>3.7</v>
      </c>
      <c r="C1357" s="733" t="str">
        <f ca="1">IFERROR(VLOOKUP(B1357,T_Computo_Presupuesto,2,FALSE),0)</f>
        <v>Hormigón H21</v>
      </c>
      <c r="D1357" s="733"/>
      <c r="E1357" s="733"/>
      <c r="F1357" s="425" t="s">
        <v>23</v>
      </c>
      <c r="G1357" s="474" t="str">
        <f ca="1">IFERROR(VLOOKUP(B1357,T_Computo_Presupuesto,4,FALSE),0)</f>
        <v>M3</v>
      </c>
    </row>
    <row r="1358" spans="1:7" ht="19.899999999999999" customHeight="1" x14ac:dyDescent="0.2">
      <c r="A1358" s="472"/>
      <c r="B1358" s="425"/>
      <c r="C1358" s="139"/>
      <c r="D1358" s="426"/>
      <c r="E1358" s="427"/>
      <c r="F1358" s="139"/>
      <c r="G1358" s="475"/>
    </row>
    <row r="1359" spans="1:7" ht="19.899999999999999" customHeight="1" x14ac:dyDescent="0.2">
      <c r="A1359" s="476"/>
      <c r="B1359" s="431"/>
      <c r="C1359" s="432" t="s">
        <v>967</v>
      </c>
      <c r="D1359" s="431"/>
      <c r="E1359" s="431"/>
      <c r="F1359" s="431"/>
      <c r="G1359" s="477"/>
    </row>
    <row r="1360" spans="1:7" ht="19.899999999999999" customHeight="1" x14ac:dyDescent="0.2">
      <c r="A1360" s="472"/>
      <c r="B1360" s="433"/>
      <c r="C1360" s="139"/>
      <c r="D1360" s="426"/>
      <c r="E1360" s="427"/>
      <c r="F1360" s="425"/>
      <c r="G1360" s="474"/>
    </row>
    <row r="1361" spans="1:7" ht="19.899999999999999" customHeight="1" x14ac:dyDescent="0.2">
      <c r="A1361" s="472"/>
      <c r="B1361" s="433"/>
      <c r="C1361" s="434" t="s">
        <v>968</v>
      </c>
      <c r="D1361" s="435" t="s">
        <v>24</v>
      </c>
      <c r="E1361" s="435" t="s">
        <v>969</v>
      </c>
      <c r="F1361" s="435" t="s">
        <v>970</v>
      </c>
      <c r="G1361" s="434" t="s">
        <v>971</v>
      </c>
    </row>
    <row r="1362" spans="1:7" ht="19.899999999999999" customHeight="1" x14ac:dyDescent="0.2">
      <c r="A1362" s="472"/>
      <c r="B1362" s="433"/>
      <c r="C1362" s="436">
        <f>+C1137</f>
        <v>0</v>
      </c>
      <c r="D1362" s="436">
        <f>+D1137</f>
        <v>0</v>
      </c>
      <c r="E1362" s="438">
        <f t="shared" ref="E1362:E1371" si="418">IFERROR(VLOOKUP(C1362,T_Equipos,4,FALSE),0)</f>
        <v>0</v>
      </c>
      <c r="F1362" s="439">
        <f t="shared" ref="F1362:F1371" si="419">IFERROR(VLOOKUP(C1362,T_Equipos,5,FALSE),0)</f>
        <v>0</v>
      </c>
      <c r="G1362" s="439">
        <f>ROUND(D1362*F1362,2)</f>
        <v>0</v>
      </c>
    </row>
    <row r="1363" spans="1:7" ht="19.899999999999999" customHeight="1" x14ac:dyDescent="0.2">
      <c r="A1363" s="472"/>
      <c r="B1363" s="433"/>
      <c r="C1363" s="436">
        <f t="shared" ref="C1363:D1363" si="420">+C1138</f>
        <v>0</v>
      </c>
      <c r="D1363" s="436">
        <f t="shared" si="420"/>
        <v>0</v>
      </c>
      <c r="E1363" s="438">
        <f t="shared" si="418"/>
        <v>0</v>
      </c>
      <c r="F1363" s="439">
        <f t="shared" si="419"/>
        <v>0</v>
      </c>
      <c r="G1363" s="439">
        <f>ROUND(D1363*F1363,2)</f>
        <v>0</v>
      </c>
    </row>
    <row r="1364" spans="1:7" ht="19.899999999999999" customHeight="1" x14ac:dyDescent="0.2">
      <c r="A1364" s="472"/>
      <c r="B1364" s="433"/>
      <c r="C1364" s="436">
        <f t="shared" ref="C1364" si="421">+C1139</f>
        <v>0</v>
      </c>
      <c r="D1364" s="436"/>
      <c r="E1364" s="438">
        <f t="shared" si="418"/>
        <v>0</v>
      </c>
      <c r="F1364" s="439">
        <f t="shared" si="419"/>
        <v>0</v>
      </c>
      <c r="G1364" s="439">
        <f>ROUND(D1364*F1364,2)</f>
        <v>0</v>
      </c>
    </row>
    <row r="1365" spans="1:7" ht="19.899999999999999" customHeight="1" x14ac:dyDescent="0.2">
      <c r="A1365" s="472"/>
      <c r="B1365" s="433"/>
      <c r="C1365" s="436">
        <f t="shared" ref="C1365" si="422">+C1140</f>
        <v>0</v>
      </c>
      <c r="D1365" s="436"/>
      <c r="E1365" s="438">
        <f t="shared" si="418"/>
        <v>0</v>
      </c>
      <c r="F1365" s="439">
        <f t="shared" si="419"/>
        <v>0</v>
      </c>
      <c r="G1365" s="439">
        <f>ROUND(D1365*F1365,2)</f>
        <v>0</v>
      </c>
    </row>
    <row r="1366" spans="1:7" ht="19.899999999999999" customHeight="1" x14ac:dyDescent="0.2">
      <c r="A1366" s="472"/>
      <c r="B1366" s="433"/>
      <c r="C1366" s="436">
        <f t="shared" ref="C1366" si="423">+C1141</f>
        <v>0</v>
      </c>
      <c r="D1366" s="436"/>
      <c r="E1366" s="438">
        <f t="shared" si="418"/>
        <v>0</v>
      </c>
      <c r="F1366" s="439">
        <f t="shared" si="419"/>
        <v>0</v>
      </c>
      <c r="G1366" s="439">
        <f t="shared" ref="G1366:G1371" si="424">ROUND(D1366*F1366,2)</f>
        <v>0</v>
      </c>
    </row>
    <row r="1367" spans="1:7" ht="19.899999999999999" customHeight="1" x14ac:dyDescent="0.2">
      <c r="A1367" s="472"/>
      <c r="B1367" s="433"/>
      <c r="C1367" s="436">
        <f t="shared" ref="C1367" si="425">+C1142</f>
        <v>0</v>
      </c>
      <c r="D1367" s="436"/>
      <c r="E1367" s="438">
        <f t="shared" si="418"/>
        <v>0</v>
      </c>
      <c r="F1367" s="439">
        <f t="shared" si="419"/>
        <v>0</v>
      </c>
      <c r="G1367" s="439">
        <f t="shared" si="424"/>
        <v>0</v>
      </c>
    </row>
    <row r="1368" spans="1:7" ht="19.899999999999999" customHeight="1" x14ac:dyDescent="0.2">
      <c r="A1368" s="472"/>
      <c r="B1368" s="433"/>
      <c r="C1368" s="436">
        <f t="shared" ref="C1368:D1368" si="426">+C1143</f>
        <v>0</v>
      </c>
      <c r="D1368" s="436">
        <f t="shared" si="426"/>
        <v>0</v>
      </c>
      <c r="E1368" s="438">
        <f t="shared" si="418"/>
        <v>0</v>
      </c>
      <c r="F1368" s="439">
        <f t="shared" si="419"/>
        <v>0</v>
      </c>
      <c r="G1368" s="439">
        <f t="shared" si="424"/>
        <v>0</v>
      </c>
    </row>
    <row r="1369" spans="1:7" ht="19.899999999999999" customHeight="1" x14ac:dyDescent="0.2">
      <c r="A1369" s="472"/>
      <c r="B1369" s="433"/>
      <c r="C1369" s="436">
        <f t="shared" ref="C1369:D1369" si="427">+C1144</f>
        <v>0</v>
      </c>
      <c r="D1369" s="436">
        <f t="shared" si="427"/>
        <v>0</v>
      </c>
      <c r="E1369" s="438">
        <f t="shared" si="418"/>
        <v>0</v>
      </c>
      <c r="F1369" s="439">
        <f t="shared" si="419"/>
        <v>0</v>
      </c>
      <c r="G1369" s="439">
        <f t="shared" si="424"/>
        <v>0</v>
      </c>
    </row>
    <row r="1370" spans="1:7" ht="19.899999999999999" customHeight="1" x14ac:dyDescent="0.2">
      <c r="A1370" s="472"/>
      <c r="B1370" s="433"/>
      <c r="C1370" s="436"/>
      <c r="D1370" s="437"/>
      <c r="E1370" s="438">
        <f t="shared" si="418"/>
        <v>0</v>
      </c>
      <c r="F1370" s="439">
        <f t="shared" si="419"/>
        <v>0</v>
      </c>
      <c r="G1370" s="439">
        <f t="shared" si="424"/>
        <v>0</v>
      </c>
    </row>
    <row r="1371" spans="1:7" ht="19.899999999999999" customHeight="1" x14ac:dyDescent="0.2">
      <c r="A1371" s="472"/>
      <c r="B1371" s="433"/>
      <c r="C1371" s="436"/>
      <c r="D1371" s="437"/>
      <c r="E1371" s="438">
        <f t="shared" si="418"/>
        <v>0</v>
      </c>
      <c r="F1371" s="439">
        <f t="shared" si="419"/>
        <v>0</v>
      </c>
      <c r="G1371" s="439">
        <f t="shared" si="424"/>
        <v>0</v>
      </c>
    </row>
    <row r="1372" spans="1:7" ht="19.899999999999999" customHeight="1" x14ac:dyDescent="0.2">
      <c r="A1372" s="472"/>
      <c r="B1372" s="433"/>
      <c r="C1372" s="139"/>
      <c r="D1372" s="139"/>
      <c r="E1372" s="440"/>
      <c r="F1372" s="425"/>
      <c r="G1372" s="474"/>
    </row>
    <row r="1373" spans="1:7" ht="19.899999999999999" customHeight="1" x14ac:dyDescent="0.2">
      <c r="A1373" s="472"/>
      <c r="B1373" s="139"/>
      <c r="C1373" s="422" t="s">
        <v>972</v>
      </c>
      <c r="D1373" s="425" t="s">
        <v>969</v>
      </c>
      <c r="E1373" s="491">
        <f>SUMPRODUCT(D1362:D1371,E1362:E1371)</f>
        <v>0</v>
      </c>
      <c r="F1373" s="425" t="s">
        <v>973</v>
      </c>
      <c r="G1373" s="492">
        <f>SUM(G1362:G1371)</f>
        <v>0</v>
      </c>
    </row>
    <row r="1374" spans="1:7" ht="19.899999999999999" customHeight="1" x14ac:dyDescent="0.2">
      <c r="A1374" s="472"/>
      <c r="B1374" s="433"/>
      <c r="C1374" s="441"/>
      <c r="D1374" s="440"/>
      <c r="E1374" s="427"/>
      <c r="F1374" s="425"/>
      <c r="G1374" s="478"/>
    </row>
    <row r="1375" spans="1:7" ht="19.899999999999999" customHeight="1" x14ac:dyDescent="0.2">
      <c r="A1375" s="479"/>
      <c r="B1375" s="433"/>
      <c r="C1375" s="425" t="s">
        <v>974</v>
      </c>
      <c r="D1375" s="442">
        <f>IFERROR(VLOOKUP(COUNTIF($A$1:A1375,"ANALISIS DE PRECIOS"),T_Rendimiento_Equipo,5,FALSE),0)</f>
        <v>0</v>
      </c>
      <c r="E1375" s="443" t="str">
        <f ca="1">G1357&amp;"/día"</f>
        <v>M3/día</v>
      </c>
      <c r="F1375" s="419"/>
      <c r="G1375" s="474"/>
    </row>
    <row r="1376" spans="1:7" ht="19.899999999999999" customHeight="1" x14ac:dyDescent="0.2">
      <c r="A1376" s="472"/>
      <c r="B1376" s="433"/>
      <c r="C1376" s="139"/>
      <c r="D1376" s="426"/>
      <c r="E1376" s="427"/>
      <c r="F1376" s="425"/>
      <c r="G1376" s="474"/>
    </row>
    <row r="1377" spans="1:7" ht="19.899999999999999" customHeight="1" x14ac:dyDescent="0.2">
      <c r="A1377" s="720" t="s">
        <v>576</v>
      </c>
      <c r="B1377" s="721"/>
      <c r="C1377" s="722" t="s">
        <v>0</v>
      </c>
      <c r="D1377" s="734" t="s">
        <v>1724</v>
      </c>
      <c r="E1377" s="734" t="s">
        <v>1723</v>
      </c>
      <c r="F1377" s="726" t="s">
        <v>975</v>
      </c>
      <c r="G1377" s="728" t="s">
        <v>26</v>
      </c>
    </row>
    <row r="1378" spans="1:7" ht="19.899999999999999" customHeight="1" x14ac:dyDescent="0.2">
      <c r="A1378" s="444" t="s">
        <v>577</v>
      </c>
      <c r="B1378" s="444" t="s">
        <v>578</v>
      </c>
      <c r="C1378" s="723"/>
      <c r="D1378" s="735"/>
      <c r="E1378" s="725"/>
      <c r="F1378" s="727"/>
      <c r="G1378" s="729"/>
    </row>
    <row r="1379" spans="1:7" ht="19.899999999999999" customHeight="1" x14ac:dyDescent="0.2">
      <c r="A1379" s="480"/>
      <c r="B1379" s="139"/>
      <c r="C1379" s="422" t="s">
        <v>976</v>
      </c>
      <c r="D1379" s="427"/>
      <c r="E1379" s="427"/>
      <c r="F1379" s="139"/>
      <c r="G1379" s="481"/>
    </row>
    <row r="1380" spans="1:7" ht="19.899999999999999" customHeight="1" x14ac:dyDescent="0.2">
      <c r="A1380" s="482">
        <f t="shared" ref="A1380:A1388" si="428">IFERROR(VLOOKUP(C1380,T_Insumos,4,FALSE),0)</f>
        <v>0</v>
      </c>
      <c r="B1380" s="445">
        <f t="shared" ref="B1380:B1388" si="429">IFERROR(VLOOKUP(C1380,T_Insumos,5,FALSE),0)</f>
        <v>0</v>
      </c>
      <c r="C1380" s="436">
        <f>+C1080</f>
        <v>0</v>
      </c>
      <c r="D1380" s="446">
        <f t="shared" ref="D1380:D1388" si="430">IFERROR(VLOOKUP(C1380,T_Insumos,3,FALSE),0)</f>
        <v>0</v>
      </c>
      <c r="E1380" s="439">
        <f>D1380*$G$323</f>
        <v>0</v>
      </c>
      <c r="F1380" s="442">
        <f>IF(C1380="",0,IFERROR(VLOOKUP(COUNTIF($A$1:A1380,"ANALISIS DE PRECIOS"),T_Rendimiento_Equipo,5,FALSE),0))</f>
        <v>0</v>
      </c>
      <c r="G1380" s="439">
        <f>IFERROR(ROUND(E1380/F1380,2),0)</f>
        <v>0</v>
      </c>
    </row>
    <row r="1381" spans="1:7" ht="19.899999999999999" customHeight="1" x14ac:dyDescent="0.2">
      <c r="A1381" s="482">
        <f t="shared" si="428"/>
        <v>0</v>
      </c>
      <c r="B1381" s="445">
        <f t="shared" si="429"/>
        <v>0</v>
      </c>
      <c r="C1381" s="436">
        <f t="shared" ref="C1381:C1383" si="431">+C1081</f>
        <v>0</v>
      </c>
      <c r="D1381" s="446">
        <f t="shared" si="430"/>
        <v>0</v>
      </c>
      <c r="E1381" s="439">
        <f t="shared" ref="E1381:E1382" si="432">D1381*$G$323</f>
        <v>0</v>
      </c>
      <c r="F1381" s="442">
        <f>IF(C1381="",0,IFERROR(VLOOKUP(COUNTIF($A$1:A1381,"ANALISIS DE PRECIOS"),T_Rendimiento_Equipo,5,FALSE),0))</f>
        <v>0</v>
      </c>
      <c r="G1381" s="439">
        <f t="shared" ref="G1381:G1388" si="433">IFERROR(ROUND(E1381/F1381,2),0)</f>
        <v>0</v>
      </c>
    </row>
    <row r="1382" spans="1:7" ht="19.899999999999999" customHeight="1" x14ac:dyDescent="0.2">
      <c r="A1382" s="482">
        <f t="shared" si="428"/>
        <v>0</v>
      </c>
      <c r="B1382" s="445">
        <f t="shared" si="429"/>
        <v>0</v>
      </c>
      <c r="C1382" s="436">
        <f t="shared" si="431"/>
        <v>0</v>
      </c>
      <c r="D1382" s="446">
        <f t="shared" si="430"/>
        <v>0</v>
      </c>
      <c r="E1382" s="439">
        <f t="shared" si="432"/>
        <v>0</v>
      </c>
      <c r="F1382" s="442">
        <f>IF(C1382="",0,IFERROR(VLOOKUP(COUNTIF($A$1:A1382,"ANALISIS DE PRECIOS"),T_Rendimiento_Equipo,5,FALSE),0))</f>
        <v>0</v>
      </c>
      <c r="G1382" s="439">
        <f t="shared" si="433"/>
        <v>0</v>
      </c>
    </row>
    <row r="1383" spans="1:7" ht="19.899999999999999" customHeight="1" x14ac:dyDescent="0.2">
      <c r="A1383" s="482">
        <f t="shared" si="428"/>
        <v>0</v>
      </c>
      <c r="B1383" s="445">
        <f t="shared" si="429"/>
        <v>0</v>
      </c>
      <c r="C1383" s="436">
        <f t="shared" si="431"/>
        <v>0</v>
      </c>
      <c r="D1383" s="446">
        <f t="shared" si="430"/>
        <v>0</v>
      </c>
      <c r="E1383" s="439">
        <f>D1383*$E$323</f>
        <v>0</v>
      </c>
      <c r="F1383" s="442">
        <f>IF(C1383="",0,IFERROR(VLOOKUP(COUNTIF($A$1:A1383,"ANALISIS DE PRECIOS"),T_Rendimiento_Equipo,5,FALSE),0))</f>
        <v>0</v>
      </c>
      <c r="G1383" s="439">
        <f t="shared" si="433"/>
        <v>0</v>
      </c>
    </row>
    <row r="1384" spans="1:7" ht="19.899999999999999" customHeight="1" x14ac:dyDescent="0.2">
      <c r="A1384" s="482">
        <f t="shared" si="428"/>
        <v>0</v>
      </c>
      <c r="B1384" s="445">
        <f t="shared" si="429"/>
        <v>0</v>
      </c>
      <c r="C1384" s="447"/>
      <c r="D1384" s="446">
        <f t="shared" si="430"/>
        <v>0</v>
      </c>
      <c r="E1384" s="439"/>
      <c r="F1384" s="442">
        <f>IF(C1384="",0,IFERROR(VLOOKUP(COUNTIF($A$1:A1384,"ANALISIS DE PRECIOS"),T_Rendimiento_Equipo,5,FALSE),0))</f>
        <v>0</v>
      </c>
      <c r="G1384" s="439">
        <f t="shared" si="433"/>
        <v>0</v>
      </c>
    </row>
    <row r="1385" spans="1:7" ht="19.899999999999999" customHeight="1" x14ac:dyDescent="0.2">
      <c r="A1385" s="482">
        <f t="shared" si="428"/>
        <v>0</v>
      </c>
      <c r="B1385" s="445">
        <f t="shared" si="429"/>
        <v>0</v>
      </c>
      <c r="C1385" s="447"/>
      <c r="D1385" s="446">
        <f t="shared" si="430"/>
        <v>0</v>
      </c>
      <c r="E1385" s="439"/>
      <c r="F1385" s="442">
        <f>IF(C1385="",0,IFERROR(VLOOKUP(COUNTIF($A$1:A1385,"ANALISIS DE PRECIOS"),T_Rendimiento_Equipo,5,FALSE),0))</f>
        <v>0</v>
      </c>
      <c r="G1385" s="439">
        <f t="shared" si="433"/>
        <v>0</v>
      </c>
    </row>
    <row r="1386" spans="1:7" ht="19.899999999999999" customHeight="1" x14ac:dyDescent="0.2">
      <c r="A1386" s="482">
        <f t="shared" si="428"/>
        <v>0</v>
      </c>
      <c r="B1386" s="445">
        <f t="shared" si="429"/>
        <v>0</v>
      </c>
      <c r="C1386" s="447"/>
      <c r="D1386" s="446">
        <f t="shared" si="430"/>
        <v>0</v>
      </c>
      <c r="E1386" s="439"/>
      <c r="F1386" s="442">
        <f>IF(C1386="",0,IFERROR(VLOOKUP(COUNTIF($A$1:A1386,"ANALISIS DE PRECIOS"),T_Rendimiento_Equipo,5,FALSE),0))</f>
        <v>0</v>
      </c>
      <c r="G1386" s="439">
        <f t="shared" si="433"/>
        <v>0</v>
      </c>
    </row>
    <row r="1387" spans="1:7" ht="19.899999999999999" customHeight="1" x14ac:dyDescent="0.2">
      <c r="A1387" s="482">
        <f t="shared" si="428"/>
        <v>0</v>
      </c>
      <c r="B1387" s="445">
        <f t="shared" si="429"/>
        <v>0</v>
      </c>
      <c r="C1387" s="447"/>
      <c r="D1387" s="446">
        <f t="shared" si="430"/>
        <v>0</v>
      </c>
      <c r="E1387" s="439"/>
      <c r="F1387" s="442">
        <f>IF(C1387="",0,IFERROR(VLOOKUP(COUNTIF($A$1:A1387,"ANALISIS DE PRECIOS"),T_Rendimiento_Equipo,5,FALSE),0))</f>
        <v>0</v>
      </c>
      <c r="G1387" s="439">
        <f t="shared" si="433"/>
        <v>0</v>
      </c>
    </row>
    <row r="1388" spans="1:7" ht="19.899999999999999" customHeight="1" x14ac:dyDescent="0.2">
      <c r="A1388" s="482">
        <f t="shared" si="428"/>
        <v>0</v>
      </c>
      <c r="B1388" s="445">
        <f t="shared" si="429"/>
        <v>0</v>
      </c>
      <c r="C1388" s="436"/>
      <c r="D1388" s="446">
        <f t="shared" si="430"/>
        <v>0</v>
      </c>
      <c r="E1388" s="439"/>
      <c r="F1388" s="442">
        <f>IF(C1388="",0,IFERROR(VLOOKUP(COUNTIF($A$1:A1388,"ANALISIS DE PRECIOS"),T_Rendimiento_Equipo,5,FALSE),0))</f>
        <v>0</v>
      </c>
      <c r="G1388" s="439">
        <f t="shared" si="433"/>
        <v>0</v>
      </c>
    </row>
    <row r="1389" spans="1:7" ht="19.899999999999999" customHeight="1" x14ac:dyDescent="0.2">
      <c r="A1389" s="483"/>
      <c r="B1389" s="426"/>
      <c r="C1389" s="139"/>
      <c r="D1389" s="426"/>
      <c r="E1389" s="427"/>
      <c r="F1389" s="448" t="s">
        <v>27</v>
      </c>
      <c r="G1389" s="484">
        <f>SUBTOTAL(9,G1380:G1388)</f>
        <v>0</v>
      </c>
    </row>
    <row r="1390" spans="1:7" ht="19.899999999999999" customHeight="1" x14ac:dyDescent="0.2">
      <c r="A1390" s="480"/>
      <c r="B1390" s="139"/>
      <c r="C1390" s="422" t="s">
        <v>713</v>
      </c>
      <c r="D1390" s="426"/>
      <c r="E1390" s="427"/>
      <c r="F1390" s="428"/>
      <c r="G1390" s="481"/>
    </row>
    <row r="1391" spans="1:7" ht="19.899999999999999" customHeight="1" x14ac:dyDescent="0.2">
      <c r="A1391" s="720" t="s">
        <v>576</v>
      </c>
      <c r="B1391" s="721"/>
      <c r="C1391" s="722" t="s">
        <v>0</v>
      </c>
      <c r="D1391" s="724" t="s">
        <v>24</v>
      </c>
      <c r="E1391" s="724" t="s">
        <v>1964</v>
      </c>
      <c r="F1391" s="726" t="s">
        <v>975</v>
      </c>
      <c r="G1391" s="728" t="s">
        <v>26</v>
      </c>
    </row>
    <row r="1392" spans="1:7" ht="19.899999999999999" customHeight="1" x14ac:dyDescent="0.2">
      <c r="A1392" s="444" t="s">
        <v>577</v>
      </c>
      <c r="B1392" s="444" t="s">
        <v>578</v>
      </c>
      <c r="C1392" s="723"/>
      <c r="D1392" s="725"/>
      <c r="E1392" s="725"/>
      <c r="F1392" s="727"/>
      <c r="G1392" s="729"/>
    </row>
    <row r="1393" spans="1:7" ht="19.899999999999999" customHeight="1" x14ac:dyDescent="0.2">
      <c r="A1393" s="482">
        <f t="shared" ref="A1393:A1399" si="434">IFERROR(VLOOKUP(C1393,T_Insumos,4,FALSE),0)</f>
        <v>0</v>
      </c>
      <c r="B1393" s="445">
        <f t="shared" ref="B1393:B1399" si="435">IFERROR(VLOOKUP(C1393,T_Insumos,5,FALSE),0)</f>
        <v>0</v>
      </c>
      <c r="C1393" s="436">
        <f t="shared" ref="C1393:C1396" si="436">+C1168</f>
        <v>0</v>
      </c>
      <c r="D1393" s="442"/>
      <c r="E1393" s="439">
        <f t="shared" ref="E1393:E1399" si="437">IFERROR(VLOOKUP(C1393,T_Insumos,3,FALSE),0)</f>
        <v>0</v>
      </c>
      <c r="F1393" s="442">
        <f>IF(C1393="",0,IFERROR(VLOOKUP(COUNTIF($A$1:A1393,"ANALISIS DE PRECIOS"),T_Rendimiento_Equipo,5,FALSE),0))</f>
        <v>0</v>
      </c>
      <c r="G1393" s="439">
        <f>IFERROR(ROUND(D1393*E1393/F1393,2),0)</f>
        <v>0</v>
      </c>
    </row>
    <row r="1394" spans="1:7" ht="19.899999999999999" customHeight="1" x14ac:dyDescent="0.2">
      <c r="A1394" s="482">
        <f t="shared" si="434"/>
        <v>0</v>
      </c>
      <c r="B1394" s="445">
        <f t="shared" si="435"/>
        <v>0</v>
      </c>
      <c r="C1394" s="436">
        <f t="shared" si="436"/>
        <v>0</v>
      </c>
      <c r="D1394" s="442">
        <v>1</v>
      </c>
      <c r="E1394" s="439">
        <f t="shared" si="437"/>
        <v>0</v>
      </c>
      <c r="F1394" s="442">
        <f>IF(C1394="",0,IFERROR(VLOOKUP(COUNTIF($A$1:A1394,"ANALISIS DE PRECIOS"),T_Rendimiento_Equipo,5,FALSE),0))</f>
        <v>0</v>
      </c>
      <c r="G1394" s="439">
        <f>IFERROR(ROUND(D1394*E1394/F1394,2),0)</f>
        <v>0</v>
      </c>
    </row>
    <row r="1395" spans="1:7" ht="19.899999999999999" customHeight="1" x14ac:dyDescent="0.2">
      <c r="A1395" s="482">
        <f t="shared" si="434"/>
        <v>0</v>
      </c>
      <c r="B1395" s="445">
        <f t="shared" si="435"/>
        <v>0</v>
      </c>
      <c r="C1395" s="436">
        <f t="shared" si="436"/>
        <v>0</v>
      </c>
      <c r="D1395" s="442"/>
      <c r="E1395" s="439">
        <f t="shared" si="437"/>
        <v>0</v>
      </c>
      <c r="F1395" s="442">
        <f>IF(C1395="",0,IFERROR(VLOOKUP(COUNTIF($A$1:A1395,"ANALISIS DE PRECIOS"),T_Rendimiento_Equipo,5,FALSE),0))</f>
        <v>0</v>
      </c>
      <c r="G1395" s="439">
        <f t="shared" ref="G1395:G1399" si="438">IFERROR(ROUND(D1395*E1395/F1395,2),0)</f>
        <v>0</v>
      </c>
    </row>
    <row r="1396" spans="1:7" ht="19.899999999999999" customHeight="1" x14ac:dyDescent="0.2">
      <c r="A1396" s="482">
        <f t="shared" si="434"/>
        <v>0</v>
      </c>
      <c r="B1396" s="445">
        <f t="shared" si="435"/>
        <v>0</v>
      </c>
      <c r="C1396" s="436">
        <f t="shared" si="436"/>
        <v>0</v>
      </c>
      <c r="D1396" s="442">
        <v>2</v>
      </c>
      <c r="E1396" s="439">
        <f t="shared" si="437"/>
        <v>0</v>
      </c>
      <c r="F1396" s="442">
        <f>IF(C1396="",0,IFERROR(VLOOKUP(COUNTIF($A$1:A1396,"ANALISIS DE PRECIOS"),T_Rendimiento_Equipo,5,FALSE),0))</f>
        <v>0</v>
      </c>
      <c r="G1396" s="439">
        <f t="shared" si="438"/>
        <v>0</v>
      </c>
    </row>
    <row r="1397" spans="1:7" ht="19.899999999999999" customHeight="1" x14ac:dyDescent="0.2">
      <c r="A1397" s="482">
        <f t="shared" si="434"/>
        <v>0</v>
      </c>
      <c r="B1397" s="445">
        <f t="shared" si="435"/>
        <v>0</v>
      </c>
      <c r="C1397" s="436"/>
      <c r="D1397" s="442"/>
      <c r="E1397" s="439">
        <f t="shared" si="437"/>
        <v>0</v>
      </c>
      <c r="F1397" s="442">
        <f>IF(C1397="",0,IFERROR(VLOOKUP(COUNTIF($A$1:A1397,"ANALISIS DE PRECIOS"),T_Rendimiento_Equipo,5,FALSE),0))</f>
        <v>0</v>
      </c>
      <c r="G1397" s="439">
        <f t="shared" si="438"/>
        <v>0</v>
      </c>
    </row>
    <row r="1398" spans="1:7" ht="19.899999999999999" customHeight="1" x14ac:dyDescent="0.2">
      <c r="A1398" s="482">
        <f t="shared" si="434"/>
        <v>0</v>
      </c>
      <c r="B1398" s="445">
        <f t="shared" si="435"/>
        <v>0</v>
      </c>
      <c r="C1398" s="436"/>
      <c r="D1398" s="450"/>
      <c r="E1398" s="439">
        <f t="shared" si="437"/>
        <v>0</v>
      </c>
      <c r="F1398" s="442">
        <f>IF(C1398="",0,IFERROR(VLOOKUP(COUNTIF($A$1:A1398,"ANALISIS DE PRECIOS"),T_Rendimiento_Equipo,5,FALSE),0))</f>
        <v>0</v>
      </c>
      <c r="G1398" s="439">
        <f t="shared" si="438"/>
        <v>0</v>
      </c>
    </row>
    <row r="1399" spans="1:7" ht="19.899999999999999" customHeight="1" x14ac:dyDescent="0.2">
      <c r="A1399" s="482">
        <f t="shared" si="434"/>
        <v>0</v>
      </c>
      <c r="B1399" s="445">
        <f t="shared" si="435"/>
        <v>0</v>
      </c>
      <c r="C1399" s="445"/>
      <c r="D1399" s="451"/>
      <c r="E1399" s="439">
        <f t="shared" si="437"/>
        <v>0</v>
      </c>
      <c r="F1399" s="442">
        <f>IF(C1399="",0,IFERROR(VLOOKUP(COUNTIF($A$1:A1399,"ANALISIS DE PRECIOS"),T_Rendimiento_Equipo,5,FALSE),0))</f>
        <v>0</v>
      </c>
      <c r="G1399" s="439">
        <f t="shared" si="438"/>
        <v>0</v>
      </c>
    </row>
    <row r="1400" spans="1:7" ht="19.899999999999999" customHeight="1" x14ac:dyDescent="0.2">
      <c r="A1400" s="483"/>
      <c r="B1400" s="426"/>
      <c r="C1400" s="139"/>
      <c r="D1400" s="426"/>
      <c r="E1400" s="427"/>
      <c r="F1400" s="448" t="s">
        <v>28</v>
      </c>
      <c r="G1400" s="485">
        <f>SUBTOTAL(9,G1393:G1399)</f>
        <v>0</v>
      </c>
    </row>
    <row r="1401" spans="1:7" ht="19.899999999999999" customHeight="1" x14ac:dyDescent="0.2">
      <c r="A1401" s="480"/>
      <c r="B1401" s="139"/>
      <c r="C1401" s="422" t="s">
        <v>982</v>
      </c>
      <c r="D1401" s="426"/>
      <c r="E1401" s="427"/>
      <c r="F1401" s="428"/>
      <c r="G1401" s="481"/>
    </row>
    <row r="1402" spans="1:7" ht="19.899999999999999" customHeight="1" x14ac:dyDescent="0.2">
      <c r="A1402" s="720" t="s">
        <v>576</v>
      </c>
      <c r="B1402" s="721"/>
      <c r="C1402" s="722" t="s">
        <v>0</v>
      </c>
      <c r="D1402" s="722" t="s">
        <v>1725</v>
      </c>
      <c r="E1402" s="724" t="s">
        <v>24</v>
      </c>
      <c r="F1402" s="726" t="s">
        <v>25</v>
      </c>
      <c r="G1402" s="728" t="s">
        <v>26</v>
      </c>
    </row>
    <row r="1403" spans="1:7" ht="19.899999999999999" customHeight="1" x14ac:dyDescent="0.2">
      <c r="A1403" s="444" t="s">
        <v>577</v>
      </c>
      <c r="B1403" s="444" t="s">
        <v>578</v>
      </c>
      <c r="C1403" s="723"/>
      <c r="D1403" s="723"/>
      <c r="E1403" s="725"/>
      <c r="F1403" s="727"/>
      <c r="G1403" s="729"/>
    </row>
    <row r="1404" spans="1:7" ht="19.899999999999999" customHeight="1" x14ac:dyDescent="0.2">
      <c r="A1404" s="482">
        <f t="shared" ref="A1404:A1414" si="439">IFERROR(VLOOKUP(C1404,T_Insumos,4,FALSE),0)</f>
        <v>0</v>
      </c>
      <c r="B1404" s="445">
        <f t="shared" ref="B1404:B1414" si="440">IFERROR(VLOOKUP(C1404,T_Insumos,5,FALSE),0)</f>
        <v>0</v>
      </c>
      <c r="C1404" s="436">
        <f t="shared" ref="C1404:C1414" si="441">+C1179</f>
        <v>0</v>
      </c>
      <c r="D1404" s="493">
        <f t="shared" ref="D1404:D1414" si="442">IFERROR(VLOOKUP(C1404,T_Insumos,2,FALSE),0)</f>
        <v>0</v>
      </c>
      <c r="E1404" s="437"/>
      <c r="F1404" s="439">
        <f t="shared" ref="F1404:F1414" si="443">IFERROR(VLOOKUP(C1404,T_Insumos,3,FALSE),0)</f>
        <v>0</v>
      </c>
      <c r="G1404" s="439">
        <f>ROUND(E1404*F1404,2)</f>
        <v>0</v>
      </c>
    </row>
    <row r="1405" spans="1:7" ht="19.899999999999999" customHeight="1" x14ac:dyDescent="0.2">
      <c r="A1405" s="482">
        <f t="shared" si="439"/>
        <v>0</v>
      </c>
      <c r="B1405" s="445">
        <f t="shared" si="440"/>
        <v>0</v>
      </c>
      <c r="C1405" s="436">
        <f t="shared" si="441"/>
        <v>0</v>
      </c>
      <c r="D1405" s="493">
        <f t="shared" si="442"/>
        <v>0</v>
      </c>
      <c r="E1405" s="437"/>
      <c r="F1405" s="439">
        <f t="shared" si="443"/>
        <v>0</v>
      </c>
      <c r="G1405" s="439">
        <f t="shared" ref="G1405:G1414" si="444">ROUND(E1405*F1405,2)</f>
        <v>0</v>
      </c>
    </row>
    <row r="1406" spans="1:7" ht="19.899999999999999" customHeight="1" x14ac:dyDescent="0.2">
      <c r="A1406" s="482">
        <f t="shared" si="439"/>
        <v>0</v>
      </c>
      <c r="B1406" s="445">
        <f t="shared" si="440"/>
        <v>0</v>
      </c>
      <c r="C1406" s="436">
        <f t="shared" si="441"/>
        <v>0</v>
      </c>
      <c r="D1406" s="493">
        <f t="shared" si="442"/>
        <v>0</v>
      </c>
      <c r="E1406" s="437"/>
      <c r="F1406" s="439">
        <f t="shared" si="443"/>
        <v>0</v>
      </c>
      <c r="G1406" s="439">
        <f t="shared" si="444"/>
        <v>0</v>
      </c>
    </row>
    <row r="1407" spans="1:7" ht="19.899999999999999" customHeight="1" x14ac:dyDescent="0.2">
      <c r="A1407" s="482">
        <f t="shared" si="439"/>
        <v>0</v>
      </c>
      <c r="B1407" s="445">
        <f t="shared" si="440"/>
        <v>0</v>
      </c>
      <c r="C1407" s="436">
        <f t="shared" si="441"/>
        <v>0</v>
      </c>
      <c r="D1407" s="493">
        <f t="shared" si="442"/>
        <v>0</v>
      </c>
      <c r="E1407" s="437"/>
      <c r="F1407" s="439">
        <f t="shared" si="443"/>
        <v>0</v>
      </c>
      <c r="G1407" s="439">
        <f t="shared" si="444"/>
        <v>0</v>
      </c>
    </row>
    <row r="1408" spans="1:7" ht="19.899999999999999" customHeight="1" x14ac:dyDescent="0.2">
      <c r="A1408" s="482">
        <f t="shared" si="439"/>
        <v>0</v>
      </c>
      <c r="B1408" s="445">
        <f t="shared" si="440"/>
        <v>0</v>
      </c>
      <c r="C1408" s="436">
        <f t="shared" si="441"/>
        <v>0</v>
      </c>
      <c r="D1408" s="493">
        <f t="shared" si="442"/>
        <v>0</v>
      </c>
      <c r="E1408" s="437"/>
      <c r="F1408" s="439">
        <f t="shared" si="443"/>
        <v>0</v>
      </c>
      <c r="G1408" s="439">
        <f t="shared" si="444"/>
        <v>0</v>
      </c>
    </row>
    <row r="1409" spans="1:7" ht="19.899999999999999" customHeight="1" x14ac:dyDescent="0.2">
      <c r="A1409" s="482">
        <f t="shared" si="439"/>
        <v>0</v>
      </c>
      <c r="B1409" s="445">
        <f t="shared" si="440"/>
        <v>0</v>
      </c>
      <c r="C1409" s="436">
        <f t="shared" si="441"/>
        <v>0</v>
      </c>
      <c r="D1409" s="493">
        <f t="shared" si="442"/>
        <v>0</v>
      </c>
      <c r="E1409" s="437"/>
      <c r="F1409" s="439">
        <f t="shared" si="443"/>
        <v>0</v>
      </c>
      <c r="G1409" s="439">
        <f t="shared" si="444"/>
        <v>0</v>
      </c>
    </row>
    <row r="1410" spans="1:7" ht="19.899999999999999" customHeight="1" x14ac:dyDescent="0.2">
      <c r="A1410" s="482">
        <f t="shared" si="439"/>
        <v>0</v>
      </c>
      <c r="B1410" s="445">
        <f t="shared" si="440"/>
        <v>0</v>
      </c>
      <c r="C1410" s="436">
        <f t="shared" si="441"/>
        <v>0</v>
      </c>
      <c r="D1410" s="493">
        <f t="shared" si="442"/>
        <v>0</v>
      </c>
      <c r="E1410" s="437"/>
      <c r="F1410" s="439">
        <f t="shared" si="443"/>
        <v>0</v>
      </c>
      <c r="G1410" s="439">
        <f t="shared" si="444"/>
        <v>0</v>
      </c>
    </row>
    <row r="1411" spans="1:7" ht="19.899999999999999" customHeight="1" x14ac:dyDescent="0.2">
      <c r="A1411" s="482">
        <f t="shared" si="439"/>
        <v>0</v>
      </c>
      <c r="B1411" s="445">
        <f t="shared" si="440"/>
        <v>0</v>
      </c>
      <c r="C1411" s="436">
        <f t="shared" si="441"/>
        <v>0</v>
      </c>
      <c r="D1411" s="493">
        <f t="shared" si="442"/>
        <v>0</v>
      </c>
      <c r="E1411" s="437"/>
      <c r="F1411" s="439">
        <f t="shared" si="443"/>
        <v>0</v>
      </c>
      <c r="G1411" s="439">
        <f t="shared" si="444"/>
        <v>0</v>
      </c>
    </row>
    <row r="1412" spans="1:7" ht="19.899999999999999" customHeight="1" x14ac:dyDescent="0.2">
      <c r="A1412" s="482">
        <f t="shared" si="439"/>
        <v>0</v>
      </c>
      <c r="B1412" s="445">
        <f t="shared" si="440"/>
        <v>0</v>
      </c>
      <c r="C1412" s="436">
        <f t="shared" si="441"/>
        <v>0</v>
      </c>
      <c r="D1412" s="493">
        <f t="shared" si="442"/>
        <v>0</v>
      </c>
      <c r="E1412" s="437"/>
      <c r="F1412" s="439">
        <f t="shared" si="443"/>
        <v>0</v>
      </c>
      <c r="G1412" s="439">
        <f t="shared" si="444"/>
        <v>0</v>
      </c>
    </row>
    <row r="1413" spans="1:7" ht="19.899999999999999" customHeight="1" x14ac:dyDescent="0.2">
      <c r="A1413" s="482">
        <f t="shared" si="439"/>
        <v>0</v>
      </c>
      <c r="B1413" s="445">
        <f t="shared" si="440"/>
        <v>0</v>
      </c>
      <c r="C1413" s="436">
        <f t="shared" si="441"/>
        <v>0</v>
      </c>
      <c r="D1413" s="493">
        <f t="shared" si="442"/>
        <v>0</v>
      </c>
      <c r="E1413" s="437"/>
      <c r="F1413" s="439">
        <f t="shared" si="443"/>
        <v>0</v>
      </c>
      <c r="G1413" s="439">
        <f t="shared" si="444"/>
        <v>0</v>
      </c>
    </row>
    <row r="1414" spans="1:7" ht="19.899999999999999" customHeight="1" x14ac:dyDescent="0.2">
      <c r="A1414" s="482">
        <f t="shared" si="439"/>
        <v>0</v>
      </c>
      <c r="B1414" s="445">
        <f t="shared" si="440"/>
        <v>0</v>
      </c>
      <c r="C1414" s="436">
        <f t="shared" si="441"/>
        <v>0</v>
      </c>
      <c r="D1414" s="493">
        <f t="shared" si="442"/>
        <v>0</v>
      </c>
      <c r="E1414" s="437"/>
      <c r="F1414" s="439">
        <f t="shared" si="443"/>
        <v>0</v>
      </c>
      <c r="G1414" s="439">
        <f t="shared" si="444"/>
        <v>0</v>
      </c>
    </row>
    <row r="1415" spans="1:7" ht="19.899999999999999" customHeight="1" x14ac:dyDescent="0.2">
      <c r="A1415" s="480"/>
      <c r="B1415" s="139"/>
      <c r="C1415" s="139"/>
      <c r="D1415" s="426"/>
      <c r="E1415" s="427"/>
      <c r="F1415" s="448" t="s">
        <v>29</v>
      </c>
      <c r="G1415" s="485">
        <f>SUBTOTAL(9,G1404:G1414)</f>
        <v>0</v>
      </c>
    </row>
    <row r="1416" spans="1:7" ht="19.899999999999999" customHeight="1" x14ac:dyDescent="0.2">
      <c r="A1416" s="480"/>
      <c r="B1416" s="139"/>
      <c r="C1416" s="422" t="s">
        <v>983</v>
      </c>
      <c r="D1416" s="426"/>
      <c r="E1416" s="427"/>
      <c r="F1416" s="428"/>
      <c r="G1416" s="481"/>
    </row>
    <row r="1417" spans="1:7" ht="19.899999999999999" customHeight="1" x14ac:dyDescent="0.2">
      <c r="A1417" s="720" t="s">
        <v>576</v>
      </c>
      <c r="B1417" s="721"/>
      <c r="C1417" s="722" t="s">
        <v>0</v>
      </c>
      <c r="D1417" s="722" t="s">
        <v>1725</v>
      </c>
      <c r="E1417" s="724" t="s">
        <v>24</v>
      </c>
      <c r="F1417" s="726" t="s">
        <v>25</v>
      </c>
      <c r="G1417" s="728" t="s">
        <v>26</v>
      </c>
    </row>
    <row r="1418" spans="1:7" ht="19.899999999999999" customHeight="1" x14ac:dyDescent="0.2">
      <c r="A1418" s="444" t="s">
        <v>577</v>
      </c>
      <c r="B1418" s="444" t="s">
        <v>578</v>
      </c>
      <c r="C1418" s="723"/>
      <c r="D1418" s="723"/>
      <c r="E1418" s="725"/>
      <c r="F1418" s="727"/>
      <c r="G1418" s="729"/>
    </row>
    <row r="1419" spans="1:7" ht="19.899999999999999" customHeight="1" x14ac:dyDescent="0.2">
      <c r="A1419" s="482">
        <f>IFERROR(VLOOKUP(C1419,T_Insumos,4,FALSE),0)</f>
        <v>0</v>
      </c>
      <c r="B1419" s="445">
        <f>IFERROR(VLOOKUP(C1419,T_Insumos,5,FALSE),0)</f>
        <v>0</v>
      </c>
      <c r="C1419" s="436"/>
      <c r="D1419" s="493">
        <f>IF(C1419=0,0,"$/tnkm")</f>
        <v>0</v>
      </c>
      <c r="E1419" s="437"/>
      <c r="F1419" s="439">
        <f>IFERROR(VLOOKUP(C1419,T_Insumos,3,FALSE),0)</f>
        <v>0</v>
      </c>
      <c r="G1419" s="439">
        <f>ROUND(E1419*F1419,2)</f>
        <v>0</v>
      </c>
    </row>
    <row r="1420" spans="1:7" ht="19.899999999999999" customHeight="1" x14ac:dyDescent="0.2">
      <c r="A1420" s="482">
        <f>IFERROR(VLOOKUP(C1420,T_Insumos,4,FALSE),0)</f>
        <v>0</v>
      </c>
      <c r="B1420" s="445">
        <f>IFERROR(VLOOKUP(C1420,T_Insumos,5,FALSE),0)</f>
        <v>0</v>
      </c>
      <c r="C1420" s="436"/>
      <c r="D1420" s="493">
        <f>IF(C1420=0,0,"$/tnkm")</f>
        <v>0</v>
      </c>
      <c r="E1420" s="453"/>
      <c r="F1420" s="439">
        <f>IFERROR(VLOOKUP(C1420,T_Insumos,3,FALSE),0)</f>
        <v>0</v>
      </c>
      <c r="G1420" s="439">
        <f t="shared" ref="G1420" si="445">ROUND(E1420*F1420,2)</f>
        <v>0</v>
      </c>
    </row>
    <row r="1421" spans="1:7" ht="19.899999999999999" customHeight="1" x14ac:dyDescent="0.2">
      <c r="A1421" s="480"/>
      <c r="B1421" s="139"/>
      <c r="C1421" s="139"/>
      <c r="D1421" s="426"/>
      <c r="E1421" s="427"/>
      <c r="F1421" s="448" t="s">
        <v>984</v>
      </c>
      <c r="G1421" s="485">
        <f>SUBTOTAL(9,G1419:G1420)</f>
        <v>0</v>
      </c>
    </row>
    <row r="1422" spans="1:7" ht="19.899999999999999" customHeight="1" x14ac:dyDescent="0.2">
      <c r="A1422" s="483"/>
      <c r="B1422" s="426"/>
      <c r="C1422" s="139"/>
      <c r="D1422" s="426"/>
      <c r="E1422" s="427"/>
      <c r="F1422" s="428"/>
      <c r="G1422" s="481"/>
    </row>
    <row r="1423" spans="1:7" ht="19.899999999999999" customHeight="1" x14ac:dyDescent="0.2">
      <c r="A1423" s="541" t="str">
        <f>B1357</f>
        <v>3.7</v>
      </c>
      <c r="B1423" s="538" t="str">
        <f ca="1">C1357</f>
        <v>Hormigón H21</v>
      </c>
      <c r="C1423" s="426"/>
      <c r="D1423" s="426" t="s">
        <v>1704</v>
      </c>
      <c r="E1423" s="539"/>
      <c r="F1423" s="540" t="str">
        <f ca="1">"$/"&amp;G1357</f>
        <v>$/M3</v>
      </c>
      <c r="G1423" s="490">
        <f>SUBTOTAL(9,G1380:G1422)</f>
        <v>0</v>
      </c>
    </row>
    <row r="1424" spans="1:7" ht="19.899999999999999" customHeight="1" x14ac:dyDescent="0.2">
      <c r="A1424" s="486"/>
      <c r="B1424" s="487"/>
      <c r="C1424" s="488"/>
      <c r="D1424" s="488" t="s">
        <v>1900</v>
      </c>
      <c r="E1424" s="489"/>
      <c r="F1424" s="542" t="str">
        <f ca="1">"$/"&amp;G1357</f>
        <v>$/M3</v>
      </c>
      <c r="G1424" s="490">
        <f>ROUND(G1423*Coeficiente_Paso,2)</f>
        <v>0</v>
      </c>
    </row>
    <row r="1425" spans="1:7" ht="19.899999999999999" customHeight="1" x14ac:dyDescent="0.2">
      <c r="A1425" s="139"/>
      <c r="B1425" s="139"/>
      <c r="C1425" s="139"/>
      <c r="D1425" s="139"/>
      <c r="E1425" s="139"/>
      <c r="F1425" s="139"/>
      <c r="G1425" s="139"/>
    </row>
    <row r="1426" spans="1:7" ht="19.899999999999999" customHeight="1" x14ac:dyDescent="0.2">
      <c r="A1426" s="730" t="s">
        <v>31</v>
      </c>
      <c r="B1426" s="731"/>
      <c r="C1426" s="731"/>
      <c r="D1426" s="731"/>
      <c r="E1426" s="731"/>
      <c r="F1426" s="731"/>
      <c r="G1426" s="732"/>
    </row>
    <row r="1427" spans="1:7" ht="19.899999999999999" customHeight="1" x14ac:dyDescent="0.2">
      <c r="A1427" s="469" t="s">
        <v>711</v>
      </c>
      <c r="B1427" s="420" t="str">
        <f>Comitente</f>
        <v>DEPARTAMENTO DE HIDRAULICA</v>
      </c>
      <c r="C1427" s="421"/>
      <c r="D1427" s="422"/>
      <c r="E1427" s="422"/>
      <c r="F1427" s="423"/>
      <c r="G1427" s="470"/>
    </row>
    <row r="1428" spans="1:7" ht="19.899999999999999" customHeight="1" x14ac:dyDescent="0.2">
      <c r="A1428" s="469" t="s">
        <v>712</v>
      </c>
      <c r="B1428" s="420">
        <f>Contratista</f>
        <v>0</v>
      </c>
      <c r="C1428" s="424"/>
      <c r="D1428" s="424"/>
      <c r="E1428" s="424"/>
      <c r="F1428" s="420"/>
      <c r="G1428" s="471"/>
    </row>
    <row r="1429" spans="1:7" ht="19.899999999999999" customHeight="1" x14ac:dyDescent="0.2">
      <c r="A1429" s="469" t="s">
        <v>21</v>
      </c>
      <c r="B1429" s="420" t="str">
        <f>Obra</f>
        <v>Encamisado Parcial del Canal de Calle América</v>
      </c>
      <c r="C1429" s="424"/>
      <c r="D1429" s="424"/>
      <c r="E1429" s="424"/>
      <c r="F1429" s="420" t="s">
        <v>32</v>
      </c>
      <c r="G1429" s="471" t="str">
        <f>Fecha_Base</f>
        <v>X/X/2023</v>
      </c>
    </row>
    <row r="1430" spans="1:7" ht="19.899999999999999" customHeight="1" x14ac:dyDescent="0.2">
      <c r="A1430" s="472" t="s">
        <v>710</v>
      </c>
      <c r="B1430" s="425" t="str">
        <f>Ubicación</f>
        <v>Departamento Rawson</v>
      </c>
      <c r="C1430" s="425"/>
      <c r="D1430" s="426"/>
      <c r="E1430" s="427"/>
      <c r="F1430" s="428"/>
      <c r="G1430" s="473"/>
    </row>
    <row r="1431" spans="1:7" ht="19.899999999999999" customHeight="1" x14ac:dyDescent="0.2">
      <c r="A1431" s="472" t="s">
        <v>33</v>
      </c>
      <c r="B1431" s="429">
        <f>IFERROR(VALUE(LEFT(B1432,FIND(".",B1432)-1)),"")</f>
        <v>3</v>
      </c>
      <c r="C1431" s="139" t="str">
        <f ca="1">IFERROR(VLOOKUP(B1431,T_Computo_Presupuesto,2,FALSE),0)</f>
        <v>PUENTES DE HORMIGÓN</v>
      </c>
      <c r="D1431" s="139"/>
      <c r="E1431" s="427"/>
      <c r="F1431" s="428"/>
      <c r="G1431" s="473"/>
    </row>
    <row r="1432" spans="1:7" ht="19.899999999999999" customHeight="1" x14ac:dyDescent="0.2">
      <c r="A1432" s="472" t="s">
        <v>22</v>
      </c>
      <c r="B1432" s="430" t="str">
        <f>IFERROR(VLOOKUP(COUNTIF($A$1:A1432,"ANALISIS DE PRECIOS"),T_NumeroItem,2,FALSE),"")</f>
        <v>3.8</v>
      </c>
      <c r="C1432" s="733" t="str">
        <f ca="1">IFERROR(VLOOKUP(B1432,T_Computo_Presupuesto,2,FALSE),0)</f>
        <v>Armadura Colocada en Obra</v>
      </c>
      <c r="D1432" s="733"/>
      <c r="E1432" s="733"/>
      <c r="F1432" s="425" t="s">
        <v>23</v>
      </c>
      <c r="G1432" s="474" t="str">
        <f ca="1">IFERROR(VLOOKUP(B1432,T_Computo_Presupuesto,4,FALSE),0)</f>
        <v>KG</v>
      </c>
    </row>
    <row r="1433" spans="1:7" ht="19.899999999999999" customHeight="1" x14ac:dyDescent="0.2">
      <c r="A1433" s="472"/>
      <c r="B1433" s="425"/>
      <c r="C1433" s="139"/>
      <c r="D1433" s="426"/>
      <c r="E1433" s="427"/>
      <c r="F1433" s="139"/>
      <c r="G1433" s="475"/>
    </row>
    <row r="1434" spans="1:7" ht="19.899999999999999" customHeight="1" x14ac:dyDescent="0.2">
      <c r="A1434" s="476"/>
      <c r="B1434" s="431"/>
      <c r="C1434" s="432" t="s">
        <v>967</v>
      </c>
      <c r="D1434" s="431"/>
      <c r="E1434" s="431"/>
      <c r="F1434" s="431"/>
      <c r="G1434" s="477"/>
    </row>
    <row r="1435" spans="1:7" ht="19.899999999999999" customHeight="1" x14ac:dyDescent="0.2">
      <c r="A1435" s="472"/>
      <c r="B1435" s="433"/>
      <c r="C1435" s="139"/>
      <c r="D1435" s="426"/>
      <c r="E1435" s="427"/>
      <c r="F1435" s="425"/>
      <c r="G1435" s="474"/>
    </row>
    <row r="1436" spans="1:7" ht="19.899999999999999" customHeight="1" x14ac:dyDescent="0.2">
      <c r="A1436" s="472"/>
      <c r="B1436" s="433"/>
      <c r="C1436" s="434" t="s">
        <v>968</v>
      </c>
      <c r="D1436" s="435" t="s">
        <v>24</v>
      </c>
      <c r="E1436" s="435" t="s">
        <v>969</v>
      </c>
      <c r="F1436" s="435" t="s">
        <v>970</v>
      </c>
      <c r="G1436" s="434" t="s">
        <v>971</v>
      </c>
    </row>
    <row r="1437" spans="1:7" ht="19.899999999999999" customHeight="1" x14ac:dyDescent="0.2">
      <c r="A1437" s="472"/>
      <c r="B1437" s="433"/>
      <c r="C1437" s="436">
        <f>+C1212</f>
        <v>0</v>
      </c>
      <c r="D1437" s="436">
        <f>+D1212</f>
        <v>0</v>
      </c>
      <c r="E1437" s="438">
        <f t="shared" ref="E1437:E1446" si="446">IFERROR(VLOOKUP(C1437,T_Equipos,4,FALSE),0)</f>
        <v>0</v>
      </c>
      <c r="F1437" s="439">
        <f t="shared" ref="F1437:F1446" si="447">IFERROR(VLOOKUP(C1437,T_Equipos,5,FALSE),0)</f>
        <v>0</v>
      </c>
      <c r="G1437" s="439">
        <f>ROUND(D1437*F1437,2)</f>
        <v>0</v>
      </c>
    </row>
    <row r="1438" spans="1:7" ht="19.899999999999999" customHeight="1" x14ac:dyDescent="0.2">
      <c r="A1438" s="472"/>
      <c r="B1438" s="433"/>
      <c r="C1438" s="436">
        <f t="shared" ref="C1438:D1438" si="448">+C1213</f>
        <v>0</v>
      </c>
      <c r="D1438" s="436">
        <f t="shared" si="448"/>
        <v>0</v>
      </c>
      <c r="E1438" s="438">
        <f t="shared" si="446"/>
        <v>0</v>
      </c>
      <c r="F1438" s="439">
        <f t="shared" si="447"/>
        <v>0</v>
      </c>
      <c r="G1438" s="439">
        <f>ROUND(D1438*F1438,2)</f>
        <v>0</v>
      </c>
    </row>
    <row r="1439" spans="1:7" ht="19.899999999999999" customHeight="1" x14ac:dyDescent="0.2">
      <c r="A1439" s="472"/>
      <c r="B1439" s="433"/>
      <c r="C1439" s="436">
        <f t="shared" ref="C1439" si="449">+C1214</f>
        <v>0</v>
      </c>
      <c r="D1439" s="436"/>
      <c r="E1439" s="438">
        <f t="shared" si="446"/>
        <v>0</v>
      </c>
      <c r="F1439" s="439">
        <f t="shared" si="447"/>
        <v>0</v>
      </c>
      <c r="G1439" s="439">
        <f>ROUND(D1439*F1439,2)</f>
        <v>0</v>
      </c>
    </row>
    <row r="1440" spans="1:7" ht="19.899999999999999" customHeight="1" x14ac:dyDescent="0.2">
      <c r="A1440" s="472"/>
      <c r="B1440" s="433"/>
      <c r="C1440" s="436">
        <f t="shared" ref="C1440" si="450">+C1215</f>
        <v>0</v>
      </c>
      <c r="D1440" s="436"/>
      <c r="E1440" s="438">
        <f t="shared" si="446"/>
        <v>0</v>
      </c>
      <c r="F1440" s="439">
        <f t="shared" si="447"/>
        <v>0</v>
      </c>
      <c r="G1440" s="439">
        <f>ROUND(D1440*F1440,2)</f>
        <v>0</v>
      </c>
    </row>
    <row r="1441" spans="1:7" ht="19.899999999999999" customHeight="1" x14ac:dyDescent="0.2">
      <c r="A1441" s="472"/>
      <c r="B1441" s="433"/>
      <c r="C1441" s="436">
        <f t="shared" ref="C1441" si="451">+C1216</f>
        <v>0</v>
      </c>
      <c r="D1441" s="436"/>
      <c r="E1441" s="438">
        <f t="shared" si="446"/>
        <v>0</v>
      </c>
      <c r="F1441" s="439">
        <f t="shared" si="447"/>
        <v>0</v>
      </c>
      <c r="G1441" s="439">
        <f t="shared" ref="G1441:G1446" si="452">ROUND(D1441*F1441,2)</f>
        <v>0</v>
      </c>
    </row>
    <row r="1442" spans="1:7" ht="19.899999999999999" customHeight="1" x14ac:dyDescent="0.2">
      <c r="A1442" s="472"/>
      <c r="B1442" s="433"/>
      <c r="C1442" s="436">
        <f t="shared" ref="C1442" si="453">+C1217</f>
        <v>0</v>
      </c>
      <c r="D1442" s="436"/>
      <c r="E1442" s="438">
        <f t="shared" si="446"/>
        <v>0</v>
      </c>
      <c r="F1442" s="439">
        <f t="shared" si="447"/>
        <v>0</v>
      </c>
      <c r="G1442" s="439">
        <f t="shared" si="452"/>
        <v>0</v>
      </c>
    </row>
    <row r="1443" spans="1:7" ht="19.899999999999999" customHeight="1" x14ac:dyDescent="0.2">
      <c r="A1443" s="472"/>
      <c r="B1443" s="433"/>
      <c r="C1443" s="436">
        <f t="shared" ref="C1443:D1443" si="454">+C1218</f>
        <v>0</v>
      </c>
      <c r="D1443" s="436">
        <f t="shared" si="454"/>
        <v>0</v>
      </c>
      <c r="E1443" s="438">
        <f t="shared" si="446"/>
        <v>0</v>
      </c>
      <c r="F1443" s="439">
        <f t="shared" si="447"/>
        <v>0</v>
      </c>
      <c r="G1443" s="439">
        <f t="shared" si="452"/>
        <v>0</v>
      </c>
    </row>
    <row r="1444" spans="1:7" ht="19.899999999999999" customHeight="1" x14ac:dyDescent="0.2">
      <c r="A1444" s="472"/>
      <c r="B1444" s="433"/>
      <c r="C1444" s="436">
        <f t="shared" ref="C1444:D1444" si="455">+C1219</f>
        <v>0</v>
      </c>
      <c r="D1444" s="436">
        <f t="shared" si="455"/>
        <v>0</v>
      </c>
      <c r="E1444" s="438">
        <f t="shared" si="446"/>
        <v>0</v>
      </c>
      <c r="F1444" s="439">
        <f t="shared" si="447"/>
        <v>0</v>
      </c>
      <c r="G1444" s="439">
        <f t="shared" si="452"/>
        <v>0</v>
      </c>
    </row>
    <row r="1445" spans="1:7" ht="19.899999999999999" customHeight="1" x14ac:dyDescent="0.2">
      <c r="A1445" s="472"/>
      <c r="B1445" s="433"/>
      <c r="C1445" s="436"/>
      <c r="D1445" s="437"/>
      <c r="E1445" s="438">
        <f t="shared" si="446"/>
        <v>0</v>
      </c>
      <c r="F1445" s="439">
        <f t="shared" si="447"/>
        <v>0</v>
      </c>
      <c r="G1445" s="439">
        <f t="shared" si="452"/>
        <v>0</v>
      </c>
    </row>
    <row r="1446" spans="1:7" ht="19.899999999999999" customHeight="1" x14ac:dyDescent="0.2">
      <c r="A1446" s="472"/>
      <c r="B1446" s="433"/>
      <c r="C1446" s="436"/>
      <c r="D1446" s="437"/>
      <c r="E1446" s="438">
        <f t="shared" si="446"/>
        <v>0</v>
      </c>
      <c r="F1446" s="439">
        <f t="shared" si="447"/>
        <v>0</v>
      </c>
      <c r="G1446" s="439">
        <f t="shared" si="452"/>
        <v>0</v>
      </c>
    </row>
    <row r="1447" spans="1:7" ht="19.899999999999999" customHeight="1" x14ac:dyDescent="0.2">
      <c r="A1447" s="472"/>
      <c r="B1447" s="433"/>
      <c r="C1447" s="139"/>
      <c r="D1447" s="139"/>
      <c r="E1447" s="440"/>
      <c r="F1447" s="425"/>
      <c r="G1447" s="474"/>
    </row>
    <row r="1448" spans="1:7" ht="19.899999999999999" customHeight="1" x14ac:dyDescent="0.2">
      <c r="A1448" s="472"/>
      <c r="B1448" s="139"/>
      <c r="C1448" s="422" t="s">
        <v>972</v>
      </c>
      <c r="D1448" s="425" t="s">
        <v>969</v>
      </c>
      <c r="E1448" s="491">
        <f>SUMPRODUCT(D1437:D1446,E1437:E1446)</f>
        <v>0</v>
      </c>
      <c r="F1448" s="425" t="s">
        <v>973</v>
      </c>
      <c r="G1448" s="492">
        <f>SUM(G1437:G1446)</f>
        <v>0</v>
      </c>
    </row>
    <row r="1449" spans="1:7" ht="19.899999999999999" customHeight="1" x14ac:dyDescent="0.2">
      <c r="A1449" s="472"/>
      <c r="B1449" s="433"/>
      <c r="C1449" s="441"/>
      <c r="D1449" s="440"/>
      <c r="E1449" s="427"/>
      <c r="F1449" s="425"/>
      <c r="G1449" s="478"/>
    </row>
    <row r="1450" spans="1:7" ht="19.899999999999999" customHeight="1" x14ac:dyDescent="0.2">
      <c r="A1450" s="479"/>
      <c r="B1450" s="433"/>
      <c r="C1450" s="425" t="s">
        <v>974</v>
      </c>
      <c r="D1450" s="442">
        <f>IFERROR(VLOOKUP(COUNTIF($A$1:A1450,"ANALISIS DE PRECIOS"),T_Rendimiento_Equipo,5,FALSE),0)</f>
        <v>0</v>
      </c>
      <c r="E1450" s="443" t="str">
        <f ca="1">G1432&amp;"/día"</f>
        <v>KG/día</v>
      </c>
      <c r="F1450" s="419"/>
      <c r="G1450" s="474"/>
    </row>
    <row r="1451" spans="1:7" ht="19.899999999999999" customHeight="1" x14ac:dyDescent="0.2">
      <c r="A1451" s="472"/>
      <c r="B1451" s="433"/>
      <c r="C1451" s="139"/>
      <c r="D1451" s="426"/>
      <c r="E1451" s="427"/>
      <c r="F1451" s="425"/>
      <c r="G1451" s="474"/>
    </row>
    <row r="1452" spans="1:7" ht="19.899999999999999" customHeight="1" x14ac:dyDescent="0.2">
      <c r="A1452" s="720" t="s">
        <v>576</v>
      </c>
      <c r="B1452" s="721"/>
      <c r="C1452" s="722" t="s">
        <v>0</v>
      </c>
      <c r="D1452" s="734" t="s">
        <v>1724</v>
      </c>
      <c r="E1452" s="734" t="s">
        <v>1723</v>
      </c>
      <c r="F1452" s="726" t="s">
        <v>975</v>
      </c>
      <c r="G1452" s="728" t="s">
        <v>26</v>
      </c>
    </row>
    <row r="1453" spans="1:7" ht="19.899999999999999" customHeight="1" x14ac:dyDescent="0.2">
      <c r="A1453" s="444" t="s">
        <v>577</v>
      </c>
      <c r="B1453" s="444" t="s">
        <v>578</v>
      </c>
      <c r="C1453" s="723"/>
      <c r="D1453" s="735"/>
      <c r="E1453" s="725"/>
      <c r="F1453" s="727"/>
      <c r="G1453" s="729"/>
    </row>
    <row r="1454" spans="1:7" ht="19.899999999999999" customHeight="1" x14ac:dyDescent="0.2">
      <c r="A1454" s="480"/>
      <c r="B1454" s="139"/>
      <c r="C1454" s="422" t="s">
        <v>976</v>
      </c>
      <c r="D1454" s="427"/>
      <c r="E1454" s="427"/>
      <c r="F1454" s="139"/>
      <c r="G1454" s="481"/>
    </row>
    <row r="1455" spans="1:7" ht="19.899999999999999" customHeight="1" x14ac:dyDescent="0.2">
      <c r="A1455" s="482">
        <f t="shared" ref="A1455:A1463" si="456">IFERROR(VLOOKUP(C1455,T_Insumos,4,FALSE),0)</f>
        <v>0</v>
      </c>
      <c r="B1455" s="445">
        <f t="shared" ref="B1455:B1463" si="457">IFERROR(VLOOKUP(C1455,T_Insumos,5,FALSE),0)</f>
        <v>0</v>
      </c>
      <c r="C1455" s="436">
        <f>+C1155</f>
        <v>0</v>
      </c>
      <c r="D1455" s="446">
        <f t="shared" ref="D1455:D1463" si="458">IFERROR(VLOOKUP(C1455,T_Insumos,3,FALSE),0)</f>
        <v>0</v>
      </c>
      <c r="E1455" s="439">
        <f>D1455*$G$323</f>
        <v>0</v>
      </c>
      <c r="F1455" s="442">
        <f>IF(C1455="",0,IFERROR(VLOOKUP(COUNTIF($A$1:A1455,"ANALISIS DE PRECIOS"),T_Rendimiento_Equipo,5,FALSE),0))</f>
        <v>0</v>
      </c>
      <c r="G1455" s="439">
        <f>IFERROR(ROUND(E1455/F1455,2),0)</f>
        <v>0</v>
      </c>
    </row>
    <row r="1456" spans="1:7" ht="19.899999999999999" customHeight="1" x14ac:dyDescent="0.2">
      <c r="A1456" s="482">
        <f t="shared" si="456"/>
        <v>0</v>
      </c>
      <c r="B1456" s="445">
        <f t="shared" si="457"/>
        <v>0</v>
      </c>
      <c r="C1456" s="436">
        <f t="shared" ref="C1456:C1458" si="459">+C1156</f>
        <v>0</v>
      </c>
      <c r="D1456" s="446">
        <f t="shared" si="458"/>
        <v>0</v>
      </c>
      <c r="E1456" s="439">
        <f t="shared" ref="E1456:E1457" si="460">D1456*$G$323</f>
        <v>0</v>
      </c>
      <c r="F1456" s="442">
        <f>IF(C1456="",0,IFERROR(VLOOKUP(COUNTIF($A$1:A1456,"ANALISIS DE PRECIOS"),T_Rendimiento_Equipo,5,FALSE),0))</f>
        <v>0</v>
      </c>
      <c r="G1456" s="439">
        <f t="shared" ref="G1456:G1463" si="461">IFERROR(ROUND(E1456/F1456,2),0)</f>
        <v>0</v>
      </c>
    </row>
    <row r="1457" spans="1:7" ht="19.899999999999999" customHeight="1" x14ac:dyDescent="0.2">
      <c r="A1457" s="482">
        <f t="shared" si="456"/>
        <v>0</v>
      </c>
      <c r="B1457" s="445">
        <f t="shared" si="457"/>
        <v>0</v>
      </c>
      <c r="C1457" s="436">
        <f t="shared" si="459"/>
        <v>0</v>
      </c>
      <c r="D1457" s="446">
        <f t="shared" si="458"/>
        <v>0</v>
      </c>
      <c r="E1457" s="439">
        <f t="shared" si="460"/>
        <v>0</v>
      </c>
      <c r="F1457" s="442">
        <f>IF(C1457="",0,IFERROR(VLOOKUP(COUNTIF($A$1:A1457,"ANALISIS DE PRECIOS"),T_Rendimiento_Equipo,5,FALSE),0))</f>
        <v>0</v>
      </c>
      <c r="G1457" s="439">
        <f t="shared" si="461"/>
        <v>0</v>
      </c>
    </row>
    <row r="1458" spans="1:7" ht="19.899999999999999" customHeight="1" x14ac:dyDescent="0.2">
      <c r="A1458" s="482">
        <f t="shared" si="456"/>
        <v>0</v>
      </c>
      <c r="B1458" s="445">
        <f t="shared" si="457"/>
        <v>0</v>
      </c>
      <c r="C1458" s="436">
        <f t="shared" si="459"/>
        <v>0</v>
      </c>
      <c r="D1458" s="446">
        <f t="shared" si="458"/>
        <v>0</v>
      </c>
      <c r="E1458" s="439">
        <f>D1458*$E$323</f>
        <v>0</v>
      </c>
      <c r="F1458" s="442">
        <f>IF(C1458="",0,IFERROR(VLOOKUP(COUNTIF($A$1:A1458,"ANALISIS DE PRECIOS"),T_Rendimiento_Equipo,5,FALSE),0))</f>
        <v>0</v>
      </c>
      <c r="G1458" s="439">
        <f t="shared" si="461"/>
        <v>0</v>
      </c>
    </row>
    <row r="1459" spans="1:7" ht="19.899999999999999" customHeight="1" x14ac:dyDescent="0.2">
      <c r="A1459" s="482">
        <f t="shared" si="456"/>
        <v>0</v>
      </c>
      <c r="B1459" s="445">
        <f t="shared" si="457"/>
        <v>0</v>
      </c>
      <c r="C1459" s="447"/>
      <c r="D1459" s="446">
        <f t="shared" si="458"/>
        <v>0</v>
      </c>
      <c r="E1459" s="439"/>
      <c r="F1459" s="442">
        <f>IF(C1459="",0,IFERROR(VLOOKUP(COUNTIF($A$1:A1459,"ANALISIS DE PRECIOS"),T_Rendimiento_Equipo,5,FALSE),0))</f>
        <v>0</v>
      </c>
      <c r="G1459" s="439">
        <f t="shared" si="461"/>
        <v>0</v>
      </c>
    </row>
    <row r="1460" spans="1:7" ht="19.899999999999999" customHeight="1" x14ac:dyDescent="0.2">
      <c r="A1460" s="482">
        <f t="shared" si="456"/>
        <v>0</v>
      </c>
      <c r="B1460" s="445">
        <f t="shared" si="457"/>
        <v>0</v>
      </c>
      <c r="C1460" s="447"/>
      <c r="D1460" s="446">
        <f t="shared" si="458"/>
        <v>0</v>
      </c>
      <c r="E1460" s="439"/>
      <c r="F1460" s="442">
        <f>IF(C1460="",0,IFERROR(VLOOKUP(COUNTIF($A$1:A1460,"ANALISIS DE PRECIOS"),T_Rendimiento_Equipo,5,FALSE),0))</f>
        <v>0</v>
      </c>
      <c r="G1460" s="439">
        <f t="shared" si="461"/>
        <v>0</v>
      </c>
    </row>
    <row r="1461" spans="1:7" ht="19.899999999999999" customHeight="1" x14ac:dyDescent="0.2">
      <c r="A1461" s="482">
        <f t="shared" si="456"/>
        <v>0</v>
      </c>
      <c r="B1461" s="445">
        <f t="shared" si="457"/>
        <v>0</v>
      </c>
      <c r="C1461" s="447"/>
      <c r="D1461" s="446">
        <f t="shared" si="458"/>
        <v>0</v>
      </c>
      <c r="E1461" s="439"/>
      <c r="F1461" s="442">
        <f>IF(C1461="",0,IFERROR(VLOOKUP(COUNTIF($A$1:A1461,"ANALISIS DE PRECIOS"),T_Rendimiento_Equipo,5,FALSE),0))</f>
        <v>0</v>
      </c>
      <c r="G1461" s="439">
        <f t="shared" si="461"/>
        <v>0</v>
      </c>
    </row>
    <row r="1462" spans="1:7" ht="19.899999999999999" customHeight="1" x14ac:dyDescent="0.2">
      <c r="A1462" s="482">
        <f t="shared" si="456"/>
        <v>0</v>
      </c>
      <c r="B1462" s="445">
        <f t="shared" si="457"/>
        <v>0</v>
      </c>
      <c r="C1462" s="447"/>
      <c r="D1462" s="446">
        <f t="shared" si="458"/>
        <v>0</v>
      </c>
      <c r="E1462" s="439"/>
      <c r="F1462" s="442">
        <f>IF(C1462="",0,IFERROR(VLOOKUP(COUNTIF($A$1:A1462,"ANALISIS DE PRECIOS"),T_Rendimiento_Equipo,5,FALSE),0))</f>
        <v>0</v>
      </c>
      <c r="G1462" s="439">
        <f t="shared" si="461"/>
        <v>0</v>
      </c>
    </row>
    <row r="1463" spans="1:7" ht="19.899999999999999" customHeight="1" x14ac:dyDescent="0.2">
      <c r="A1463" s="482">
        <f t="shared" si="456"/>
        <v>0</v>
      </c>
      <c r="B1463" s="445">
        <f t="shared" si="457"/>
        <v>0</v>
      </c>
      <c r="C1463" s="436"/>
      <c r="D1463" s="446">
        <f t="shared" si="458"/>
        <v>0</v>
      </c>
      <c r="E1463" s="439"/>
      <c r="F1463" s="442">
        <f>IF(C1463="",0,IFERROR(VLOOKUP(COUNTIF($A$1:A1463,"ANALISIS DE PRECIOS"),T_Rendimiento_Equipo,5,FALSE),0))</f>
        <v>0</v>
      </c>
      <c r="G1463" s="439">
        <f t="shared" si="461"/>
        <v>0</v>
      </c>
    </row>
    <row r="1464" spans="1:7" ht="19.899999999999999" customHeight="1" x14ac:dyDescent="0.2">
      <c r="A1464" s="483"/>
      <c r="B1464" s="426"/>
      <c r="C1464" s="139"/>
      <c r="D1464" s="426"/>
      <c r="E1464" s="427"/>
      <c r="F1464" s="448" t="s">
        <v>27</v>
      </c>
      <c r="G1464" s="484">
        <f>SUBTOTAL(9,G1455:G1463)</f>
        <v>0</v>
      </c>
    </row>
    <row r="1465" spans="1:7" ht="19.899999999999999" customHeight="1" x14ac:dyDescent="0.2">
      <c r="A1465" s="480"/>
      <c r="B1465" s="139"/>
      <c r="C1465" s="422" t="s">
        <v>713</v>
      </c>
      <c r="D1465" s="426"/>
      <c r="E1465" s="427"/>
      <c r="F1465" s="428"/>
      <c r="G1465" s="481"/>
    </row>
    <row r="1466" spans="1:7" ht="19.899999999999999" customHeight="1" x14ac:dyDescent="0.2">
      <c r="A1466" s="720" t="s">
        <v>576</v>
      </c>
      <c r="B1466" s="721"/>
      <c r="C1466" s="722" t="s">
        <v>0</v>
      </c>
      <c r="D1466" s="724" t="s">
        <v>24</v>
      </c>
      <c r="E1466" s="724" t="s">
        <v>1964</v>
      </c>
      <c r="F1466" s="726" t="s">
        <v>975</v>
      </c>
      <c r="G1466" s="728" t="s">
        <v>26</v>
      </c>
    </row>
    <row r="1467" spans="1:7" ht="19.899999999999999" customHeight="1" x14ac:dyDescent="0.2">
      <c r="A1467" s="444" t="s">
        <v>577</v>
      </c>
      <c r="B1467" s="444" t="s">
        <v>578</v>
      </c>
      <c r="C1467" s="723"/>
      <c r="D1467" s="725"/>
      <c r="E1467" s="725"/>
      <c r="F1467" s="727"/>
      <c r="G1467" s="729"/>
    </row>
    <row r="1468" spans="1:7" ht="19.899999999999999" customHeight="1" x14ac:dyDescent="0.2">
      <c r="A1468" s="482">
        <f t="shared" ref="A1468:A1474" si="462">IFERROR(VLOOKUP(C1468,T_Insumos,4,FALSE),0)</f>
        <v>0</v>
      </c>
      <c r="B1468" s="445">
        <f t="shared" ref="B1468:B1474" si="463">IFERROR(VLOOKUP(C1468,T_Insumos,5,FALSE),0)</f>
        <v>0</v>
      </c>
      <c r="C1468" s="436">
        <f t="shared" ref="C1468:C1471" si="464">+C1243</f>
        <v>0</v>
      </c>
      <c r="D1468" s="442"/>
      <c r="E1468" s="439">
        <f t="shared" ref="E1468:E1474" si="465">IFERROR(VLOOKUP(C1468,T_Insumos,3,FALSE),0)</f>
        <v>0</v>
      </c>
      <c r="F1468" s="442">
        <f>IF(C1468="",0,IFERROR(VLOOKUP(COUNTIF($A$1:A1468,"ANALISIS DE PRECIOS"),T_Rendimiento_Equipo,5,FALSE),0))</f>
        <v>0</v>
      </c>
      <c r="G1468" s="439">
        <f>IFERROR(ROUND(D1468*E1468/F1468,2),0)</f>
        <v>0</v>
      </c>
    </row>
    <row r="1469" spans="1:7" ht="19.899999999999999" customHeight="1" x14ac:dyDescent="0.2">
      <c r="A1469" s="482">
        <f t="shared" si="462"/>
        <v>0</v>
      </c>
      <c r="B1469" s="445">
        <f t="shared" si="463"/>
        <v>0</v>
      </c>
      <c r="C1469" s="436">
        <f t="shared" si="464"/>
        <v>0</v>
      </c>
      <c r="D1469" s="442">
        <v>1</v>
      </c>
      <c r="E1469" s="439">
        <f t="shared" si="465"/>
        <v>0</v>
      </c>
      <c r="F1469" s="442">
        <f>IF(C1469="",0,IFERROR(VLOOKUP(COUNTIF($A$1:A1469,"ANALISIS DE PRECIOS"),T_Rendimiento_Equipo,5,FALSE),0))</f>
        <v>0</v>
      </c>
      <c r="G1469" s="439">
        <f>IFERROR(ROUND(D1469*E1469/F1469,2),0)</f>
        <v>0</v>
      </c>
    </row>
    <row r="1470" spans="1:7" ht="19.899999999999999" customHeight="1" x14ac:dyDescent="0.2">
      <c r="A1470" s="482">
        <f t="shared" si="462"/>
        <v>0</v>
      </c>
      <c r="B1470" s="445">
        <f t="shared" si="463"/>
        <v>0</v>
      </c>
      <c r="C1470" s="436">
        <f t="shared" si="464"/>
        <v>0</v>
      </c>
      <c r="D1470" s="442"/>
      <c r="E1470" s="439">
        <f t="shared" si="465"/>
        <v>0</v>
      </c>
      <c r="F1470" s="442">
        <f>IF(C1470="",0,IFERROR(VLOOKUP(COUNTIF($A$1:A1470,"ANALISIS DE PRECIOS"),T_Rendimiento_Equipo,5,FALSE),0))</f>
        <v>0</v>
      </c>
      <c r="G1470" s="439">
        <f t="shared" ref="G1470:G1474" si="466">IFERROR(ROUND(D1470*E1470/F1470,2),0)</f>
        <v>0</v>
      </c>
    </row>
    <row r="1471" spans="1:7" ht="19.899999999999999" customHeight="1" x14ac:dyDescent="0.2">
      <c r="A1471" s="482">
        <f t="shared" si="462"/>
        <v>0</v>
      </c>
      <c r="B1471" s="445">
        <f t="shared" si="463"/>
        <v>0</v>
      </c>
      <c r="C1471" s="436">
        <f t="shared" si="464"/>
        <v>0</v>
      </c>
      <c r="D1471" s="442">
        <v>2</v>
      </c>
      <c r="E1471" s="439">
        <f t="shared" si="465"/>
        <v>0</v>
      </c>
      <c r="F1471" s="442">
        <f>IF(C1471="",0,IFERROR(VLOOKUP(COUNTIF($A$1:A1471,"ANALISIS DE PRECIOS"),T_Rendimiento_Equipo,5,FALSE),0))</f>
        <v>0</v>
      </c>
      <c r="G1471" s="439">
        <f t="shared" si="466"/>
        <v>0</v>
      </c>
    </row>
    <row r="1472" spans="1:7" ht="19.899999999999999" customHeight="1" x14ac:dyDescent="0.2">
      <c r="A1472" s="482">
        <f t="shared" si="462"/>
        <v>0</v>
      </c>
      <c r="B1472" s="445">
        <f t="shared" si="463"/>
        <v>0</v>
      </c>
      <c r="C1472" s="436"/>
      <c r="D1472" s="442"/>
      <c r="E1472" s="439">
        <f t="shared" si="465"/>
        <v>0</v>
      </c>
      <c r="F1472" s="442">
        <f>IF(C1472="",0,IFERROR(VLOOKUP(COUNTIF($A$1:A1472,"ANALISIS DE PRECIOS"),T_Rendimiento_Equipo,5,FALSE),0))</f>
        <v>0</v>
      </c>
      <c r="G1472" s="439">
        <f t="shared" si="466"/>
        <v>0</v>
      </c>
    </row>
    <row r="1473" spans="1:7" ht="19.899999999999999" customHeight="1" x14ac:dyDescent="0.2">
      <c r="A1473" s="482">
        <f t="shared" si="462"/>
        <v>0</v>
      </c>
      <c r="B1473" s="445">
        <f t="shared" si="463"/>
        <v>0</v>
      </c>
      <c r="C1473" s="436"/>
      <c r="D1473" s="450"/>
      <c r="E1473" s="439">
        <f t="shared" si="465"/>
        <v>0</v>
      </c>
      <c r="F1473" s="442">
        <f>IF(C1473="",0,IFERROR(VLOOKUP(COUNTIF($A$1:A1473,"ANALISIS DE PRECIOS"),T_Rendimiento_Equipo,5,FALSE),0))</f>
        <v>0</v>
      </c>
      <c r="G1473" s="439">
        <f t="shared" si="466"/>
        <v>0</v>
      </c>
    </row>
    <row r="1474" spans="1:7" ht="19.899999999999999" customHeight="1" x14ac:dyDescent="0.2">
      <c r="A1474" s="482">
        <f t="shared" si="462"/>
        <v>0</v>
      </c>
      <c r="B1474" s="445">
        <f t="shared" si="463"/>
        <v>0</v>
      </c>
      <c r="C1474" s="445"/>
      <c r="D1474" s="451"/>
      <c r="E1474" s="439">
        <f t="shared" si="465"/>
        <v>0</v>
      </c>
      <c r="F1474" s="442">
        <f>IF(C1474="",0,IFERROR(VLOOKUP(COUNTIF($A$1:A1474,"ANALISIS DE PRECIOS"),T_Rendimiento_Equipo,5,FALSE),0))</f>
        <v>0</v>
      </c>
      <c r="G1474" s="439">
        <f t="shared" si="466"/>
        <v>0</v>
      </c>
    </row>
    <row r="1475" spans="1:7" ht="19.899999999999999" customHeight="1" x14ac:dyDescent="0.2">
      <c r="A1475" s="483"/>
      <c r="B1475" s="426"/>
      <c r="C1475" s="139"/>
      <c r="D1475" s="426"/>
      <c r="E1475" s="427"/>
      <c r="F1475" s="448" t="s">
        <v>28</v>
      </c>
      <c r="G1475" s="485">
        <f>SUBTOTAL(9,G1468:G1474)</f>
        <v>0</v>
      </c>
    </row>
    <row r="1476" spans="1:7" ht="19.899999999999999" customHeight="1" x14ac:dyDescent="0.2">
      <c r="A1476" s="480"/>
      <c r="B1476" s="139"/>
      <c r="C1476" s="422" t="s">
        <v>982</v>
      </c>
      <c r="D1476" s="426"/>
      <c r="E1476" s="427"/>
      <c r="F1476" s="428"/>
      <c r="G1476" s="481"/>
    </row>
    <row r="1477" spans="1:7" ht="19.899999999999999" customHeight="1" x14ac:dyDescent="0.2">
      <c r="A1477" s="720" t="s">
        <v>576</v>
      </c>
      <c r="B1477" s="721"/>
      <c r="C1477" s="722" t="s">
        <v>0</v>
      </c>
      <c r="D1477" s="722" t="s">
        <v>1725</v>
      </c>
      <c r="E1477" s="724" t="s">
        <v>24</v>
      </c>
      <c r="F1477" s="726" t="s">
        <v>25</v>
      </c>
      <c r="G1477" s="728" t="s">
        <v>26</v>
      </c>
    </row>
    <row r="1478" spans="1:7" ht="19.899999999999999" customHeight="1" x14ac:dyDescent="0.2">
      <c r="A1478" s="444" t="s">
        <v>577</v>
      </c>
      <c r="B1478" s="444" t="s">
        <v>578</v>
      </c>
      <c r="C1478" s="723"/>
      <c r="D1478" s="723"/>
      <c r="E1478" s="725"/>
      <c r="F1478" s="727"/>
      <c r="G1478" s="729"/>
    </row>
    <row r="1479" spans="1:7" ht="19.899999999999999" customHeight="1" x14ac:dyDescent="0.2">
      <c r="A1479" s="482">
        <f t="shared" ref="A1479:A1489" si="467">IFERROR(VLOOKUP(C1479,T_Insumos,4,FALSE),0)</f>
        <v>0</v>
      </c>
      <c r="B1479" s="445">
        <f t="shared" ref="B1479:B1489" si="468">IFERROR(VLOOKUP(C1479,T_Insumos,5,FALSE),0)</f>
        <v>0</v>
      </c>
      <c r="C1479" s="436">
        <f t="shared" ref="C1479:C1489" si="469">+C1254</f>
        <v>0</v>
      </c>
      <c r="D1479" s="493">
        <f t="shared" ref="D1479:D1489" si="470">IFERROR(VLOOKUP(C1479,T_Insumos,2,FALSE),0)</f>
        <v>0</v>
      </c>
      <c r="E1479" s="437"/>
      <c r="F1479" s="439">
        <f t="shared" ref="F1479:F1489" si="471">IFERROR(VLOOKUP(C1479,T_Insumos,3,FALSE),0)</f>
        <v>0</v>
      </c>
      <c r="G1479" s="439">
        <f>ROUND(E1479*F1479,2)</f>
        <v>0</v>
      </c>
    </row>
    <row r="1480" spans="1:7" ht="19.899999999999999" customHeight="1" x14ac:dyDescent="0.2">
      <c r="A1480" s="482">
        <f t="shared" si="467"/>
        <v>0</v>
      </c>
      <c r="B1480" s="445">
        <f t="shared" si="468"/>
        <v>0</v>
      </c>
      <c r="C1480" s="436">
        <f t="shared" si="469"/>
        <v>0</v>
      </c>
      <c r="D1480" s="493">
        <f t="shared" si="470"/>
        <v>0</v>
      </c>
      <c r="E1480" s="437"/>
      <c r="F1480" s="439">
        <f t="shared" si="471"/>
        <v>0</v>
      </c>
      <c r="G1480" s="439">
        <f t="shared" ref="G1480:G1489" si="472">ROUND(E1480*F1480,2)</f>
        <v>0</v>
      </c>
    </row>
    <row r="1481" spans="1:7" ht="19.899999999999999" customHeight="1" x14ac:dyDescent="0.2">
      <c r="A1481" s="482">
        <f t="shared" si="467"/>
        <v>0</v>
      </c>
      <c r="B1481" s="445">
        <f t="shared" si="468"/>
        <v>0</v>
      </c>
      <c r="C1481" s="436">
        <f t="shared" si="469"/>
        <v>0</v>
      </c>
      <c r="D1481" s="493">
        <f t="shared" si="470"/>
        <v>0</v>
      </c>
      <c r="E1481" s="437"/>
      <c r="F1481" s="439">
        <f t="shared" si="471"/>
        <v>0</v>
      </c>
      <c r="G1481" s="439">
        <f t="shared" si="472"/>
        <v>0</v>
      </c>
    </row>
    <row r="1482" spans="1:7" ht="19.899999999999999" customHeight="1" x14ac:dyDescent="0.2">
      <c r="A1482" s="482">
        <f t="shared" si="467"/>
        <v>0</v>
      </c>
      <c r="B1482" s="445">
        <f t="shared" si="468"/>
        <v>0</v>
      </c>
      <c r="C1482" s="436">
        <f t="shared" si="469"/>
        <v>0</v>
      </c>
      <c r="D1482" s="493">
        <f t="shared" si="470"/>
        <v>0</v>
      </c>
      <c r="E1482" s="437"/>
      <c r="F1482" s="439">
        <f t="shared" si="471"/>
        <v>0</v>
      </c>
      <c r="G1482" s="439">
        <f t="shared" si="472"/>
        <v>0</v>
      </c>
    </row>
    <row r="1483" spans="1:7" ht="19.899999999999999" customHeight="1" x14ac:dyDescent="0.2">
      <c r="A1483" s="482">
        <f t="shared" si="467"/>
        <v>0</v>
      </c>
      <c r="B1483" s="445">
        <f t="shared" si="468"/>
        <v>0</v>
      </c>
      <c r="C1483" s="436">
        <f t="shared" si="469"/>
        <v>0</v>
      </c>
      <c r="D1483" s="493">
        <f t="shared" si="470"/>
        <v>0</v>
      </c>
      <c r="E1483" s="437"/>
      <c r="F1483" s="439">
        <f t="shared" si="471"/>
        <v>0</v>
      </c>
      <c r="G1483" s="439">
        <f t="shared" si="472"/>
        <v>0</v>
      </c>
    </row>
    <row r="1484" spans="1:7" ht="19.899999999999999" customHeight="1" x14ac:dyDescent="0.2">
      <c r="A1484" s="482">
        <f t="shared" si="467"/>
        <v>0</v>
      </c>
      <c r="B1484" s="445">
        <f t="shared" si="468"/>
        <v>0</v>
      </c>
      <c r="C1484" s="436">
        <f t="shared" si="469"/>
        <v>0</v>
      </c>
      <c r="D1484" s="493">
        <f t="shared" si="470"/>
        <v>0</v>
      </c>
      <c r="E1484" s="437"/>
      <c r="F1484" s="439">
        <f t="shared" si="471"/>
        <v>0</v>
      </c>
      <c r="G1484" s="439">
        <f t="shared" si="472"/>
        <v>0</v>
      </c>
    </row>
    <row r="1485" spans="1:7" ht="19.899999999999999" customHeight="1" x14ac:dyDescent="0.2">
      <c r="A1485" s="482">
        <f t="shared" si="467"/>
        <v>0</v>
      </c>
      <c r="B1485" s="445">
        <f t="shared" si="468"/>
        <v>0</v>
      </c>
      <c r="C1485" s="436">
        <f t="shared" si="469"/>
        <v>0</v>
      </c>
      <c r="D1485" s="493">
        <f t="shared" si="470"/>
        <v>0</v>
      </c>
      <c r="E1485" s="437"/>
      <c r="F1485" s="439">
        <f t="shared" si="471"/>
        <v>0</v>
      </c>
      <c r="G1485" s="439">
        <f t="shared" si="472"/>
        <v>0</v>
      </c>
    </row>
    <row r="1486" spans="1:7" ht="19.899999999999999" customHeight="1" x14ac:dyDescent="0.2">
      <c r="A1486" s="482">
        <f t="shared" si="467"/>
        <v>0</v>
      </c>
      <c r="B1486" s="445">
        <f t="shared" si="468"/>
        <v>0</v>
      </c>
      <c r="C1486" s="436">
        <f t="shared" si="469"/>
        <v>0</v>
      </c>
      <c r="D1486" s="493">
        <f t="shared" si="470"/>
        <v>0</v>
      </c>
      <c r="E1486" s="437"/>
      <c r="F1486" s="439">
        <f t="shared" si="471"/>
        <v>0</v>
      </c>
      <c r="G1486" s="439">
        <f t="shared" si="472"/>
        <v>0</v>
      </c>
    </row>
    <row r="1487" spans="1:7" ht="19.899999999999999" customHeight="1" x14ac:dyDescent="0.2">
      <c r="A1487" s="482">
        <f t="shared" si="467"/>
        <v>0</v>
      </c>
      <c r="B1487" s="445">
        <f t="shared" si="468"/>
        <v>0</v>
      </c>
      <c r="C1487" s="436">
        <f t="shared" si="469"/>
        <v>0</v>
      </c>
      <c r="D1487" s="493">
        <f t="shared" si="470"/>
        <v>0</v>
      </c>
      <c r="E1487" s="437"/>
      <c r="F1487" s="439">
        <f t="shared" si="471"/>
        <v>0</v>
      </c>
      <c r="G1487" s="439">
        <f t="shared" si="472"/>
        <v>0</v>
      </c>
    </row>
    <row r="1488" spans="1:7" ht="19.899999999999999" customHeight="1" x14ac:dyDescent="0.2">
      <c r="A1488" s="482">
        <f t="shared" si="467"/>
        <v>0</v>
      </c>
      <c r="B1488" s="445">
        <f t="shared" si="468"/>
        <v>0</v>
      </c>
      <c r="C1488" s="436">
        <f t="shared" si="469"/>
        <v>0</v>
      </c>
      <c r="D1488" s="493">
        <f t="shared" si="470"/>
        <v>0</v>
      </c>
      <c r="E1488" s="437"/>
      <c r="F1488" s="439">
        <f t="shared" si="471"/>
        <v>0</v>
      </c>
      <c r="G1488" s="439">
        <f t="shared" si="472"/>
        <v>0</v>
      </c>
    </row>
    <row r="1489" spans="1:7" ht="19.899999999999999" customHeight="1" x14ac:dyDescent="0.2">
      <c r="A1489" s="482">
        <f t="shared" si="467"/>
        <v>0</v>
      </c>
      <c r="B1489" s="445">
        <f t="shared" si="468"/>
        <v>0</v>
      </c>
      <c r="C1489" s="436">
        <f t="shared" si="469"/>
        <v>0</v>
      </c>
      <c r="D1489" s="493">
        <f t="shared" si="470"/>
        <v>0</v>
      </c>
      <c r="E1489" s="437"/>
      <c r="F1489" s="439">
        <f t="shared" si="471"/>
        <v>0</v>
      </c>
      <c r="G1489" s="439">
        <f t="shared" si="472"/>
        <v>0</v>
      </c>
    </row>
    <row r="1490" spans="1:7" ht="19.899999999999999" customHeight="1" x14ac:dyDescent="0.2">
      <c r="A1490" s="480"/>
      <c r="B1490" s="139"/>
      <c r="C1490" s="139"/>
      <c r="D1490" s="426"/>
      <c r="E1490" s="427"/>
      <c r="F1490" s="448" t="s">
        <v>29</v>
      </c>
      <c r="G1490" s="485">
        <f>SUBTOTAL(9,G1479:G1489)</f>
        <v>0</v>
      </c>
    </row>
    <row r="1491" spans="1:7" ht="19.899999999999999" customHeight="1" x14ac:dyDescent="0.2">
      <c r="A1491" s="480"/>
      <c r="B1491" s="139"/>
      <c r="C1491" s="422" t="s">
        <v>983</v>
      </c>
      <c r="D1491" s="426"/>
      <c r="E1491" s="427"/>
      <c r="F1491" s="428"/>
      <c r="G1491" s="481"/>
    </row>
    <row r="1492" spans="1:7" ht="19.899999999999999" customHeight="1" x14ac:dyDescent="0.2">
      <c r="A1492" s="720" t="s">
        <v>576</v>
      </c>
      <c r="B1492" s="721"/>
      <c r="C1492" s="722" t="s">
        <v>0</v>
      </c>
      <c r="D1492" s="722" t="s">
        <v>1725</v>
      </c>
      <c r="E1492" s="724" t="s">
        <v>24</v>
      </c>
      <c r="F1492" s="726" t="s">
        <v>25</v>
      </c>
      <c r="G1492" s="728" t="s">
        <v>26</v>
      </c>
    </row>
    <row r="1493" spans="1:7" ht="19.899999999999999" customHeight="1" x14ac:dyDescent="0.2">
      <c r="A1493" s="444" t="s">
        <v>577</v>
      </c>
      <c r="B1493" s="444" t="s">
        <v>578</v>
      </c>
      <c r="C1493" s="723"/>
      <c r="D1493" s="723"/>
      <c r="E1493" s="725"/>
      <c r="F1493" s="727"/>
      <c r="G1493" s="729"/>
    </row>
    <row r="1494" spans="1:7" ht="19.899999999999999" customHeight="1" x14ac:dyDescent="0.2">
      <c r="A1494" s="482">
        <f>IFERROR(VLOOKUP(C1494,T_Insumos,4,FALSE),0)</f>
        <v>0</v>
      </c>
      <c r="B1494" s="445">
        <f>IFERROR(VLOOKUP(C1494,T_Insumos,5,FALSE),0)</f>
        <v>0</v>
      </c>
      <c r="C1494" s="436"/>
      <c r="D1494" s="493">
        <f>IF(C1494=0,0,"$/tnkm")</f>
        <v>0</v>
      </c>
      <c r="E1494" s="437"/>
      <c r="F1494" s="439">
        <f>IFERROR(VLOOKUP(C1494,T_Insumos,3,FALSE),0)</f>
        <v>0</v>
      </c>
      <c r="G1494" s="439">
        <f>ROUND(E1494*F1494,2)</f>
        <v>0</v>
      </c>
    </row>
    <row r="1495" spans="1:7" ht="19.899999999999999" customHeight="1" x14ac:dyDescent="0.2">
      <c r="A1495" s="482">
        <f>IFERROR(VLOOKUP(C1495,T_Insumos,4,FALSE),0)</f>
        <v>0</v>
      </c>
      <c r="B1495" s="445">
        <f>IFERROR(VLOOKUP(C1495,T_Insumos,5,FALSE),0)</f>
        <v>0</v>
      </c>
      <c r="C1495" s="436"/>
      <c r="D1495" s="493">
        <f>IF(C1495=0,0,"$/tnkm")</f>
        <v>0</v>
      </c>
      <c r="E1495" s="453"/>
      <c r="F1495" s="439">
        <f>IFERROR(VLOOKUP(C1495,T_Insumos,3,FALSE),0)</f>
        <v>0</v>
      </c>
      <c r="G1495" s="439">
        <f t="shared" ref="G1495" si="473">ROUND(E1495*F1495,2)</f>
        <v>0</v>
      </c>
    </row>
    <row r="1496" spans="1:7" ht="19.899999999999999" customHeight="1" x14ac:dyDescent="0.2">
      <c r="A1496" s="480"/>
      <c r="B1496" s="139"/>
      <c r="C1496" s="139"/>
      <c r="D1496" s="426"/>
      <c r="E1496" s="427"/>
      <c r="F1496" s="448" t="s">
        <v>984</v>
      </c>
      <c r="G1496" s="485">
        <f>SUBTOTAL(9,G1494:G1495)</f>
        <v>0</v>
      </c>
    </row>
    <row r="1497" spans="1:7" ht="19.899999999999999" customHeight="1" x14ac:dyDescent="0.2">
      <c r="A1497" s="483"/>
      <c r="B1497" s="426"/>
      <c r="C1497" s="139"/>
      <c r="D1497" s="426"/>
      <c r="E1497" s="427"/>
      <c r="F1497" s="428"/>
      <c r="G1497" s="481"/>
    </row>
    <row r="1498" spans="1:7" ht="19.899999999999999" customHeight="1" x14ac:dyDescent="0.2">
      <c r="A1498" s="541" t="str">
        <f>B1432</f>
        <v>3.8</v>
      </c>
      <c r="B1498" s="538" t="str">
        <f ca="1">C1432</f>
        <v>Armadura Colocada en Obra</v>
      </c>
      <c r="C1498" s="426"/>
      <c r="D1498" s="426" t="s">
        <v>1704</v>
      </c>
      <c r="E1498" s="539"/>
      <c r="F1498" s="540" t="str">
        <f ca="1">"$/"&amp;G1432</f>
        <v>$/KG</v>
      </c>
      <c r="G1498" s="490">
        <f>SUBTOTAL(9,G1455:G1497)</f>
        <v>0</v>
      </c>
    </row>
    <row r="1499" spans="1:7" ht="19.899999999999999" customHeight="1" x14ac:dyDescent="0.2">
      <c r="A1499" s="486"/>
      <c r="B1499" s="487"/>
      <c r="C1499" s="488"/>
      <c r="D1499" s="488" t="s">
        <v>1900</v>
      </c>
      <c r="E1499" s="489"/>
      <c r="F1499" s="542" t="str">
        <f ca="1">"$/"&amp;G1432</f>
        <v>$/KG</v>
      </c>
      <c r="G1499" s="490">
        <f>ROUND(G1498*Coeficiente_Paso,2)</f>
        <v>0</v>
      </c>
    </row>
    <row r="1500" spans="1:7" ht="19.899999999999999" customHeight="1" x14ac:dyDescent="0.2">
      <c r="A1500" s="139"/>
      <c r="B1500" s="139"/>
      <c r="C1500" s="139"/>
      <c r="D1500" s="139"/>
      <c r="E1500" s="139"/>
      <c r="F1500" s="139"/>
      <c r="G1500" s="139"/>
    </row>
    <row r="1501" spans="1:7" ht="19.899999999999999" customHeight="1" x14ac:dyDescent="0.2">
      <c r="A1501" s="730" t="s">
        <v>31</v>
      </c>
      <c r="B1501" s="731"/>
      <c r="C1501" s="731"/>
      <c r="D1501" s="731"/>
      <c r="E1501" s="731"/>
      <c r="F1501" s="731"/>
      <c r="G1501" s="732"/>
    </row>
    <row r="1502" spans="1:7" ht="19.899999999999999" customHeight="1" x14ac:dyDescent="0.2">
      <c r="A1502" s="469" t="s">
        <v>711</v>
      </c>
      <c r="B1502" s="420" t="str">
        <f>Comitente</f>
        <v>DEPARTAMENTO DE HIDRAULICA</v>
      </c>
      <c r="C1502" s="421"/>
      <c r="D1502" s="422"/>
      <c r="E1502" s="422"/>
      <c r="F1502" s="423"/>
      <c r="G1502" s="470"/>
    </row>
    <row r="1503" spans="1:7" ht="19.899999999999999" customHeight="1" x14ac:dyDescent="0.2">
      <c r="A1503" s="469" t="s">
        <v>712</v>
      </c>
      <c r="B1503" s="420">
        <f>Contratista</f>
        <v>0</v>
      </c>
      <c r="C1503" s="424"/>
      <c r="D1503" s="424"/>
      <c r="E1503" s="424"/>
      <c r="F1503" s="420"/>
      <c r="G1503" s="471"/>
    </row>
    <row r="1504" spans="1:7" ht="19.899999999999999" customHeight="1" x14ac:dyDescent="0.2">
      <c r="A1504" s="469" t="s">
        <v>21</v>
      </c>
      <c r="B1504" s="420" t="str">
        <f>Obra</f>
        <v>Encamisado Parcial del Canal de Calle América</v>
      </c>
      <c r="C1504" s="424"/>
      <c r="D1504" s="424"/>
      <c r="E1504" s="424"/>
      <c r="F1504" s="420" t="s">
        <v>32</v>
      </c>
      <c r="G1504" s="471" t="str">
        <f>Fecha_Base</f>
        <v>X/X/2023</v>
      </c>
    </row>
    <row r="1505" spans="1:7" ht="19.899999999999999" customHeight="1" x14ac:dyDescent="0.2">
      <c r="A1505" s="472" t="s">
        <v>710</v>
      </c>
      <c r="B1505" s="425" t="str">
        <f>Ubicación</f>
        <v>Departamento Rawson</v>
      </c>
      <c r="C1505" s="425"/>
      <c r="D1505" s="426"/>
      <c r="E1505" s="427"/>
      <c r="F1505" s="428"/>
      <c r="G1505" s="473"/>
    </row>
    <row r="1506" spans="1:7" ht="19.899999999999999" customHeight="1" x14ac:dyDescent="0.2">
      <c r="A1506" s="472" t="s">
        <v>33</v>
      </c>
      <c r="B1506" s="429">
        <f>IFERROR(VALUE(LEFT(B1507,FIND(".",B1507)-1)),"")</f>
        <v>4</v>
      </c>
      <c r="C1506" s="139" t="str">
        <f ca="1">IFERROR(VLOOKUP(B1506,T_Computo_Presupuesto,2,FALSE),0)</f>
        <v>FORTALECIMIENTO INSTITUCIONAL</v>
      </c>
      <c r="D1506" s="139"/>
      <c r="E1506" s="427"/>
      <c r="F1506" s="428"/>
      <c r="G1506" s="473"/>
    </row>
    <row r="1507" spans="1:7" ht="19.899999999999999" customHeight="1" x14ac:dyDescent="0.2">
      <c r="A1507" s="472" t="s">
        <v>22</v>
      </c>
      <c r="B1507" s="430" t="str">
        <f>IFERROR(VLOOKUP(COUNTIF($A$1:A1507,"ANALISIS DE PRECIOS"),T_NumeroItem,2,FALSE),"")</f>
        <v>4.1</v>
      </c>
      <c r="C1507" s="733" t="str">
        <f ca="1">IFERROR(VLOOKUP(B1507,T_Computo_Presupuesto,2,FALSE),0)</f>
        <v>Camioneta 0 km.</v>
      </c>
      <c r="D1507" s="733"/>
      <c r="E1507" s="733"/>
      <c r="F1507" s="425" t="s">
        <v>23</v>
      </c>
      <c r="G1507" s="474" t="str">
        <f ca="1">IFERROR(VLOOKUP(B1507,T_Computo_Presupuesto,4,FALSE),0)</f>
        <v>UN.</v>
      </c>
    </row>
    <row r="1508" spans="1:7" ht="19.899999999999999" customHeight="1" x14ac:dyDescent="0.2">
      <c r="A1508" s="472"/>
      <c r="B1508" s="425"/>
      <c r="C1508" s="139"/>
      <c r="D1508" s="426"/>
      <c r="E1508" s="427"/>
      <c r="F1508" s="139"/>
      <c r="G1508" s="475"/>
    </row>
    <row r="1509" spans="1:7" ht="19.899999999999999" customHeight="1" x14ac:dyDescent="0.2">
      <c r="A1509" s="476"/>
      <c r="B1509" s="431"/>
      <c r="C1509" s="432" t="s">
        <v>967</v>
      </c>
      <c r="D1509" s="431"/>
      <c r="E1509" s="431"/>
      <c r="F1509" s="431"/>
      <c r="G1509" s="477"/>
    </row>
    <row r="1510" spans="1:7" ht="19.899999999999999" customHeight="1" x14ac:dyDescent="0.2">
      <c r="A1510" s="472"/>
      <c r="B1510" s="433"/>
      <c r="C1510" s="139"/>
      <c r="D1510" s="426"/>
      <c r="E1510" s="427"/>
      <c r="F1510" s="425"/>
      <c r="G1510" s="474"/>
    </row>
    <row r="1511" spans="1:7" ht="19.899999999999999" customHeight="1" x14ac:dyDescent="0.2">
      <c r="A1511" s="472"/>
      <c r="B1511" s="433"/>
      <c r="C1511" s="434" t="s">
        <v>968</v>
      </c>
      <c r="D1511" s="435" t="s">
        <v>24</v>
      </c>
      <c r="E1511" s="435" t="s">
        <v>969</v>
      </c>
      <c r="F1511" s="435" t="s">
        <v>970</v>
      </c>
      <c r="G1511" s="434" t="s">
        <v>971</v>
      </c>
    </row>
    <row r="1512" spans="1:7" ht="19.899999999999999" customHeight="1" x14ac:dyDescent="0.2">
      <c r="A1512" s="472"/>
      <c r="B1512" s="433"/>
      <c r="C1512" s="436">
        <f>+C1287</f>
        <v>0</v>
      </c>
      <c r="D1512" s="436">
        <f>+D1287</f>
        <v>0</v>
      </c>
      <c r="E1512" s="438">
        <f t="shared" ref="E1512:E1521" si="474">IFERROR(VLOOKUP(C1512,T_Equipos,4,FALSE),0)</f>
        <v>0</v>
      </c>
      <c r="F1512" s="439">
        <f t="shared" ref="F1512:F1521" si="475">IFERROR(VLOOKUP(C1512,T_Equipos,5,FALSE),0)</f>
        <v>0</v>
      </c>
      <c r="G1512" s="439">
        <f>ROUND(D1512*F1512,2)</f>
        <v>0</v>
      </c>
    </row>
    <row r="1513" spans="1:7" ht="19.899999999999999" customHeight="1" x14ac:dyDescent="0.2">
      <c r="A1513" s="472"/>
      <c r="B1513" s="433"/>
      <c r="C1513" s="436">
        <f t="shared" ref="C1513:D1513" si="476">+C1288</f>
        <v>0</v>
      </c>
      <c r="D1513" s="436">
        <f t="shared" si="476"/>
        <v>0</v>
      </c>
      <c r="E1513" s="438">
        <f t="shared" si="474"/>
        <v>0</v>
      </c>
      <c r="F1513" s="439">
        <f t="shared" si="475"/>
        <v>0</v>
      </c>
      <c r="G1513" s="439">
        <f>ROUND(D1513*F1513,2)</f>
        <v>0</v>
      </c>
    </row>
    <row r="1514" spans="1:7" ht="19.899999999999999" customHeight="1" x14ac:dyDescent="0.2">
      <c r="A1514" s="472"/>
      <c r="B1514" s="433"/>
      <c r="C1514" s="436">
        <f t="shared" ref="C1514" si="477">+C1289</f>
        <v>0</v>
      </c>
      <c r="D1514" s="436"/>
      <c r="E1514" s="438">
        <f t="shared" si="474"/>
        <v>0</v>
      </c>
      <c r="F1514" s="439">
        <f t="shared" si="475"/>
        <v>0</v>
      </c>
      <c r="G1514" s="439">
        <f>ROUND(D1514*F1514,2)</f>
        <v>0</v>
      </c>
    </row>
    <row r="1515" spans="1:7" ht="19.899999999999999" customHeight="1" x14ac:dyDescent="0.2">
      <c r="A1515" s="472"/>
      <c r="B1515" s="433"/>
      <c r="C1515" s="436">
        <f t="shared" ref="C1515" si="478">+C1290</f>
        <v>0</v>
      </c>
      <c r="D1515" s="436"/>
      <c r="E1515" s="438">
        <f t="shared" si="474"/>
        <v>0</v>
      </c>
      <c r="F1515" s="439">
        <f t="shared" si="475"/>
        <v>0</v>
      </c>
      <c r="G1515" s="439">
        <f>ROUND(D1515*F1515,2)</f>
        <v>0</v>
      </c>
    </row>
    <row r="1516" spans="1:7" ht="19.899999999999999" customHeight="1" x14ac:dyDescent="0.2">
      <c r="A1516" s="472"/>
      <c r="B1516" s="433"/>
      <c r="C1516" s="436">
        <f t="shared" ref="C1516" si="479">+C1291</f>
        <v>0</v>
      </c>
      <c r="D1516" s="436"/>
      <c r="E1516" s="438">
        <f t="shared" si="474"/>
        <v>0</v>
      </c>
      <c r="F1516" s="439">
        <f t="shared" si="475"/>
        <v>0</v>
      </c>
      <c r="G1516" s="439">
        <f t="shared" ref="G1516:G1521" si="480">ROUND(D1516*F1516,2)</f>
        <v>0</v>
      </c>
    </row>
    <row r="1517" spans="1:7" ht="19.899999999999999" customHeight="1" x14ac:dyDescent="0.2">
      <c r="A1517" s="472"/>
      <c r="B1517" s="433"/>
      <c r="C1517" s="436">
        <f t="shared" ref="C1517" si="481">+C1292</f>
        <v>0</v>
      </c>
      <c r="D1517" s="436"/>
      <c r="E1517" s="438">
        <f t="shared" si="474"/>
        <v>0</v>
      </c>
      <c r="F1517" s="439">
        <f t="shared" si="475"/>
        <v>0</v>
      </c>
      <c r="G1517" s="439">
        <f t="shared" si="480"/>
        <v>0</v>
      </c>
    </row>
    <row r="1518" spans="1:7" ht="19.899999999999999" customHeight="1" x14ac:dyDescent="0.2">
      <c r="A1518" s="472"/>
      <c r="B1518" s="433"/>
      <c r="C1518" s="436">
        <f t="shared" ref="C1518:D1518" si="482">+C1293</f>
        <v>0</v>
      </c>
      <c r="D1518" s="436">
        <f t="shared" si="482"/>
        <v>0</v>
      </c>
      <c r="E1518" s="438">
        <f t="shared" si="474"/>
        <v>0</v>
      </c>
      <c r="F1518" s="439">
        <f t="shared" si="475"/>
        <v>0</v>
      </c>
      <c r="G1518" s="439">
        <f t="shared" si="480"/>
        <v>0</v>
      </c>
    </row>
    <row r="1519" spans="1:7" ht="19.899999999999999" customHeight="1" x14ac:dyDescent="0.2">
      <c r="A1519" s="472"/>
      <c r="B1519" s="433"/>
      <c r="C1519" s="436">
        <f t="shared" ref="C1519:D1519" si="483">+C1294</f>
        <v>0</v>
      </c>
      <c r="D1519" s="436">
        <f t="shared" si="483"/>
        <v>0</v>
      </c>
      <c r="E1519" s="438">
        <f t="shared" si="474"/>
        <v>0</v>
      </c>
      <c r="F1519" s="439">
        <f t="shared" si="475"/>
        <v>0</v>
      </c>
      <c r="G1519" s="439">
        <f t="shared" si="480"/>
        <v>0</v>
      </c>
    </row>
    <row r="1520" spans="1:7" ht="19.899999999999999" customHeight="1" x14ac:dyDescent="0.2">
      <c r="A1520" s="472"/>
      <c r="B1520" s="433"/>
      <c r="C1520" s="436"/>
      <c r="D1520" s="437"/>
      <c r="E1520" s="438">
        <f t="shared" si="474"/>
        <v>0</v>
      </c>
      <c r="F1520" s="439">
        <f t="shared" si="475"/>
        <v>0</v>
      </c>
      <c r="G1520" s="439">
        <f t="shared" si="480"/>
        <v>0</v>
      </c>
    </row>
    <row r="1521" spans="1:7" ht="19.899999999999999" customHeight="1" x14ac:dyDescent="0.2">
      <c r="A1521" s="472"/>
      <c r="B1521" s="433"/>
      <c r="C1521" s="436"/>
      <c r="D1521" s="437"/>
      <c r="E1521" s="438">
        <f t="shared" si="474"/>
        <v>0</v>
      </c>
      <c r="F1521" s="439">
        <f t="shared" si="475"/>
        <v>0</v>
      </c>
      <c r="G1521" s="439">
        <f t="shared" si="480"/>
        <v>0</v>
      </c>
    </row>
    <row r="1522" spans="1:7" ht="19.899999999999999" customHeight="1" x14ac:dyDescent="0.2">
      <c r="A1522" s="472"/>
      <c r="B1522" s="433"/>
      <c r="C1522" s="139"/>
      <c r="D1522" s="139"/>
      <c r="E1522" s="440"/>
      <c r="F1522" s="425"/>
      <c r="G1522" s="474"/>
    </row>
    <row r="1523" spans="1:7" ht="19.899999999999999" customHeight="1" x14ac:dyDescent="0.2">
      <c r="A1523" s="472"/>
      <c r="B1523" s="139"/>
      <c r="C1523" s="422" t="s">
        <v>972</v>
      </c>
      <c r="D1523" s="425" t="s">
        <v>969</v>
      </c>
      <c r="E1523" s="491">
        <f>SUMPRODUCT(D1512:D1521,E1512:E1521)</f>
        <v>0</v>
      </c>
      <c r="F1523" s="425" t="s">
        <v>973</v>
      </c>
      <c r="G1523" s="492">
        <f>SUM(G1512:G1521)</f>
        <v>0</v>
      </c>
    </row>
    <row r="1524" spans="1:7" ht="19.899999999999999" customHeight="1" x14ac:dyDescent="0.2">
      <c r="A1524" s="472"/>
      <c r="B1524" s="433"/>
      <c r="C1524" s="441"/>
      <c r="D1524" s="440"/>
      <c r="E1524" s="427"/>
      <c r="F1524" s="425"/>
      <c r="G1524" s="478"/>
    </row>
    <row r="1525" spans="1:7" ht="19.899999999999999" customHeight="1" x14ac:dyDescent="0.2">
      <c r="A1525" s="479"/>
      <c r="B1525" s="433"/>
      <c r="C1525" s="425" t="s">
        <v>974</v>
      </c>
      <c r="D1525" s="442">
        <f>IFERROR(VLOOKUP(COUNTIF($A$1:A1525,"ANALISIS DE PRECIOS"),T_Rendimiento_Equipo,5,FALSE),0)</f>
        <v>0</v>
      </c>
      <c r="E1525" s="443" t="str">
        <f ca="1">G1507&amp;"/día"</f>
        <v>UN./día</v>
      </c>
      <c r="F1525" s="419"/>
      <c r="G1525" s="474"/>
    </row>
    <row r="1526" spans="1:7" ht="19.899999999999999" customHeight="1" x14ac:dyDescent="0.2">
      <c r="A1526" s="472"/>
      <c r="B1526" s="433"/>
      <c r="C1526" s="139"/>
      <c r="D1526" s="426"/>
      <c r="E1526" s="427"/>
      <c r="F1526" s="425"/>
      <c r="G1526" s="474"/>
    </row>
    <row r="1527" spans="1:7" ht="19.899999999999999" customHeight="1" x14ac:dyDescent="0.2">
      <c r="A1527" s="720" t="s">
        <v>576</v>
      </c>
      <c r="B1527" s="721"/>
      <c r="C1527" s="722" t="s">
        <v>0</v>
      </c>
      <c r="D1527" s="734" t="s">
        <v>1724</v>
      </c>
      <c r="E1527" s="734" t="s">
        <v>1723</v>
      </c>
      <c r="F1527" s="726" t="s">
        <v>975</v>
      </c>
      <c r="G1527" s="728" t="s">
        <v>26</v>
      </c>
    </row>
    <row r="1528" spans="1:7" ht="19.899999999999999" customHeight="1" x14ac:dyDescent="0.2">
      <c r="A1528" s="444" t="s">
        <v>577</v>
      </c>
      <c r="B1528" s="444" t="s">
        <v>578</v>
      </c>
      <c r="C1528" s="723"/>
      <c r="D1528" s="735"/>
      <c r="E1528" s="725"/>
      <c r="F1528" s="727"/>
      <c r="G1528" s="729"/>
    </row>
    <row r="1529" spans="1:7" ht="19.899999999999999" customHeight="1" x14ac:dyDescent="0.2">
      <c r="A1529" s="480"/>
      <c r="B1529" s="139"/>
      <c r="C1529" s="422" t="s">
        <v>976</v>
      </c>
      <c r="D1529" s="427"/>
      <c r="E1529" s="427"/>
      <c r="F1529" s="139"/>
      <c r="G1529" s="481"/>
    </row>
    <row r="1530" spans="1:7" ht="19.899999999999999" customHeight="1" x14ac:dyDescent="0.2">
      <c r="A1530" s="482">
        <f t="shared" ref="A1530:A1538" si="484">IFERROR(VLOOKUP(C1530,T_Insumos,4,FALSE),0)</f>
        <v>0</v>
      </c>
      <c r="B1530" s="445">
        <f t="shared" ref="B1530:B1538" si="485">IFERROR(VLOOKUP(C1530,T_Insumos,5,FALSE),0)</f>
        <v>0</v>
      </c>
      <c r="C1530" s="436">
        <f>+C1230</f>
        <v>0</v>
      </c>
      <c r="D1530" s="446">
        <f t="shared" ref="D1530:D1538" si="486">IFERROR(VLOOKUP(C1530,T_Insumos,3,FALSE),0)</f>
        <v>0</v>
      </c>
      <c r="E1530" s="439">
        <f>D1530*$G$323</f>
        <v>0</v>
      </c>
      <c r="F1530" s="442">
        <f>IF(C1530="",0,IFERROR(VLOOKUP(COUNTIF($A$1:A1530,"ANALISIS DE PRECIOS"),T_Rendimiento_Equipo,5,FALSE),0))</f>
        <v>0</v>
      </c>
      <c r="G1530" s="439">
        <f>IFERROR(ROUND(E1530/F1530,2),0)</f>
        <v>0</v>
      </c>
    </row>
    <row r="1531" spans="1:7" ht="19.899999999999999" customHeight="1" x14ac:dyDescent="0.2">
      <c r="A1531" s="482">
        <f t="shared" si="484"/>
        <v>0</v>
      </c>
      <c r="B1531" s="445">
        <f t="shared" si="485"/>
        <v>0</v>
      </c>
      <c r="C1531" s="436">
        <f t="shared" ref="C1531:C1533" si="487">+C1231</f>
        <v>0</v>
      </c>
      <c r="D1531" s="446">
        <f t="shared" si="486"/>
        <v>0</v>
      </c>
      <c r="E1531" s="439">
        <f t="shared" ref="E1531:E1532" si="488">D1531*$G$323</f>
        <v>0</v>
      </c>
      <c r="F1531" s="442">
        <f>IF(C1531="",0,IFERROR(VLOOKUP(COUNTIF($A$1:A1531,"ANALISIS DE PRECIOS"),T_Rendimiento_Equipo,5,FALSE),0))</f>
        <v>0</v>
      </c>
      <c r="G1531" s="439">
        <f t="shared" ref="G1531:G1538" si="489">IFERROR(ROUND(E1531/F1531,2),0)</f>
        <v>0</v>
      </c>
    </row>
    <row r="1532" spans="1:7" ht="19.899999999999999" customHeight="1" x14ac:dyDescent="0.2">
      <c r="A1532" s="482">
        <f t="shared" si="484"/>
        <v>0</v>
      </c>
      <c r="B1532" s="445">
        <f t="shared" si="485"/>
        <v>0</v>
      </c>
      <c r="C1532" s="436">
        <f t="shared" si="487"/>
        <v>0</v>
      </c>
      <c r="D1532" s="446">
        <f t="shared" si="486"/>
        <v>0</v>
      </c>
      <c r="E1532" s="439">
        <f t="shared" si="488"/>
        <v>0</v>
      </c>
      <c r="F1532" s="442">
        <f>IF(C1532="",0,IFERROR(VLOOKUP(COUNTIF($A$1:A1532,"ANALISIS DE PRECIOS"),T_Rendimiento_Equipo,5,FALSE),0))</f>
        <v>0</v>
      </c>
      <c r="G1532" s="439">
        <f t="shared" si="489"/>
        <v>0</v>
      </c>
    </row>
    <row r="1533" spans="1:7" ht="19.899999999999999" customHeight="1" x14ac:dyDescent="0.2">
      <c r="A1533" s="482">
        <f t="shared" si="484"/>
        <v>0</v>
      </c>
      <c r="B1533" s="445">
        <f t="shared" si="485"/>
        <v>0</v>
      </c>
      <c r="C1533" s="436">
        <f t="shared" si="487"/>
        <v>0</v>
      </c>
      <c r="D1533" s="446">
        <f t="shared" si="486"/>
        <v>0</v>
      </c>
      <c r="E1533" s="439">
        <f>D1533*$E$323</f>
        <v>0</v>
      </c>
      <c r="F1533" s="442">
        <f>IF(C1533="",0,IFERROR(VLOOKUP(COUNTIF($A$1:A1533,"ANALISIS DE PRECIOS"),T_Rendimiento_Equipo,5,FALSE),0))</f>
        <v>0</v>
      </c>
      <c r="G1533" s="439">
        <f t="shared" si="489"/>
        <v>0</v>
      </c>
    </row>
    <row r="1534" spans="1:7" ht="19.899999999999999" customHeight="1" x14ac:dyDescent="0.2">
      <c r="A1534" s="482">
        <f t="shared" si="484"/>
        <v>0</v>
      </c>
      <c r="B1534" s="445">
        <f t="shared" si="485"/>
        <v>0</v>
      </c>
      <c r="C1534" s="447"/>
      <c r="D1534" s="446">
        <f t="shared" si="486"/>
        <v>0</v>
      </c>
      <c r="E1534" s="439"/>
      <c r="F1534" s="442">
        <f>IF(C1534="",0,IFERROR(VLOOKUP(COUNTIF($A$1:A1534,"ANALISIS DE PRECIOS"),T_Rendimiento_Equipo,5,FALSE),0))</f>
        <v>0</v>
      </c>
      <c r="G1534" s="439">
        <f t="shared" si="489"/>
        <v>0</v>
      </c>
    </row>
    <row r="1535" spans="1:7" ht="19.899999999999999" customHeight="1" x14ac:dyDescent="0.2">
      <c r="A1535" s="482">
        <f t="shared" si="484"/>
        <v>0</v>
      </c>
      <c r="B1535" s="445">
        <f t="shared" si="485"/>
        <v>0</v>
      </c>
      <c r="C1535" s="447"/>
      <c r="D1535" s="446">
        <f t="shared" si="486"/>
        <v>0</v>
      </c>
      <c r="E1535" s="439"/>
      <c r="F1535" s="442">
        <f>IF(C1535="",0,IFERROR(VLOOKUP(COUNTIF($A$1:A1535,"ANALISIS DE PRECIOS"),T_Rendimiento_Equipo,5,FALSE),0))</f>
        <v>0</v>
      </c>
      <c r="G1535" s="439">
        <f t="shared" si="489"/>
        <v>0</v>
      </c>
    </row>
    <row r="1536" spans="1:7" ht="19.899999999999999" customHeight="1" x14ac:dyDescent="0.2">
      <c r="A1536" s="482">
        <f t="shared" si="484"/>
        <v>0</v>
      </c>
      <c r="B1536" s="445">
        <f t="shared" si="485"/>
        <v>0</v>
      </c>
      <c r="C1536" s="447"/>
      <c r="D1536" s="446">
        <f t="shared" si="486"/>
        <v>0</v>
      </c>
      <c r="E1536" s="439"/>
      <c r="F1536" s="442">
        <f>IF(C1536="",0,IFERROR(VLOOKUP(COUNTIF($A$1:A1536,"ANALISIS DE PRECIOS"),T_Rendimiento_Equipo,5,FALSE),0))</f>
        <v>0</v>
      </c>
      <c r="G1536" s="439">
        <f t="shared" si="489"/>
        <v>0</v>
      </c>
    </row>
    <row r="1537" spans="1:7" ht="19.899999999999999" customHeight="1" x14ac:dyDescent="0.2">
      <c r="A1537" s="482">
        <f t="shared" si="484"/>
        <v>0</v>
      </c>
      <c r="B1537" s="445">
        <f t="shared" si="485"/>
        <v>0</v>
      </c>
      <c r="C1537" s="447"/>
      <c r="D1537" s="446">
        <f t="shared" si="486"/>
        <v>0</v>
      </c>
      <c r="E1537" s="439"/>
      <c r="F1537" s="442">
        <f>IF(C1537="",0,IFERROR(VLOOKUP(COUNTIF($A$1:A1537,"ANALISIS DE PRECIOS"),T_Rendimiento_Equipo,5,FALSE),0))</f>
        <v>0</v>
      </c>
      <c r="G1537" s="439">
        <f t="shared" si="489"/>
        <v>0</v>
      </c>
    </row>
    <row r="1538" spans="1:7" ht="19.899999999999999" customHeight="1" x14ac:dyDescent="0.2">
      <c r="A1538" s="482">
        <f t="shared" si="484"/>
        <v>0</v>
      </c>
      <c r="B1538" s="445">
        <f t="shared" si="485"/>
        <v>0</v>
      </c>
      <c r="C1538" s="436"/>
      <c r="D1538" s="446">
        <f t="shared" si="486"/>
        <v>0</v>
      </c>
      <c r="E1538" s="439"/>
      <c r="F1538" s="442">
        <f>IF(C1538="",0,IFERROR(VLOOKUP(COUNTIF($A$1:A1538,"ANALISIS DE PRECIOS"),T_Rendimiento_Equipo,5,FALSE),0))</f>
        <v>0</v>
      </c>
      <c r="G1538" s="439">
        <f t="shared" si="489"/>
        <v>0</v>
      </c>
    </row>
    <row r="1539" spans="1:7" ht="19.899999999999999" customHeight="1" x14ac:dyDescent="0.2">
      <c r="A1539" s="483"/>
      <c r="B1539" s="426"/>
      <c r="C1539" s="139"/>
      <c r="D1539" s="426"/>
      <c r="E1539" s="427"/>
      <c r="F1539" s="448" t="s">
        <v>27</v>
      </c>
      <c r="G1539" s="484">
        <f>SUBTOTAL(9,G1530:G1538)</f>
        <v>0</v>
      </c>
    </row>
    <row r="1540" spans="1:7" ht="19.899999999999999" customHeight="1" x14ac:dyDescent="0.2">
      <c r="A1540" s="480"/>
      <c r="B1540" s="139"/>
      <c r="C1540" s="422" t="s">
        <v>713</v>
      </c>
      <c r="D1540" s="426"/>
      <c r="E1540" s="427"/>
      <c r="F1540" s="428"/>
      <c r="G1540" s="481"/>
    </row>
    <row r="1541" spans="1:7" ht="19.899999999999999" customHeight="1" x14ac:dyDescent="0.2">
      <c r="A1541" s="720" t="s">
        <v>576</v>
      </c>
      <c r="B1541" s="721"/>
      <c r="C1541" s="722" t="s">
        <v>0</v>
      </c>
      <c r="D1541" s="724" t="s">
        <v>24</v>
      </c>
      <c r="E1541" s="724" t="s">
        <v>1964</v>
      </c>
      <c r="F1541" s="726" t="s">
        <v>975</v>
      </c>
      <c r="G1541" s="728" t="s">
        <v>26</v>
      </c>
    </row>
    <row r="1542" spans="1:7" ht="19.899999999999999" customHeight="1" x14ac:dyDescent="0.2">
      <c r="A1542" s="444" t="s">
        <v>577</v>
      </c>
      <c r="B1542" s="444" t="s">
        <v>578</v>
      </c>
      <c r="C1542" s="723"/>
      <c r="D1542" s="725"/>
      <c r="E1542" s="725"/>
      <c r="F1542" s="727"/>
      <c r="G1542" s="729"/>
    </row>
    <row r="1543" spans="1:7" ht="19.899999999999999" customHeight="1" x14ac:dyDescent="0.2">
      <c r="A1543" s="482">
        <f t="shared" ref="A1543:A1549" si="490">IFERROR(VLOOKUP(C1543,T_Insumos,4,FALSE),0)</f>
        <v>0</v>
      </c>
      <c r="B1543" s="445">
        <f t="shared" ref="B1543:B1549" si="491">IFERROR(VLOOKUP(C1543,T_Insumos,5,FALSE),0)</f>
        <v>0</v>
      </c>
      <c r="C1543" s="436">
        <f t="shared" ref="C1543:C1546" si="492">+C1318</f>
        <v>0</v>
      </c>
      <c r="D1543" s="442"/>
      <c r="E1543" s="439">
        <f t="shared" ref="E1543:E1549" si="493">IFERROR(VLOOKUP(C1543,T_Insumos,3,FALSE),0)</f>
        <v>0</v>
      </c>
      <c r="F1543" s="442">
        <f>IF(C1543="",0,IFERROR(VLOOKUP(COUNTIF($A$1:A1543,"ANALISIS DE PRECIOS"),T_Rendimiento_Equipo,5,FALSE),0))</f>
        <v>0</v>
      </c>
      <c r="G1543" s="439">
        <f>IFERROR(ROUND(D1543*E1543/F1543,2),0)</f>
        <v>0</v>
      </c>
    </row>
    <row r="1544" spans="1:7" ht="19.899999999999999" customHeight="1" x14ac:dyDescent="0.2">
      <c r="A1544" s="482">
        <f t="shared" si="490"/>
        <v>0</v>
      </c>
      <c r="B1544" s="445">
        <f t="shared" si="491"/>
        <v>0</v>
      </c>
      <c r="C1544" s="436">
        <f t="shared" si="492"/>
        <v>0</v>
      </c>
      <c r="D1544" s="442">
        <v>1</v>
      </c>
      <c r="E1544" s="439">
        <f t="shared" si="493"/>
        <v>0</v>
      </c>
      <c r="F1544" s="442">
        <f>IF(C1544="",0,IFERROR(VLOOKUP(COUNTIF($A$1:A1544,"ANALISIS DE PRECIOS"),T_Rendimiento_Equipo,5,FALSE),0))</f>
        <v>0</v>
      </c>
      <c r="G1544" s="439">
        <f>IFERROR(ROUND(D1544*E1544/F1544,2),0)</f>
        <v>0</v>
      </c>
    </row>
    <row r="1545" spans="1:7" ht="19.899999999999999" customHeight="1" x14ac:dyDescent="0.2">
      <c r="A1545" s="482">
        <f t="shared" si="490"/>
        <v>0</v>
      </c>
      <c r="B1545" s="445">
        <f t="shared" si="491"/>
        <v>0</v>
      </c>
      <c r="C1545" s="436">
        <f t="shared" si="492"/>
        <v>0</v>
      </c>
      <c r="D1545" s="442"/>
      <c r="E1545" s="439">
        <f t="shared" si="493"/>
        <v>0</v>
      </c>
      <c r="F1545" s="442">
        <f>IF(C1545="",0,IFERROR(VLOOKUP(COUNTIF($A$1:A1545,"ANALISIS DE PRECIOS"),T_Rendimiento_Equipo,5,FALSE),0))</f>
        <v>0</v>
      </c>
      <c r="G1545" s="439">
        <f t="shared" ref="G1545:G1549" si="494">IFERROR(ROUND(D1545*E1545/F1545,2),0)</f>
        <v>0</v>
      </c>
    </row>
    <row r="1546" spans="1:7" ht="19.899999999999999" customHeight="1" x14ac:dyDescent="0.2">
      <c r="A1546" s="482">
        <f t="shared" si="490"/>
        <v>0</v>
      </c>
      <c r="B1546" s="445">
        <f t="shared" si="491"/>
        <v>0</v>
      </c>
      <c r="C1546" s="436">
        <f t="shared" si="492"/>
        <v>0</v>
      </c>
      <c r="D1546" s="442">
        <v>2</v>
      </c>
      <c r="E1546" s="439">
        <f t="shared" si="493"/>
        <v>0</v>
      </c>
      <c r="F1546" s="442">
        <f>IF(C1546="",0,IFERROR(VLOOKUP(COUNTIF($A$1:A1546,"ANALISIS DE PRECIOS"),T_Rendimiento_Equipo,5,FALSE),0))</f>
        <v>0</v>
      </c>
      <c r="G1546" s="439">
        <f t="shared" si="494"/>
        <v>0</v>
      </c>
    </row>
    <row r="1547" spans="1:7" ht="19.899999999999999" customHeight="1" x14ac:dyDescent="0.2">
      <c r="A1547" s="482">
        <f t="shared" si="490"/>
        <v>0</v>
      </c>
      <c r="B1547" s="445">
        <f t="shared" si="491"/>
        <v>0</v>
      </c>
      <c r="C1547" s="436"/>
      <c r="D1547" s="442"/>
      <c r="E1547" s="439">
        <f t="shared" si="493"/>
        <v>0</v>
      </c>
      <c r="F1547" s="442">
        <f>IF(C1547="",0,IFERROR(VLOOKUP(COUNTIF($A$1:A1547,"ANALISIS DE PRECIOS"),T_Rendimiento_Equipo,5,FALSE),0))</f>
        <v>0</v>
      </c>
      <c r="G1547" s="439">
        <f t="shared" si="494"/>
        <v>0</v>
      </c>
    </row>
    <row r="1548" spans="1:7" ht="19.899999999999999" customHeight="1" x14ac:dyDescent="0.2">
      <c r="A1548" s="482">
        <f t="shared" si="490"/>
        <v>0</v>
      </c>
      <c r="B1548" s="445">
        <f t="shared" si="491"/>
        <v>0</v>
      </c>
      <c r="C1548" s="436"/>
      <c r="D1548" s="450"/>
      <c r="E1548" s="439">
        <f t="shared" si="493"/>
        <v>0</v>
      </c>
      <c r="F1548" s="442">
        <f>IF(C1548="",0,IFERROR(VLOOKUP(COUNTIF($A$1:A1548,"ANALISIS DE PRECIOS"),T_Rendimiento_Equipo,5,FALSE),0))</f>
        <v>0</v>
      </c>
      <c r="G1548" s="439">
        <f t="shared" si="494"/>
        <v>0</v>
      </c>
    </row>
    <row r="1549" spans="1:7" ht="19.899999999999999" customHeight="1" x14ac:dyDescent="0.2">
      <c r="A1549" s="482">
        <f t="shared" si="490"/>
        <v>0</v>
      </c>
      <c r="B1549" s="445">
        <f t="shared" si="491"/>
        <v>0</v>
      </c>
      <c r="C1549" s="445"/>
      <c r="D1549" s="451"/>
      <c r="E1549" s="439">
        <f t="shared" si="493"/>
        <v>0</v>
      </c>
      <c r="F1549" s="442">
        <f>IF(C1549="",0,IFERROR(VLOOKUP(COUNTIF($A$1:A1549,"ANALISIS DE PRECIOS"),T_Rendimiento_Equipo,5,FALSE),0))</f>
        <v>0</v>
      </c>
      <c r="G1549" s="439">
        <f t="shared" si="494"/>
        <v>0</v>
      </c>
    </row>
    <row r="1550" spans="1:7" ht="19.899999999999999" customHeight="1" x14ac:dyDescent="0.2">
      <c r="A1550" s="483"/>
      <c r="B1550" s="426"/>
      <c r="C1550" s="139"/>
      <c r="D1550" s="426"/>
      <c r="E1550" s="427"/>
      <c r="F1550" s="448" t="s">
        <v>28</v>
      </c>
      <c r="G1550" s="485">
        <f>SUBTOTAL(9,G1543:G1549)</f>
        <v>0</v>
      </c>
    </row>
    <row r="1551" spans="1:7" ht="19.899999999999999" customHeight="1" x14ac:dyDescent="0.2">
      <c r="A1551" s="480"/>
      <c r="B1551" s="139"/>
      <c r="C1551" s="422" t="s">
        <v>982</v>
      </c>
      <c r="D1551" s="426"/>
      <c r="E1551" s="427"/>
      <c r="F1551" s="428"/>
      <c r="G1551" s="481"/>
    </row>
    <row r="1552" spans="1:7" ht="19.899999999999999" customHeight="1" x14ac:dyDescent="0.2">
      <c r="A1552" s="720" t="s">
        <v>576</v>
      </c>
      <c r="B1552" s="721"/>
      <c r="C1552" s="722" t="s">
        <v>0</v>
      </c>
      <c r="D1552" s="722" t="s">
        <v>1725</v>
      </c>
      <c r="E1552" s="724" t="s">
        <v>24</v>
      </c>
      <c r="F1552" s="726" t="s">
        <v>25</v>
      </c>
      <c r="G1552" s="728" t="s">
        <v>26</v>
      </c>
    </row>
    <row r="1553" spans="1:7" ht="19.899999999999999" customHeight="1" x14ac:dyDescent="0.2">
      <c r="A1553" s="444" t="s">
        <v>577</v>
      </c>
      <c r="B1553" s="444" t="s">
        <v>578</v>
      </c>
      <c r="C1553" s="723"/>
      <c r="D1553" s="723"/>
      <c r="E1553" s="725"/>
      <c r="F1553" s="727"/>
      <c r="G1553" s="729"/>
    </row>
    <row r="1554" spans="1:7" ht="19.899999999999999" customHeight="1" x14ac:dyDescent="0.2">
      <c r="A1554" s="482">
        <f t="shared" ref="A1554:A1564" si="495">IFERROR(VLOOKUP(C1554,T_Insumos,4,FALSE),0)</f>
        <v>0</v>
      </c>
      <c r="B1554" s="445">
        <f t="shared" ref="B1554:B1564" si="496">IFERROR(VLOOKUP(C1554,T_Insumos,5,FALSE),0)</f>
        <v>0</v>
      </c>
      <c r="C1554" s="436">
        <f t="shared" ref="C1554:C1564" si="497">+C1329</f>
        <v>0</v>
      </c>
      <c r="D1554" s="493">
        <f t="shared" ref="D1554:D1564" si="498">IFERROR(VLOOKUP(C1554,T_Insumos,2,FALSE),0)</f>
        <v>0</v>
      </c>
      <c r="E1554" s="437"/>
      <c r="F1554" s="439">
        <f t="shared" ref="F1554:F1564" si="499">IFERROR(VLOOKUP(C1554,T_Insumos,3,FALSE),0)</f>
        <v>0</v>
      </c>
      <c r="G1554" s="439">
        <f>ROUND(E1554*F1554,2)</f>
        <v>0</v>
      </c>
    </row>
    <row r="1555" spans="1:7" ht="19.899999999999999" customHeight="1" x14ac:dyDescent="0.2">
      <c r="A1555" s="482">
        <f t="shared" si="495"/>
        <v>0</v>
      </c>
      <c r="B1555" s="445">
        <f t="shared" si="496"/>
        <v>0</v>
      </c>
      <c r="C1555" s="436">
        <f t="shared" si="497"/>
        <v>0</v>
      </c>
      <c r="D1555" s="493">
        <f t="shared" si="498"/>
        <v>0</v>
      </c>
      <c r="E1555" s="437"/>
      <c r="F1555" s="439">
        <f t="shared" si="499"/>
        <v>0</v>
      </c>
      <c r="G1555" s="439">
        <f t="shared" ref="G1555:G1564" si="500">ROUND(E1555*F1555,2)</f>
        <v>0</v>
      </c>
    </row>
    <row r="1556" spans="1:7" ht="19.899999999999999" customHeight="1" x14ac:dyDescent="0.2">
      <c r="A1556" s="482">
        <f t="shared" si="495"/>
        <v>0</v>
      </c>
      <c r="B1556" s="445">
        <f t="shared" si="496"/>
        <v>0</v>
      </c>
      <c r="C1556" s="436">
        <f t="shared" si="497"/>
        <v>0</v>
      </c>
      <c r="D1556" s="493">
        <f t="shared" si="498"/>
        <v>0</v>
      </c>
      <c r="E1556" s="437"/>
      <c r="F1556" s="439">
        <f t="shared" si="499"/>
        <v>0</v>
      </c>
      <c r="G1556" s="439">
        <f t="shared" si="500"/>
        <v>0</v>
      </c>
    </row>
    <row r="1557" spans="1:7" ht="19.899999999999999" customHeight="1" x14ac:dyDescent="0.2">
      <c r="A1557" s="482">
        <f t="shared" si="495"/>
        <v>0</v>
      </c>
      <c r="B1557" s="445">
        <f t="shared" si="496"/>
        <v>0</v>
      </c>
      <c r="C1557" s="436">
        <f t="shared" si="497"/>
        <v>0</v>
      </c>
      <c r="D1557" s="493">
        <f t="shared" si="498"/>
        <v>0</v>
      </c>
      <c r="E1557" s="437"/>
      <c r="F1557" s="439">
        <f t="shared" si="499"/>
        <v>0</v>
      </c>
      <c r="G1557" s="439">
        <f t="shared" si="500"/>
        <v>0</v>
      </c>
    </row>
    <row r="1558" spans="1:7" ht="19.899999999999999" customHeight="1" x14ac:dyDescent="0.2">
      <c r="A1558" s="482">
        <f t="shared" si="495"/>
        <v>0</v>
      </c>
      <c r="B1558" s="445">
        <f t="shared" si="496"/>
        <v>0</v>
      </c>
      <c r="C1558" s="436">
        <f t="shared" si="497"/>
        <v>0</v>
      </c>
      <c r="D1558" s="493">
        <f t="shared" si="498"/>
        <v>0</v>
      </c>
      <c r="E1558" s="437"/>
      <c r="F1558" s="439">
        <f t="shared" si="499"/>
        <v>0</v>
      </c>
      <c r="G1558" s="439">
        <f t="shared" si="500"/>
        <v>0</v>
      </c>
    </row>
    <row r="1559" spans="1:7" ht="19.899999999999999" customHeight="1" x14ac:dyDescent="0.2">
      <c r="A1559" s="482">
        <f t="shared" si="495"/>
        <v>0</v>
      </c>
      <c r="B1559" s="445">
        <f t="shared" si="496"/>
        <v>0</v>
      </c>
      <c r="C1559" s="436">
        <f t="shared" si="497"/>
        <v>0</v>
      </c>
      <c r="D1559" s="493">
        <f t="shared" si="498"/>
        <v>0</v>
      </c>
      <c r="E1559" s="437"/>
      <c r="F1559" s="439">
        <f t="shared" si="499"/>
        <v>0</v>
      </c>
      <c r="G1559" s="439">
        <f t="shared" si="500"/>
        <v>0</v>
      </c>
    </row>
    <row r="1560" spans="1:7" ht="19.899999999999999" customHeight="1" x14ac:dyDescent="0.2">
      <c r="A1560" s="482">
        <f t="shared" si="495"/>
        <v>0</v>
      </c>
      <c r="B1560" s="445">
        <f t="shared" si="496"/>
        <v>0</v>
      </c>
      <c r="C1560" s="436">
        <f t="shared" si="497"/>
        <v>0</v>
      </c>
      <c r="D1560" s="493">
        <f t="shared" si="498"/>
        <v>0</v>
      </c>
      <c r="E1560" s="437"/>
      <c r="F1560" s="439">
        <f t="shared" si="499"/>
        <v>0</v>
      </c>
      <c r="G1560" s="439">
        <f t="shared" si="500"/>
        <v>0</v>
      </c>
    </row>
    <row r="1561" spans="1:7" ht="19.899999999999999" customHeight="1" x14ac:dyDescent="0.2">
      <c r="A1561" s="482">
        <f t="shared" si="495"/>
        <v>0</v>
      </c>
      <c r="B1561" s="445">
        <f t="shared" si="496"/>
        <v>0</v>
      </c>
      <c r="C1561" s="436">
        <f t="shared" si="497"/>
        <v>0</v>
      </c>
      <c r="D1561" s="493">
        <f t="shared" si="498"/>
        <v>0</v>
      </c>
      <c r="E1561" s="437"/>
      <c r="F1561" s="439">
        <f t="shared" si="499"/>
        <v>0</v>
      </c>
      <c r="G1561" s="439">
        <f t="shared" si="500"/>
        <v>0</v>
      </c>
    </row>
    <row r="1562" spans="1:7" ht="19.899999999999999" customHeight="1" x14ac:dyDescent="0.2">
      <c r="A1562" s="482">
        <f t="shared" si="495"/>
        <v>0</v>
      </c>
      <c r="B1562" s="445">
        <f t="shared" si="496"/>
        <v>0</v>
      </c>
      <c r="C1562" s="436">
        <f t="shared" si="497"/>
        <v>0</v>
      </c>
      <c r="D1562" s="493">
        <f t="shared" si="498"/>
        <v>0</v>
      </c>
      <c r="E1562" s="437"/>
      <c r="F1562" s="439">
        <f t="shared" si="499"/>
        <v>0</v>
      </c>
      <c r="G1562" s="439">
        <f t="shared" si="500"/>
        <v>0</v>
      </c>
    </row>
    <row r="1563" spans="1:7" ht="19.899999999999999" customHeight="1" x14ac:dyDescent="0.2">
      <c r="A1563" s="482">
        <f t="shared" si="495"/>
        <v>0</v>
      </c>
      <c r="B1563" s="445">
        <f t="shared" si="496"/>
        <v>0</v>
      </c>
      <c r="C1563" s="436">
        <f t="shared" si="497"/>
        <v>0</v>
      </c>
      <c r="D1563" s="493">
        <f t="shared" si="498"/>
        <v>0</v>
      </c>
      <c r="E1563" s="437"/>
      <c r="F1563" s="439">
        <f t="shared" si="499"/>
        <v>0</v>
      </c>
      <c r="G1563" s="439">
        <f t="shared" si="500"/>
        <v>0</v>
      </c>
    </row>
    <row r="1564" spans="1:7" ht="19.899999999999999" customHeight="1" x14ac:dyDescent="0.2">
      <c r="A1564" s="482">
        <f t="shared" si="495"/>
        <v>0</v>
      </c>
      <c r="B1564" s="445">
        <f t="shared" si="496"/>
        <v>0</v>
      </c>
      <c r="C1564" s="436">
        <f t="shared" si="497"/>
        <v>0</v>
      </c>
      <c r="D1564" s="493">
        <f t="shared" si="498"/>
        <v>0</v>
      </c>
      <c r="E1564" s="437"/>
      <c r="F1564" s="439">
        <f t="shared" si="499"/>
        <v>0</v>
      </c>
      <c r="G1564" s="439">
        <f t="shared" si="500"/>
        <v>0</v>
      </c>
    </row>
    <row r="1565" spans="1:7" ht="19.899999999999999" customHeight="1" x14ac:dyDescent="0.2">
      <c r="A1565" s="480"/>
      <c r="B1565" s="139"/>
      <c r="C1565" s="139"/>
      <c r="D1565" s="426"/>
      <c r="E1565" s="427"/>
      <c r="F1565" s="448" t="s">
        <v>29</v>
      </c>
      <c r="G1565" s="485">
        <f>SUBTOTAL(9,G1554:G1564)</f>
        <v>0</v>
      </c>
    </row>
    <row r="1566" spans="1:7" ht="19.899999999999999" customHeight="1" x14ac:dyDescent="0.2">
      <c r="A1566" s="480"/>
      <c r="B1566" s="139"/>
      <c r="C1566" s="422" t="s">
        <v>983</v>
      </c>
      <c r="D1566" s="426"/>
      <c r="E1566" s="427"/>
      <c r="F1566" s="428"/>
      <c r="G1566" s="481"/>
    </row>
    <row r="1567" spans="1:7" ht="19.899999999999999" customHeight="1" x14ac:dyDescent="0.2">
      <c r="A1567" s="720" t="s">
        <v>576</v>
      </c>
      <c r="B1567" s="721"/>
      <c r="C1567" s="722" t="s">
        <v>0</v>
      </c>
      <c r="D1567" s="722" t="s">
        <v>1725</v>
      </c>
      <c r="E1567" s="724" t="s">
        <v>24</v>
      </c>
      <c r="F1567" s="726" t="s">
        <v>25</v>
      </c>
      <c r="G1567" s="728" t="s">
        <v>26</v>
      </c>
    </row>
    <row r="1568" spans="1:7" ht="19.899999999999999" customHeight="1" x14ac:dyDescent="0.2">
      <c r="A1568" s="444" t="s">
        <v>577</v>
      </c>
      <c r="B1568" s="444" t="s">
        <v>578</v>
      </c>
      <c r="C1568" s="723"/>
      <c r="D1568" s="723"/>
      <c r="E1568" s="725"/>
      <c r="F1568" s="727"/>
      <c r="G1568" s="729"/>
    </row>
    <row r="1569" spans="1:7" ht="19.899999999999999" customHeight="1" x14ac:dyDescent="0.2">
      <c r="A1569" s="482">
        <f>IFERROR(VLOOKUP(C1569,T_Insumos,4,FALSE),0)</f>
        <v>0</v>
      </c>
      <c r="B1569" s="445">
        <f>IFERROR(VLOOKUP(C1569,T_Insumos,5,FALSE),0)</f>
        <v>0</v>
      </c>
      <c r="C1569" s="436"/>
      <c r="D1569" s="493">
        <f>IF(C1569=0,0,"$/tnkm")</f>
        <v>0</v>
      </c>
      <c r="E1569" s="437"/>
      <c r="F1569" s="439">
        <f>IFERROR(VLOOKUP(C1569,T_Insumos,3,FALSE),0)</f>
        <v>0</v>
      </c>
      <c r="G1569" s="439">
        <f>ROUND(E1569*F1569,2)</f>
        <v>0</v>
      </c>
    </row>
    <row r="1570" spans="1:7" ht="19.899999999999999" customHeight="1" x14ac:dyDescent="0.2">
      <c r="A1570" s="482">
        <f>IFERROR(VLOOKUP(C1570,T_Insumos,4,FALSE),0)</f>
        <v>0</v>
      </c>
      <c r="B1570" s="445">
        <f>IFERROR(VLOOKUP(C1570,T_Insumos,5,FALSE),0)</f>
        <v>0</v>
      </c>
      <c r="C1570" s="436"/>
      <c r="D1570" s="493">
        <f>IF(C1570=0,0,"$/tnkm")</f>
        <v>0</v>
      </c>
      <c r="E1570" s="453"/>
      <c r="F1570" s="439">
        <f>IFERROR(VLOOKUP(C1570,T_Insumos,3,FALSE),0)</f>
        <v>0</v>
      </c>
      <c r="G1570" s="439">
        <f t="shared" ref="G1570" si="501">ROUND(E1570*F1570,2)</f>
        <v>0</v>
      </c>
    </row>
    <row r="1571" spans="1:7" ht="19.899999999999999" customHeight="1" x14ac:dyDescent="0.2">
      <c r="A1571" s="480"/>
      <c r="B1571" s="139"/>
      <c r="C1571" s="139"/>
      <c r="D1571" s="426"/>
      <c r="E1571" s="427"/>
      <c r="F1571" s="448" t="s">
        <v>984</v>
      </c>
      <c r="G1571" s="485">
        <f>SUBTOTAL(9,G1569:G1570)</f>
        <v>0</v>
      </c>
    </row>
    <row r="1572" spans="1:7" ht="19.899999999999999" customHeight="1" x14ac:dyDescent="0.2">
      <c r="A1572" s="483"/>
      <c r="B1572" s="426"/>
      <c r="C1572" s="139"/>
      <c r="D1572" s="426"/>
      <c r="E1572" s="427"/>
      <c r="F1572" s="428"/>
      <c r="G1572" s="481"/>
    </row>
    <row r="1573" spans="1:7" ht="19.899999999999999" customHeight="1" x14ac:dyDescent="0.2">
      <c r="A1573" s="541" t="str">
        <f>B1507</f>
        <v>4.1</v>
      </c>
      <c r="B1573" s="538" t="str">
        <f ca="1">C1507</f>
        <v>Camioneta 0 km.</v>
      </c>
      <c r="C1573" s="426"/>
      <c r="D1573" s="426" t="s">
        <v>1704</v>
      </c>
      <c r="E1573" s="539"/>
      <c r="F1573" s="540" t="str">
        <f ca="1">"$/"&amp;G1507</f>
        <v>$/UN.</v>
      </c>
      <c r="G1573" s="490">
        <f>SUBTOTAL(9,G1530:G1572)</f>
        <v>0</v>
      </c>
    </row>
    <row r="1574" spans="1:7" ht="19.899999999999999" customHeight="1" x14ac:dyDescent="0.2">
      <c r="A1574" s="486"/>
      <c r="B1574" s="487"/>
      <c r="C1574" s="488"/>
      <c r="D1574" s="488" t="s">
        <v>1900</v>
      </c>
      <c r="E1574" s="489"/>
      <c r="F1574" s="542" t="str">
        <f ca="1">"$/"&amp;G1507</f>
        <v>$/UN.</v>
      </c>
      <c r="G1574" s="490">
        <f>ROUND(G1573*Coeficiente_Paso,2)</f>
        <v>0</v>
      </c>
    </row>
    <row r="1575" spans="1:7" ht="19.899999999999999" customHeight="1" x14ac:dyDescent="0.2">
      <c r="A1575" s="139"/>
      <c r="B1575" s="139"/>
      <c r="C1575" s="139"/>
      <c r="D1575" s="139"/>
      <c r="E1575" s="139"/>
      <c r="F1575" s="139"/>
      <c r="G1575" s="139"/>
    </row>
    <row r="1576" spans="1:7" ht="19.899999999999999" customHeight="1" x14ac:dyDescent="0.2">
      <c r="A1576" s="730" t="s">
        <v>31</v>
      </c>
      <c r="B1576" s="731"/>
      <c r="C1576" s="731"/>
      <c r="D1576" s="731"/>
      <c r="E1576" s="731"/>
      <c r="F1576" s="731"/>
      <c r="G1576" s="732"/>
    </row>
    <row r="1577" spans="1:7" ht="19.899999999999999" customHeight="1" x14ac:dyDescent="0.2">
      <c r="A1577" s="469" t="s">
        <v>711</v>
      </c>
      <c r="B1577" s="420" t="str">
        <f>Comitente</f>
        <v>DEPARTAMENTO DE HIDRAULICA</v>
      </c>
      <c r="C1577" s="421"/>
      <c r="D1577" s="422"/>
      <c r="E1577" s="422"/>
      <c r="F1577" s="423"/>
      <c r="G1577" s="470"/>
    </row>
    <row r="1578" spans="1:7" ht="19.899999999999999" customHeight="1" x14ac:dyDescent="0.2">
      <c r="A1578" s="469" t="s">
        <v>712</v>
      </c>
      <c r="B1578" s="420">
        <f>Contratista</f>
        <v>0</v>
      </c>
      <c r="C1578" s="424"/>
      <c r="D1578" s="424"/>
      <c r="E1578" s="424"/>
      <c r="F1578" s="420"/>
      <c r="G1578" s="471"/>
    </row>
    <row r="1579" spans="1:7" ht="19.899999999999999" customHeight="1" x14ac:dyDescent="0.2">
      <c r="A1579" s="469" t="s">
        <v>21</v>
      </c>
      <c r="B1579" s="420" t="str">
        <f>Obra</f>
        <v>Encamisado Parcial del Canal de Calle América</v>
      </c>
      <c r="C1579" s="424"/>
      <c r="D1579" s="424"/>
      <c r="E1579" s="424"/>
      <c r="F1579" s="420" t="s">
        <v>32</v>
      </c>
      <c r="G1579" s="471" t="str">
        <f>Fecha_Base</f>
        <v>X/X/2023</v>
      </c>
    </row>
    <row r="1580" spans="1:7" ht="19.899999999999999" customHeight="1" x14ac:dyDescent="0.2">
      <c r="A1580" s="472" t="s">
        <v>710</v>
      </c>
      <c r="B1580" s="425" t="str">
        <f>Ubicación</f>
        <v>Departamento Rawson</v>
      </c>
      <c r="C1580" s="425"/>
      <c r="D1580" s="426"/>
      <c r="E1580" s="427"/>
      <c r="F1580" s="428"/>
      <c r="G1580" s="473"/>
    </row>
    <row r="1581" spans="1:7" ht="19.899999999999999" customHeight="1" x14ac:dyDescent="0.2">
      <c r="A1581" s="472" t="s">
        <v>33</v>
      </c>
      <c r="B1581" s="429">
        <f>IFERROR(VALUE(LEFT(B1582,FIND(".",B1582)-1)),"")</f>
        <v>4</v>
      </c>
      <c r="C1581" s="139" t="str">
        <f ca="1">IFERROR(VLOOKUP(B1581,T_Computo_Presupuesto,2,FALSE),0)</f>
        <v>FORTALECIMIENTO INSTITUCIONAL</v>
      </c>
      <c r="D1581" s="139"/>
      <c r="E1581" s="427"/>
      <c r="F1581" s="428"/>
      <c r="G1581" s="473"/>
    </row>
    <row r="1582" spans="1:7" ht="19.899999999999999" customHeight="1" x14ac:dyDescent="0.2">
      <c r="A1582" s="472" t="s">
        <v>22</v>
      </c>
      <c r="B1582" s="430" t="str">
        <f>IFERROR(VLOOKUP(COUNTIF($A$1:A1582,"ANALISIS DE PRECIOS"),T_NumeroItem,2,FALSE),"")</f>
        <v>4.2</v>
      </c>
      <c r="C1582" s="733" t="str">
        <f ca="1">IFERROR(VLOOKUP(B1582,T_Computo_Presupuesto,2,FALSE),0)</f>
        <v xml:space="preserve">Equipo de computación PC Core I7 10400 16gb RAM 240 Ssd + 2TR HD, con Monitor 24 W10 LISTA PARA USAR CON ANTIVIRUS con teclado y mouse inalámbrico. </v>
      </c>
      <c r="D1582" s="733"/>
      <c r="E1582" s="733"/>
      <c r="F1582" s="425" t="s">
        <v>23</v>
      </c>
      <c r="G1582" s="474" t="str">
        <f ca="1">IFERROR(VLOOKUP(B1582,T_Computo_Presupuesto,4,FALSE),0)</f>
        <v>UN.</v>
      </c>
    </row>
    <row r="1583" spans="1:7" ht="19.899999999999999" customHeight="1" x14ac:dyDescent="0.2">
      <c r="A1583" s="472"/>
      <c r="B1583" s="425"/>
      <c r="C1583" s="139"/>
      <c r="D1583" s="426"/>
      <c r="E1583" s="427"/>
      <c r="F1583" s="139"/>
      <c r="G1583" s="475"/>
    </row>
    <row r="1584" spans="1:7" ht="19.899999999999999" customHeight="1" x14ac:dyDescent="0.2">
      <c r="A1584" s="476"/>
      <c r="B1584" s="431"/>
      <c r="C1584" s="432" t="s">
        <v>967</v>
      </c>
      <c r="D1584" s="431"/>
      <c r="E1584" s="431"/>
      <c r="F1584" s="431"/>
      <c r="G1584" s="477"/>
    </row>
    <row r="1585" spans="1:7" ht="19.899999999999999" customHeight="1" x14ac:dyDescent="0.2">
      <c r="A1585" s="472"/>
      <c r="B1585" s="433"/>
      <c r="C1585" s="139"/>
      <c r="D1585" s="426"/>
      <c r="E1585" s="427"/>
      <c r="F1585" s="425"/>
      <c r="G1585" s="474"/>
    </row>
    <row r="1586" spans="1:7" ht="19.899999999999999" customHeight="1" x14ac:dyDescent="0.2">
      <c r="A1586" s="472"/>
      <c r="B1586" s="433"/>
      <c r="C1586" s="434" t="s">
        <v>968</v>
      </c>
      <c r="D1586" s="435" t="s">
        <v>24</v>
      </c>
      <c r="E1586" s="435" t="s">
        <v>969</v>
      </c>
      <c r="F1586" s="435" t="s">
        <v>970</v>
      </c>
      <c r="G1586" s="434" t="s">
        <v>971</v>
      </c>
    </row>
    <row r="1587" spans="1:7" ht="19.899999999999999" customHeight="1" x14ac:dyDescent="0.2">
      <c r="A1587" s="472"/>
      <c r="B1587" s="433"/>
      <c r="C1587" s="436">
        <f>+C1362</f>
        <v>0</v>
      </c>
      <c r="D1587" s="436">
        <f>+D1362</f>
        <v>0</v>
      </c>
      <c r="E1587" s="438">
        <f t="shared" ref="E1587:E1596" si="502">IFERROR(VLOOKUP(C1587,T_Equipos,4,FALSE),0)</f>
        <v>0</v>
      </c>
      <c r="F1587" s="439">
        <f t="shared" ref="F1587:F1596" si="503">IFERROR(VLOOKUP(C1587,T_Equipos,5,FALSE),0)</f>
        <v>0</v>
      </c>
      <c r="G1587" s="439">
        <f>ROUND(D1587*F1587,2)</f>
        <v>0</v>
      </c>
    </row>
    <row r="1588" spans="1:7" ht="19.899999999999999" customHeight="1" x14ac:dyDescent="0.2">
      <c r="A1588" s="472"/>
      <c r="B1588" s="433"/>
      <c r="C1588" s="436">
        <f t="shared" ref="C1588:D1588" si="504">+C1363</f>
        <v>0</v>
      </c>
      <c r="D1588" s="436">
        <f t="shared" si="504"/>
        <v>0</v>
      </c>
      <c r="E1588" s="438">
        <f t="shared" si="502"/>
        <v>0</v>
      </c>
      <c r="F1588" s="439">
        <f t="shared" si="503"/>
        <v>0</v>
      </c>
      <c r="G1588" s="439">
        <f>ROUND(D1588*F1588,2)</f>
        <v>0</v>
      </c>
    </row>
    <row r="1589" spans="1:7" ht="19.899999999999999" customHeight="1" x14ac:dyDescent="0.2">
      <c r="A1589" s="472"/>
      <c r="B1589" s="433"/>
      <c r="C1589" s="436">
        <f t="shared" ref="C1589" si="505">+C1364</f>
        <v>0</v>
      </c>
      <c r="D1589" s="436"/>
      <c r="E1589" s="438">
        <f t="shared" si="502"/>
        <v>0</v>
      </c>
      <c r="F1589" s="439">
        <f t="shared" si="503"/>
        <v>0</v>
      </c>
      <c r="G1589" s="439">
        <f>ROUND(D1589*F1589,2)</f>
        <v>0</v>
      </c>
    </row>
    <row r="1590" spans="1:7" ht="19.899999999999999" customHeight="1" x14ac:dyDescent="0.2">
      <c r="A1590" s="472"/>
      <c r="B1590" s="433"/>
      <c r="C1590" s="436">
        <f t="shared" ref="C1590" si="506">+C1365</f>
        <v>0</v>
      </c>
      <c r="D1590" s="436"/>
      <c r="E1590" s="438">
        <f t="shared" si="502"/>
        <v>0</v>
      </c>
      <c r="F1590" s="439">
        <f t="shared" si="503"/>
        <v>0</v>
      </c>
      <c r="G1590" s="439">
        <f>ROUND(D1590*F1590,2)</f>
        <v>0</v>
      </c>
    </row>
    <row r="1591" spans="1:7" ht="19.899999999999999" customHeight="1" x14ac:dyDescent="0.2">
      <c r="A1591" s="472"/>
      <c r="B1591" s="433"/>
      <c r="C1591" s="436">
        <f t="shared" ref="C1591" si="507">+C1366</f>
        <v>0</v>
      </c>
      <c r="D1591" s="436"/>
      <c r="E1591" s="438">
        <f t="shared" si="502"/>
        <v>0</v>
      </c>
      <c r="F1591" s="439">
        <f t="shared" si="503"/>
        <v>0</v>
      </c>
      <c r="G1591" s="439">
        <f t="shared" ref="G1591:G1596" si="508">ROUND(D1591*F1591,2)</f>
        <v>0</v>
      </c>
    </row>
    <row r="1592" spans="1:7" ht="19.899999999999999" customHeight="1" x14ac:dyDescent="0.2">
      <c r="A1592" s="472"/>
      <c r="B1592" s="433"/>
      <c r="C1592" s="436">
        <f t="shared" ref="C1592" si="509">+C1367</f>
        <v>0</v>
      </c>
      <c r="D1592" s="436"/>
      <c r="E1592" s="438">
        <f t="shared" si="502"/>
        <v>0</v>
      </c>
      <c r="F1592" s="439">
        <f t="shared" si="503"/>
        <v>0</v>
      </c>
      <c r="G1592" s="439">
        <f t="shared" si="508"/>
        <v>0</v>
      </c>
    </row>
    <row r="1593" spans="1:7" ht="19.899999999999999" customHeight="1" x14ac:dyDescent="0.2">
      <c r="A1593" s="472"/>
      <c r="B1593" s="433"/>
      <c r="C1593" s="436">
        <f t="shared" ref="C1593:D1593" si="510">+C1368</f>
        <v>0</v>
      </c>
      <c r="D1593" s="436">
        <f t="shared" si="510"/>
        <v>0</v>
      </c>
      <c r="E1593" s="438">
        <f t="shared" si="502"/>
        <v>0</v>
      </c>
      <c r="F1593" s="439">
        <f t="shared" si="503"/>
        <v>0</v>
      </c>
      <c r="G1593" s="439">
        <f t="shared" si="508"/>
        <v>0</v>
      </c>
    </row>
    <row r="1594" spans="1:7" ht="19.899999999999999" customHeight="1" x14ac:dyDescent="0.2">
      <c r="A1594" s="472"/>
      <c r="B1594" s="433"/>
      <c r="C1594" s="436">
        <f t="shared" ref="C1594:D1594" si="511">+C1369</f>
        <v>0</v>
      </c>
      <c r="D1594" s="436">
        <f t="shared" si="511"/>
        <v>0</v>
      </c>
      <c r="E1594" s="438">
        <f t="shared" si="502"/>
        <v>0</v>
      </c>
      <c r="F1594" s="439">
        <f t="shared" si="503"/>
        <v>0</v>
      </c>
      <c r="G1594" s="439">
        <f t="shared" si="508"/>
        <v>0</v>
      </c>
    </row>
    <row r="1595" spans="1:7" ht="19.899999999999999" customHeight="1" x14ac:dyDescent="0.2">
      <c r="A1595" s="472"/>
      <c r="B1595" s="433"/>
      <c r="C1595" s="436"/>
      <c r="D1595" s="437"/>
      <c r="E1595" s="438">
        <f t="shared" si="502"/>
        <v>0</v>
      </c>
      <c r="F1595" s="439">
        <f t="shared" si="503"/>
        <v>0</v>
      </c>
      <c r="G1595" s="439">
        <f t="shared" si="508"/>
        <v>0</v>
      </c>
    </row>
    <row r="1596" spans="1:7" ht="19.899999999999999" customHeight="1" x14ac:dyDescent="0.2">
      <c r="A1596" s="472"/>
      <c r="B1596" s="433"/>
      <c r="C1596" s="436"/>
      <c r="D1596" s="437"/>
      <c r="E1596" s="438">
        <f t="shared" si="502"/>
        <v>0</v>
      </c>
      <c r="F1596" s="439">
        <f t="shared" si="503"/>
        <v>0</v>
      </c>
      <c r="G1596" s="439">
        <f t="shared" si="508"/>
        <v>0</v>
      </c>
    </row>
    <row r="1597" spans="1:7" ht="19.899999999999999" customHeight="1" x14ac:dyDescent="0.2">
      <c r="A1597" s="472"/>
      <c r="B1597" s="433"/>
      <c r="C1597" s="139"/>
      <c r="D1597" s="139"/>
      <c r="E1597" s="440"/>
      <c r="F1597" s="425"/>
      <c r="G1597" s="474"/>
    </row>
    <row r="1598" spans="1:7" ht="19.899999999999999" customHeight="1" x14ac:dyDescent="0.2">
      <c r="A1598" s="472"/>
      <c r="B1598" s="139"/>
      <c r="C1598" s="422" t="s">
        <v>972</v>
      </c>
      <c r="D1598" s="425" t="s">
        <v>969</v>
      </c>
      <c r="E1598" s="491">
        <f>SUMPRODUCT(D1587:D1596,E1587:E1596)</f>
        <v>0</v>
      </c>
      <c r="F1598" s="425" t="s">
        <v>973</v>
      </c>
      <c r="G1598" s="492">
        <f>SUM(G1587:G1596)</f>
        <v>0</v>
      </c>
    </row>
    <row r="1599" spans="1:7" ht="19.899999999999999" customHeight="1" x14ac:dyDescent="0.2">
      <c r="A1599" s="472"/>
      <c r="B1599" s="433"/>
      <c r="C1599" s="441"/>
      <c r="D1599" s="440"/>
      <c r="E1599" s="427"/>
      <c r="F1599" s="425"/>
      <c r="G1599" s="478"/>
    </row>
    <row r="1600" spans="1:7" ht="19.899999999999999" customHeight="1" x14ac:dyDescent="0.2">
      <c r="A1600" s="479"/>
      <c r="B1600" s="433"/>
      <c r="C1600" s="425" t="s">
        <v>974</v>
      </c>
      <c r="D1600" s="442">
        <f>IFERROR(VLOOKUP(COUNTIF($A$1:A1600,"ANALISIS DE PRECIOS"),T_Rendimiento_Equipo,5,FALSE),0)</f>
        <v>0</v>
      </c>
      <c r="E1600" s="443" t="str">
        <f ca="1">G1582&amp;"/día"</f>
        <v>UN./día</v>
      </c>
      <c r="F1600" s="419"/>
      <c r="G1600" s="474"/>
    </row>
    <row r="1601" spans="1:7" ht="19.899999999999999" customHeight="1" x14ac:dyDescent="0.2">
      <c r="A1601" s="472"/>
      <c r="B1601" s="433"/>
      <c r="C1601" s="139"/>
      <c r="D1601" s="426"/>
      <c r="E1601" s="427"/>
      <c r="F1601" s="425"/>
      <c r="G1601" s="474"/>
    </row>
    <row r="1602" spans="1:7" ht="19.899999999999999" customHeight="1" x14ac:dyDescent="0.2">
      <c r="A1602" s="720" t="s">
        <v>576</v>
      </c>
      <c r="B1602" s="721"/>
      <c r="C1602" s="722" t="s">
        <v>0</v>
      </c>
      <c r="D1602" s="734" t="s">
        <v>1724</v>
      </c>
      <c r="E1602" s="734" t="s">
        <v>1723</v>
      </c>
      <c r="F1602" s="726" t="s">
        <v>975</v>
      </c>
      <c r="G1602" s="728" t="s">
        <v>26</v>
      </c>
    </row>
    <row r="1603" spans="1:7" ht="19.899999999999999" customHeight="1" x14ac:dyDescent="0.2">
      <c r="A1603" s="444" t="s">
        <v>577</v>
      </c>
      <c r="B1603" s="444" t="s">
        <v>578</v>
      </c>
      <c r="C1603" s="723"/>
      <c r="D1603" s="735"/>
      <c r="E1603" s="725"/>
      <c r="F1603" s="727"/>
      <c r="G1603" s="729"/>
    </row>
    <row r="1604" spans="1:7" ht="19.899999999999999" customHeight="1" x14ac:dyDescent="0.2">
      <c r="A1604" s="480"/>
      <c r="B1604" s="139"/>
      <c r="C1604" s="422" t="s">
        <v>976</v>
      </c>
      <c r="D1604" s="427"/>
      <c r="E1604" s="427"/>
      <c r="F1604" s="139"/>
      <c r="G1604" s="481"/>
    </row>
    <row r="1605" spans="1:7" ht="19.899999999999999" customHeight="1" x14ac:dyDescent="0.2">
      <c r="A1605" s="482">
        <f t="shared" ref="A1605:A1613" si="512">IFERROR(VLOOKUP(C1605,T_Insumos,4,FALSE),0)</f>
        <v>0</v>
      </c>
      <c r="B1605" s="445">
        <f t="shared" ref="B1605:B1613" si="513">IFERROR(VLOOKUP(C1605,T_Insumos,5,FALSE),0)</f>
        <v>0</v>
      </c>
      <c r="C1605" s="436">
        <f>+C1305</f>
        <v>0</v>
      </c>
      <c r="D1605" s="446">
        <f t="shared" ref="D1605:D1613" si="514">IFERROR(VLOOKUP(C1605,T_Insumos,3,FALSE),0)</f>
        <v>0</v>
      </c>
      <c r="E1605" s="439">
        <f>D1605*$G$323</f>
        <v>0</v>
      </c>
      <c r="F1605" s="442">
        <f>IF(C1605="",0,IFERROR(VLOOKUP(COUNTIF($A$1:A1605,"ANALISIS DE PRECIOS"),T_Rendimiento_Equipo,5,FALSE),0))</f>
        <v>0</v>
      </c>
      <c r="G1605" s="439">
        <f>IFERROR(ROUND(E1605/F1605,2),0)</f>
        <v>0</v>
      </c>
    </row>
    <row r="1606" spans="1:7" ht="19.899999999999999" customHeight="1" x14ac:dyDescent="0.2">
      <c r="A1606" s="482">
        <f t="shared" si="512"/>
        <v>0</v>
      </c>
      <c r="B1606" s="445">
        <f t="shared" si="513"/>
        <v>0</v>
      </c>
      <c r="C1606" s="436">
        <f t="shared" ref="C1606:C1608" si="515">+C1306</f>
        <v>0</v>
      </c>
      <c r="D1606" s="446">
        <f t="shared" si="514"/>
        <v>0</v>
      </c>
      <c r="E1606" s="439">
        <f t="shared" ref="E1606:E1607" si="516">D1606*$G$323</f>
        <v>0</v>
      </c>
      <c r="F1606" s="442">
        <f>IF(C1606="",0,IFERROR(VLOOKUP(COUNTIF($A$1:A1606,"ANALISIS DE PRECIOS"),T_Rendimiento_Equipo,5,FALSE),0))</f>
        <v>0</v>
      </c>
      <c r="G1606" s="439">
        <f t="shared" ref="G1606:G1613" si="517">IFERROR(ROUND(E1606/F1606,2),0)</f>
        <v>0</v>
      </c>
    </row>
    <row r="1607" spans="1:7" ht="19.899999999999999" customHeight="1" x14ac:dyDescent="0.2">
      <c r="A1607" s="482">
        <f t="shared" si="512"/>
        <v>0</v>
      </c>
      <c r="B1607" s="445">
        <f t="shared" si="513"/>
        <v>0</v>
      </c>
      <c r="C1607" s="436">
        <f t="shared" si="515"/>
        <v>0</v>
      </c>
      <c r="D1607" s="446">
        <f t="shared" si="514"/>
        <v>0</v>
      </c>
      <c r="E1607" s="439">
        <f t="shared" si="516"/>
        <v>0</v>
      </c>
      <c r="F1607" s="442">
        <f>IF(C1607="",0,IFERROR(VLOOKUP(COUNTIF($A$1:A1607,"ANALISIS DE PRECIOS"),T_Rendimiento_Equipo,5,FALSE),0))</f>
        <v>0</v>
      </c>
      <c r="G1607" s="439">
        <f t="shared" si="517"/>
        <v>0</v>
      </c>
    </row>
    <row r="1608" spans="1:7" ht="19.899999999999999" customHeight="1" x14ac:dyDescent="0.2">
      <c r="A1608" s="482">
        <f t="shared" si="512"/>
        <v>0</v>
      </c>
      <c r="B1608" s="445">
        <f t="shared" si="513"/>
        <v>0</v>
      </c>
      <c r="C1608" s="436">
        <f t="shared" si="515"/>
        <v>0</v>
      </c>
      <c r="D1608" s="446">
        <f t="shared" si="514"/>
        <v>0</v>
      </c>
      <c r="E1608" s="439">
        <f>D1608*$E$323</f>
        <v>0</v>
      </c>
      <c r="F1608" s="442">
        <f>IF(C1608="",0,IFERROR(VLOOKUP(COUNTIF($A$1:A1608,"ANALISIS DE PRECIOS"),T_Rendimiento_Equipo,5,FALSE),0))</f>
        <v>0</v>
      </c>
      <c r="G1608" s="439">
        <f t="shared" si="517"/>
        <v>0</v>
      </c>
    </row>
    <row r="1609" spans="1:7" ht="19.899999999999999" customHeight="1" x14ac:dyDescent="0.2">
      <c r="A1609" s="482">
        <f t="shared" si="512"/>
        <v>0</v>
      </c>
      <c r="B1609" s="445">
        <f t="shared" si="513"/>
        <v>0</v>
      </c>
      <c r="C1609" s="447"/>
      <c r="D1609" s="446">
        <f t="shared" si="514"/>
        <v>0</v>
      </c>
      <c r="E1609" s="439"/>
      <c r="F1609" s="442">
        <f>IF(C1609="",0,IFERROR(VLOOKUP(COUNTIF($A$1:A1609,"ANALISIS DE PRECIOS"),T_Rendimiento_Equipo,5,FALSE),0))</f>
        <v>0</v>
      </c>
      <c r="G1609" s="439">
        <f t="shared" si="517"/>
        <v>0</v>
      </c>
    </row>
    <row r="1610" spans="1:7" ht="19.899999999999999" customHeight="1" x14ac:dyDescent="0.2">
      <c r="A1610" s="482">
        <f t="shared" si="512"/>
        <v>0</v>
      </c>
      <c r="B1610" s="445">
        <f t="shared" si="513"/>
        <v>0</v>
      </c>
      <c r="C1610" s="447"/>
      <c r="D1610" s="446">
        <f t="shared" si="514"/>
        <v>0</v>
      </c>
      <c r="E1610" s="439"/>
      <c r="F1610" s="442">
        <f>IF(C1610="",0,IFERROR(VLOOKUP(COUNTIF($A$1:A1610,"ANALISIS DE PRECIOS"),T_Rendimiento_Equipo,5,FALSE),0))</f>
        <v>0</v>
      </c>
      <c r="G1610" s="439">
        <f t="shared" si="517"/>
        <v>0</v>
      </c>
    </row>
    <row r="1611" spans="1:7" ht="19.899999999999999" customHeight="1" x14ac:dyDescent="0.2">
      <c r="A1611" s="482">
        <f t="shared" si="512"/>
        <v>0</v>
      </c>
      <c r="B1611" s="445">
        <f t="shared" si="513"/>
        <v>0</v>
      </c>
      <c r="C1611" s="447"/>
      <c r="D1611" s="446">
        <f t="shared" si="514"/>
        <v>0</v>
      </c>
      <c r="E1611" s="439"/>
      <c r="F1611" s="442">
        <f>IF(C1611="",0,IFERROR(VLOOKUP(COUNTIF($A$1:A1611,"ANALISIS DE PRECIOS"),T_Rendimiento_Equipo,5,FALSE),0))</f>
        <v>0</v>
      </c>
      <c r="G1611" s="439">
        <f t="shared" si="517"/>
        <v>0</v>
      </c>
    </row>
    <row r="1612" spans="1:7" ht="19.899999999999999" customHeight="1" x14ac:dyDescent="0.2">
      <c r="A1612" s="482">
        <f t="shared" si="512"/>
        <v>0</v>
      </c>
      <c r="B1612" s="445">
        <f t="shared" si="513"/>
        <v>0</v>
      </c>
      <c r="C1612" s="447"/>
      <c r="D1612" s="446">
        <f t="shared" si="514"/>
        <v>0</v>
      </c>
      <c r="E1612" s="439"/>
      <c r="F1612" s="442">
        <f>IF(C1612="",0,IFERROR(VLOOKUP(COUNTIF($A$1:A1612,"ANALISIS DE PRECIOS"),T_Rendimiento_Equipo,5,FALSE),0))</f>
        <v>0</v>
      </c>
      <c r="G1612" s="439">
        <f t="shared" si="517"/>
        <v>0</v>
      </c>
    </row>
    <row r="1613" spans="1:7" ht="19.899999999999999" customHeight="1" x14ac:dyDescent="0.2">
      <c r="A1613" s="482">
        <f t="shared" si="512"/>
        <v>0</v>
      </c>
      <c r="B1613" s="445">
        <f t="shared" si="513"/>
        <v>0</v>
      </c>
      <c r="C1613" s="436"/>
      <c r="D1613" s="446">
        <f t="shared" si="514"/>
        <v>0</v>
      </c>
      <c r="E1613" s="439"/>
      <c r="F1613" s="442">
        <f>IF(C1613="",0,IFERROR(VLOOKUP(COUNTIF($A$1:A1613,"ANALISIS DE PRECIOS"),T_Rendimiento_Equipo,5,FALSE),0))</f>
        <v>0</v>
      </c>
      <c r="G1613" s="439">
        <f t="shared" si="517"/>
        <v>0</v>
      </c>
    </row>
    <row r="1614" spans="1:7" ht="19.899999999999999" customHeight="1" x14ac:dyDescent="0.2">
      <c r="A1614" s="483"/>
      <c r="B1614" s="426"/>
      <c r="C1614" s="139"/>
      <c r="D1614" s="426"/>
      <c r="E1614" s="427"/>
      <c r="F1614" s="448" t="s">
        <v>27</v>
      </c>
      <c r="G1614" s="484">
        <f>SUBTOTAL(9,G1605:G1613)</f>
        <v>0</v>
      </c>
    </row>
    <row r="1615" spans="1:7" ht="19.899999999999999" customHeight="1" x14ac:dyDescent="0.2">
      <c r="A1615" s="480"/>
      <c r="B1615" s="139"/>
      <c r="C1615" s="422" t="s">
        <v>713</v>
      </c>
      <c r="D1615" s="426"/>
      <c r="E1615" s="427"/>
      <c r="F1615" s="428"/>
      <c r="G1615" s="481"/>
    </row>
    <row r="1616" spans="1:7" ht="19.899999999999999" customHeight="1" x14ac:dyDescent="0.2">
      <c r="A1616" s="720" t="s">
        <v>576</v>
      </c>
      <c r="B1616" s="721"/>
      <c r="C1616" s="722" t="s">
        <v>0</v>
      </c>
      <c r="D1616" s="724" t="s">
        <v>24</v>
      </c>
      <c r="E1616" s="724" t="s">
        <v>1964</v>
      </c>
      <c r="F1616" s="726" t="s">
        <v>975</v>
      </c>
      <c r="G1616" s="728" t="s">
        <v>26</v>
      </c>
    </row>
    <row r="1617" spans="1:7" ht="19.899999999999999" customHeight="1" x14ac:dyDescent="0.2">
      <c r="A1617" s="444" t="s">
        <v>577</v>
      </c>
      <c r="B1617" s="444" t="s">
        <v>578</v>
      </c>
      <c r="C1617" s="723"/>
      <c r="D1617" s="725"/>
      <c r="E1617" s="725"/>
      <c r="F1617" s="727"/>
      <c r="G1617" s="729"/>
    </row>
    <row r="1618" spans="1:7" ht="19.899999999999999" customHeight="1" x14ac:dyDescent="0.2">
      <c r="A1618" s="482">
        <f t="shared" ref="A1618:A1624" si="518">IFERROR(VLOOKUP(C1618,T_Insumos,4,FALSE),0)</f>
        <v>0</v>
      </c>
      <c r="B1618" s="445">
        <f t="shared" ref="B1618:B1624" si="519">IFERROR(VLOOKUP(C1618,T_Insumos,5,FALSE),0)</f>
        <v>0</v>
      </c>
      <c r="C1618" s="436">
        <f t="shared" ref="C1618:C1621" si="520">+C1393</f>
        <v>0</v>
      </c>
      <c r="D1618" s="442"/>
      <c r="E1618" s="439">
        <f t="shared" ref="E1618:E1624" si="521">IFERROR(VLOOKUP(C1618,T_Insumos,3,FALSE),0)</f>
        <v>0</v>
      </c>
      <c r="F1618" s="442">
        <f>IF(C1618="",0,IFERROR(VLOOKUP(COUNTIF($A$1:A1618,"ANALISIS DE PRECIOS"),T_Rendimiento_Equipo,5,FALSE),0))</f>
        <v>0</v>
      </c>
      <c r="G1618" s="439">
        <f>IFERROR(ROUND(D1618*E1618/F1618,2),0)</f>
        <v>0</v>
      </c>
    </row>
    <row r="1619" spans="1:7" ht="19.899999999999999" customHeight="1" x14ac:dyDescent="0.2">
      <c r="A1619" s="482">
        <f t="shared" si="518"/>
        <v>0</v>
      </c>
      <c r="B1619" s="445">
        <f t="shared" si="519"/>
        <v>0</v>
      </c>
      <c r="C1619" s="436">
        <f t="shared" si="520"/>
        <v>0</v>
      </c>
      <c r="D1619" s="442">
        <v>1</v>
      </c>
      <c r="E1619" s="439">
        <f t="shared" si="521"/>
        <v>0</v>
      </c>
      <c r="F1619" s="442">
        <f>IF(C1619="",0,IFERROR(VLOOKUP(COUNTIF($A$1:A1619,"ANALISIS DE PRECIOS"),T_Rendimiento_Equipo,5,FALSE),0))</f>
        <v>0</v>
      </c>
      <c r="G1619" s="439">
        <f>IFERROR(ROUND(D1619*E1619/F1619,2),0)</f>
        <v>0</v>
      </c>
    </row>
    <row r="1620" spans="1:7" ht="19.899999999999999" customHeight="1" x14ac:dyDescent="0.2">
      <c r="A1620" s="482">
        <f t="shared" si="518"/>
        <v>0</v>
      </c>
      <c r="B1620" s="445">
        <f t="shared" si="519"/>
        <v>0</v>
      </c>
      <c r="C1620" s="436">
        <f t="shared" si="520"/>
        <v>0</v>
      </c>
      <c r="D1620" s="442"/>
      <c r="E1620" s="439">
        <f t="shared" si="521"/>
        <v>0</v>
      </c>
      <c r="F1620" s="442">
        <f>IF(C1620="",0,IFERROR(VLOOKUP(COUNTIF($A$1:A1620,"ANALISIS DE PRECIOS"),T_Rendimiento_Equipo,5,FALSE),0))</f>
        <v>0</v>
      </c>
      <c r="G1620" s="439">
        <f t="shared" ref="G1620:G1624" si="522">IFERROR(ROUND(D1620*E1620/F1620,2),0)</f>
        <v>0</v>
      </c>
    </row>
    <row r="1621" spans="1:7" ht="19.899999999999999" customHeight="1" x14ac:dyDescent="0.2">
      <c r="A1621" s="482">
        <f t="shared" si="518"/>
        <v>0</v>
      </c>
      <c r="B1621" s="445">
        <f t="shared" si="519"/>
        <v>0</v>
      </c>
      <c r="C1621" s="436">
        <f t="shared" si="520"/>
        <v>0</v>
      </c>
      <c r="D1621" s="442">
        <v>2</v>
      </c>
      <c r="E1621" s="439">
        <f t="shared" si="521"/>
        <v>0</v>
      </c>
      <c r="F1621" s="442">
        <f>IF(C1621="",0,IFERROR(VLOOKUP(COUNTIF($A$1:A1621,"ANALISIS DE PRECIOS"),T_Rendimiento_Equipo,5,FALSE),0))</f>
        <v>0</v>
      </c>
      <c r="G1621" s="439">
        <f t="shared" si="522"/>
        <v>0</v>
      </c>
    </row>
    <row r="1622" spans="1:7" ht="19.899999999999999" customHeight="1" x14ac:dyDescent="0.2">
      <c r="A1622" s="482">
        <f t="shared" si="518"/>
        <v>0</v>
      </c>
      <c r="B1622" s="445">
        <f t="shared" si="519"/>
        <v>0</v>
      </c>
      <c r="C1622" s="436"/>
      <c r="D1622" s="442"/>
      <c r="E1622" s="439">
        <f t="shared" si="521"/>
        <v>0</v>
      </c>
      <c r="F1622" s="442">
        <f>IF(C1622="",0,IFERROR(VLOOKUP(COUNTIF($A$1:A1622,"ANALISIS DE PRECIOS"),T_Rendimiento_Equipo,5,FALSE),0))</f>
        <v>0</v>
      </c>
      <c r="G1622" s="439">
        <f t="shared" si="522"/>
        <v>0</v>
      </c>
    </row>
    <row r="1623" spans="1:7" ht="19.899999999999999" customHeight="1" x14ac:dyDescent="0.2">
      <c r="A1623" s="482">
        <f t="shared" si="518"/>
        <v>0</v>
      </c>
      <c r="B1623" s="445">
        <f t="shared" si="519"/>
        <v>0</v>
      </c>
      <c r="C1623" s="436"/>
      <c r="D1623" s="450"/>
      <c r="E1623" s="439">
        <f t="shared" si="521"/>
        <v>0</v>
      </c>
      <c r="F1623" s="442">
        <f>IF(C1623="",0,IFERROR(VLOOKUP(COUNTIF($A$1:A1623,"ANALISIS DE PRECIOS"),T_Rendimiento_Equipo,5,FALSE),0))</f>
        <v>0</v>
      </c>
      <c r="G1623" s="439">
        <f t="shared" si="522"/>
        <v>0</v>
      </c>
    </row>
    <row r="1624" spans="1:7" ht="19.899999999999999" customHeight="1" x14ac:dyDescent="0.2">
      <c r="A1624" s="482">
        <f t="shared" si="518"/>
        <v>0</v>
      </c>
      <c r="B1624" s="445">
        <f t="shared" si="519"/>
        <v>0</v>
      </c>
      <c r="C1624" s="445"/>
      <c r="D1624" s="451"/>
      <c r="E1624" s="439">
        <f t="shared" si="521"/>
        <v>0</v>
      </c>
      <c r="F1624" s="442">
        <f>IF(C1624="",0,IFERROR(VLOOKUP(COUNTIF($A$1:A1624,"ANALISIS DE PRECIOS"),T_Rendimiento_Equipo,5,FALSE),0))</f>
        <v>0</v>
      </c>
      <c r="G1624" s="439">
        <f t="shared" si="522"/>
        <v>0</v>
      </c>
    </row>
    <row r="1625" spans="1:7" ht="19.899999999999999" customHeight="1" x14ac:dyDescent="0.2">
      <c r="A1625" s="483"/>
      <c r="B1625" s="426"/>
      <c r="C1625" s="139"/>
      <c r="D1625" s="426"/>
      <c r="E1625" s="427"/>
      <c r="F1625" s="448" t="s">
        <v>28</v>
      </c>
      <c r="G1625" s="485">
        <f>SUBTOTAL(9,G1618:G1624)</f>
        <v>0</v>
      </c>
    </row>
    <row r="1626" spans="1:7" ht="19.899999999999999" customHeight="1" x14ac:dyDescent="0.2">
      <c r="A1626" s="480"/>
      <c r="B1626" s="139"/>
      <c r="C1626" s="422" t="s">
        <v>982</v>
      </c>
      <c r="D1626" s="426"/>
      <c r="E1626" s="427"/>
      <c r="F1626" s="428"/>
      <c r="G1626" s="481"/>
    </row>
    <row r="1627" spans="1:7" ht="19.899999999999999" customHeight="1" x14ac:dyDescent="0.2">
      <c r="A1627" s="720" t="s">
        <v>576</v>
      </c>
      <c r="B1627" s="721"/>
      <c r="C1627" s="722" t="s">
        <v>0</v>
      </c>
      <c r="D1627" s="722" t="s">
        <v>1725</v>
      </c>
      <c r="E1627" s="724" t="s">
        <v>24</v>
      </c>
      <c r="F1627" s="726" t="s">
        <v>25</v>
      </c>
      <c r="G1627" s="728" t="s">
        <v>26</v>
      </c>
    </row>
    <row r="1628" spans="1:7" ht="19.899999999999999" customHeight="1" x14ac:dyDescent="0.2">
      <c r="A1628" s="444" t="s">
        <v>577</v>
      </c>
      <c r="B1628" s="444" t="s">
        <v>578</v>
      </c>
      <c r="C1628" s="723"/>
      <c r="D1628" s="723"/>
      <c r="E1628" s="725"/>
      <c r="F1628" s="727"/>
      <c r="G1628" s="729"/>
    </row>
    <row r="1629" spans="1:7" ht="19.899999999999999" customHeight="1" x14ac:dyDescent="0.2">
      <c r="A1629" s="482">
        <f t="shared" ref="A1629:A1639" si="523">IFERROR(VLOOKUP(C1629,T_Insumos,4,FALSE),0)</f>
        <v>0</v>
      </c>
      <c r="B1629" s="445">
        <f t="shared" ref="B1629:B1639" si="524">IFERROR(VLOOKUP(C1629,T_Insumos,5,FALSE),0)</f>
        <v>0</v>
      </c>
      <c r="C1629" s="436">
        <f t="shared" ref="C1629:C1639" si="525">+C1404</f>
        <v>0</v>
      </c>
      <c r="D1629" s="493">
        <f t="shared" ref="D1629:D1639" si="526">IFERROR(VLOOKUP(C1629,T_Insumos,2,FALSE),0)</f>
        <v>0</v>
      </c>
      <c r="E1629" s="437"/>
      <c r="F1629" s="439">
        <f t="shared" ref="F1629:F1639" si="527">IFERROR(VLOOKUP(C1629,T_Insumos,3,FALSE),0)</f>
        <v>0</v>
      </c>
      <c r="G1629" s="439">
        <f>ROUND(E1629*F1629,2)</f>
        <v>0</v>
      </c>
    </row>
    <row r="1630" spans="1:7" ht="19.899999999999999" customHeight="1" x14ac:dyDescent="0.2">
      <c r="A1630" s="482">
        <f t="shared" si="523"/>
        <v>0</v>
      </c>
      <c r="B1630" s="445">
        <f t="shared" si="524"/>
        <v>0</v>
      </c>
      <c r="C1630" s="436">
        <f t="shared" si="525"/>
        <v>0</v>
      </c>
      <c r="D1630" s="493">
        <f t="shared" si="526"/>
        <v>0</v>
      </c>
      <c r="E1630" s="437"/>
      <c r="F1630" s="439">
        <f t="shared" si="527"/>
        <v>0</v>
      </c>
      <c r="G1630" s="439">
        <f t="shared" ref="G1630:G1639" si="528">ROUND(E1630*F1630,2)</f>
        <v>0</v>
      </c>
    </row>
    <row r="1631" spans="1:7" ht="19.899999999999999" customHeight="1" x14ac:dyDescent="0.2">
      <c r="A1631" s="482">
        <f t="shared" si="523"/>
        <v>0</v>
      </c>
      <c r="B1631" s="445">
        <f t="shared" si="524"/>
        <v>0</v>
      </c>
      <c r="C1631" s="436">
        <f t="shared" si="525"/>
        <v>0</v>
      </c>
      <c r="D1631" s="493">
        <f t="shared" si="526"/>
        <v>0</v>
      </c>
      <c r="E1631" s="437"/>
      <c r="F1631" s="439">
        <f t="shared" si="527"/>
        <v>0</v>
      </c>
      <c r="G1631" s="439">
        <f t="shared" si="528"/>
        <v>0</v>
      </c>
    </row>
    <row r="1632" spans="1:7" ht="19.899999999999999" customHeight="1" x14ac:dyDescent="0.2">
      <c r="A1632" s="482">
        <f t="shared" si="523"/>
        <v>0</v>
      </c>
      <c r="B1632" s="445">
        <f t="shared" si="524"/>
        <v>0</v>
      </c>
      <c r="C1632" s="436">
        <f t="shared" si="525"/>
        <v>0</v>
      </c>
      <c r="D1632" s="493">
        <f t="shared" si="526"/>
        <v>0</v>
      </c>
      <c r="E1632" s="437"/>
      <c r="F1632" s="439">
        <f t="shared" si="527"/>
        <v>0</v>
      </c>
      <c r="G1632" s="439">
        <f t="shared" si="528"/>
        <v>0</v>
      </c>
    </row>
    <row r="1633" spans="1:7" ht="19.899999999999999" customHeight="1" x14ac:dyDescent="0.2">
      <c r="A1633" s="482">
        <f t="shared" si="523"/>
        <v>0</v>
      </c>
      <c r="B1633" s="445">
        <f t="shared" si="524"/>
        <v>0</v>
      </c>
      <c r="C1633" s="436">
        <f t="shared" si="525"/>
        <v>0</v>
      </c>
      <c r="D1633" s="493">
        <f t="shared" si="526"/>
        <v>0</v>
      </c>
      <c r="E1633" s="437"/>
      <c r="F1633" s="439">
        <f t="shared" si="527"/>
        <v>0</v>
      </c>
      <c r="G1633" s="439">
        <f t="shared" si="528"/>
        <v>0</v>
      </c>
    </row>
    <row r="1634" spans="1:7" ht="19.899999999999999" customHeight="1" x14ac:dyDescent="0.2">
      <c r="A1634" s="482">
        <f t="shared" si="523"/>
        <v>0</v>
      </c>
      <c r="B1634" s="445">
        <f t="shared" si="524"/>
        <v>0</v>
      </c>
      <c r="C1634" s="436">
        <f t="shared" si="525"/>
        <v>0</v>
      </c>
      <c r="D1634" s="493">
        <f t="shared" si="526"/>
        <v>0</v>
      </c>
      <c r="E1634" s="437"/>
      <c r="F1634" s="439">
        <f t="shared" si="527"/>
        <v>0</v>
      </c>
      <c r="G1634" s="439">
        <f t="shared" si="528"/>
        <v>0</v>
      </c>
    </row>
    <row r="1635" spans="1:7" ht="19.899999999999999" customHeight="1" x14ac:dyDescent="0.2">
      <c r="A1635" s="482">
        <f t="shared" si="523"/>
        <v>0</v>
      </c>
      <c r="B1635" s="445">
        <f t="shared" si="524"/>
        <v>0</v>
      </c>
      <c r="C1635" s="436">
        <f t="shared" si="525"/>
        <v>0</v>
      </c>
      <c r="D1635" s="493">
        <f t="shared" si="526"/>
        <v>0</v>
      </c>
      <c r="E1635" s="437"/>
      <c r="F1635" s="439">
        <f t="shared" si="527"/>
        <v>0</v>
      </c>
      <c r="G1635" s="439">
        <f t="shared" si="528"/>
        <v>0</v>
      </c>
    </row>
    <row r="1636" spans="1:7" ht="19.899999999999999" customHeight="1" x14ac:dyDescent="0.2">
      <c r="A1636" s="482">
        <f t="shared" si="523"/>
        <v>0</v>
      </c>
      <c r="B1636" s="445">
        <f t="shared" si="524"/>
        <v>0</v>
      </c>
      <c r="C1636" s="436">
        <f t="shared" si="525"/>
        <v>0</v>
      </c>
      <c r="D1636" s="493">
        <f t="shared" si="526"/>
        <v>0</v>
      </c>
      <c r="E1636" s="437"/>
      <c r="F1636" s="439">
        <f t="shared" si="527"/>
        <v>0</v>
      </c>
      <c r="G1636" s="439">
        <f t="shared" si="528"/>
        <v>0</v>
      </c>
    </row>
    <row r="1637" spans="1:7" ht="19.899999999999999" customHeight="1" x14ac:dyDescent="0.2">
      <c r="A1637" s="482">
        <f t="shared" si="523"/>
        <v>0</v>
      </c>
      <c r="B1637" s="445">
        <f t="shared" si="524"/>
        <v>0</v>
      </c>
      <c r="C1637" s="436">
        <f t="shared" si="525"/>
        <v>0</v>
      </c>
      <c r="D1637" s="493">
        <f t="shared" si="526"/>
        <v>0</v>
      </c>
      <c r="E1637" s="437"/>
      <c r="F1637" s="439">
        <f t="shared" si="527"/>
        <v>0</v>
      </c>
      <c r="G1637" s="439">
        <f t="shared" si="528"/>
        <v>0</v>
      </c>
    </row>
    <row r="1638" spans="1:7" ht="19.899999999999999" customHeight="1" x14ac:dyDescent="0.2">
      <c r="A1638" s="482">
        <f t="shared" si="523"/>
        <v>0</v>
      </c>
      <c r="B1638" s="445">
        <f t="shared" si="524"/>
        <v>0</v>
      </c>
      <c r="C1638" s="436">
        <f t="shared" si="525"/>
        <v>0</v>
      </c>
      <c r="D1638" s="493">
        <f t="shared" si="526"/>
        <v>0</v>
      </c>
      <c r="E1638" s="437"/>
      <c r="F1638" s="439">
        <f t="shared" si="527"/>
        <v>0</v>
      </c>
      <c r="G1638" s="439">
        <f t="shared" si="528"/>
        <v>0</v>
      </c>
    </row>
    <row r="1639" spans="1:7" ht="19.899999999999999" customHeight="1" x14ac:dyDescent="0.2">
      <c r="A1639" s="482">
        <f t="shared" si="523"/>
        <v>0</v>
      </c>
      <c r="B1639" s="445">
        <f t="shared" si="524"/>
        <v>0</v>
      </c>
      <c r="C1639" s="436">
        <f t="shared" si="525"/>
        <v>0</v>
      </c>
      <c r="D1639" s="493">
        <f t="shared" si="526"/>
        <v>0</v>
      </c>
      <c r="E1639" s="437"/>
      <c r="F1639" s="439">
        <f t="shared" si="527"/>
        <v>0</v>
      </c>
      <c r="G1639" s="439">
        <f t="shared" si="528"/>
        <v>0</v>
      </c>
    </row>
    <row r="1640" spans="1:7" ht="19.899999999999999" customHeight="1" x14ac:dyDescent="0.2">
      <c r="A1640" s="480"/>
      <c r="B1640" s="139"/>
      <c r="C1640" s="139"/>
      <c r="D1640" s="426"/>
      <c r="E1640" s="427"/>
      <c r="F1640" s="448" t="s">
        <v>29</v>
      </c>
      <c r="G1640" s="485">
        <f>SUBTOTAL(9,G1629:G1639)</f>
        <v>0</v>
      </c>
    </row>
    <row r="1641" spans="1:7" ht="19.899999999999999" customHeight="1" x14ac:dyDescent="0.2">
      <c r="A1641" s="480"/>
      <c r="B1641" s="139"/>
      <c r="C1641" s="422" t="s">
        <v>983</v>
      </c>
      <c r="D1641" s="426"/>
      <c r="E1641" s="427"/>
      <c r="F1641" s="428"/>
      <c r="G1641" s="481"/>
    </row>
    <row r="1642" spans="1:7" ht="19.899999999999999" customHeight="1" x14ac:dyDescent="0.2">
      <c r="A1642" s="720" t="s">
        <v>576</v>
      </c>
      <c r="B1642" s="721"/>
      <c r="C1642" s="722" t="s">
        <v>0</v>
      </c>
      <c r="D1642" s="722" t="s">
        <v>1725</v>
      </c>
      <c r="E1642" s="724" t="s">
        <v>24</v>
      </c>
      <c r="F1642" s="726" t="s">
        <v>25</v>
      </c>
      <c r="G1642" s="728" t="s">
        <v>26</v>
      </c>
    </row>
    <row r="1643" spans="1:7" ht="19.899999999999999" customHeight="1" x14ac:dyDescent="0.2">
      <c r="A1643" s="444" t="s">
        <v>577</v>
      </c>
      <c r="B1643" s="444" t="s">
        <v>578</v>
      </c>
      <c r="C1643" s="723"/>
      <c r="D1643" s="723"/>
      <c r="E1643" s="725"/>
      <c r="F1643" s="727"/>
      <c r="G1643" s="729"/>
    </row>
    <row r="1644" spans="1:7" ht="19.899999999999999" customHeight="1" x14ac:dyDescent="0.2">
      <c r="A1644" s="482">
        <f>IFERROR(VLOOKUP(C1644,T_Insumos,4,FALSE),0)</f>
        <v>0</v>
      </c>
      <c r="B1644" s="445">
        <f>IFERROR(VLOOKUP(C1644,T_Insumos,5,FALSE),0)</f>
        <v>0</v>
      </c>
      <c r="C1644" s="436"/>
      <c r="D1644" s="493">
        <f>IF(C1644=0,0,"$/tnkm")</f>
        <v>0</v>
      </c>
      <c r="E1644" s="437"/>
      <c r="F1644" s="439">
        <f>IFERROR(VLOOKUP(C1644,T_Insumos,3,FALSE),0)</f>
        <v>0</v>
      </c>
      <c r="G1644" s="439">
        <f>ROUND(E1644*F1644,2)</f>
        <v>0</v>
      </c>
    </row>
    <row r="1645" spans="1:7" ht="19.899999999999999" customHeight="1" x14ac:dyDescent="0.2">
      <c r="A1645" s="482">
        <f>IFERROR(VLOOKUP(C1645,T_Insumos,4,FALSE),0)</f>
        <v>0</v>
      </c>
      <c r="B1645" s="445">
        <f>IFERROR(VLOOKUP(C1645,T_Insumos,5,FALSE),0)</f>
        <v>0</v>
      </c>
      <c r="C1645" s="436"/>
      <c r="D1645" s="493">
        <f>IF(C1645=0,0,"$/tnkm")</f>
        <v>0</v>
      </c>
      <c r="E1645" s="453"/>
      <c r="F1645" s="439">
        <f>IFERROR(VLOOKUP(C1645,T_Insumos,3,FALSE),0)</f>
        <v>0</v>
      </c>
      <c r="G1645" s="439">
        <f t="shared" ref="G1645" si="529">ROUND(E1645*F1645,2)</f>
        <v>0</v>
      </c>
    </row>
    <row r="1646" spans="1:7" ht="19.899999999999999" customHeight="1" x14ac:dyDescent="0.2">
      <c r="A1646" s="480"/>
      <c r="B1646" s="139"/>
      <c r="C1646" s="139"/>
      <c r="D1646" s="426"/>
      <c r="E1646" s="427"/>
      <c r="F1646" s="448" t="s">
        <v>984</v>
      </c>
      <c r="G1646" s="485">
        <f>SUBTOTAL(9,G1644:G1645)</f>
        <v>0</v>
      </c>
    </row>
    <row r="1647" spans="1:7" ht="19.899999999999999" customHeight="1" x14ac:dyDescent="0.2">
      <c r="A1647" s="483"/>
      <c r="B1647" s="426"/>
      <c r="C1647" s="139"/>
      <c r="D1647" s="426"/>
      <c r="E1647" s="427"/>
      <c r="F1647" s="428"/>
      <c r="G1647" s="481"/>
    </row>
    <row r="1648" spans="1:7" ht="19.899999999999999" customHeight="1" x14ac:dyDescent="0.2">
      <c r="A1648" s="541" t="str">
        <f>B1582</f>
        <v>4.2</v>
      </c>
      <c r="B1648" s="538" t="str">
        <f ca="1">C1582</f>
        <v xml:space="preserve">Equipo de computación PC Core I7 10400 16gb RAM 240 Ssd + 2TR HD, con Monitor 24 W10 LISTA PARA USAR CON ANTIVIRUS con teclado y mouse inalámbrico. </v>
      </c>
      <c r="C1648" s="426"/>
      <c r="D1648" s="426" t="s">
        <v>1704</v>
      </c>
      <c r="E1648" s="539"/>
      <c r="F1648" s="540" t="str">
        <f ca="1">"$/"&amp;G1582</f>
        <v>$/UN.</v>
      </c>
      <c r="G1648" s="490">
        <f>SUBTOTAL(9,G1605:G1647)</f>
        <v>0</v>
      </c>
    </row>
    <row r="1649" spans="1:7" ht="19.899999999999999" customHeight="1" x14ac:dyDescent="0.2">
      <c r="A1649" s="486"/>
      <c r="B1649" s="487"/>
      <c r="C1649" s="488"/>
      <c r="D1649" s="488" t="s">
        <v>1900</v>
      </c>
      <c r="E1649" s="489"/>
      <c r="F1649" s="542" t="str">
        <f ca="1">"$/"&amp;G1582</f>
        <v>$/UN.</v>
      </c>
      <c r="G1649" s="490">
        <f>ROUND(G1648*Coeficiente_Paso,2)</f>
        <v>0</v>
      </c>
    </row>
    <row r="1650" spans="1:7" ht="19.899999999999999" customHeight="1" x14ac:dyDescent="0.2">
      <c r="A1650" s="139"/>
      <c r="B1650" s="139"/>
      <c r="C1650" s="139"/>
      <c r="D1650" s="139"/>
      <c r="E1650" s="139"/>
      <c r="F1650" s="139"/>
      <c r="G1650" s="139"/>
    </row>
    <row r="1651" spans="1:7" ht="19.899999999999999" customHeight="1" x14ac:dyDescent="0.2">
      <c r="A1651" s="730" t="s">
        <v>31</v>
      </c>
      <c r="B1651" s="731"/>
      <c r="C1651" s="731"/>
      <c r="D1651" s="731"/>
      <c r="E1651" s="731"/>
      <c r="F1651" s="731"/>
      <c r="G1651" s="732"/>
    </row>
    <row r="1652" spans="1:7" ht="19.899999999999999" customHeight="1" x14ac:dyDescent="0.2">
      <c r="A1652" s="469" t="s">
        <v>711</v>
      </c>
      <c r="B1652" s="420" t="str">
        <f>Comitente</f>
        <v>DEPARTAMENTO DE HIDRAULICA</v>
      </c>
      <c r="C1652" s="421"/>
      <c r="D1652" s="422"/>
      <c r="E1652" s="422"/>
      <c r="F1652" s="423"/>
      <c r="G1652" s="470"/>
    </row>
    <row r="1653" spans="1:7" ht="19.899999999999999" customHeight="1" x14ac:dyDescent="0.2">
      <c r="A1653" s="469" t="s">
        <v>712</v>
      </c>
      <c r="B1653" s="420">
        <f>Contratista</f>
        <v>0</v>
      </c>
      <c r="C1653" s="424"/>
      <c r="D1653" s="424"/>
      <c r="E1653" s="424"/>
      <c r="F1653" s="420"/>
      <c r="G1653" s="471"/>
    </row>
    <row r="1654" spans="1:7" ht="19.899999999999999" customHeight="1" x14ac:dyDescent="0.2">
      <c r="A1654" s="469" t="s">
        <v>21</v>
      </c>
      <c r="B1654" s="420" t="str">
        <f>Obra</f>
        <v>Encamisado Parcial del Canal de Calle América</v>
      </c>
      <c r="C1654" s="424"/>
      <c r="D1654" s="424"/>
      <c r="E1654" s="424"/>
      <c r="F1654" s="420" t="s">
        <v>32</v>
      </c>
      <c r="G1654" s="471" t="str">
        <f>Fecha_Base</f>
        <v>X/X/2023</v>
      </c>
    </row>
    <row r="1655" spans="1:7" ht="19.899999999999999" customHeight="1" x14ac:dyDescent="0.2">
      <c r="A1655" s="472" t="s">
        <v>710</v>
      </c>
      <c r="B1655" s="425" t="str">
        <f>Ubicación</f>
        <v>Departamento Rawson</v>
      </c>
      <c r="C1655" s="425"/>
      <c r="D1655" s="426"/>
      <c r="E1655" s="427"/>
      <c r="F1655" s="428"/>
      <c r="G1655" s="473"/>
    </row>
    <row r="1656" spans="1:7" ht="19.899999999999999" customHeight="1" x14ac:dyDescent="0.2">
      <c r="A1656" s="472" t="s">
        <v>33</v>
      </c>
      <c r="B1656" s="429">
        <f>IFERROR(VALUE(LEFT(B1657,FIND(".",B1657)-1)),"")</f>
        <v>4</v>
      </c>
      <c r="C1656" s="139" t="str">
        <f ca="1">IFERROR(VLOOKUP(B1656,T_Computo_Presupuesto,2,FALSE),0)</f>
        <v>FORTALECIMIENTO INSTITUCIONAL</v>
      </c>
      <c r="D1656" s="139"/>
      <c r="E1656" s="427"/>
      <c r="F1656" s="428"/>
      <c r="G1656" s="473"/>
    </row>
    <row r="1657" spans="1:7" ht="19.899999999999999" customHeight="1" x14ac:dyDescent="0.2">
      <c r="A1657" s="472" t="s">
        <v>22</v>
      </c>
      <c r="B1657" s="430" t="str">
        <f>IFERROR(VLOOKUP(COUNTIF($A$1:A1657,"ANALISIS DE PRECIOS"),T_NumeroItem,2,FALSE),"")</f>
        <v>4.3</v>
      </c>
      <c r="C1657" s="733" t="str">
        <f ca="1">IFERROR(VLOOKUP(B1657,T_Computo_Presupuesto,2,FALSE),0)</f>
        <v>Dron</v>
      </c>
      <c r="D1657" s="733"/>
      <c r="E1657" s="733"/>
      <c r="F1657" s="425" t="s">
        <v>23</v>
      </c>
      <c r="G1657" s="474" t="str">
        <f ca="1">IFERROR(VLOOKUP(B1657,T_Computo_Presupuesto,4,FALSE),0)</f>
        <v>UN.</v>
      </c>
    </row>
    <row r="1658" spans="1:7" ht="19.899999999999999" customHeight="1" x14ac:dyDescent="0.2">
      <c r="A1658" s="472"/>
      <c r="B1658" s="425"/>
      <c r="C1658" s="139"/>
      <c r="D1658" s="426"/>
      <c r="E1658" s="427"/>
      <c r="F1658" s="139"/>
      <c r="G1658" s="475"/>
    </row>
    <row r="1659" spans="1:7" ht="19.899999999999999" customHeight="1" x14ac:dyDescent="0.2">
      <c r="A1659" s="476"/>
      <c r="B1659" s="431"/>
      <c r="C1659" s="432" t="s">
        <v>967</v>
      </c>
      <c r="D1659" s="431"/>
      <c r="E1659" s="431"/>
      <c r="F1659" s="431"/>
      <c r="G1659" s="477"/>
    </row>
    <row r="1660" spans="1:7" ht="19.899999999999999" customHeight="1" x14ac:dyDescent="0.2">
      <c r="A1660" s="472"/>
      <c r="B1660" s="433"/>
      <c r="C1660" s="139"/>
      <c r="D1660" s="426"/>
      <c r="E1660" s="427"/>
      <c r="F1660" s="425"/>
      <c r="G1660" s="474"/>
    </row>
    <row r="1661" spans="1:7" ht="19.899999999999999" customHeight="1" x14ac:dyDescent="0.2">
      <c r="A1661" s="472"/>
      <c r="B1661" s="433"/>
      <c r="C1661" s="434" t="s">
        <v>968</v>
      </c>
      <c r="D1661" s="435" t="s">
        <v>24</v>
      </c>
      <c r="E1661" s="435" t="s">
        <v>969</v>
      </c>
      <c r="F1661" s="435" t="s">
        <v>970</v>
      </c>
      <c r="G1661" s="434" t="s">
        <v>971</v>
      </c>
    </row>
    <row r="1662" spans="1:7" ht="19.899999999999999" customHeight="1" x14ac:dyDescent="0.2">
      <c r="A1662" s="472"/>
      <c r="B1662" s="433"/>
      <c r="C1662" s="436">
        <f>+C1437</f>
        <v>0</v>
      </c>
      <c r="D1662" s="436">
        <f>+D1437</f>
        <v>0</v>
      </c>
      <c r="E1662" s="438">
        <f t="shared" ref="E1662:E1671" si="530">IFERROR(VLOOKUP(C1662,T_Equipos,4,FALSE),0)</f>
        <v>0</v>
      </c>
      <c r="F1662" s="439">
        <f t="shared" ref="F1662:F1671" si="531">IFERROR(VLOOKUP(C1662,T_Equipos,5,FALSE),0)</f>
        <v>0</v>
      </c>
      <c r="G1662" s="439">
        <f>ROUND(D1662*F1662,2)</f>
        <v>0</v>
      </c>
    </row>
    <row r="1663" spans="1:7" ht="19.899999999999999" customHeight="1" x14ac:dyDescent="0.2">
      <c r="A1663" s="472"/>
      <c r="B1663" s="433"/>
      <c r="C1663" s="436">
        <f t="shared" ref="C1663:D1663" si="532">+C1438</f>
        <v>0</v>
      </c>
      <c r="D1663" s="436">
        <f t="shared" si="532"/>
        <v>0</v>
      </c>
      <c r="E1663" s="438">
        <f t="shared" si="530"/>
        <v>0</v>
      </c>
      <c r="F1663" s="439">
        <f t="shared" si="531"/>
        <v>0</v>
      </c>
      <c r="G1663" s="439">
        <f>ROUND(D1663*F1663,2)</f>
        <v>0</v>
      </c>
    </row>
    <row r="1664" spans="1:7" ht="19.899999999999999" customHeight="1" x14ac:dyDescent="0.2">
      <c r="A1664" s="472"/>
      <c r="B1664" s="433"/>
      <c r="C1664" s="436">
        <f t="shared" ref="C1664" si="533">+C1439</f>
        <v>0</v>
      </c>
      <c r="D1664" s="436"/>
      <c r="E1664" s="438">
        <f t="shared" si="530"/>
        <v>0</v>
      </c>
      <c r="F1664" s="439">
        <f t="shared" si="531"/>
        <v>0</v>
      </c>
      <c r="G1664" s="439">
        <f>ROUND(D1664*F1664,2)</f>
        <v>0</v>
      </c>
    </row>
    <row r="1665" spans="1:7" ht="19.899999999999999" customHeight="1" x14ac:dyDescent="0.2">
      <c r="A1665" s="472"/>
      <c r="B1665" s="433"/>
      <c r="C1665" s="436">
        <f t="shared" ref="C1665" si="534">+C1440</f>
        <v>0</v>
      </c>
      <c r="D1665" s="436"/>
      <c r="E1665" s="438">
        <f t="shared" si="530"/>
        <v>0</v>
      </c>
      <c r="F1665" s="439">
        <f t="shared" si="531"/>
        <v>0</v>
      </c>
      <c r="G1665" s="439">
        <f>ROUND(D1665*F1665,2)</f>
        <v>0</v>
      </c>
    </row>
    <row r="1666" spans="1:7" ht="19.899999999999999" customHeight="1" x14ac:dyDescent="0.2">
      <c r="A1666" s="472"/>
      <c r="B1666" s="433"/>
      <c r="C1666" s="436">
        <f t="shared" ref="C1666" si="535">+C1441</f>
        <v>0</v>
      </c>
      <c r="D1666" s="436"/>
      <c r="E1666" s="438">
        <f t="shared" si="530"/>
        <v>0</v>
      </c>
      <c r="F1666" s="439">
        <f t="shared" si="531"/>
        <v>0</v>
      </c>
      <c r="G1666" s="439">
        <f t="shared" ref="G1666:G1671" si="536">ROUND(D1666*F1666,2)</f>
        <v>0</v>
      </c>
    </row>
    <row r="1667" spans="1:7" ht="19.899999999999999" customHeight="1" x14ac:dyDescent="0.2">
      <c r="A1667" s="472"/>
      <c r="B1667" s="433"/>
      <c r="C1667" s="436">
        <f t="shared" ref="C1667" si="537">+C1442</f>
        <v>0</v>
      </c>
      <c r="D1667" s="436"/>
      <c r="E1667" s="438">
        <f t="shared" si="530"/>
        <v>0</v>
      </c>
      <c r="F1667" s="439">
        <f t="shared" si="531"/>
        <v>0</v>
      </c>
      <c r="G1667" s="439">
        <f t="shared" si="536"/>
        <v>0</v>
      </c>
    </row>
    <row r="1668" spans="1:7" ht="19.899999999999999" customHeight="1" x14ac:dyDescent="0.2">
      <c r="A1668" s="472"/>
      <c r="B1668" s="433"/>
      <c r="C1668" s="436">
        <f t="shared" ref="C1668:D1668" si="538">+C1443</f>
        <v>0</v>
      </c>
      <c r="D1668" s="436">
        <f t="shared" si="538"/>
        <v>0</v>
      </c>
      <c r="E1668" s="438">
        <f t="shared" si="530"/>
        <v>0</v>
      </c>
      <c r="F1668" s="439">
        <f t="shared" si="531"/>
        <v>0</v>
      </c>
      <c r="G1668" s="439">
        <f t="shared" si="536"/>
        <v>0</v>
      </c>
    </row>
    <row r="1669" spans="1:7" ht="19.899999999999999" customHeight="1" x14ac:dyDescent="0.2">
      <c r="A1669" s="472"/>
      <c r="B1669" s="433"/>
      <c r="C1669" s="436">
        <f t="shared" ref="C1669:D1669" si="539">+C1444</f>
        <v>0</v>
      </c>
      <c r="D1669" s="436">
        <f t="shared" si="539"/>
        <v>0</v>
      </c>
      <c r="E1669" s="438">
        <f t="shared" si="530"/>
        <v>0</v>
      </c>
      <c r="F1669" s="439">
        <f t="shared" si="531"/>
        <v>0</v>
      </c>
      <c r="G1669" s="439">
        <f t="shared" si="536"/>
        <v>0</v>
      </c>
    </row>
    <row r="1670" spans="1:7" ht="19.899999999999999" customHeight="1" x14ac:dyDescent="0.2">
      <c r="A1670" s="472"/>
      <c r="B1670" s="433"/>
      <c r="C1670" s="436"/>
      <c r="D1670" s="437"/>
      <c r="E1670" s="438">
        <f t="shared" si="530"/>
        <v>0</v>
      </c>
      <c r="F1670" s="439">
        <f t="shared" si="531"/>
        <v>0</v>
      </c>
      <c r="G1670" s="439">
        <f t="shared" si="536"/>
        <v>0</v>
      </c>
    </row>
    <row r="1671" spans="1:7" ht="19.899999999999999" customHeight="1" x14ac:dyDescent="0.2">
      <c r="A1671" s="472"/>
      <c r="B1671" s="433"/>
      <c r="C1671" s="436"/>
      <c r="D1671" s="437"/>
      <c r="E1671" s="438">
        <f t="shared" si="530"/>
        <v>0</v>
      </c>
      <c r="F1671" s="439">
        <f t="shared" si="531"/>
        <v>0</v>
      </c>
      <c r="G1671" s="439">
        <f t="shared" si="536"/>
        <v>0</v>
      </c>
    </row>
    <row r="1672" spans="1:7" ht="19.899999999999999" customHeight="1" x14ac:dyDescent="0.2">
      <c r="A1672" s="472"/>
      <c r="B1672" s="433"/>
      <c r="C1672" s="139"/>
      <c r="D1672" s="139"/>
      <c r="E1672" s="440"/>
      <c r="F1672" s="425"/>
      <c r="G1672" s="474"/>
    </row>
    <row r="1673" spans="1:7" ht="19.899999999999999" customHeight="1" x14ac:dyDescent="0.2">
      <c r="A1673" s="472"/>
      <c r="B1673" s="139"/>
      <c r="C1673" s="422" t="s">
        <v>972</v>
      </c>
      <c r="D1673" s="425" t="s">
        <v>969</v>
      </c>
      <c r="E1673" s="491">
        <f>SUMPRODUCT(D1662:D1671,E1662:E1671)</f>
        <v>0</v>
      </c>
      <c r="F1673" s="425" t="s">
        <v>973</v>
      </c>
      <c r="G1673" s="492">
        <f>SUM(G1662:G1671)</f>
        <v>0</v>
      </c>
    </row>
    <row r="1674" spans="1:7" ht="19.899999999999999" customHeight="1" x14ac:dyDescent="0.2">
      <c r="A1674" s="472"/>
      <c r="B1674" s="433"/>
      <c r="C1674" s="441"/>
      <c r="D1674" s="440"/>
      <c r="E1674" s="427"/>
      <c r="F1674" s="425"/>
      <c r="G1674" s="478"/>
    </row>
    <row r="1675" spans="1:7" ht="19.899999999999999" customHeight="1" x14ac:dyDescent="0.2">
      <c r="A1675" s="479"/>
      <c r="B1675" s="433"/>
      <c r="C1675" s="425" t="s">
        <v>974</v>
      </c>
      <c r="D1675" s="442">
        <f>IFERROR(VLOOKUP(COUNTIF($A$1:A1675,"ANALISIS DE PRECIOS"),T_Rendimiento_Equipo,5,FALSE),0)</f>
        <v>0</v>
      </c>
      <c r="E1675" s="443" t="str">
        <f ca="1">G1657&amp;"/día"</f>
        <v>UN./día</v>
      </c>
      <c r="F1675" s="419"/>
      <c r="G1675" s="474"/>
    </row>
    <row r="1676" spans="1:7" ht="19.899999999999999" customHeight="1" x14ac:dyDescent="0.2">
      <c r="A1676" s="472"/>
      <c r="B1676" s="433"/>
      <c r="C1676" s="139"/>
      <c r="D1676" s="426"/>
      <c r="E1676" s="427"/>
      <c r="F1676" s="425"/>
      <c r="G1676" s="474"/>
    </row>
    <row r="1677" spans="1:7" ht="19.899999999999999" customHeight="1" x14ac:dyDescent="0.2">
      <c r="A1677" s="720" t="s">
        <v>576</v>
      </c>
      <c r="B1677" s="721"/>
      <c r="C1677" s="722" t="s">
        <v>0</v>
      </c>
      <c r="D1677" s="734" t="s">
        <v>1724</v>
      </c>
      <c r="E1677" s="734" t="s">
        <v>1723</v>
      </c>
      <c r="F1677" s="726" t="s">
        <v>975</v>
      </c>
      <c r="G1677" s="728" t="s">
        <v>26</v>
      </c>
    </row>
    <row r="1678" spans="1:7" ht="19.899999999999999" customHeight="1" x14ac:dyDescent="0.2">
      <c r="A1678" s="444" t="s">
        <v>577</v>
      </c>
      <c r="B1678" s="444" t="s">
        <v>578</v>
      </c>
      <c r="C1678" s="723"/>
      <c r="D1678" s="735"/>
      <c r="E1678" s="725"/>
      <c r="F1678" s="727"/>
      <c r="G1678" s="729"/>
    </row>
    <row r="1679" spans="1:7" ht="19.899999999999999" customHeight="1" x14ac:dyDescent="0.2">
      <c r="A1679" s="480"/>
      <c r="B1679" s="139"/>
      <c r="C1679" s="422" t="s">
        <v>976</v>
      </c>
      <c r="D1679" s="427"/>
      <c r="E1679" s="427"/>
      <c r="F1679" s="139"/>
      <c r="G1679" s="481"/>
    </row>
    <row r="1680" spans="1:7" ht="19.899999999999999" customHeight="1" x14ac:dyDescent="0.2">
      <c r="A1680" s="482">
        <f t="shared" ref="A1680:A1688" si="540">IFERROR(VLOOKUP(C1680,T_Insumos,4,FALSE),0)</f>
        <v>0</v>
      </c>
      <c r="B1680" s="445">
        <f t="shared" ref="B1680:B1688" si="541">IFERROR(VLOOKUP(C1680,T_Insumos,5,FALSE),0)</f>
        <v>0</v>
      </c>
      <c r="C1680" s="436">
        <f>+C1380</f>
        <v>0</v>
      </c>
      <c r="D1680" s="446">
        <f t="shared" ref="D1680:D1688" si="542">IFERROR(VLOOKUP(C1680,T_Insumos,3,FALSE),0)</f>
        <v>0</v>
      </c>
      <c r="E1680" s="439">
        <f>D1680*$G$323</f>
        <v>0</v>
      </c>
      <c r="F1680" s="442">
        <f>IF(C1680="",0,IFERROR(VLOOKUP(COUNTIF($A$1:A1680,"ANALISIS DE PRECIOS"),T_Rendimiento_Equipo,5,FALSE),0))</f>
        <v>0</v>
      </c>
      <c r="G1680" s="439">
        <f>IFERROR(ROUND(E1680/F1680,2),0)</f>
        <v>0</v>
      </c>
    </row>
    <row r="1681" spans="1:7" ht="19.899999999999999" customHeight="1" x14ac:dyDescent="0.2">
      <c r="A1681" s="482">
        <f t="shared" si="540"/>
        <v>0</v>
      </c>
      <c r="B1681" s="445">
        <f t="shared" si="541"/>
        <v>0</v>
      </c>
      <c r="C1681" s="436">
        <f t="shared" ref="C1681:C1683" si="543">+C1381</f>
        <v>0</v>
      </c>
      <c r="D1681" s="446">
        <f t="shared" si="542"/>
        <v>0</v>
      </c>
      <c r="E1681" s="439">
        <f t="shared" ref="E1681:E1682" si="544">D1681*$G$323</f>
        <v>0</v>
      </c>
      <c r="F1681" s="442">
        <f>IF(C1681="",0,IFERROR(VLOOKUP(COUNTIF($A$1:A1681,"ANALISIS DE PRECIOS"),T_Rendimiento_Equipo,5,FALSE),0))</f>
        <v>0</v>
      </c>
      <c r="G1681" s="439">
        <f t="shared" ref="G1681:G1688" si="545">IFERROR(ROUND(E1681/F1681,2),0)</f>
        <v>0</v>
      </c>
    </row>
    <row r="1682" spans="1:7" ht="19.899999999999999" customHeight="1" x14ac:dyDescent="0.2">
      <c r="A1682" s="482">
        <f t="shared" si="540"/>
        <v>0</v>
      </c>
      <c r="B1682" s="445">
        <f t="shared" si="541"/>
        <v>0</v>
      </c>
      <c r="C1682" s="436">
        <f t="shared" si="543"/>
        <v>0</v>
      </c>
      <c r="D1682" s="446">
        <f t="shared" si="542"/>
        <v>0</v>
      </c>
      <c r="E1682" s="439">
        <f t="shared" si="544"/>
        <v>0</v>
      </c>
      <c r="F1682" s="442">
        <f>IF(C1682="",0,IFERROR(VLOOKUP(COUNTIF($A$1:A1682,"ANALISIS DE PRECIOS"),T_Rendimiento_Equipo,5,FALSE),0))</f>
        <v>0</v>
      </c>
      <c r="G1682" s="439">
        <f t="shared" si="545"/>
        <v>0</v>
      </c>
    </row>
    <row r="1683" spans="1:7" ht="19.899999999999999" customHeight="1" x14ac:dyDescent="0.2">
      <c r="A1683" s="482">
        <f t="shared" si="540"/>
        <v>0</v>
      </c>
      <c r="B1683" s="445">
        <f t="shared" si="541"/>
        <v>0</v>
      </c>
      <c r="C1683" s="436">
        <f t="shared" si="543"/>
        <v>0</v>
      </c>
      <c r="D1683" s="446">
        <f t="shared" si="542"/>
        <v>0</v>
      </c>
      <c r="E1683" s="439">
        <f>D1683*$E$323</f>
        <v>0</v>
      </c>
      <c r="F1683" s="442">
        <f>IF(C1683="",0,IFERROR(VLOOKUP(COUNTIF($A$1:A1683,"ANALISIS DE PRECIOS"),T_Rendimiento_Equipo,5,FALSE),0))</f>
        <v>0</v>
      </c>
      <c r="G1683" s="439">
        <f t="shared" si="545"/>
        <v>0</v>
      </c>
    </row>
    <row r="1684" spans="1:7" ht="19.899999999999999" customHeight="1" x14ac:dyDescent="0.2">
      <c r="A1684" s="482">
        <f t="shared" si="540"/>
        <v>0</v>
      </c>
      <c r="B1684" s="445">
        <f t="shared" si="541"/>
        <v>0</v>
      </c>
      <c r="C1684" s="447"/>
      <c r="D1684" s="446">
        <f t="shared" si="542"/>
        <v>0</v>
      </c>
      <c r="E1684" s="439"/>
      <c r="F1684" s="442">
        <f>IF(C1684="",0,IFERROR(VLOOKUP(COUNTIF($A$1:A1684,"ANALISIS DE PRECIOS"),T_Rendimiento_Equipo,5,FALSE),0))</f>
        <v>0</v>
      </c>
      <c r="G1684" s="439">
        <f t="shared" si="545"/>
        <v>0</v>
      </c>
    </row>
    <row r="1685" spans="1:7" ht="19.899999999999999" customHeight="1" x14ac:dyDescent="0.2">
      <c r="A1685" s="482">
        <f t="shared" si="540"/>
        <v>0</v>
      </c>
      <c r="B1685" s="445">
        <f t="shared" si="541"/>
        <v>0</v>
      </c>
      <c r="C1685" s="447"/>
      <c r="D1685" s="446">
        <f t="shared" si="542"/>
        <v>0</v>
      </c>
      <c r="E1685" s="439"/>
      <c r="F1685" s="442">
        <f>IF(C1685="",0,IFERROR(VLOOKUP(COUNTIF($A$1:A1685,"ANALISIS DE PRECIOS"),T_Rendimiento_Equipo,5,FALSE),0))</f>
        <v>0</v>
      </c>
      <c r="G1685" s="439">
        <f t="shared" si="545"/>
        <v>0</v>
      </c>
    </row>
    <row r="1686" spans="1:7" ht="19.899999999999999" customHeight="1" x14ac:dyDescent="0.2">
      <c r="A1686" s="482">
        <f t="shared" si="540"/>
        <v>0</v>
      </c>
      <c r="B1686" s="445">
        <f t="shared" si="541"/>
        <v>0</v>
      </c>
      <c r="C1686" s="447"/>
      <c r="D1686" s="446">
        <f t="shared" si="542"/>
        <v>0</v>
      </c>
      <c r="E1686" s="439"/>
      <c r="F1686" s="442">
        <f>IF(C1686="",0,IFERROR(VLOOKUP(COUNTIF($A$1:A1686,"ANALISIS DE PRECIOS"),T_Rendimiento_Equipo,5,FALSE),0))</f>
        <v>0</v>
      </c>
      <c r="G1686" s="439">
        <f t="shared" si="545"/>
        <v>0</v>
      </c>
    </row>
    <row r="1687" spans="1:7" ht="19.899999999999999" customHeight="1" x14ac:dyDescent="0.2">
      <c r="A1687" s="482">
        <f t="shared" si="540"/>
        <v>0</v>
      </c>
      <c r="B1687" s="445">
        <f t="shared" si="541"/>
        <v>0</v>
      </c>
      <c r="C1687" s="447"/>
      <c r="D1687" s="446">
        <f t="shared" si="542"/>
        <v>0</v>
      </c>
      <c r="E1687" s="439"/>
      <c r="F1687" s="442">
        <f>IF(C1687="",0,IFERROR(VLOOKUP(COUNTIF($A$1:A1687,"ANALISIS DE PRECIOS"),T_Rendimiento_Equipo,5,FALSE),0))</f>
        <v>0</v>
      </c>
      <c r="G1687" s="439">
        <f t="shared" si="545"/>
        <v>0</v>
      </c>
    </row>
    <row r="1688" spans="1:7" ht="19.899999999999999" customHeight="1" x14ac:dyDescent="0.2">
      <c r="A1688" s="482">
        <f t="shared" si="540"/>
        <v>0</v>
      </c>
      <c r="B1688" s="445">
        <f t="shared" si="541"/>
        <v>0</v>
      </c>
      <c r="C1688" s="436"/>
      <c r="D1688" s="446">
        <f t="shared" si="542"/>
        <v>0</v>
      </c>
      <c r="E1688" s="439"/>
      <c r="F1688" s="442">
        <f>IF(C1688="",0,IFERROR(VLOOKUP(COUNTIF($A$1:A1688,"ANALISIS DE PRECIOS"),T_Rendimiento_Equipo,5,FALSE),0))</f>
        <v>0</v>
      </c>
      <c r="G1688" s="439">
        <f t="shared" si="545"/>
        <v>0</v>
      </c>
    </row>
    <row r="1689" spans="1:7" ht="19.899999999999999" customHeight="1" x14ac:dyDescent="0.2">
      <c r="A1689" s="483"/>
      <c r="B1689" s="426"/>
      <c r="C1689" s="139"/>
      <c r="D1689" s="426"/>
      <c r="E1689" s="427"/>
      <c r="F1689" s="448" t="s">
        <v>27</v>
      </c>
      <c r="G1689" s="484">
        <f>SUBTOTAL(9,G1680:G1688)</f>
        <v>0</v>
      </c>
    </row>
    <row r="1690" spans="1:7" ht="19.899999999999999" customHeight="1" x14ac:dyDescent="0.2">
      <c r="A1690" s="480"/>
      <c r="B1690" s="139"/>
      <c r="C1690" s="422" t="s">
        <v>713</v>
      </c>
      <c r="D1690" s="426"/>
      <c r="E1690" s="427"/>
      <c r="F1690" s="428"/>
      <c r="G1690" s="481"/>
    </row>
    <row r="1691" spans="1:7" ht="19.899999999999999" customHeight="1" x14ac:dyDescent="0.2">
      <c r="A1691" s="720" t="s">
        <v>576</v>
      </c>
      <c r="B1691" s="721"/>
      <c r="C1691" s="722" t="s">
        <v>0</v>
      </c>
      <c r="D1691" s="724" t="s">
        <v>24</v>
      </c>
      <c r="E1691" s="724" t="s">
        <v>1964</v>
      </c>
      <c r="F1691" s="726" t="s">
        <v>975</v>
      </c>
      <c r="G1691" s="728" t="s">
        <v>26</v>
      </c>
    </row>
    <row r="1692" spans="1:7" ht="19.899999999999999" customHeight="1" x14ac:dyDescent="0.2">
      <c r="A1692" s="444" t="s">
        <v>577</v>
      </c>
      <c r="B1692" s="444" t="s">
        <v>578</v>
      </c>
      <c r="C1692" s="723"/>
      <c r="D1692" s="725"/>
      <c r="E1692" s="725"/>
      <c r="F1692" s="727"/>
      <c r="G1692" s="729"/>
    </row>
    <row r="1693" spans="1:7" ht="19.899999999999999" customHeight="1" x14ac:dyDescent="0.2">
      <c r="A1693" s="482">
        <f t="shared" ref="A1693:A1699" si="546">IFERROR(VLOOKUP(C1693,T_Insumos,4,FALSE),0)</f>
        <v>0</v>
      </c>
      <c r="B1693" s="445">
        <f t="shared" ref="B1693:B1699" si="547">IFERROR(VLOOKUP(C1693,T_Insumos,5,FALSE),0)</f>
        <v>0</v>
      </c>
      <c r="C1693" s="436">
        <f t="shared" ref="C1693:C1696" si="548">+C1468</f>
        <v>0</v>
      </c>
      <c r="D1693" s="442"/>
      <c r="E1693" s="439">
        <f t="shared" ref="E1693:E1699" si="549">IFERROR(VLOOKUP(C1693,T_Insumos,3,FALSE),0)</f>
        <v>0</v>
      </c>
      <c r="F1693" s="442">
        <f>IF(C1693="",0,IFERROR(VLOOKUP(COUNTIF($A$1:A1693,"ANALISIS DE PRECIOS"),T_Rendimiento_Equipo,5,FALSE),0))</f>
        <v>0</v>
      </c>
      <c r="G1693" s="439">
        <f>IFERROR(ROUND(D1693*E1693/F1693,2),0)</f>
        <v>0</v>
      </c>
    </row>
    <row r="1694" spans="1:7" ht="19.899999999999999" customHeight="1" x14ac:dyDescent="0.2">
      <c r="A1694" s="482">
        <f t="shared" si="546"/>
        <v>0</v>
      </c>
      <c r="B1694" s="445">
        <f t="shared" si="547"/>
        <v>0</v>
      </c>
      <c r="C1694" s="436">
        <f t="shared" si="548"/>
        <v>0</v>
      </c>
      <c r="D1694" s="442">
        <v>1</v>
      </c>
      <c r="E1694" s="439">
        <f t="shared" si="549"/>
        <v>0</v>
      </c>
      <c r="F1694" s="442">
        <f>IF(C1694="",0,IFERROR(VLOOKUP(COUNTIF($A$1:A1694,"ANALISIS DE PRECIOS"),T_Rendimiento_Equipo,5,FALSE),0))</f>
        <v>0</v>
      </c>
      <c r="G1694" s="439">
        <f>IFERROR(ROUND(D1694*E1694/F1694,2),0)</f>
        <v>0</v>
      </c>
    </row>
    <row r="1695" spans="1:7" ht="19.899999999999999" customHeight="1" x14ac:dyDescent="0.2">
      <c r="A1695" s="482">
        <f t="shared" si="546"/>
        <v>0</v>
      </c>
      <c r="B1695" s="445">
        <f t="shared" si="547"/>
        <v>0</v>
      </c>
      <c r="C1695" s="436">
        <f t="shared" si="548"/>
        <v>0</v>
      </c>
      <c r="D1695" s="442"/>
      <c r="E1695" s="439">
        <f t="shared" si="549"/>
        <v>0</v>
      </c>
      <c r="F1695" s="442">
        <f>IF(C1695="",0,IFERROR(VLOOKUP(COUNTIF($A$1:A1695,"ANALISIS DE PRECIOS"),T_Rendimiento_Equipo,5,FALSE),0))</f>
        <v>0</v>
      </c>
      <c r="G1695" s="439">
        <f t="shared" ref="G1695:G1699" si="550">IFERROR(ROUND(D1695*E1695/F1695,2),0)</f>
        <v>0</v>
      </c>
    </row>
    <row r="1696" spans="1:7" ht="19.899999999999999" customHeight="1" x14ac:dyDescent="0.2">
      <c r="A1696" s="482">
        <f t="shared" si="546"/>
        <v>0</v>
      </c>
      <c r="B1696" s="445">
        <f t="shared" si="547"/>
        <v>0</v>
      </c>
      <c r="C1696" s="436">
        <f t="shared" si="548"/>
        <v>0</v>
      </c>
      <c r="D1696" s="442">
        <v>2</v>
      </c>
      <c r="E1696" s="439">
        <f t="shared" si="549"/>
        <v>0</v>
      </c>
      <c r="F1696" s="442">
        <f>IF(C1696="",0,IFERROR(VLOOKUP(COUNTIF($A$1:A1696,"ANALISIS DE PRECIOS"),T_Rendimiento_Equipo,5,FALSE),0))</f>
        <v>0</v>
      </c>
      <c r="G1696" s="439">
        <f t="shared" si="550"/>
        <v>0</v>
      </c>
    </row>
    <row r="1697" spans="1:7" ht="19.899999999999999" customHeight="1" x14ac:dyDescent="0.2">
      <c r="A1697" s="482">
        <f t="shared" si="546"/>
        <v>0</v>
      </c>
      <c r="B1697" s="445">
        <f t="shared" si="547"/>
        <v>0</v>
      </c>
      <c r="C1697" s="436"/>
      <c r="D1697" s="442"/>
      <c r="E1697" s="439">
        <f t="shared" si="549"/>
        <v>0</v>
      </c>
      <c r="F1697" s="442">
        <f>IF(C1697="",0,IFERROR(VLOOKUP(COUNTIF($A$1:A1697,"ANALISIS DE PRECIOS"),T_Rendimiento_Equipo,5,FALSE),0))</f>
        <v>0</v>
      </c>
      <c r="G1697" s="439">
        <f t="shared" si="550"/>
        <v>0</v>
      </c>
    </row>
    <row r="1698" spans="1:7" ht="19.899999999999999" customHeight="1" x14ac:dyDescent="0.2">
      <c r="A1698" s="482">
        <f t="shared" si="546"/>
        <v>0</v>
      </c>
      <c r="B1698" s="445">
        <f t="shared" si="547"/>
        <v>0</v>
      </c>
      <c r="C1698" s="436"/>
      <c r="D1698" s="450"/>
      <c r="E1698" s="439">
        <f t="shared" si="549"/>
        <v>0</v>
      </c>
      <c r="F1698" s="442">
        <f>IF(C1698="",0,IFERROR(VLOOKUP(COUNTIF($A$1:A1698,"ANALISIS DE PRECIOS"),T_Rendimiento_Equipo,5,FALSE),0))</f>
        <v>0</v>
      </c>
      <c r="G1698" s="439">
        <f t="shared" si="550"/>
        <v>0</v>
      </c>
    </row>
    <row r="1699" spans="1:7" ht="19.899999999999999" customHeight="1" x14ac:dyDescent="0.2">
      <c r="A1699" s="482">
        <f t="shared" si="546"/>
        <v>0</v>
      </c>
      <c r="B1699" s="445">
        <f t="shared" si="547"/>
        <v>0</v>
      </c>
      <c r="C1699" s="445"/>
      <c r="D1699" s="451"/>
      <c r="E1699" s="439">
        <f t="shared" si="549"/>
        <v>0</v>
      </c>
      <c r="F1699" s="442">
        <f>IF(C1699="",0,IFERROR(VLOOKUP(COUNTIF($A$1:A1699,"ANALISIS DE PRECIOS"),T_Rendimiento_Equipo,5,FALSE),0))</f>
        <v>0</v>
      </c>
      <c r="G1699" s="439">
        <f t="shared" si="550"/>
        <v>0</v>
      </c>
    </row>
    <row r="1700" spans="1:7" ht="19.899999999999999" customHeight="1" x14ac:dyDescent="0.2">
      <c r="A1700" s="483"/>
      <c r="B1700" s="426"/>
      <c r="C1700" s="139"/>
      <c r="D1700" s="426"/>
      <c r="E1700" s="427"/>
      <c r="F1700" s="448" t="s">
        <v>28</v>
      </c>
      <c r="G1700" s="485">
        <f>SUBTOTAL(9,G1693:G1699)</f>
        <v>0</v>
      </c>
    </row>
    <row r="1701" spans="1:7" ht="19.899999999999999" customHeight="1" x14ac:dyDescent="0.2">
      <c r="A1701" s="480"/>
      <c r="B1701" s="139"/>
      <c r="C1701" s="422" t="s">
        <v>982</v>
      </c>
      <c r="D1701" s="426"/>
      <c r="E1701" s="427"/>
      <c r="F1701" s="428"/>
      <c r="G1701" s="481"/>
    </row>
    <row r="1702" spans="1:7" ht="19.899999999999999" customHeight="1" x14ac:dyDescent="0.2">
      <c r="A1702" s="720" t="s">
        <v>576</v>
      </c>
      <c r="B1702" s="721"/>
      <c r="C1702" s="722" t="s">
        <v>0</v>
      </c>
      <c r="D1702" s="722" t="s">
        <v>1725</v>
      </c>
      <c r="E1702" s="724" t="s">
        <v>24</v>
      </c>
      <c r="F1702" s="726" t="s">
        <v>25</v>
      </c>
      <c r="G1702" s="728" t="s">
        <v>26</v>
      </c>
    </row>
    <row r="1703" spans="1:7" ht="19.899999999999999" customHeight="1" x14ac:dyDescent="0.2">
      <c r="A1703" s="444" t="s">
        <v>577</v>
      </c>
      <c r="B1703" s="444" t="s">
        <v>578</v>
      </c>
      <c r="C1703" s="723"/>
      <c r="D1703" s="723"/>
      <c r="E1703" s="725"/>
      <c r="F1703" s="727"/>
      <c r="G1703" s="729"/>
    </row>
    <row r="1704" spans="1:7" ht="19.899999999999999" customHeight="1" x14ac:dyDescent="0.2">
      <c r="A1704" s="482">
        <f t="shared" ref="A1704:A1714" si="551">IFERROR(VLOOKUP(C1704,T_Insumos,4,FALSE),0)</f>
        <v>0</v>
      </c>
      <c r="B1704" s="445">
        <f t="shared" ref="B1704:B1714" si="552">IFERROR(VLOOKUP(C1704,T_Insumos,5,FALSE),0)</f>
        <v>0</v>
      </c>
      <c r="C1704" s="436">
        <f t="shared" ref="C1704:C1714" si="553">+C1479</f>
        <v>0</v>
      </c>
      <c r="D1704" s="493">
        <f t="shared" ref="D1704:D1714" si="554">IFERROR(VLOOKUP(C1704,T_Insumos,2,FALSE),0)</f>
        <v>0</v>
      </c>
      <c r="E1704" s="437"/>
      <c r="F1704" s="439">
        <f t="shared" ref="F1704:F1714" si="555">IFERROR(VLOOKUP(C1704,T_Insumos,3,FALSE),0)</f>
        <v>0</v>
      </c>
      <c r="G1704" s="439">
        <f>ROUND(E1704*F1704,2)</f>
        <v>0</v>
      </c>
    </row>
    <row r="1705" spans="1:7" ht="19.899999999999999" customHeight="1" x14ac:dyDescent="0.2">
      <c r="A1705" s="482">
        <f t="shared" si="551"/>
        <v>0</v>
      </c>
      <c r="B1705" s="445">
        <f t="shared" si="552"/>
        <v>0</v>
      </c>
      <c r="C1705" s="436">
        <f t="shared" si="553"/>
        <v>0</v>
      </c>
      <c r="D1705" s="493">
        <f t="shared" si="554"/>
        <v>0</v>
      </c>
      <c r="E1705" s="437"/>
      <c r="F1705" s="439">
        <f t="shared" si="555"/>
        <v>0</v>
      </c>
      <c r="G1705" s="439">
        <f t="shared" ref="G1705:G1714" si="556">ROUND(E1705*F1705,2)</f>
        <v>0</v>
      </c>
    </row>
    <row r="1706" spans="1:7" ht="19.899999999999999" customHeight="1" x14ac:dyDescent="0.2">
      <c r="A1706" s="482">
        <f t="shared" si="551"/>
        <v>0</v>
      </c>
      <c r="B1706" s="445">
        <f t="shared" si="552"/>
        <v>0</v>
      </c>
      <c r="C1706" s="436">
        <f t="shared" si="553"/>
        <v>0</v>
      </c>
      <c r="D1706" s="493">
        <f t="shared" si="554"/>
        <v>0</v>
      </c>
      <c r="E1706" s="437"/>
      <c r="F1706" s="439">
        <f t="shared" si="555"/>
        <v>0</v>
      </c>
      <c r="G1706" s="439">
        <f t="shared" si="556"/>
        <v>0</v>
      </c>
    </row>
    <row r="1707" spans="1:7" ht="19.899999999999999" customHeight="1" x14ac:dyDescent="0.2">
      <c r="A1707" s="482">
        <f t="shared" si="551"/>
        <v>0</v>
      </c>
      <c r="B1707" s="445">
        <f t="shared" si="552"/>
        <v>0</v>
      </c>
      <c r="C1707" s="436">
        <f t="shared" si="553"/>
        <v>0</v>
      </c>
      <c r="D1707" s="493">
        <f t="shared" si="554"/>
        <v>0</v>
      </c>
      <c r="E1707" s="437"/>
      <c r="F1707" s="439">
        <f t="shared" si="555"/>
        <v>0</v>
      </c>
      <c r="G1707" s="439">
        <f t="shared" si="556"/>
        <v>0</v>
      </c>
    </row>
    <row r="1708" spans="1:7" ht="19.899999999999999" customHeight="1" x14ac:dyDescent="0.2">
      <c r="A1708" s="482">
        <f t="shared" si="551"/>
        <v>0</v>
      </c>
      <c r="B1708" s="445">
        <f t="shared" si="552"/>
        <v>0</v>
      </c>
      <c r="C1708" s="436">
        <f t="shared" si="553"/>
        <v>0</v>
      </c>
      <c r="D1708" s="493">
        <f t="shared" si="554"/>
        <v>0</v>
      </c>
      <c r="E1708" s="437"/>
      <c r="F1708" s="439">
        <f t="shared" si="555"/>
        <v>0</v>
      </c>
      <c r="G1708" s="439">
        <f t="shared" si="556"/>
        <v>0</v>
      </c>
    </row>
    <row r="1709" spans="1:7" ht="19.899999999999999" customHeight="1" x14ac:dyDescent="0.2">
      <c r="A1709" s="482">
        <f t="shared" si="551"/>
        <v>0</v>
      </c>
      <c r="B1709" s="445">
        <f t="shared" si="552"/>
        <v>0</v>
      </c>
      <c r="C1709" s="436">
        <f t="shared" si="553"/>
        <v>0</v>
      </c>
      <c r="D1709" s="493">
        <f t="shared" si="554"/>
        <v>0</v>
      </c>
      <c r="E1709" s="437"/>
      <c r="F1709" s="439">
        <f t="shared" si="555"/>
        <v>0</v>
      </c>
      <c r="G1709" s="439">
        <f t="shared" si="556"/>
        <v>0</v>
      </c>
    </row>
    <row r="1710" spans="1:7" ht="19.899999999999999" customHeight="1" x14ac:dyDescent="0.2">
      <c r="A1710" s="482">
        <f t="shared" si="551"/>
        <v>0</v>
      </c>
      <c r="B1710" s="445">
        <f t="shared" si="552"/>
        <v>0</v>
      </c>
      <c r="C1710" s="436">
        <f t="shared" si="553"/>
        <v>0</v>
      </c>
      <c r="D1710" s="493">
        <f t="shared" si="554"/>
        <v>0</v>
      </c>
      <c r="E1710" s="437"/>
      <c r="F1710" s="439">
        <f t="shared" si="555"/>
        <v>0</v>
      </c>
      <c r="G1710" s="439">
        <f t="shared" si="556"/>
        <v>0</v>
      </c>
    </row>
    <row r="1711" spans="1:7" ht="19.899999999999999" customHeight="1" x14ac:dyDescent="0.2">
      <c r="A1711" s="482">
        <f t="shared" si="551"/>
        <v>0</v>
      </c>
      <c r="B1711" s="445">
        <f t="shared" si="552"/>
        <v>0</v>
      </c>
      <c r="C1711" s="436">
        <f t="shared" si="553"/>
        <v>0</v>
      </c>
      <c r="D1711" s="493">
        <f t="shared" si="554"/>
        <v>0</v>
      </c>
      <c r="E1711" s="437"/>
      <c r="F1711" s="439">
        <f t="shared" si="555"/>
        <v>0</v>
      </c>
      <c r="G1711" s="439">
        <f t="shared" si="556"/>
        <v>0</v>
      </c>
    </row>
    <row r="1712" spans="1:7" ht="19.899999999999999" customHeight="1" x14ac:dyDescent="0.2">
      <c r="A1712" s="482">
        <f t="shared" si="551"/>
        <v>0</v>
      </c>
      <c r="B1712" s="445">
        <f t="shared" si="552"/>
        <v>0</v>
      </c>
      <c r="C1712" s="436">
        <f t="shared" si="553"/>
        <v>0</v>
      </c>
      <c r="D1712" s="493">
        <f t="shared" si="554"/>
        <v>0</v>
      </c>
      <c r="E1712" s="437"/>
      <c r="F1712" s="439">
        <f t="shared" si="555"/>
        <v>0</v>
      </c>
      <c r="G1712" s="439">
        <f t="shared" si="556"/>
        <v>0</v>
      </c>
    </row>
    <row r="1713" spans="1:7" ht="19.899999999999999" customHeight="1" x14ac:dyDescent="0.2">
      <c r="A1713" s="482">
        <f t="shared" si="551"/>
        <v>0</v>
      </c>
      <c r="B1713" s="445">
        <f t="shared" si="552"/>
        <v>0</v>
      </c>
      <c r="C1713" s="436">
        <f t="shared" si="553"/>
        <v>0</v>
      </c>
      <c r="D1713" s="493">
        <f t="shared" si="554"/>
        <v>0</v>
      </c>
      <c r="E1713" s="437"/>
      <c r="F1713" s="439">
        <f t="shared" si="555"/>
        <v>0</v>
      </c>
      <c r="G1713" s="439">
        <f t="shared" si="556"/>
        <v>0</v>
      </c>
    </row>
    <row r="1714" spans="1:7" ht="19.899999999999999" customHeight="1" x14ac:dyDescent="0.2">
      <c r="A1714" s="482">
        <f t="shared" si="551"/>
        <v>0</v>
      </c>
      <c r="B1714" s="445">
        <f t="shared" si="552"/>
        <v>0</v>
      </c>
      <c r="C1714" s="436">
        <f t="shared" si="553"/>
        <v>0</v>
      </c>
      <c r="D1714" s="493">
        <f t="shared" si="554"/>
        <v>0</v>
      </c>
      <c r="E1714" s="437"/>
      <c r="F1714" s="439">
        <f t="shared" si="555"/>
        <v>0</v>
      </c>
      <c r="G1714" s="439">
        <f t="shared" si="556"/>
        <v>0</v>
      </c>
    </row>
    <row r="1715" spans="1:7" ht="19.899999999999999" customHeight="1" x14ac:dyDescent="0.2">
      <c r="A1715" s="480"/>
      <c r="B1715" s="139"/>
      <c r="C1715" s="139"/>
      <c r="D1715" s="426"/>
      <c r="E1715" s="427"/>
      <c r="F1715" s="448" t="s">
        <v>29</v>
      </c>
      <c r="G1715" s="485">
        <f>SUBTOTAL(9,G1704:G1714)</f>
        <v>0</v>
      </c>
    </row>
    <row r="1716" spans="1:7" ht="19.899999999999999" customHeight="1" x14ac:dyDescent="0.2">
      <c r="A1716" s="480"/>
      <c r="B1716" s="139"/>
      <c r="C1716" s="422" t="s">
        <v>983</v>
      </c>
      <c r="D1716" s="426"/>
      <c r="E1716" s="427"/>
      <c r="F1716" s="428"/>
      <c r="G1716" s="481"/>
    </row>
    <row r="1717" spans="1:7" ht="19.899999999999999" customHeight="1" x14ac:dyDescent="0.2">
      <c r="A1717" s="720" t="s">
        <v>576</v>
      </c>
      <c r="B1717" s="721"/>
      <c r="C1717" s="722" t="s">
        <v>0</v>
      </c>
      <c r="D1717" s="722" t="s">
        <v>1725</v>
      </c>
      <c r="E1717" s="724" t="s">
        <v>24</v>
      </c>
      <c r="F1717" s="726" t="s">
        <v>25</v>
      </c>
      <c r="G1717" s="728" t="s">
        <v>26</v>
      </c>
    </row>
    <row r="1718" spans="1:7" ht="19.899999999999999" customHeight="1" x14ac:dyDescent="0.2">
      <c r="A1718" s="444" t="s">
        <v>577</v>
      </c>
      <c r="B1718" s="444" t="s">
        <v>578</v>
      </c>
      <c r="C1718" s="723"/>
      <c r="D1718" s="723"/>
      <c r="E1718" s="725"/>
      <c r="F1718" s="727"/>
      <c r="G1718" s="729"/>
    </row>
    <row r="1719" spans="1:7" ht="19.899999999999999" customHeight="1" x14ac:dyDescent="0.2">
      <c r="A1719" s="482">
        <f>IFERROR(VLOOKUP(C1719,T_Insumos,4,FALSE),0)</f>
        <v>0</v>
      </c>
      <c r="B1719" s="445">
        <f>IFERROR(VLOOKUP(C1719,T_Insumos,5,FALSE),0)</f>
        <v>0</v>
      </c>
      <c r="C1719" s="436"/>
      <c r="D1719" s="493">
        <f>IF(C1719=0,0,"$/tnkm")</f>
        <v>0</v>
      </c>
      <c r="E1719" s="437"/>
      <c r="F1719" s="439">
        <f>IFERROR(VLOOKUP(C1719,T_Insumos,3,FALSE),0)</f>
        <v>0</v>
      </c>
      <c r="G1719" s="439">
        <f>ROUND(E1719*F1719,2)</f>
        <v>0</v>
      </c>
    </row>
    <row r="1720" spans="1:7" ht="19.899999999999999" customHeight="1" x14ac:dyDescent="0.2">
      <c r="A1720" s="482">
        <f>IFERROR(VLOOKUP(C1720,T_Insumos,4,FALSE),0)</f>
        <v>0</v>
      </c>
      <c r="B1720" s="445">
        <f>IFERROR(VLOOKUP(C1720,T_Insumos,5,FALSE),0)</f>
        <v>0</v>
      </c>
      <c r="C1720" s="436"/>
      <c r="D1720" s="493">
        <f>IF(C1720=0,0,"$/tnkm")</f>
        <v>0</v>
      </c>
      <c r="E1720" s="453"/>
      <c r="F1720" s="439">
        <f>IFERROR(VLOOKUP(C1720,T_Insumos,3,FALSE),0)</f>
        <v>0</v>
      </c>
      <c r="G1720" s="439">
        <f t="shared" ref="G1720" si="557">ROUND(E1720*F1720,2)</f>
        <v>0</v>
      </c>
    </row>
    <row r="1721" spans="1:7" ht="19.899999999999999" customHeight="1" x14ac:dyDescent="0.2">
      <c r="A1721" s="480"/>
      <c r="B1721" s="139"/>
      <c r="C1721" s="139"/>
      <c r="D1721" s="426"/>
      <c r="E1721" s="427"/>
      <c r="F1721" s="448" t="s">
        <v>984</v>
      </c>
      <c r="G1721" s="485">
        <f>SUBTOTAL(9,G1719:G1720)</f>
        <v>0</v>
      </c>
    </row>
    <row r="1722" spans="1:7" ht="19.899999999999999" customHeight="1" x14ac:dyDescent="0.2">
      <c r="A1722" s="483"/>
      <c r="B1722" s="426"/>
      <c r="C1722" s="139"/>
      <c r="D1722" s="426"/>
      <c r="E1722" s="427"/>
      <c r="F1722" s="428"/>
      <c r="G1722" s="481"/>
    </row>
    <row r="1723" spans="1:7" ht="19.899999999999999" customHeight="1" x14ac:dyDescent="0.2">
      <c r="A1723" s="541" t="str">
        <f>B1657</f>
        <v>4.3</v>
      </c>
      <c r="B1723" s="538" t="str">
        <f ca="1">C1657</f>
        <v>Dron</v>
      </c>
      <c r="C1723" s="426"/>
      <c r="D1723" s="426" t="s">
        <v>1704</v>
      </c>
      <c r="E1723" s="539"/>
      <c r="F1723" s="540" t="str">
        <f ca="1">"$/"&amp;G1657</f>
        <v>$/UN.</v>
      </c>
      <c r="G1723" s="490">
        <f>SUBTOTAL(9,G1680:G1722)</f>
        <v>0</v>
      </c>
    </row>
    <row r="1724" spans="1:7" ht="19.899999999999999" customHeight="1" x14ac:dyDescent="0.2">
      <c r="A1724" s="486"/>
      <c r="B1724" s="487"/>
      <c r="C1724" s="488"/>
      <c r="D1724" s="488" t="s">
        <v>1900</v>
      </c>
      <c r="E1724" s="489"/>
      <c r="F1724" s="542" t="str">
        <f ca="1">"$/"&amp;G1657</f>
        <v>$/UN.</v>
      </c>
      <c r="G1724" s="490">
        <f>ROUND(G1723*Coeficiente_Paso,2)</f>
        <v>0</v>
      </c>
    </row>
    <row r="1725" spans="1:7" ht="19.899999999999999" customHeight="1" x14ac:dyDescent="0.2">
      <c r="A1725" s="139"/>
      <c r="B1725" s="139"/>
      <c r="C1725" s="139"/>
      <c r="D1725" s="139"/>
      <c r="E1725" s="139"/>
      <c r="F1725" s="139"/>
      <c r="G1725" s="139"/>
    </row>
    <row r="1726" spans="1:7" ht="19.899999999999999" customHeight="1" x14ac:dyDescent="0.2">
      <c r="A1726" s="730" t="s">
        <v>31</v>
      </c>
      <c r="B1726" s="731"/>
      <c r="C1726" s="731"/>
      <c r="D1726" s="731"/>
      <c r="E1726" s="731"/>
      <c r="F1726" s="731"/>
      <c r="G1726" s="732"/>
    </row>
    <row r="1727" spans="1:7" ht="19.899999999999999" customHeight="1" x14ac:dyDescent="0.2">
      <c r="A1727" s="469" t="s">
        <v>711</v>
      </c>
      <c r="B1727" s="420" t="str">
        <f>Comitente</f>
        <v>DEPARTAMENTO DE HIDRAULICA</v>
      </c>
      <c r="C1727" s="421"/>
      <c r="D1727" s="422"/>
      <c r="E1727" s="422"/>
      <c r="F1727" s="423"/>
      <c r="G1727" s="470"/>
    </row>
    <row r="1728" spans="1:7" ht="19.899999999999999" customHeight="1" x14ac:dyDescent="0.2">
      <c r="A1728" s="469" t="s">
        <v>712</v>
      </c>
      <c r="B1728" s="420">
        <f>Contratista</f>
        <v>0</v>
      </c>
      <c r="C1728" s="424"/>
      <c r="D1728" s="424"/>
      <c r="E1728" s="424"/>
      <c r="F1728" s="420"/>
      <c r="G1728" s="471"/>
    </row>
    <row r="1729" spans="1:7" ht="19.899999999999999" customHeight="1" x14ac:dyDescent="0.2">
      <c r="A1729" s="469" t="s">
        <v>21</v>
      </c>
      <c r="B1729" s="420" t="str">
        <f>Obra</f>
        <v>Encamisado Parcial del Canal de Calle América</v>
      </c>
      <c r="C1729" s="424"/>
      <c r="D1729" s="424"/>
      <c r="E1729" s="424"/>
      <c r="F1729" s="420" t="s">
        <v>32</v>
      </c>
      <c r="G1729" s="471" t="str">
        <f>Fecha_Base</f>
        <v>X/X/2023</v>
      </c>
    </row>
    <row r="1730" spans="1:7" ht="19.899999999999999" customHeight="1" x14ac:dyDescent="0.2">
      <c r="A1730" s="472" t="s">
        <v>710</v>
      </c>
      <c r="B1730" s="425" t="str">
        <f>Ubicación</f>
        <v>Departamento Rawson</v>
      </c>
      <c r="C1730" s="425"/>
      <c r="D1730" s="426"/>
      <c r="E1730" s="427"/>
      <c r="F1730" s="428"/>
      <c r="G1730" s="473"/>
    </row>
    <row r="1731" spans="1:7" ht="19.899999999999999" customHeight="1" x14ac:dyDescent="0.2">
      <c r="A1731" s="472" t="s">
        <v>33</v>
      </c>
      <c r="B1731" s="429">
        <f>IFERROR(VALUE(LEFT(B1732,FIND(".",B1732)-1)),"")</f>
        <v>4</v>
      </c>
      <c r="C1731" s="139" t="str">
        <f ca="1">IFERROR(VLOOKUP(B1731,T_Computo_Presupuesto,2,FALSE),0)</f>
        <v>FORTALECIMIENTO INSTITUCIONAL</v>
      </c>
      <c r="D1731" s="139"/>
      <c r="E1731" s="427"/>
      <c r="F1731" s="428"/>
      <c r="G1731" s="473"/>
    </row>
    <row r="1732" spans="1:7" ht="19.899999999999999" customHeight="1" x14ac:dyDescent="0.2">
      <c r="A1732" s="472" t="s">
        <v>22</v>
      </c>
      <c r="B1732" s="430" t="str">
        <f>IFERROR(VLOOKUP(COUNTIF($A$1:A1732,"ANALISIS DE PRECIOS"),T_NumeroItem,2,FALSE),"")</f>
        <v>4.4</v>
      </c>
      <c r="C1732" s="733" t="str">
        <f ca="1">IFERROR(VLOOKUP(B1732,T_Computo_Presupuesto,2,FALSE),0)</f>
        <v>GPS diferencial</v>
      </c>
      <c r="D1732" s="733"/>
      <c r="E1732" s="733"/>
      <c r="F1732" s="425" t="s">
        <v>23</v>
      </c>
      <c r="G1732" s="474" t="str">
        <f ca="1">IFERROR(VLOOKUP(B1732,T_Computo_Presupuesto,4,FALSE),0)</f>
        <v>UN.</v>
      </c>
    </row>
    <row r="1733" spans="1:7" ht="19.899999999999999" customHeight="1" x14ac:dyDescent="0.2">
      <c r="A1733" s="472"/>
      <c r="B1733" s="425"/>
      <c r="C1733" s="139"/>
      <c r="D1733" s="426"/>
      <c r="E1733" s="427"/>
      <c r="F1733" s="139"/>
      <c r="G1733" s="475"/>
    </row>
    <row r="1734" spans="1:7" ht="19.899999999999999" customHeight="1" x14ac:dyDescent="0.2">
      <c r="A1734" s="476"/>
      <c r="B1734" s="431"/>
      <c r="C1734" s="432" t="s">
        <v>967</v>
      </c>
      <c r="D1734" s="431"/>
      <c r="E1734" s="431"/>
      <c r="F1734" s="431"/>
      <c r="G1734" s="477"/>
    </row>
    <row r="1735" spans="1:7" ht="19.899999999999999" customHeight="1" x14ac:dyDescent="0.2">
      <c r="A1735" s="472"/>
      <c r="B1735" s="433"/>
      <c r="C1735" s="139"/>
      <c r="D1735" s="426"/>
      <c r="E1735" s="427"/>
      <c r="F1735" s="425"/>
      <c r="G1735" s="474"/>
    </row>
    <row r="1736" spans="1:7" ht="19.899999999999999" customHeight="1" x14ac:dyDescent="0.2">
      <c r="A1736" s="472"/>
      <c r="B1736" s="433"/>
      <c r="C1736" s="434" t="s">
        <v>968</v>
      </c>
      <c r="D1736" s="435" t="s">
        <v>24</v>
      </c>
      <c r="E1736" s="435" t="s">
        <v>969</v>
      </c>
      <c r="F1736" s="435" t="s">
        <v>970</v>
      </c>
      <c r="G1736" s="434" t="s">
        <v>971</v>
      </c>
    </row>
    <row r="1737" spans="1:7" ht="19.899999999999999" customHeight="1" x14ac:dyDescent="0.2">
      <c r="A1737" s="472"/>
      <c r="B1737" s="433"/>
      <c r="C1737" s="436">
        <f>+C1512</f>
        <v>0</v>
      </c>
      <c r="D1737" s="436">
        <f>+D1512</f>
        <v>0</v>
      </c>
      <c r="E1737" s="438">
        <f t="shared" ref="E1737:E1746" si="558">IFERROR(VLOOKUP(C1737,T_Equipos,4,FALSE),0)</f>
        <v>0</v>
      </c>
      <c r="F1737" s="439">
        <f t="shared" ref="F1737:F1746" si="559">IFERROR(VLOOKUP(C1737,T_Equipos,5,FALSE),0)</f>
        <v>0</v>
      </c>
      <c r="G1737" s="439">
        <f>ROUND(D1737*F1737,2)</f>
        <v>0</v>
      </c>
    </row>
    <row r="1738" spans="1:7" ht="19.899999999999999" customHeight="1" x14ac:dyDescent="0.2">
      <c r="A1738" s="472"/>
      <c r="B1738" s="433"/>
      <c r="C1738" s="436">
        <f t="shared" ref="C1738:D1738" si="560">+C1513</f>
        <v>0</v>
      </c>
      <c r="D1738" s="436">
        <f t="shared" si="560"/>
        <v>0</v>
      </c>
      <c r="E1738" s="438">
        <f t="shared" si="558"/>
        <v>0</v>
      </c>
      <c r="F1738" s="439">
        <f t="shared" si="559"/>
        <v>0</v>
      </c>
      <c r="G1738" s="439">
        <f>ROUND(D1738*F1738,2)</f>
        <v>0</v>
      </c>
    </row>
    <row r="1739" spans="1:7" ht="19.899999999999999" customHeight="1" x14ac:dyDescent="0.2">
      <c r="A1739" s="472"/>
      <c r="B1739" s="433"/>
      <c r="C1739" s="436">
        <f t="shared" ref="C1739" si="561">+C1514</f>
        <v>0</v>
      </c>
      <c r="D1739" s="436"/>
      <c r="E1739" s="438">
        <f t="shared" si="558"/>
        <v>0</v>
      </c>
      <c r="F1739" s="439">
        <f t="shared" si="559"/>
        <v>0</v>
      </c>
      <c r="G1739" s="439">
        <f>ROUND(D1739*F1739,2)</f>
        <v>0</v>
      </c>
    </row>
    <row r="1740" spans="1:7" ht="19.899999999999999" customHeight="1" x14ac:dyDescent="0.2">
      <c r="A1740" s="472"/>
      <c r="B1740" s="433"/>
      <c r="C1740" s="436">
        <f t="shared" ref="C1740" si="562">+C1515</f>
        <v>0</v>
      </c>
      <c r="D1740" s="436"/>
      <c r="E1740" s="438">
        <f t="shared" si="558"/>
        <v>0</v>
      </c>
      <c r="F1740" s="439">
        <f t="shared" si="559"/>
        <v>0</v>
      </c>
      <c r="G1740" s="439">
        <f>ROUND(D1740*F1740,2)</f>
        <v>0</v>
      </c>
    </row>
    <row r="1741" spans="1:7" ht="19.899999999999999" customHeight="1" x14ac:dyDescent="0.2">
      <c r="A1741" s="472"/>
      <c r="B1741" s="433"/>
      <c r="C1741" s="436">
        <f t="shared" ref="C1741" si="563">+C1516</f>
        <v>0</v>
      </c>
      <c r="D1741" s="436"/>
      <c r="E1741" s="438">
        <f t="shared" si="558"/>
        <v>0</v>
      </c>
      <c r="F1741" s="439">
        <f t="shared" si="559"/>
        <v>0</v>
      </c>
      <c r="G1741" s="439">
        <f t="shared" ref="G1741:G1746" si="564">ROUND(D1741*F1741,2)</f>
        <v>0</v>
      </c>
    </row>
    <row r="1742" spans="1:7" ht="19.899999999999999" customHeight="1" x14ac:dyDescent="0.2">
      <c r="A1742" s="472"/>
      <c r="B1742" s="433"/>
      <c r="C1742" s="436">
        <f t="shared" ref="C1742" si="565">+C1517</f>
        <v>0</v>
      </c>
      <c r="D1742" s="436"/>
      <c r="E1742" s="438">
        <f t="shared" si="558"/>
        <v>0</v>
      </c>
      <c r="F1742" s="439">
        <f t="shared" si="559"/>
        <v>0</v>
      </c>
      <c r="G1742" s="439">
        <f t="shared" si="564"/>
        <v>0</v>
      </c>
    </row>
    <row r="1743" spans="1:7" ht="19.899999999999999" customHeight="1" x14ac:dyDescent="0.2">
      <c r="A1743" s="472"/>
      <c r="B1743" s="433"/>
      <c r="C1743" s="436">
        <f t="shared" ref="C1743:D1743" si="566">+C1518</f>
        <v>0</v>
      </c>
      <c r="D1743" s="436">
        <f t="shared" si="566"/>
        <v>0</v>
      </c>
      <c r="E1743" s="438">
        <f t="shared" si="558"/>
        <v>0</v>
      </c>
      <c r="F1743" s="439">
        <f t="shared" si="559"/>
        <v>0</v>
      </c>
      <c r="G1743" s="439">
        <f t="shared" si="564"/>
        <v>0</v>
      </c>
    </row>
    <row r="1744" spans="1:7" ht="19.899999999999999" customHeight="1" x14ac:dyDescent="0.2">
      <c r="A1744" s="472"/>
      <c r="B1744" s="433"/>
      <c r="C1744" s="436">
        <f t="shared" ref="C1744:D1744" si="567">+C1519</f>
        <v>0</v>
      </c>
      <c r="D1744" s="436">
        <f t="shared" si="567"/>
        <v>0</v>
      </c>
      <c r="E1744" s="438">
        <f t="shared" si="558"/>
        <v>0</v>
      </c>
      <c r="F1744" s="439">
        <f t="shared" si="559"/>
        <v>0</v>
      </c>
      <c r="G1744" s="439">
        <f t="shared" si="564"/>
        <v>0</v>
      </c>
    </row>
    <row r="1745" spans="1:7" ht="19.899999999999999" customHeight="1" x14ac:dyDescent="0.2">
      <c r="A1745" s="472"/>
      <c r="B1745" s="433"/>
      <c r="C1745" s="436"/>
      <c r="D1745" s="437"/>
      <c r="E1745" s="438">
        <f t="shared" si="558"/>
        <v>0</v>
      </c>
      <c r="F1745" s="439">
        <f t="shared" si="559"/>
        <v>0</v>
      </c>
      <c r="G1745" s="439">
        <f t="shared" si="564"/>
        <v>0</v>
      </c>
    </row>
    <row r="1746" spans="1:7" ht="19.899999999999999" customHeight="1" x14ac:dyDescent="0.2">
      <c r="A1746" s="472"/>
      <c r="B1746" s="433"/>
      <c r="C1746" s="436"/>
      <c r="D1746" s="437"/>
      <c r="E1746" s="438">
        <f t="shared" si="558"/>
        <v>0</v>
      </c>
      <c r="F1746" s="439">
        <f t="shared" si="559"/>
        <v>0</v>
      </c>
      <c r="G1746" s="439">
        <f t="shared" si="564"/>
        <v>0</v>
      </c>
    </row>
    <row r="1747" spans="1:7" ht="19.899999999999999" customHeight="1" x14ac:dyDescent="0.2">
      <c r="A1747" s="472"/>
      <c r="B1747" s="433"/>
      <c r="C1747" s="139"/>
      <c r="D1747" s="139"/>
      <c r="E1747" s="440"/>
      <c r="F1747" s="425"/>
      <c r="G1747" s="474"/>
    </row>
    <row r="1748" spans="1:7" ht="19.899999999999999" customHeight="1" x14ac:dyDescent="0.2">
      <c r="A1748" s="472"/>
      <c r="B1748" s="139"/>
      <c r="C1748" s="422" t="s">
        <v>972</v>
      </c>
      <c r="D1748" s="425" t="s">
        <v>969</v>
      </c>
      <c r="E1748" s="491">
        <f>SUMPRODUCT(D1737:D1746,E1737:E1746)</f>
        <v>0</v>
      </c>
      <c r="F1748" s="425" t="s">
        <v>973</v>
      </c>
      <c r="G1748" s="492">
        <f>SUM(G1737:G1746)</f>
        <v>0</v>
      </c>
    </row>
    <row r="1749" spans="1:7" ht="19.899999999999999" customHeight="1" x14ac:dyDescent="0.2">
      <c r="A1749" s="472"/>
      <c r="B1749" s="433"/>
      <c r="C1749" s="441"/>
      <c r="D1749" s="440"/>
      <c r="E1749" s="427"/>
      <c r="F1749" s="425"/>
      <c r="G1749" s="478"/>
    </row>
    <row r="1750" spans="1:7" ht="19.899999999999999" customHeight="1" x14ac:dyDescent="0.2">
      <c r="A1750" s="479"/>
      <c r="B1750" s="433"/>
      <c r="C1750" s="425" t="s">
        <v>974</v>
      </c>
      <c r="D1750" s="442">
        <f>IFERROR(VLOOKUP(COUNTIF($A$1:A1750,"ANALISIS DE PRECIOS"),T_Rendimiento_Equipo,5,FALSE),0)</f>
        <v>0</v>
      </c>
      <c r="E1750" s="443" t="str">
        <f ca="1">G1732&amp;"/día"</f>
        <v>UN./día</v>
      </c>
      <c r="F1750" s="419"/>
      <c r="G1750" s="474"/>
    </row>
    <row r="1751" spans="1:7" ht="19.899999999999999" customHeight="1" x14ac:dyDescent="0.2">
      <c r="A1751" s="472"/>
      <c r="B1751" s="433"/>
      <c r="C1751" s="139"/>
      <c r="D1751" s="426"/>
      <c r="E1751" s="427"/>
      <c r="F1751" s="425"/>
      <c r="G1751" s="474"/>
    </row>
    <row r="1752" spans="1:7" ht="19.899999999999999" customHeight="1" x14ac:dyDescent="0.2">
      <c r="A1752" s="720" t="s">
        <v>576</v>
      </c>
      <c r="B1752" s="721"/>
      <c r="C1752" s="722" t="s">
        <v>0</v>
      </c>
      <c r="D1752" s="734" t="s">
        <v>1724</v>
      </c>
      <c r="E1752" s="734" t="s">
        <v>1723</v>
      </c>
      <c r="F1752" s="726" t="s">
        <v>975</v>
      </c>
      <c r="G1752" s="728" t="s">
        <v>26</v>
      </c>
    </row>
    <row r="1753" spans="1:7" ht="19.899999999999999" customHeight="1" x14ac:dyDescent="0.2">
      <c r="A1753" s="444" t="s">
        <v>577</v>
      </c>
      <c r="B1753" s="444" t="s">
        <v>578</v>
      </c>
      <c r="C1753" s="723"/>
      <c r="D1753" s="735"/>
      <c r="E1753" s="725"/>
      <c r="F1753" s="727"/>
      <c r="G1753" s="729"/>
    </row>
    <row r="1754" spans="1:7" ht="19.899999999999999" customHeight="1" x14ac:dyDescent="0.2">
      <c r="A1754" s="480"/>
      <c r="B1754" s="139"/>
      <c r="C1754" s="422" t="s">
        <v>976</v>
      </c>
      <c r="D1754" s="427"/>
      <c r="E1754" s="427"/>
      <c r="F1754" s="139"/>
      <c r="G1754" s="481"/>
    </row>
    <row r="1755" spans="1:7" ht="19.899999999999999" customHeight="1" x14ac:dyDescent="0.2">
      <c r="A1755" s="482">
        <f t="shared" ref="A1755:A1763" si="568">IFERROR(VLOOKUP(C1755,T_Insumos,4,FALSE),0)</f>
        <v>0</v>
      </c>
      <c r="B1755" s="445">
        <f t="shared" ref="B1755:B1763" si="569">IFERROR(VLOOKUP(C1755,T_Insumos,5,FALSE),0)</f>
        <v>0</v>
      </c>
      <c r="C1755" s="436">
        <f>+C1455</f>
        <v>0</v>
      </c>
      <c r="D1755" s="446">
        <f t="shared" ref="D1755:D1763" si="570">IFERROR(VLOOKUP(C1755,T_Insumos,3,FALSE),0)</f>
        <v>0</v>
      </c>
      <c r="E1755" s="439">
        <f>D1755*$G$323</f>
        <v>0</v>
      </c>
      <c r="F1755" s="442">
        <f>IF(C1755="",0,IFERROR(VLOOKUP(COUNTIF($A$1:A1755,"ANALISIS DE PRECIOS"),T_Rendimiento_Equipo,5,FALSE),0))</f>
        <v>0</v>
      </c>
      <c r="G1755" s="439">
        <f>IFERROR(ROUND(E1755/F1755,2),0)</f>
        <v>0</v>
      </c>
    </row>
    <row r="1756" spans="1:7" ht="19.899999999999999" customHeight="1" x14ac:dyDescent="0.2">
      <c r="A1756" s="482">
        <f t="shared" si="568"/>
        <v>0</v>
      </c>
      <c r="B1756" s="445">
        <f t="shared" si="569"/>
        <v>0</v>
      </c>
      <c r="C1756" s="436">
        <f t="shared" ref="C1756:C1758" si="571">+C1456</f>
        <v>0</v>
      </c>
      <c r="D1756" s="446">
        <f t="shared" si="570"/>
        <v>0</v>
      </c>
      <c r="E1756" s="439">
        <f t="shared" ref="E1756:E1757" si="572">D1756*$G$323</f>
        <v>0</v>
      </c>
      <c r="F1756" s="442">
        <f>IF(C1756="",0,IFERROR(VLOOKUP(COUNTIF($A$1:A1756,"ANALISIS DE PRECIOS"),T_Rendimiento_Equipo,5,FALSE),0))</f>
        <v>0</v>
      </c>
      <c r="G1756" s="439">
        <f t="shared" ref="G1756:G1763" si="573">IFERROR(ROUND(E1756/F1756,2),0)</f>
        <v>0</v>
      </c>
    </row>
    <row r="1757" spans="1:7" ht="19.899999999999999" customHeight="1" x14ac:dyDescent="0.2">
      <c r="A1757" s="482">
        <f t="shared" si="568"/>
        <v>0</v>
      </c>
      <c r="B1757" s="445">
        <f t="shared" si="569"/>
        <v>0</v>
      </c>
      <c r="C1757" s="436">
        <f t="shared" si="571"/>
        <v>0</v>
      </c>
      <c r="D1757" s="446">
        <f t="shared" si="570"/>
        <v>0</v>
      </c>
      <c r="E1757" s="439">
        <f t="shared" si="572"/>
        <v>0</v>
      </c>
      <c r="F1757" s="442">
        <f>IF(C1757="",0,IFERROR(VLOOKUP(COUNTIF($A$1:A1757,"ANALISIS DE PRECIOS"),T_Rendimiento_Equipo,5,FALSE),0))</f>
        <v>0</v>
      </c>
      <c r="G1757" s="439">
        <f t="shared" si="573"/>
        <v>0</v>
      </c>
    </row>
    <row r="1758" spans="1:7" ht="19.899999999999999" customHeight="1" x14ac:dyDescent="0.2">
      <c r="A1758" s="482">
        <f t="shared" si="568"/>
        <v>0</v>
      </c>
      <c r="B1758" s="445">
        <f t="shared" si="569"/>
        <v>0</v>
      </c>
      <c r="C1758" s="436">
        <f t="shared" si="571"/>
        <v>0</v>
      </c>
      <c r="D1758" s="446">
        <f t="shared" si="570"/>
        <v>0</v>
      </c>
      <c r="E1758" s="439">
        <f>D1758*$E$323</f>
        <v>0</v>
      </c>
      <c r="F1758" s="442">
        <f>IF(C1758="",0,IFERROR(VLOOKUP(COUNTIF($A$1:A1758,"ANALISIS DE PRECIOS"),T_Rendimiento_Equipo,5,FALSE),0))</f>
        <v>0</v>
      </c>
      <c r="G1758" s="439">
        <f t="shared" si="573"/>
        <v>0</v>
      </c>
    </row>
    <row r="1759" spans="1:7" ht="19.899999999999999" customHeight="1" x14ac:dyDescent="0.2">
      <c r="A1759" s="482">
        <f t="shared" si="568"/>
        <v>0</v>
      </c>
      <c r="B1759" s="445">
        <f t="shared" si="569"/>
        <v>0</v>
      </c>
      <c r="C1759" s="447"/>
      <c r="D1759" s="446">
        <f t="shared" si="570"/>
        <v>0</v>
      </c>
      <c r="E1759" s="439"/>
      <c r="F1759" s="442">
        <f>IF(C1759="",0,IFERROR(VLOOKUP(COUNTIF($A$1:A1759,"ANALISIS DE PRECIOS"),T_Rendimiento_Equipo,5,FALSE),0))</f>
        <v>0</v>
      </c>
      <c r="G1759" s="439">
        <f t="shared" si="573"/>
        <v>0</v>
      </c>
    </row>
    <row r="1760" spans="1:7" ht="19.899999999999999" customHeight="1" x14ac:dyDescent="0.2">
      <c r="A1760" s="482">
        <f t="shared" si="568"/>
        <v>0</v>
      </c>
      <c r="B1760" s="445">
        <f t="shared" si="569"/>
        <v>0</v>
      </c>
      <c r="C1760" s="447"/>
      <c r="D1760" s="446">
        <f t="shared" si="570"/>
        <v>0</v>
      </c>
      <c r="E1760" s="439"/>
      <c r="F1760" s="442">
        <f>IF(C1760="",0,IFERROR(VLOOKUP(COUNTIF($A$1:A1760,"ANALISIS DE PRECIOS"),T_Rendimiento_Equipo,5,FALSE),0))</f>
        <v>0</v>
      </c>
      <c r="G1760" s="439">
        <f t="shared" si="573"/>
        <v>0</v>
      </c>
    </row>
    <row r="1761" spans="1:7" ht="19.899999999999999" customHeight="1" x14ac:dyDescent="0.2">
      <c r="A1761" s="482">
        <f t="shared" si="568"/>
        <v>0</v>
      </c>
      <c r="B1761" s="445">
        <f t="shared" si="569"/>
        <v>0</v>
      </c>
      <c r="C1761" s="447"/>
      <c r="D1761" s="446">
        <f t="shared" si="570"/>
        <v>0</v>
      </c>
      <c r="E1761" s="439"/>
      <c r="F1761" s="442">
        <f>IF(C1761="",0,IFERROR(VLOOKUP(COUNTIF($A$1:A1761,"ANALISIS DE PRECIOS"),T_Rendimiento_Equipo,5,FALSE),0))</f>
        <v>0</v>
      </c>
      <c r="G1761" s="439">
        <f t="shared" si="573"/>
        <v>0</v>
      </c>
    </row>
    <row r="1762" spans="1:7" ht="19.899999999999999" customHeight="1" x14ac:dyDescent="0.2">
      <c r="A1762" s="482">
        <f t="shared" si="568"/>
        <v>0</v>
      </c>
      <c r="B1762" s="445">
        <f t="shared" si="569"/>
        <v>0</v>
      </c>
      <c r="C1762" s="447"/>
      <c r="D1762" s="446">
        <f t="shared" si="570"/>
        <v>0</v>
      </c>
      <c r="E1762" s="439"/>
      <c r="F1762" s="442">
        <f>IF(C1762="",0,IFERROR(VLOOKUP(COUNTIF($A$1:A1762,"ANALISIS DE PRECIOS"),T_Rendimiento_Equipo,5,FALSE),0))</f>
        <v>0</v>
      </c>
      <c r="G1762" s="439">
        <f t="shared" si="573"/>
        <v>0</v>
      </c>
    </row>
    <row r="1763" spans="1:7" ht="19.899999999999999" customHeight="1" x14ac:dyDescent="0.2">
      <c r="A1763" s="482">
        <f t="shared" si="568"/>
        <v>0</v>
      </c>
      <c r="B1763" s="445">
        <f t="shared" si="569"/>
        <v>0</v>
      </c>
      <c r="C1763" s="436"/>
      <c r="D1763" s="446">
        <f t="shared" si="570"/>
        <v>0</v>
      </c>
      <c r="E1763" s="439"/>
      <c r="F1763" s="442">
        <f>IF(C1763="",0,IFERROR(VLOOKUP(COUNTIF($A$1:A1763,"ANALISIS DE PRECIOS"),T_Rendimiento_Equipo,5,FALSE),0))</f>
        <v>0</v>
      </c>
      <c r="G1763" s="439">
        <f t="shared" si="573"/>
        <v>0</v>
      </c>
    </row>
    <row r="1764" spans="1:7" ht="19.899999999999999" customHeight="1" x14ac:dyDescent="0.2">
      <c r="A1764" s="483"/>
      <c r="B1764" s="426"/>
      <c r="C1764" s="139"/>
      <c r="D1764" s="426"/>
      <c r="E1764" s="427"/>
      <c r="F1764" s="448" t="s">
        <v>27</v>
      </c>
      <c r="G1764" s="484">
        <f>SUBTOTAL(9,G1755:G1763)</f>
        <v>0</v>
      </c>
    </row>
    <row r="1765" spans="1:7" ht="19.899999999999999" customHeight="1" x14ac:dyDescent="0.2">
      <c r="A1765" s="480"/>
      <c r="B1765" s="139"/>
      <c r="C1765" s="422" t="s">
        <v>713</v>
      </c>
      <c r="D1765" s="426"/>
      <c r="E1765" s="427"/>
      <c r="F1765" s="428"/>
      <c r="G1765" s="481"/>
    </row>
    <row r="1766" spans="1:7" ht="19.899999999999999" customHeight="1" x14ac:dyDescent="0.2">
      <c r="A1766" s="720" t="s">
        <v>576</v>
      </c>
      <c r="B1766" s="721"/>
      <c r="C1766" s="722" t="s">
        <v>0</v>
      </c>
      <c r="D1766" s="724" t="s">
        <v>24</v>
      </c>
      <c r="E1766" s="724" t="s">
        <v>1964</v>
      </c>
      <c r="F1766" s="726" t="s">
        <v>975</v>
      </c>
      <c r="G1766" s="728" t="s">
        <v>26</v>
      </c>
    </row>
    <row r="1767" spans="1:7" ht="19.899999999999999" customHeight="1" x14ac:dyDescent="0.2">
      <c r="A1767" s="444" t="s">
        <v>577</v>
      </c>
      <c r="B1767" s="444" t="s">
        <v>578</v>
      </c>
      <c r="C1767" s="723"/>
      <c r="D1767" s="725"/>
      <c r="E1767" s="725"/>
      <c r="F1767" s="727"/>
      <c r="G1767" s="729"/>
    </row>
    <row r="1768" spans="1:7" ht="19.899999999999999" customHeight="1" x14ac:dyDescent="0.2">
      <c r="A1768" s="482">
        <f t="shared" ref="A1768:A1774" si="574">IFERROR(VLOOKUP(C1768,T_Insumos,4,FALSE),0)</f>
        <v>0</v>
      </c>
      <c r="B1768" s="445">
        <f t="shared" ref="B1768:B1774" si="575">IFERROR(VLOOKUP(C1768,T_Insumos,5,FALSE),0)</f>
        <v>0</v>
      </c>
      <c r="C1768" s="436">
        <f t="shared" ref="C1768:C1771" si="576">+C1543</f>
        <v>0</v>
      </c>
      <c r="D1768" s="442"/>
      <c r="E1768" s="439">
        <f t="shared" ref="E1768:E1774" si="577">IFERROR(VLOOKUP(C1768,T_Insumos,3,FALSE),0)</f>
        <v>0</v>
      </c>
      <c r="F1768" s="442">
        <f>IF(C1768="",0,IFERROR(VLOOKUP(COUNTIF($A$1:A1768,"ANALISIS DE PRECIOS"),T_Rendimiento_Equipo,5,FALSE),0))</f>
        <v>0</v>
      </c>
      <c r="G1768" s="439">
        <f>IFERROR(ROUND(D1768*E1768/F1768,2),0)</f>
        <v>0</v>
      </c>
    </row>
    <row r="1769" spans="1:7" ht="19.899999999999999" customHeight="1" x14ac:dyDescent="0.2">
      <c r="A1769" s="482">
        <f t="shared" si="574"/>
        <v>0</v>
      </c>
      <c r="B1769" s="445">
        <f t="shared" si="575"/>
        <v>0</v>
      </c>
      <c r="C1769" s="436">
        <f t="shared" si="576"/>
        <v>0</v>
      </c>
      <c r="D1769" s="442">
        <v>1</v>
      </c>
      <c r="E1769" s="439">
        <f t="shared" si="577"/>
        <v>0</v>
      </c>
      <c r="F1769" s="442">
        <f>IF(C1769="",0,IFERROR(VLOOKUP(COUNTIF($A$1:A1769,"ANALISIS DE PRECIOS"),T_Rendimiento_Equipo,5,FALSE),0))</f>
        <v>0</v>
      </c>
      <c r="G1769" s="439">
        <f>IFERROR(ROUND(D1769*E1769/F1769,2),0)</f>
        <v>0</v>
      </c>
    </row>
    <row r="1770" spans="1:7" ht="19.899999999999999" customHeight="1" x14ac:dyDescent="0.2">
      <c r="A1770" s="482">
        <f t="shared" si="574"/>
        <v>0</v>
      </c>
      <c r="B1770" s="445">
        <f t="shared" si="575"/>
        <v>0</v>
      </c>
      <c r="C1770" s="436">
        <f t="shared" si="576"/>
        <v>0</v>
      </c>
      <c r="D1770" s="442"/>
      <c r="E1770" s="439">
        <f t="shared" si="577"/>
        <v>0</v>
      </c>
      <c r="F1770" s="442">
        <f>IF(C1770="",0,IFERROR(VLOOKUP(COUNTIF($A$1:A1770,"ANALISIS DE PRECIOS"),T_Rendimiento_Equipo,5,FALSE),0))</f>
        <v>0</v>
      </c>
      <c r="G1770" s="439">
        <f t="shared" ref="G1770:G1774" si="578">IFERROR(ROUND(D1770*E1770/F1770,2),0)</f>
        <v>0</v>
      </c>
    </row>
    <row r="1771" spans="1:7" ht="19.899999999999999" customHeight="1" x14ac:dyDescent="0.2">
      <c r="A1771" s="482">
        <f t="shared" si="574"/>
        <v>0</v>
      </c>
      <c r="B1771" s="445">
        <f t="shared" si="575"/>
        <v>0</v>
      </c>
      <c r="C1771" s="436">
        <f t="shared" si="576"/>
        <v>0</v>
      </c>
      <c r="D1771" s="442">
        <v>2</v>
      </c>
      <c r="E1771" s="439">
        <f t="shared" si="577"/>
        <v>0</v>
      </c>
      <c r="F1771" s="442">
        <f>IF(C1771="",0,IFERROR(VLOOKUP(COUNTIF($A$1:A1771,"ANALISIS DE PRECIOS"),T_Rendimiento_Equipo,5,FALSE),0))</f>
        <v>0</v>
      </c>
      <c r="G1771" s="439">
        <f t="shared" si="578"/>
        <v>0</v>
      </c>
    </row>
    <row r="1772" spans="1:7" ht="19.899999999999999" customHeight="1" x14ac:dyDescent="0.2">
      <c r="A1772" s="482">
        <f t="shared" si="574"/>
        <v>0</v>
      </c>
      <c r="B1772" s="445">
        <f t="shared" si="575"/>
        <v>0</v>
      </c>
      <c r="C1772" s="436"/>
      <c r="D1772" s="442"/>
      <c r="E1772" s="439">
        <f t="shared" si="577"/>
        <v>0</v>
      </c>
      <c r="F1772" s="442">
        <f>IF(C1772="",0,IFERROR(VLOOKUP(COUNTIF($A$1:A1772,"ANALISIS DE PRECIOS"),T_Rendimiento_Equipo,5,FALSE),0))</f>
        <v>0</v>
      </c>
      <c r="G1772" s="439">
        <f t="shared" si="578"/>
        <v>0</v>
      </c>
    </row>
    <row r="1773" spans="1:7" ht="19.899999999999999" customHeight="1" x14ac:dyDescent="0.2">
      <c r="A1773" s="482">
        <f t="shared" si="574"/>
        <v>0</v>
      </c>
      <c r="B1773" s="445">
        <f t="shared" si="575"/>
        <v>0</v>
      </c>
      <c r="C1773" s="436"/>
      <c r="D1773" s="450"/>
      <c r="E1773" s="439">
        <f t="shared" si="577"/>
        <v>0</v>
      </c>
      <c r="F1773" s="442">
        <f>IF(C1773="",0,IFERROR(VLOOKUP(COUNTIF($A$1:A1773,"ANALISIS DE PRECIOS"),T_Rendimiento_Equipo,5,FALSE),0))</f>
        <v>0</v>
      </c>
      <c r="G1773" s="439">
        <f t="shared" si="578"/>
        <v>0</v>
      </c>
    </row>
    <row r="1774" spans="1:7" ht="19.899999999999999" customHeight="1" x14ac:dyDescent="0.2">
      <c r="A1774" s="482">
        <f t="shared" si="574"/>
        <v>0</v>
      </c>
      <c r="B1774" s="445">
        <f t="shared" si="575"/>
        <v>0</v>
      </c>
      <c r="C1774" s="445"/>
      <c r="D1774" s="451"/>
      <c r="E1774" s="439">
        <f t="shared" si="577"/>
        <v>0</v>
      </c>
      <c r="F1774" s="442">
        <f>IF(C1774="",0,IFERROR(VLOOKUP(COUNTIF($A$1:A1774,"ANALISIS DE PRECIOS"),T_Rendimiento_Equipo,5,FALSE),0))</f>
        <v>0</v>
      </c>
      <c r="G1774" s="439">
        <f t="shared" si="578"/>
        <v>0</v>
      </c>
    </row>
    <row r="1775" spans="1:7" ht="19.899999999999999" customHeight="1" x14ac:dyDescent="0.2">
      <c r="A1775" s="483"/>
      <c r="B1775" s="426"/>
      <c r="C1775" s="139"/>
      <c r="D1775" s="426"/>
      <c r="E1775" s="427"/>
      <c r="F1775" s="448" t="s">
        <v>28</v>
      </c>
      <c r="G1775" s="485">
        <f>SUBTOTAL(9,G1768:G1774)</f>
        <v>0</v>
      </c>
    </row>
    <row r="1776" spans="1:7" ht="19.899999999999999" customHeight="1" x14ac:dyDescent="0.2">
      <c r="A1776" s="480"/>
      <c r="B1776" s="139"/>
      <c r="C1776" s="422" t="s">
        <v>982</v>
      </c>
      <c r="D1776" s="426"/>
      <c r="E1776" s="427"/>
      <c r="F1776" s="428"/>
      <c r="G1776" s="481"/>
    </row>
    <row r="1777" spans="1:7" ht="19.899999999999999" customHeight="1" x14ac:dyDescent="0.2">
      <c r="A1777" s="720" t="s">
        <v>576</v>
      </c>
      <c r="B1777" s="721"/>
      <c r="C1777" s="722" t="s">
        <v>0</v>
      </c>
      <c r="D1777" s="722" t="s">
        <v>1725</v>
      </c>
      <c r="E1777" s="724" t="s">
        <v>24</v>
      </c>
      <c r="F1777" s="726" t="s">
        <v>25</v>
      </c>
      <c r="G1777" s="728" t="s">
        <v>26</v>
      </c>
    </row>
    <row r="1778" spans="1:7" ht="19.899999999999999" customHeight="1" x14ac:dyDescent="0.2">
      <c r="A1778" s="444" t="s">
        <v>577</v>
      </c>
      <c r="B1778" s="444" t="s">
        <v>578</v>
      </c>
      <c r="C1778" s="723"/>
      <c r="D1778" s="723"/>
      <c r="E1778" s="725"/>
      <c r="F1778" s="727"/>
      <c r="G1778" s="729"/>
    </row>
    <row r="1779" spans="1:7" ht="19.899999999999999" customHeight="1" x14ac:dyDescent="0.2">
      <c r="A1779" s="482">
        <f t="shared" ref="A1779:A1789" si="579">IFERROR(VLOOKUP(C1779,T_Insumos,4,FALSE),0)</f>
        <v>0</v>
      </c>
      <c r="B1779" s="445">
        <f t="shared" ref="B1779:B1789" si="580">IFERROR(VLOOKUP(C1779,T_Insumos,5,FALSE),0)</f>
        <v>0</v>
      </c>
      <c r="C1779" s="436">
        <f t="shared" ref="C1779:C1789" si="581">+C1554</f>
        <v>0</v>
      </c>
      <c r="D1779" s="493">
        <f t="shared" ref="D1779:D1789" si="582">IFERROR(VLOOKUP(C1779,T_Insumos,2,FALSE),0)</f>
        <v>0</v>
      </c>
      <c r="E1779" s="437"/>
      <c r="F1779" s="439">
        <f t="shared" ref="F1779:F1789" si="583">IFERROR(VLOOKUP(C1779,T_Insumos,3,FALSE),0)</f>
        <v>0</v>
      </c>
      <c r="G1779" s="439">
        <f>ROUND(E1779*F1779,2)</f>
        <v>0</v>
      </c>
    </row>
    <row r="1780" spans="1:7" ht="19.899999999999999" customHeight="1" x14ac:dyDescent="0.2">
      <c r="A1780" s="482">
        <f t="shared" si="579"/>
        <v>0</v>
      </c>
      <c r="B1780" s="445">
        <f t="shared" si="580"/>
        <v>0</v>
      </c>
      <c r="C1780" s="436">
        <f t="shared" si="581"/>
        <v>0</v>
      </c>
      <c r="D1780" s="493">
        <f t="shared" si="582"/>
        <v>0</v>
      </c>
      <c r="E1780" s="437"/>
      <c r="F1780" s="439">
        <f t="shared" si="583"/>
        <v>0</v>
      </c>
      <c r="G1780" s="439">
        <f t="shared" ref="G1780:G1789" si="584">ROUND(E1780*F1780,2)</f>
        <v>0</v>
      </c>
    </row>
    <row r="1781" spans="1:7" ht="19.899999999999999" customHeight="1" x14ac:dyDescent="0.2">
      <c r="A1781" s="482">
        <f t="shared" si="579"/>
        <v>0</v>
      </c>
      <c r="B1781" s="445">
        <f t="shared" si="580"/>
        <v>0</v>
      </c>
      <c r="C1781" s="436">
        <f t="shared" si="581"/>
        <v>0</v>
      </c>
      <c r="D1781" s="493">
        <f t="shared" si="582"/>
        <v>0</v>
      </c>
      <c r="E1781" s="437"/>
      <c r="F1781" s="439">
        <f t="shared" si="583"/>
        <v>0</v>
      </c>
      <c r="G1781" s="439">
        <f t="shared" si="584"/>
        <v>0</v>
      </c>
    </row>
    <row r="1782" spans="1:7" ht="19.899999999999999" customHeight="1" x14ac:dyDescent="0.2">
      <c r="A1782" s="482">
        <f t="shared" si="579"/>
        <v>0</v>
      </c>
      <c r="B1782" s="445">
        <f t="shared" si="580"/>
        <v>0</v>
      </c>
      <c r="C1782" s="436">
        <f t="shared" si="581"/>
        <v>0</v>
      </c>
      <c r="D1782" s="493">
        <f t="shared" si="582"/>
        <v>0</v>
      </c>
      <c r="E1782" s="437"/>
      <c r="F1782" s="439">
        <f t="shared" si="583"/>
        <v>0</v>
      </c>
      <c r="G1782" s="439">
        <f t="shared" si="584"/>
        <v>0</v>
      </c>
    </row>
    <row r="1783" spans="1:7" ht="19.899999999999999" customHeight="1" x14ac:dyDescent="0.2">
      <c r="A1783" s="482">
        <f t="shared" si="579"/>
        <v>0</v>
      </c>
      <c r="B1783" s="445">
        <f t="shared" si="580"/>
        <v>0</v>
      </c>
      <c r="C1783" s="436">
        <f t="shared" si="581"/>
        <v>0</v>
      </c>
      <c r="D1783" s="493">
        <f t="shared" si="582"/>
        <v>0</v>
      </c>
      <c r="E1783" s="437"/>
      <c r="F1783" s="439">
        <f t="shared" si="583"/>
        <v>0</v>
      </c>
      <c r="G1783" s="439">
        <f t="shared" si="584"/>
        <v>0</v>
      </c>
    </row>
    <row r="1784" spans="1:7" ht="19.899999999999999" customHeight="1" x14ac:dyDescent="0.2">
      <c r="A1784" s="482">
        <f t="shared" si="579"/>
        <v>0</v>
      </c>
      <c r="B1784" s="445">
        <f t="shared" si="580"/>
        <v>0</v>
      </c>
      <c r="C1784" s="436">
        <f t="shared" si="581"/>
        <v>0</v>
      </c>
      <c r="D1784" s="493">
        <f t="shared" si="582"/>
        <v>0</v>
      </c>
      <c r="E1784" s="437"/>
      <c r="F1784" s="439">
        <f t="shared" si="583"/>
        <v>0</v>
      </c>
      <c r="G1784" s="439">
        <f t="shared" si="584"/>
        <v>0</v>
      </c>
    </row>
    <row r="1785" spans="1:7" ht="19.899999999999999" customHeight="1" x14ac:dyDescent="0.2">
      <c r="A1785" s="482">
        <f t="shared" si="579"/>
        <v>0</v>
      </c>
      <c r="B1785" s="445">
        <f t="shared" si="580"/>
        <v>0</v>
      </c>
      <c r="C1785" s="436">
        <f t="shared" si="581"/>
        <v>0</v>
      </c>
      <c r="D1785" s="493">
        <f t="shared" si="582"/>
        <v>0</v>
      </c>
      <c r="E1785" s="437"/>
      <c r="F1785" s="439">
        <f t="shared" si="583"/>
        <v>0</v>
      </c>
      <c r="G1785" s="439">
        <f t="shared" si="584"/>
        <v>0</v>
      </c>
    </row>
    <row r="1786" spans="1:7" ht="19.899999999999999" customHeight="1" x14ac:dyDescent="0.2">
      <c r="A1786" s="482">
        <f t="shared" si="579"/>
        <v>0</v>
      </c>
      <c r="B1786" s="445">
        <f t="shared" si="580"/>
        <v>0</v>
      </c>
      <c r="C1786" s="436">
        <f t="shared" si="581"/>
        <v>0</v>
      </c>
      <c r="D1786" s="493">
        <f t="shared" si="582"/>
        <v>0</v>
      </c>
      <c r="E1786" s="437"/>
      <c r="F1786" s="439">
        <f t="shared" si="583"/>
        <v>0</v>
      </c>
      <c r="G1786" s="439">
        <f t="shared" si="584"/>
        <v>0</v>
      </c>
    </row>
    <row r="1787" spans="1:7" ht="19.899999999999999" customHeight="1" x14ac:dyDescent="0.2">
      <c r="A1787" s="482">
        <f t="shared" si="579"/>
        <v>0</v>
      </c>
      <c r="B1787" s="445">
        <f t="shared" si="580"/>
        <v>0</v>
      </c>
      <c r="C1787" s="436">
        <f t="shared" si="581"/>
        <v>0</v>
      </c>
      <c r="D1787" s="493">
        <f t="shared" si="582"/>
        <v>0</v>
      </c>
      <c r="E1787" s="437"/>
      <c r="F1787" s="439">
        <f t="shared" si="583"/>
        <v>0</v>
      </c>
      <c r="G1787" s="439">
        <f t="shared" si="584"/>
        <v>0</v>
      </c>
    </row>
    <row r="1788" spans="1:7" ht="19.899999999999999" customHeight="1" x14ac:dyDescent="0.2">
      <c r="A1788" s="482">
        <f t="shared" si="579"/>
        <v>0</v>
      </c>
      <c r="B1788" s="445">
        <f t="shared" si="580"/>
        <v>0</v>
      </c>
      <c r="C1788" s="436">
        <f t="shared" si="581"/>
        <v>0</v>
      </c>
      <c r="D1788" s="493">
        <f t="shared" si="582"/>
        <v>0</v>
      </c>
      <c r="E1788" s="437"/>
      <c r="F1788" s="439">
        <f t="shared" si="583"/>
        <v>0</v>
      </c>
      <c r="G1788" s="439">
        <f t="shared" si="584"/>
        <v>0</v>
      </c>
    </row>
    <row r="1789" spans="1:7" ht="19.899999999999999" customHeight="1" x14ac:dyDescent="0.2">
      <c r="A1789" s="482">
        <f t="shared" si="579"/>
        <v>0</v>
      </c>
      <c r="B1789" s="445">
        <f t="shared" si="580"/>
        <v>0</v>
      </c>
      <c r="C1789" s="436">
        <f t="shared" si="581"/>
        <v>0</v>
      </c>
      <c r="D1789" s="493">
        <f t="shared" si="582"/>
        <v>0</v>
      </c>
      <c r="E1789" s="437"/>
      <c r="F1789" s="439">
        <f t="shared" si="583"/>
        <v>0</v>
      </c>
      <c r="G1789" s="439">
        <f t="shared" si="584"/>
        <v>0</v>
      </c>
    </row>
    <row r="1790" spans="1:7" ht="19.899999999999999" customHeight="1" x14ac:dyDescent="0.2">
      <c r="A1790" s="480"/>
      <c r="B1790" s="139"/>
      <c r="C1790" s="139"/>
      <c r="D1790" s="426"/>
      <c r="E1790" s="427"/>
      <c r="F1790" s="448" t="s">
        <v>29</v>
      </c>
      <c r="G1790" s="485">
        <f>SUBTOTAL(9,G1779:G1789)</f>
        <v>0</v>
      </c>
    </row>
    <row r="1791" spans="1:7" ht="19.899999999999999" customHeight="1" x14ac:dyDescent="0.2">
      <c r="A1791" s="480"/>
      <c r="B1791" s="139"/>
      <c r="C1791" s="422" t="s">
        <v>983</v>
      </c>
      <c r="D1791" s="426"/>
      <c r="E1791" s="427"/>
      <c r="F1791" s="428"/>
      <c r="G1791" s="481"/>
    </row>
    <row r="1792" spans="1:7" ht="19.899999999999999" customHeight="1" x14ac:dyDescent="0.2">
      <c r="A1792" s="720" t="s">
        <v>576</v>
      </c>
      <c r="B1792" s="721"/>
      <c r="C1792" s="722" t="s">
        <v>0</v>
      </c>
      <c r="D1792" s="722" t="s">
        <v>1725</v>
      </c>
      <c r="E1792" s="724" t="s">
        <v>24</v>
      </c>
      <c r="F1792" s="726" t="s">
        <v>25</v>
      </c>
      <c r="G1792" s="728" t="s">
        <v>26</v>
      </c>
    </row>
    <row r="1793" spans="1:7" ht="19.899999999999999" customHeight="1" x14ac:dyDescent="0.2">
      <c r="A1793" s="444" t="s">
        <v>577</v>
      </c>
      <c r="B1793" s="444" t="s">
        <v>578</v>
      </c>
      <c r="C1793" s="723"/>
      <c r="D1793" s="723"/>
      <c r="E1793" s="725"/>
      <c r="F1793" s="727"/>
      <c r="G1793" s="729"/>
    </row>
    <row r="1794" spans="1:7" ht="19.899999999999999" customHeight="1" x14ac:dyDescent="0.2">
      <c r="A1794" s="482">
        <f>IFERROR(VLOOKUP(C1794,T_Insumos,4,FALSE),0)</f>
        <v>0</v>
      </c>
      <c r="B1794" s="445">
        <f>IFERROR(VLOOKUP(C1794,T_Insumos,5,FALSE),0)</f>
        <v>0</v>
      </c>
      <c r="C1794" s="436"/>
      <c r="D1794" s="493">
        <f>IF(C1794=0,0,"$/tnkm")</f>
        <v>0</v>
      </c>
      <c r="E1794" s="437"/>
      <c r="F1794" s="439">
        <f>IFERROR(VLOOKUP(C1794,T_Insumos,3,FALSE),0)</f>
        <v>0</v>
      </c>
      <c r="G1794" s="439">
        <f>ROUND(E1794*F1794,2)</f>
        <v>0</v>
      </c>
    </row>
    <row r="1795" spans="1:7" ht="19.899999999999999" customHeight="1" x14ac:dyDescent="0.2">
      <c r="A1795" s="482">
        <f>IFERROR(VLOOKUP(C1795,T_Insumos,4,FALSE),0)</f>
        <v>0</v>
      </c>
      <c r="B1795" s="445">
        <f>IFERROR(VLOOKUP(C1795,T_Insumos,5,FALSE),0)</f>
        <v>0</v>
      </c>
      <c r="C1795" s="436"/>
      <c r="D1795" s="493">
        <f>IF(C1795=0,0,"$/tnkm")</f>
        <v>0</v>
      </c>
      <c r="E1795" s="453"/>
      <c r="F1795" s="439">
        <f>IFERROR(VLOOKUP(C1795,T_Insumos,3,FALSE),0)</f>
        <v>0</v>
      </c>
      <c r="G1795" s="439">
        <f t="shared" ref="G1795" si="585">ROUND(E1795*F1795,2)</f>
        <v>0</v>
      </c>
    </row>
    <row r="1796" spans="1:7" ht="19.899999999999999" customHeight="1" x14ac:dyDescent="0.2">
      <c r="A1796" s="480"/>
      <c r="B1796" s="139"/>
      <c r="C1796" s="139"/>
      <c r="D1796" s="426"/>
      <c r="E1796" s="427"/>
      <c r="F1796" s="448" t="s">
        <v>984</v>
      </c>
      <c r="G1796" s="485">
        <f>SUBTOTAL(9,G1794:G1795)</f>
        <v>0</v>
      </c>
    </row>
    <row r="1797" spans="1:7" ht="19.899999999999999" customHeight="1" x14ac:dyDescent="0.2">
      <c r="A1797" s="483"/>
      <c r="B1797" s="426"/>
      <c r="C1797" s="139"/>
      <c r="D1797" s="426"/>
      <c r="E1797" s="427"/>
      <c r="F1797" s="428"/>
      <c r="G1797" s="481"/>
    </row>
    <row r="1798" spans="1:7" ht="19.899999999999999" customHeight="1" x14ac:dyDescent="0.2">
      <c r="A1798" s="541" t="str">
        <f>B1732</f>
        <v>4.4</v>
      </c>
      <c r="B1798" s="538" t="str">
        <f ca="1">C1732</f>
        <v>GPS diferencial</v>
      </c>
      <c r="C1798" s="426"/>
      <c r="D1798" s="426" t="s">
        <v>1704</v>
      </c>
      <c r="E1798" s="539"/>
      <c r="F1798" s="540" t="str">
        <f ca="1">"$/"&amp;G1732</f>
        <v>$/UN.</v>
      </c>
      <c r="G1798" s="490">
        <f>SUBTOTAL(9,G1755:G1797)</f>
        <v>0</v>
      </c>
    </row>
    <row r="1799" spans="1:7" ht="19.899999999999999" customHeight="1" x14ac:dyDescent="0.2">
      <c r="A1799" s="486"/>
      <c r="B1799" s="487"/>
      <c r="C1799" s="488"/>
      <c r="D1799" s="488" t="s">
        <v>1900</v>
      </c>
      <c r="E1799" s="489"/>
      <c r="F1799" s="542" t="str">
        <f ca="1">"$/"&amp;G1732</f>
        <v>$/UN.</v>
      </c>
      <c r="G1799" s="490">
        <f>ROUND(G1798*Coeficiente_Paso,2)</f>
        <v>0</v>
      </c>
    </row>
    <row r="1800" spans="1:7" ht="19.899999999999999" customHeight="1" x14ac:dyDescent="0.2">
      <c r="A1800" s="139"/>
      <c r="B1800" s="139"/>
      <c r="C1800" s="139"/>
      <c r="D1800" s="139"/>
      <c r="E1800" s="139"/>
      <c r="F1800" s="139"/>
      <c r="G1800" s="139"/>
    </row>
    <row r="1801" spans="1:7" ht="19.899999999999999" customHeight="1" x14ac:dyDescent="0.2">
      <c r="A1801" s="730" t="s">
        <v>31</v>
      </c>
      <c r="B1801" s="731"/>
      <c r="C1801" s="731"/>
      <c r="D1801" s="731"/>
      <c r="E1801" s="731"/>
      <c r="F1801" s="731"/>
      <c r="G1801" s="732"/>
    </row>
    <row r="1802" spans="1:7" ht="19.899999999999999" customHeight="1" x14ac:dyDescent="0.2">
      <c r="A1802" s="469" t="s">
        <v>711</v>
      </c>
      <c r="B1802" s="420" t="str">
        <f>Comitente</f>
        <v>DEPARTAMENTO DE HIDRAULICA</v>
      </c>
      <c r="C1802" s="421"/>
      <c r="D1802" s="422"/>
      <c r="E1802" s="422"/>
      <c r="F1802" s="423"/>
      <c r="G1802" s="470"/>
    </row>
    <row r="1803" spans="1:7" ht="19.899999999999999" customHeight="1" x14ac:dyDescent="0.2">
      <c r="A1803" s="469" t="s">
        <v>712</v>
      </c>
      <c r="B1803" s="420">
        <f>Contratista</f>
        <v>0</v>
      </c>
      <c r="C1803" s="424"/>
      <c r="D1803" s="424"/>
      <c r="E1803" s="424"/>
      <c r="F1803" s="420"/>
      <c r="G1803" s="471"/>
    </row>
    <row r="1804" spans="1:7" ht="19.899999999999999" customHeight="1" x14ac:dyDescent="0.2">
      <c r="A1804" s="469" t="s">
        <v>21</v>
      </c>
      <c r="B1804" s="420" t="str">
        <f>Obra</f>
        <v>Encamisado Parcial del Canal de Calle América</v>
      </c>
      <c r="C1804" s="424"/>
      <c r="D1804" s="424"/>
      <c r="E1804" s="424"/>
      <c r="F1804" s="420" t="s">
        <v>32</v>
      </c>
      <c r="G1804" s="471" t="str">
        <f>Fecha_Base</f>
        <v>X/X/2023</v>
      </c>
    </row>
    <row r="1805" spans="1:7" ht="19.899999999999999" customHeight="1" x14ac:dyDescent="0.2">
      <c r="A1805" s="472" t="s">
        <v>710</v>
      </c>
      <c r="B1805" s="425" t="str">
        <f>Ubicación</f>
        <v>Departamento Rawson</v>
      </c>
      <c r="C1805" s="425"/>
      <c r="D1805" s="426"/>
      <c r="E1805" s="427"/>
      <c r="F1805" s="428"/>
      <c r="G1805" s="473"/>
    </row>
    <row r="1806" spans="1:7" ht="19.899999999999999" customHeight="1" x14ac:dyDescent="0.2">
      <c r="A1806" s="472" t="s">
        <v>33</v>
      </c>
      <c r="B1806" s="429" t="str">
        <f>IFERROR(VALUE(LEFT(B1807,FIND(".",B1807)-1)),"")</f>
        <v/>
      </c>
      <c r="C1806" s="139">
        <f ca="1">IFERROR(VLOOKUP(B1806,T_Computo_Presupuesto,2,FALSE),0)</f>
        <v>0</v>
      </c>
      <c r="D1806" s="139"/>
      <c r="E1806" s="427"/>
      <c r="F1806" s="428"/>
      <c r="G1806" s="473"/>
    </row>
    <row r="1807" spans="1:7" ht="19.899999999999999" customHeight="1" x14ac:dyDescent="0.2">
      <c r="A1807" s="472" t="s">
        <v>22</v>
      </c>
      <c r="B1807" s="430" t="str">
        <f>IFERROR(VLOOKUP(COUNTIF($A$1:A1807,"ANALISIS DE PRECIOS"),T_NumeroItem,2,FALSE),"")</f>
        <v/>
      </c>
      <c r="C1807" s="733">
        <f ca="1">IFERROR(VLOOKUP(B1807,T_Computo_Presupuesto,2,FALSE),0)</f>
        <v>0</v>
      </c>
      <c r="D1807" s="733"/>
      <c r="E1807" s="733"/>
      <c r="F1807" s="425" t="s">
        <v>23</v>
      </c>
      <c r="G1807" s="474">
        <f ca="1">IFERROR(VLOOKUP(B1807,T_Computo_Presupuesto,4,FALSE),0)</f>
        <v>0</v>
      </c>
    </row>
    <row r="1808" spans="1:7" ht="19.899999999999999" customHeight="1" x14ac:dyDescent="0.2">
      <c r="A1808" s="472"/>
      <c r="B1808" s="425"/>
      <c r="C1808" s="139"/>
      <c r="D1808" s="426"/>
      <c r="E1808" s="427"/>
      <c r="F1808" s="139"/>
      <c r="G1808" s="475"/>
    </row>
    <row r="1809" spans="1:7" ht="19.899999999999999" customHeight="1" x14ac:dyDescent="0.2">
      <c r="A1809" s="476"/>
      <c r="B1809" s="431"/>
      <c r="C1809" s="432" t="s">
        <v>967</v>
      </c>
      <c r="D1809" s="431"/>
      <c r="E1809" s="431"/>
      <c r="F1809" s="431"/>
      <c r="G1809" s="477"/>
    </row>
    <row r="1810" spans="1:7" ht="19.899999999999999" customHeight="1" x14ac:dyDescent="0.2">
      <c r="A1810" s="472"/>
      <c r="B1810" s="433"/>
      <c r="C1810" s="139"/>
      <c r="D1810" s="426"/>
      <c r="E1810" s="427"/>
      <c r="F1810" s="425"/>
      <c r="G1810" s="474"/>
    </row>
    <row r="1811" spans="1:7" ht="19.899999999999999" customHeight="1" x14ac:dyDescent="0.2">
      <c r="A1811" s="472"/>
      <c r="B1811" s="433"/>
      <c r="C1811" s="434" t="s">
        <v>968</v>
      </c>
      <c r="D1811" s="435" t="s">
        <v>24</v>
      </c>
      <c r="E1811" s="435" t="s">
        <v>969</v>
      </c>
      <c r="F1811" s="435" t="s">
        <v>970</v>
      </c>
      <c r="G1811" s="434" t="s">
        <v>971</v>
      </c>
    </row>
    <row r="1812" spans="1:7" ht="19.899999999999999" customHeight="1" x14ac:dyDescent="0.2">
      <c r="A1812" s="472"/>
      <c r="B1812" s="433"/>
      <c r="C1812" s="436">
        <f>+C1587</f>
        <v>0</v>
      </c>
      <c r="D1812" s="436">
        <f>+D1587</f>
        <v>0</v>
      </c>
      <c r="E1812" s="438">
        <f t="shared" ref="E1812:E1821" si="586">IFERROR(VLOOKUP(C1812,T_Equipos,4,FALSE),0)</f>
        <v>0</v>
      </c>
      <c r="F1812" s="439">
        <f t="shared" ref="F1812:F1821" si="587">IFERROR(VLOOKUP(C1812,T_Equipos,5,FALSE),0)</f>
        <v>0</v>
      </c>
      <c r="G1812" s="439">
        <f>ROUND(D1812*F1812,2)</f>
        <v>0</v>
      </c>
    </row>
    <row r="1813" spans="1:7" ht="19.899999999999999" customHeight="1" x14ac:dyDescent="0.2">
      <c r="A1813" s="472"/>
      <c r="B1813" s="433"/>
      <c r="C1813" s="436">
        <f t="shared" ref="C1813:D1813" si="588">+C1588</f>
        <v>0</v>
      </c>
      <c r="D1813" s="436">
        <f t="shared" si="588"/>
        <v>0</v>
      </c>
      <c r="E1813" s="438">
        <f t="shared" si="586"/>
        <v>0</v>
      </c>
      <c r="F1813" s="439">
        <f t="shared" si="587"/>
        <v>0</v>
      </c>
      <c r="G1813" s="439">
        <f>ROUND(D1813*F1813,2)</f>
        <v>0</v>
      </c>
    </row>
    <row r="1814" spans="1:7" ht="19.899999999999999" customHeight="1" x14ac:dyDescent="0.2">
      <c r="A1814" s="472"/>
      <c r="B1814" s="433"/>
      <c r="C1814" s="436">
        <f t="shared" ref="C1814" si="589">+C1589</f>
        <v>0</v>
      </c>
      <c r="D1814" s="436"/>
      <c r="E1814" s="438">
        <f t="shared" si="586"/>
        <v>0</v>
      </c>
      <c r="F1814" s="439">
        <f t="shared" si="587"/>
        <v>0</v>
      </c>
      <c r="G1814" s="439">
        <f>ROUND(D1814*F1814,2)</f>
        <v>0</v>
      </c>
    </row>
    <row r="1815" spans="1:7" ht="19.899999999999999" customHeight="1" x14ac:dyDescent="0.2">
      <c r="A1815" s="472"/>
      <c r="B1815" s="433"/>
      <c r="C1815" s="436">
        <f t="shared" ref="C1815" si="590">+C1590</f>
        <v>0</v>
      </c>
      <c r="D1815" s="436"/>
      <c r="E1815" s="438">
        <f t="shared" si="586"/>
        <v>0</v>
      </c>
      <c r="F1815" s="439">
        <f t="shared" si="587"/>
        <v>0</v>
      </c>
      <c r="G1815" s="439">
        <f>ROUND(D1815*F1815,2)</f>
        <v>0</v>
      </c>
    </row>
    <row r="1816" spans="1:7" ht="19.899999999999999" customHeight="1" x14ac:dyDescent="0.2">
      <c r="A1816" s="472"/>
      <c r="B1816" s="433"/>
      <c r="C1816" s="436">
        <f t="shared" ref="C1816" si="591">+C1591</f>
        <v>0</v>
      </c>
      <c r="D1816" s="436"/>
      <c r="E1816" s="438">
        <f t="shared" si="586"/>
        <v>0</v>
      </c>
      <c r="F1816" s="439">
        <f t="shared" si="587"/>
        <v>0</v>
      </c>
      <c r="G1816" s="439">
        <f t="shared" ref="G1816:G1821" si="592">ROUND(D1816*F1816,2)</f>
        <v>0</v>
      </c>
    </row>
    <row r="1817" spans="1:7" ht="19.899999999999999" customHeight="1" x14ac:dyDescent="0.2">
      <c r="A1817" s="472"/>
      <c r="B1817" s="433"/>
      <c r="C1817" s="436">
        <f t="shared" ref="C1817" si="593">+C1592</f>
        <v>0</v>
      </c>
      <c r="D1817" s="436"/>
      <c r="E1817" s="438">
        <f t="shared" si="586"/>
        <v>0</v>
      </c>
      <c r="F1817" s="439">
        <f t="shared" si="587"/>
        <v>0</v>
      </c>
      <c r="G1817" s="439">
        <f t="shared" si="592"/>
        <v>0</v>
      </c>
    </row>
    <row r="1818" spans="1:7" ht="19.899999999999999" customHeight="1" x14ac:dyDescent="0.2">
      <c r="A1818" s="472"/>
      <c r="B1818" s="433"/>
      <c r="C1818" s="436">
        <f t="shared" ref="C1818:D1818" si="594">+C1593</f>
        <v>0</v>
      </c>
      <c r="D1818" s="436">
        <f t="shared" si="594"/>
        <v>0</v>
      </c>
      <c r="E1818" s="438">
        <f t="shared" si="586"/>
        <v>0</v>
      </c>
      <c r="F1818" s="439">
        <f t="shared" si="587"/>
        <v>0</v>
      </c>
      <c r="G1818" s="439">
        <f t="shared" si="592"/>
        <v>0</v>
      </c>
    </row>
    <row r="1819" spans="1:7" ht="19.899999999999999" customHeight="1" x14ac:dyDescent="0.2">
      <c r="A1819" s="472"/>
      <c r="B1819" s="433"/>
      <c r="C1819" s="436">
        <f t="shared" ref="C1819:D1819" si="595">+C1594</f>
        <v>0</v>
      </c>
      <c r="D1819" s="436">
        <f t="shared" si="595"/>
        <v>0</v>
      </c>
      <c r="E1819" s="438">
        <f t="shared" si="586"/>
        <v>0</v>
      </c>
      <c r="F1819" s="439">
        <f t="shared" si="587"/>
        <v>0</v>
      </c>
      <c r="G1819" s="439">
        <f t="shared" si="592"/>
        <v>0</v>
      </c>
    </row>
    <row r="1820" spans="1:7" ht="19.899999999999999" customHeight="1" x14ac:dyDescent="0.2">
      <c r="A1820" s="472"/>
      <c r="B1820" s="433"/>
      <c r="C1820" s="436"/>
      <c r="D1820" s="437"/>
      <c r="E1820" s="438">
        <f t="shared" si="586"/>
        <v>0</v>
      </c>
      <c r="F1820" s="439">
        <f t="shared" si="587"/>
        <v>0</v>
      </c>
      <c r="G1820" s="439">
        <f t="shared" si="592"/>
        <v>0</v>
      </c>
    </row>
    <row r="1821" spans="1:7" ht="19.899999999999999" customHeight="1" x14ac:dyDescent="0.2">
      <c r="A1821" s="472"/>
      <c r="B1821" s="433"/>
      <c r="C1821" s="436"/>
      <c r="D1821" s="437"/>
      <c r="E1821" s="438">
        <f t="shared" si="586"/>
        <v>0</v>
      </c>
      <c r="F1821" s="439">
        <f t="shared" si="587"/>
        <v>0</v>
      </c>
      <c r="G1821" s="439">
        <f t="shared" si="592"/>
        <v>0</v>
      </c>
    </row>
    <row r="1822" spans="1:7" ht="19.899999999999999" customHeight="1" x14ac:dyDescent="0.2">
      <c r="A1822" s="472"/>
      <c r="B1822" s="433"/>
      <c r="C1822" s="139"/>
      <c r="D1822" s="139"/>
      <c r="E1822" s="440"/>
      <c r="F1822" s="425"/>
      <c r="G1822" s="474"/>
    </row>
    <row r="1823" spans="1:7" ht="19.899999999999999" customHeight="1" x14ac:dyDescent="0.2">
      <c r="A1823" s="472"/>
      <c r="B1823" s="139"/>
      <c r="C1823" s="422" t="s">
        <v>972</v>
      </c>
      <c r="D1823" s="425" t="s">
        <v>969</v>
      </c>
      <c r="E1823" s="491">
        <f>SUMPRODUCT(D1812:D1821,E1812:E1821)</f>
        <v>0</v>
      </c>
      <c r="F1823" s="425" t="s">
        <v>973</v>
      </c>
      <c r="G1823" s="492">
        <f>SUM(G1812:G1821)</f>
        <v>0</v>
      </c>
    </row>
    <row r="1824" spans="1:7" ht="19.899999999999999" customHeight="1" x14ac:dyDescent="0.2">
      <c r="A1824" s="472"/>
      <c r="B1824" s="433"/>
      <c r="C1824" s="441"/>
      <c r="D1824" s="440"/>
      <c r="E1824" s="427"/>
      <c r="F1824" s="425"/>
      <c r="G1824" s="478"/>
    </row>
    <row r="1825" spans="1:7" ht="19.899999999999999" customHeight="1" x14ac:dyDescent="0.2">
      <c r="A1825" s="479"/>
      <c r="B1825" s="433"/>
      <c r="C1825" s="425" t="s">
        <v>974</v>
      </c>
      <c r="D1825" s="442">
        <f>IFERROR(VLOOKUP(COUNTIF($A$1:A1825,"ANALISIS DE PRECIOS"),T_Rendimiento_Equipo,5,FALSE),0)</f>
        <v>0</v>
      </c>
      <c r="E1825" s="443" t="str">
        <f ca="1">G1807&amp;"/día"</f>
        <v>0/día</v>
      </c>
      <c r="F1825" s="419"/>
      <c r="G1825" s="474"/>
    </row>
    <row r="1826" spans="1:7" ht="19.899999999999999" customHeight="1" x14ac:dyDescent="0.2">
      <c r="A1826" s="472"/>
      <c r="B1826" s="433"/>
      <c r="C1826" s="139"/>
      <c r="D1826" s="426"/>
      <c r="E1826" s="427"/>
      <c r="F1826" s="425"/>
      <c r="G1826" s="474"/>
    </row>
    <row r="1827" spans="1:7" ht="19.899999999999999" customHeight="1" x14ac:dyDescent="0.2">
      <c r="A1827" s="720" t="s">
        <v>576</v>
      </c>
      <c r="B1827" s="721"/>
      <c r="C1827" s="722" t="s">
        <v>0</v>
      </c>
      <c r="D1827" s="734" t="s">
        <v>1724</v>
      </c>
      <c r="E1827" s="734" t="s">
        <v>1723</v>
      </c>
      <c r="F1827" s="726" t="s">
        <v>975</v>
      </c>
      <c r="G1827" s="728" t="s">
        <v>26</v>
      </c>
    </row>
    <row r="1828" spans="1:7" ht="19.899999999999999" customHeight="1" x14ac:dyDescent="0.2">
      <c r="A1828" s="444" t="s">
        <v>577</v>
      </c>
      <c r="B1828" s="444" t="s">
        <v>578</v>
      </c>
      <c r="C1828" s="723"/>
      <c r="D1828" s="735"/>
      <c r="E1828" s="725"/>
      <c r="F1828" s="727"/>
      <c r="G1828" s="729"/>
    </row>
    <row r="1829" spans="1:7" ht="19.899999999999999" customHeight="1" x14ac:dyDescent="0.2">
      <c r="A1829" s="480"/>
      <c r="B1829" s="139"/>
      <c r="C1829" s="422" t="s">
        <v>976</v>
      </c>
      <c r="D1829" s="427"/>
      <c r="E1829" s="427"/>
      <c r="F1829" s="139"/>
      <c r="G1829" s="481"/>
    </row>
    <row r="1830" spans="1:7" ht="19.899999999999999" customHeight="1" x14ac:dyDescent="0.2">
      <c r="A1830" s="482">
        <f t="shared" ref="A1830:A1838" si="596">IFERROR(VLOOKUP(C1830,T_Insumos,4,FALSE),0)</f>
        <v>0</v>
      </c>
      <c r="B1830" s="445">
        <f t="shared" ref="B1830:B1838" si="597">IFERROR(VLOOKUP(C1830,T_Insumos,5,FALSE),0)</f>
        <v>0</v>
      </c>
      <c r="C1830" s="436">
        <f>+C1530</f>
        <v>0</v>
      </c>
      <c r="D1830" s="446">
        <f t="shared" ref="D1830:D1838" si="598">IFERROR(VLOOKUP(C1830,T_Insumos,3,FALSE),0)</f>
        <v>0</v>
      </c>
      <c r="E1830" s="439">
        <f>D1830*$G$323</f>
        <v>0</v>
      </c>
      <c r="F1830" s="442">
        <f>IF(C1830="",0,IFERROR(VLOOKUP(COUNTIF($A$1:A1830,"ANALISIS DE PRECIOS"),T_Rendimiento_Equipo,5,FALSE),0))</f>
        <v>0</v>
      </c>
      <c r="G1830" s="439">
        <f>IFERROR(ROUND(E1830/F1830,2),0)</f>
        <v>0</v>
      </c>
    </row>
    <row r="1831" spans="1:7" ht="19.899999999999999" customHeight="1" x14ac:dyDescent="0.2">
      <c r="A1831" s="482">
        <f t="shared" si="596"/>
        <v>0</v>
      </c>
      <c r="B1831" s="445">
        <f t="shared" si="597"/>
        <v>0</v>
      </c>
      <c r="C1831" s="436">
        <f t="shared" ref="C1831:C1833" si="599">+C1531</f>
        <v>0</v>
      </c>
      <c r="D1831" s="446">
        <f t="shared" si="598"/>
        <v>0</v>
      </c>
      <c r="E1831" s="439">
        <f t="shared" ref="E1831:E1832" si="600">D1831*$G$323</f>
        <v>0</v>
      </c>
      <c r="F1831" s="442">
        <f>IF(C1831="",0,IFERROR(VLOOKUP(COUNTIF($A$1:A1831,"ANALISIS DE PRECIOS"),T_Rendimiento_Equipo,5,FALSE),0))</f>
        <v>0</v>
      </c>
      <c r="G1831" s="439">
        <f t="shared" ref="G1831:G1838" si="601">IFERROR(ROUND(E1831/F1831,2),0)</f>
        <v>0</v>
      </c>
    </row>
    <row r="1832" spans="1:7" ht="19.899999999999999" customHeight="1" x14ac:dyDescent="0.2">
      <c r="A1832" s="482">
        <f t="shared" si="596"/>
        <v>0</v>
      </c>
      <c r="B1832" s="445">
        <f t="shared" si="597"/>
        <v>0</v>
      </c>
      <c r="C1832" s="436">
        <f t="shared" si="599"/>
        <v>0</v>
      </c>
      <c r="D1832" s="446">
        <f t="shared" si="598"/>
        <v>0</v>
      </c>
      <c r="E1832" s="439">
        <f t="shared" si="600"/>
        <v>0</v>
      </c>
      <c r="F1832" s="442">
        <f>IF(C1832="",0,IFERROR(VLOOKUP(COUNTIF($A$1:A1832,"ANALISIS DE PRECIOS"),T_Rendimiento_Equipo,5,FALSE),0))</f>
        <v>0</v>
      </c>
      <c r="G1832" s="439">
        <f t="shared" si="601"/>
        <v>0</v>
      </c>
    </row>
    <row r="1833" spans="1:7" ht="19.899999999999999" customHeight="1" x14ac:dyDescent="0.2">
      <c r="A1833" s="482">
        <f t="shared" si="596"/>
        <v>0</v>
      </c>
      <c r="B1833" s="445">
        <f t="shared" si="597"/>
        <v>0</v>
      </c>
      <c r="C1833" s="436">
        <f t="shared" si="599"/>
        <v>0</v>
      </c>
      <c r="D1833" s="446">
        <f t="shared" si="598"/>
        <v>0</v>
      </c>
      <c r="E1833" s="439">
        <f>D1833*$E$323</f>
        <v>0</v>
      </c>
      <c r="F1833" s="442">
        <f>IF(C1833="",0,IFERROR(VLOOKUP(COUNTIF($A$1:A1833,"ANALISIS DE PRECIOS"),T_Rendimiento_Equipo,5,FALSE),0))</f>
        <v>0</v>
      </c>
      <c r="G1833" s="439">
        <f t="shared" si="601"/>
        <v>0</v>
      </c>
    </row>
    <row r="1834" spans="1:7" ht="19.899999999999999" customHeight="1" x14ac:dyDescent="0.2">
      <c r="A1834" s="482">
        <f t="shared" si="596"/>
        <v>0</v>
      </c>
      <c r="B1834" s="445">
        <f t="shared" si="597"/>
        <v>0</v>
      </c>
      <c r="C1834" s="447"/>
      <c r="D1834" s="446">
        <f t="shared" si="598"/>
        <v>0</v>
      </c>
      <c r="E1834" s="439"/>
      <c r="F1834" s="442">
        <f>IF(C1834="",0,IFERROR(VLOOKUP(COUNTIF($A$1:A1834,"ANALISIS DE PRECIOS"),T_Rendimiento_Equipo,5,FALSE),0))</f>
        <v>0</v>
      </c>
      <c r="G1834" s="439">
        <f t="shared" si="601"/>
        <v>0</v>
      </c>
    </row>
    <row r="1835" spans="1:7" ht="19.899999999999999" customHeight="1" x14ac:dyDescent="0.2">
      <c r="A1835" s="482">
        <f t="shared" si="596"/>
        <v>0</v>
      </c>
      <c r="B1835" s="445">
        <f t="shared" si="597"/>
        <v>0</v>
      </c>
      <c r="C1835" s="447"/>
      <c r="D1835" s="446">
        <f t="shared" si="598"/>
        <v>0</v>
      </c>
      <c r="E1835" s="439"/>
      <c r="F1835" s="442">
        <f>IF(C1835="",0,IFERROR(VLOOKUP(COUNTIF($A$1:A1835,"ANALISIS DE PRECIOS"),T_Rendimiento_Equipo,5,FALSE),0))</f>
        <v>0</v>
      </c>
      <c r="G1835" s="439">
        <f t="shared" si="601"/>
        <v>0</v>
      </c>
    </row>
    <row r="1836" spans="1:7" ht="19.899999999999999" customHeight="1" x14ac:dyDescent="0.2">
      <c r="A1836" s="482">
        <f t="shared" si="596"/>
        <v>0</v>
      </c>
      <c r="B1836" s="445">
        <f t="shared" si="597"/>
        <v>0</v>
      </c>
      <c r="C1836" s="447"/>
      <c r="D1836" s="446">
        <f t="shared" si="598"/>
        <v>0</v>
      </c>
      <c r="E1836" s="439"/>
      <c r="F1836" s="442">
        <f>IF(C1836="",0,IFERROR(VLOOKUP(COUNTIF($A$1:A1836,"ANALISIS DE PRECIOS"),T_Rendimiento_Equipo,5,FALSE),0))</f>
        <v>0</v>
      </c>
      <c r="G1836" s="439">
        <f t="shared" si="601"/>
        <v>0</v>
      </c>
    </row>
    <row r="1837" spans="1:7" ht="19.899999999999999" customHeight="1" x14ac:dyDescent="0.2">
      <c r="A1837" s="482">
        <f t="shared" si="596"/>
        <v>0</v>
      </c>
      <c r="B1837" s="445">
        <f t="shared" si="597"/>
        <v>0</v>
      </c>
      <c r="C1837" s="447"/>
      <c r="D1837" s="446">
        <f t="shared" si="598"/>
        <v>0</v>
      </c>
      <c r="E1837" s="439"/>
      <c r="F1837" s="442">
        <f>IF(C1837="",0,IFERROR(VLOOKUP(COUNTIF($A$1:A1837,"ANALISIS DE PRECIOS"),T_Rendimiento_Equipo,5,FALSE),0))</f>
        <v>0</v>
      </c>
      <c r="G1837" s="439">
        <f t="shared" si="601"/>
        <v>0</v>
      </c>
    </row>
    <row r="1838" spans="1:7" ht="19.899999999999999" customHeight="1" x14ac:dyDescent="0.2">
      <c r="A1838" s="482">
        <f t="shared" si="596"/>
        <v>0</v>
      </c>
      <c r="B1838" s="445">
        <f t="shared" si="597"/>
        <v>0</v>
      </c>
      <c r="C1838" s="436"/>
      <c r="D1838" s="446">
        <f t="shared" si="598"/>
        <v>0</v>
      </c>
      <c r="E1838" s="439"/>
      <c r="F1838" s="442">
        <f>IF(C1838="",0,IFERROR(VLOOKUP(COUNTIF($A$1:A1838,"ANALISIS DE PRECIOS"),T_Rendimiento_Equipo,5,FALSE),0))</f>
        <v>0</v>
      </c>
      <c r="G1838" s="439">
        <f t="shared" si="601"/>
        <v>0</v>
      </c>
    </row>
    <row r="1839" spans="1:7" ht="19.899999999999999" customHeight="1" x14ac:dyDescent="0.2">
      <c r="A1839" s="483"/>
      <c r="B1839" s="426"/>
      <c r="C1839" s="139"/>
      <c r="D1839" s="426"/>
      <c r="E1839" s="427"/>
      <c r="F1839" s="448" t="s">
        <v>27</v>
      </c>
      <c r="G1839" s="484">
        <f>SUBTOTAL(9,G1830:G1838)</f>
        <v>0</v>
      </c>
    </row>
    <row r="1840" spans="1:7" ht="19.899999999999999" customHeight="1" x14ac:dyDescent="0.2">
      <c r="A1840" s="480"/>
      <c r="B1840" s="139"/>
      <c r="C1840" s="422" t="s">
        <v>713</v>
      </c>
      <c r="D1840" s="426"/>
      <c r="E1840" s="427"/>
      <c r="F1840" s="428"/>
      <c r="G1840" s="481"/>
    </row>
    <row r="1841" spans="1:7" ht="19.899999999999999" customHeight="1" x14ac:dyDescent="0.2">
      <c r="A1841" s="720" t="s">
        <v>576</v>
      </c>
      <c r="B1841" s="721"/>
      <c r="C1841" s="722" t="s">
        <v>0</v>
      </c>
      <c r="D1841" s="724" t="s">
        <v>24</v>
      </c>
      <c r="E1841" s="724" t="s">
        <v>1964</v>
      </c>
      <c r="F1841" s="726" t="s">
        <v>975</v>
      </c>
      <c r="G1841" s="728" t="s">
        <v>26</v>
      </c>
    </row>
    <row r="1842" spans="1:7" ht="19.899999999999999" customHeight="1" x14ac:dyDescent="0.2">
      <c r="A1842" s="444" t="s">
        <v>577</v>
      </c>
      <c r="B1842" s="444" t="s">
        <v>578</v>
      </c>
      <c r="C1842" s="723"/>
      <c r="D1842" s="725"/>
      <c r="E1842" s="725"/>
      <c r="F1842" s="727"/>
      <c r="G1842" s="729"/>
    </row>
    <row r="1843" spans="1:7" ht="19.899999999999999" customHeight="1" x14ac:dyDescent="0.2">
      <c r="A1843" s="482">
        <f t="shared" ref="A1843:A1849" si="602">IFERROR(VLOOKUP(C1843,T_Insumos,4,FALSE),0)</f>
        <v>0</v>
      </c>
      <c r="B1843" s="445">
        <f t="shared" ref="B1843:B1849" si="603">IFERROR(VLOOKUP(C1843,T_Insumos,5,FALSE),0)</f>
        <v>0</v>
      </c>
      <c r="C1843" s="436">
        <f t="shared" ref="C1843:C1846" si="604">+C1618</f>
        <v>0</v>
      </c>
      <c r="D1843" s="442"/>
      <c r="E1843" s="439">
        <f t="shared" ref="E1843:E1849" si="605">IFERROR(VLOOKUP(C1843,T_Insumos,3,FALSE),0)</f>
        <v>0</v>
      </c>
      <c r="F1843" s="442">
        <f>IF(C1843="",0,IFERROR(VLOOKUP(COUNTIF($A$1:A1843,"ANALISIS DE PRECIOS"),T_Rendimiento_Equipo,5,FALSE),0))</f>
        <v>0</v>
      </c>
      <c r="G1843" s="439">
        <f>IFERROR(ROUND(D1843*E1843/F1843,2),0)</f>
        <v>0</v>
      </c>
    </row>
    <row r="1844" spans="1:7" ht="19.899999999999999" customHeight="1" x14ac:dyDescent="0.2">
      <c r="A1844" s="482">
        <f t="shared" si="602"/>
        <v>0</v>
      </c>
      <c r="B1844" s="445">
        <f t="shared" si="603"/>
        <v>0</v>
      </c>
      <c r="C1844" s="436">
        <f t="shared" si="604"/>
        <v>0</v>
      </c>
      <c r="D1844" s="442">
        <v>1</v>
      </c>
      <c r="E1844" s="439">
        <f t="shared" si="605"/>
        <v>0</v>
      </c>
      <c r="F1844" s="442">
        <f>IF(C1844="",0,IFERROR(VLOOKUP(COUNTIF($A$1:A1844,"ANALISIS DE PRECIOS"),T_Rendimiento_Equipo,5,FALSE),0))</f>
        <v>0</v>
      </c>
      <c r="G1844" s="439">
        <f>IFERROR(ROUND(D1844*E1844/F1844,2),0)</f>
        <v>0</v>
      </c>
    </row>
    <row r="1845" spans="1:7" ht="19.899999999999999" customHeight="1" x14ac:dyDescent="0.2">
      <c r="A1845" s="482">
        <f t="shared" si="602"/>
        <v>0</v>
      </c>
      <c r="B1845" s="445">
        <f t="shared" si="603"/>
        <v>0</v>
      </c>
      <c r="C1845" s="436">
        <f t="shared" si="604"/>
        <v>0</v>
      </c>
      <c r="D1845" s="442"/>
      <c r="E1845" s="439">
        <f t="shared" si="605"/>
        <v>0</v>
      </c>
      <c r="F1845" s="442">
        <f>IF(C1845="",0,IFERROR(VLOOKUP(COUNTIF($A$1:A1845,"ANALISIS DE PRECIOS"),T_Rendimiento_Equipo,5,FALSE),0))</f>
        <v>0</v>
      </c>
      <c r="G1845" s="439">
        <f t="shared" ref="G1845:G1849" si="606">IFERROR(ROUND(D1845*E1845/F1845,2),0)</f>
        <v>0</v>
      </c>
    </row>
    <row r="1846" spans="1:7" ht="19.899999999999999" customHeight="1" x14ac:dyDescent="0.2">
      <c r="A1846" s="482">
        <f t="shared" si="602"/>
        <v>0</v>
      </c>
      <c r="B1846" s="445">
        <f t="shared" si="603"/>
        <v>0</v>
      </c>
      <c r="C1846" s="436">
        <f t="shared" si="604"/>
        <v>0</v>
      </c>
      <c r="D1846" s="442">
        <v>2</v>
      </c>
      <c r="E1846" s="439">
        <f t="shared" si="605"/>
        <v>0</v>
      </c>
      <c r="F1846" s="442">
        <f>IF(C1846="",0,IFERROR(VLOOKUP(COUNTIF($A$1:A1846,"ANALISIS DE PRECIOS"),T_Rendimiento_Equipo,5,FALSE),0))</f>
        <v>0</v>
      </c>
      <c r="G1846" s="439">
        <f t="shared" si="606"/>
        <v>0</v>
      </c>
    </row>
    <row r="1847" spans="1:7" ht="19.899999999999999" customHeight="1" x14ac:dyDescent="0.2">
      <c r="A1847" s="482">
        <f t="shared" si="602"/>
        <v>0</v>
      </c>
      <c r="B1847" s="445">
        <f t="shared" si="603"/>
        <v>0</v>
      </c>
      <c r="C1847" s="436"/>
      <c r="D1847" s="442"/>
      <c r="E1847" s="439">
        <f t="shared" si="605"/>
        <v>0</v>
      </c>
      <c r="F1847" s="442">
        <f>IF(C1847="",0,IFERROR(VLOOKUP(COUNTIF($A$1:A1847,"ANALISIS DE PRECIOS"),T_Rendimiento_Equipo,5,FALSE),0))</f>
        <v>0</v>
      </c>
      <c r="G1847" s="439">
        <f t="shared" si="606"/>
        <v>0</v>
      </c>
    </row>
    <row r="1848" spans="1:7" ht="19.899999999999999" customHeight="1" x14ac:dyDescent="0.2">
      <c r="A1848" s="482">
        <f t="shared" si="602"/>
        <v>0</v>
      </c>
      <c r="B1848" s="445">
        <f t="shared" si="603"/>
        <v>0</v>
      </c>
      <c r="C1848" s="436"/>
      <c r="D1848" s="450"/>
      <c r="E1848" s="439">
        <f t="shared" si="605"/>
        <v>0</v>
      </c>
      <c r="F1848" s="442">
        <f>IF(C1848="",0,IFERROR(VLOOKUP(COUNTIF($A$1:A1848,"ANALISIS DE PRECIOS"),T_Rendimiento_Equipo,5,FALSE),0))</f>
        <v>0</v>
      </c>
      <c r="G1848" s="439">
        <f t="shared" si="606"/>
        <v>0</v>
      </c>
    </row>
    <row r="1849" spans="1:7" ht="19.899999999999999" customHeight="1" x14ac:dyDescent="0.2">
      <c r="A1849" s="482">
        <f t="shared" si="602"/>
        <v>0</v>
      </c>
      <c r="B1849" s="445">
        <f t="shared" si="603"/>
        <v>0</v>
      </c>
      <c r="C1849" s="445"/>
      <c r="D1849" s="451"/>
      <c r="E1849" s="439">
        <f t="shared" si="605"/>
        <v>0</v>
      </c>
      <c r="F1849" s="442">
        <f>IF(C1849="",0,IFERROR(VLOOKUP(COUNTIF($A$1:A1849,"ANALISIS DE PRECIOS"),T_Rendimiento_Equipo,5,FALSE),0))</f>
        <v>0</v>
      </c>
      <c r="G1849" s="439">
        <f t="shared" si="606"/>
        <v>0</v>
      </c>
    </row>
    <row r="1850" spans="1:7" ht="19.899999999999999" customHeight="1" x14ac:dyDescent="0.2">
      <c r="A1850" s="483"/>
      <c r="B1850" s="426"/>
      <c r="C1850" s="139"/>
      <c r="D1850" s="426"/>
      <c r="E1850" s="427"/>
      <c r="F1850" s="448" t="s">
        <v>28</v>
      </c>
      <c r="G1850" s="485">
        <f>SUBTOTAL(9,G1843:G1849)</f>
        <v>0</v>
      </c>
    </row>
    <row r="1851" spans="1:7" ht="19.899999999999999" customHeight="1" x14ac:dyDescent="0.2">
      <c r="A1851" s="480"/>
      <c r="B1851" s="139"/>
      <c r="C1851" s="422" t="s">
        <v>982</v>
      </c>
      <c r="D1851" s="426"/>
      <c r="E1851" s="427"/>
      <c r="F1851" s="428"/>
      <c r="G1851" s="481"/>
    </row>
    <row r="1852" spans="1:7" ht="19.899999999999999" customHeight="1" x14ac:dyDescent="0.2">
      <c r="A1852" s="720" t="s">
        <v>576</v>
      </c>
      <c r="B1852" s="721"/>
      <c r="C1852" s="722" t="s">
        <v>0</v>
      </c>
      <c r="D1852" s="722" t="s">
        <v>1725</v>
      </c>
      <c r="E1852" s="724" t="s">
        <v>24</v>
      </c>
      <c r="F1852" s="726" t="s">
        <v>25</v>
      </c>
      <c r="G1852" s="728" t="s">
        <v>26</v>
      </c>
    </row>
    <row r="1853" spans="1:7" ht="19.899999999999999" customHeight="1" x14ac:dyDescent="0.2">
      <c r="A1853" s="444" t="s">
        <v>577</v>
      </c>
      <c r="B1853" s="444" t="s">
        <v>578</v>
      </c>
      <c r="C1853" s="723"/>
      <c r="D1853" s="723"/>
      <c r="E1853" s="725"/>
      <c r="F1853" s="727"/>
      <c r="G1853" s="729"/>
    </row>
    <row r="1854" spans="1:7" ht="19.899999999999999" customHeight="1" x14ac:dyDescent="0.2">
      <c r="A1854" s="482">
        <f t="shared" ref="A1854:A1864" si="607">IFERROR(VLOOKUP(C1854,T_Insumos,4,FALSE),0)</f>
        <v>0</v>
      </c>
      <c r="B1854" s="445">
        <f t="shared" ref="B1854:B1864" si="608">IFERROR(VLOOKUP(C1854,T_Insumos,5,FALSE),0)</f>
        <v>0</v>
      </c>
      <c r="C1854" s="436">
        <f t="shared" ref="C1854:C1864" si="609">+C1629</f>
        <v>0</v>
      </c>
      <c r="D1854" s="493">
        <f t="shared" ref="D1854:D1864" si="610">IFERROR(VLOOKUP(C1854,T_Insumos,2,FALSE),0)</f>
        <v>0</v>
      </c>
      <c r="E1854" s="437"/>
      <c r="F1854" s="439">
        <f t="shared" ref="F1854:F1864" si="611">IFERROR(VLOOKUP(C1854,T_Insumos,3,FALSE),0)</f>
        <v>0</v>
      </c>
      <c r="G1854" s="439">
        <f>ROUND(E1854*F1854,2)</f>
        <v>0</v>
      </c>
    </row>
    <row r="1855" spans="1:7" ht="19.899999999999999" customHeight="1" x14ac:dyDescent="0.2">
      <c r="A1855" s="482">
        <f t="shared" si="607"/>
        <v>0</v>
      </c>
      <c r="B1855" s="445">
        <f t="shared" si="608"/>
        <v>0</v>
      </c>
      <c r="C1855" s="436">
        <f t="shared" si="609"/>
        <v>0</v>
      </c>
      <c r="D1855" s="493">
        <f t="shared" si="610"/>
        <v>0</v>
      </c>
      <c r="E1855" s="437"/>
      <c r="F1855" s="439">
        <f t="shared" si="611"/>
        <v>0</v>
      </c>
      <c r="G1855" s="439">
        <f t="shared" ref="G1855:G1864" si="612">ROUND(E1855*F1855,2)</f>
        <v>0</v>
      </c>
    </row>
    <row r="1856" spans="1:7" ht="19.899999999999999" customHeight="1" x14ac:dyDescent="0.2">
      <c r="A1856" s="482">
        <f t="shared" si="607"/>
        <v>0</v>
      </c>
      <c r="B1856" s="445">
        <f t="shared" si="608"/>
        <v>0</v>
      </c>
      <c r="C1856" s="436">
        <f t="shared" si="609"/>
        <v>0</v>
      </c>
      <c r="D1856" s="493">
        <f t="shared" si="610"/>
        <v>0</v>
      </c>
      <c r="E1856" s="437"/>
      <c r="F1856" s="439">
        <f t="shared" si="611"/>
        <v>0</v>
      </c>
      <c r="G1856" s="439">
        <f t="shared" si="612"/>
        <v>0</v>
      </c>
    </row>
    <row r="1857" spans="1:7" ht="19.899999999999999" customHeight="1" x14ac:dyDescent="0.2">
      <c r="A1857" s="482">
        <f t="shared" si="607"/>
        <v>0</v>
      </c>
      <c r="B1857" s="445">
        <f t="shared" si="608"/>
        <v>0</v>
      </c>
      <c r="C1857" s="436">
        <f t="shared" si="609"/>
        <v>0</v>
      </c>
      <c r="D1857" s="493">
        <f t="shared" si="610"/>
        <v>0</v>
      </c>
      <c r="E1857" s="437"/>
      <c r="F1857" s="439">
        <f t="shared" si="611"/>
        <v>0</v>
      </c>
      <c r="G1857" s="439">
        <f t="shared" si="612"/>
        <v>0</v>
      </c>
    </row>
    <row r="1858" spans="1:7" ht="19.899999999999999" customHeight="1" x14ac:dyDescent="0.2">
      <c r="A1858" s="482">
        <f t="shared" si="607"/>
        <v>0</v>
      </c>
      <c r="B1858" s="445">
        <f t="shared" si="608"/>
        <v>0</v>
      </c>
      <c r="C1858" s="436">
        <f t="shared" si="609"/>
        <v>0</v>
      </c>
      <c r="D1858" s="493">
        <f t="shared" si="610"/>
        <v>0</v>
      </c>
      <c r="E1858" s="437"/>
      <c r="F1858" s="439">
        <f t="shared" si="611"/>
        <v>0</v>
      </c>
      <c r="G1858" s="439">
        <f t="shared" si="612"/>
        <v>0</v>
      </c>
    </row>
    <row r="1859" spans="1:7" ht="19.899999999999999" customHeight="1" x14ac:dyDescent="0.2">
      <c r="A1859" s="482">
        <f t="shared" si="607"/>
        <v>0</v>
      </c>
      <c r="B1859" s="445">
        <f t="shared" si="608"/>
        <v>0</v>
      </c>
      <c r="C1859" s="436">
        <f t="shared" si="609"/>
        <v>0</v>
      </c>
      <c r="D1859" s="493">
        <f t="shared" si="610"/>
        <v>0</v>
      </c>
      <c r="E1859" s="437"/>
      <c r="F1859" s="439">
        <f t="shared" si="611"/>
        <v>0</v>
      </c>
      <c r="G1859" s="439">
        <f t="shared" si="612"/>
        <v>0</v>
      </c>
    </row>
    <row r="1860" spans="1:7" ht="19.899999999999999" customHeight="1" x14ac:dyDescent="0.2">
      <c r="A1860" s="482">
        <f t="shared" si="607"/>
        <v>0</v>
      </c>
      <c r="B1860" s="445">
        <f t="shared" si="608"/>
        <v>0</v>
      </c>
      <c r="C1860" s="436">
        <f t="shared" si="609"/>
        <v>0</v>
      </c>
      <c r="D1860" s="493">
        <f t="shared" si="610"/>
        <v>0</v>
      </c>
      <c r="E1860" s="437"/>
      <c r="F1860" s="439">
        <f t="shared" si="611"/>
        <v>0</v>
      </c>
      <c r="G1860" s="439">
        <f t="shared" si="612"/>
        <v>0</v>
      </c>
    </row>
    <row r="1861" spans="1:7" ht="19.899999999999999" customHeight="1" x14ac:dyDescent="0.2">
      <c r="A1861" s="482">
        <f t="shared" si="607"/>
        <v>0</v>
      </c>
      <c r="B1861" s="445">
        <f t="shared" si="608"/>
        <v>0</v>
      </c>
      <c r="C1861" s="436">
        <f t="shared" si="609"/>
        <v>0</v>
      </c>
      <c r="D1861" s="493">
        <f t="shared" si="610"/>
        <v>0</v>
      </c>
      <c r="E1861" s="437"/>
      <c r="F1861" s="439">
        <f t="shared" si="611"/>
        <v>0</v>
      </c>
      <c r="G1861" s="439">
        <f t="shared" si="612"/>
        <v>0</v>
      </c>
    </row>
    <row r="1862" spans="1:7" ht="19.899999999999999" customHeight="1" x14ac:dyDescent="0.2">
      <c r="A1862" s="482">
        <f t="shared" si="607"/>
        <v>0</v>
      </c>
      <c r="B1862" s="445">
        <f t="shared" si="608"/>
        <v>0</v>
      </c>
      <c r="C1862" s="436">
        <f t="shared" si="609"/>
        <v>0</v>
      </c>
      <c r="D1862" s="493">
        <f t="shared" si="610"/>
        <v>0</v>
      </c>
      <c r="E1862" s="437"/>
      <c r="F1862" s="439">
        <f t="shared" si="611"/>
        <v>0</v>
      </c>
      <c r="G1862" s="439">
        <f t="shared" si="612"/>
        <v>0</v>
      </c>
    </row>
    <row r="1863" spans="1:7" ht="19.899999999999999" customHeight="1" x14ac:dyDescent="0.2">
      <c r="A1863" s="482">
        <f t="shared" si="607"/>
        <v>0</v>
      </c>
      <c r="B1863" s="445">
        <f t="shared" si="608"/>
        <v>0</v>
      </c>
      <c r="C1863" s="436">
        <f t="shared" si="609"/>
        <v>0</v>
      </c>
      <c r="D1863" s="493">
        <f t="shared" si="610"/>
        <v>0</v>
      </c>
      <c r="E1863" s="437"/>
      <c r="F1863" s="439">
        <f t="shared" si="611"/>
        <v>0</v>
      </c>
      <c r="G1863" s="439">
        <f t="shared" si="612"/>
        <v>0</v>
      </c>
    </row>
    <row r="1864" spans="1:7" ht="19.899999999999999" customHeight="1" x14ac:dyDescent="0.2">
      <c r="A1864" s="482">
        <f t="shared" si="607"/>
        <v>0</v>
      </c>
      <c r="B1864" s="445">
        <f t="shared" si="608"/>
        <v>0</v>
      </c>
      <c r="C1864" s="436">
        <f t="shared" si="609"/>
        <v>0</v>
      </c>
      <c r="D1864" s="493">
        <f t="shared" si="610"/>
        <v>0</v>
      </c>
      <c r="E1864" s="437"/>
      <c r="F1864" s="439">
        <f t="shared" si="611"/>
        <v>0</v>
      </c>
      <c r="G1864" s="439">
        <f t="shared" si="612"/>
        <v>0</v>
      </c>
    </row>
    <row r="1865" spans="1:7" ht="19.899999999999999" customHeight="1" x14ac:dyDescent="0.2">
      <c r="A1865" s="480"/>
      <c r="B1865" s="139"/>
      <c r="C1865" s="139"/>
      <c r="D1865" s="426"/>
      <c r="E1865" s="427"/>
      <c r="F1865" s="448" t="s">
        <v>29</v>
      </c>
      <c r="G1865" s="485">
        <f>SUBTOTAL(9,G1854:G1864)</f>
        <v>0</v>
      </c>
    </row>
    <row r="1866" spans="1:7" ht="19.899999999999999" customHeight="1" x14ac:dyDescent="0.2">
      <c r="A1866" s="480"/>
      <c r="B1866" s="139"/>
      <c r="C1866" s="422" t="s">
        <v>983</v>
      </c>
      <c r="D1866" s="426"/>
      <c r="E1866" s="427"/>
      <c r="F1866" s="428"/>
      <c r="G1866" s="481"/>
    </row>
    <row r="1867" spans="1:7" ht="19.899999999999999" customHeight="1" x14ac:dyDescent="0.2">
      <c r="A1867" s="720" t="s">
        <v>576</v>
      </c>
      <c r="B1867" s="721"/>
      <c r="C1867" s="722" t="s">
        <v>0</v>
      </c>
      <c r="D1867" s="722" t="s">
        <v>1725</v>
      </c>
      <c r="E1867" s="724" t="s">
        <v>24</v>
      </c>
      <c r="F1867" s="726" t="s">
        <v>25</v>
      </c>
      <c r="G1867" s="728" t="s">
        <v>26</v>
      </c>
    </row>
    <row r="1868" spans="1:7" ht="19.899999999999999" customHeight="1" x14ac:dyDescent="0.2">
      <c r="A1868" s="444" t="s">
        <v>577</v>
      </c>
      <c r="B1868" s="444" t="s">
        <v>578</v>
      </c>
      <c r="C1868" s="723"/>
      <c r="D1868" s="723"/>
      <c r="E1868" s="725"/>
      <c r="F1868" s="727"/>
      <c r="G1868" s="729"/>
    </row>
    <row r="1869" spans="1:7" ht="19.899999999999999" customHeight="1" x14ac:dyDescent="0.2">
      <c r="A1869" s="482">
        <f>IFERROR(VLOOKUP(C1869,T_Insumos,4,FALSE),0)</f>
        <v>0</v>
      </c>
      <c r="B1869" s="445">
        <f>IFERROR(VLOOKUP(C1869,T_Insumos,5,FALSE),0)</f>
        <v>0</v>
      </c>
      <c r="C1869" s="436"/>
      <c r="D1869" s="493">
        <f>IF(C1869=0,0,"$/tnkm")</f>
        <v>0</v>
      </c>
      <c r="E1869" s="437"/>
      <c r="F1869" s="439">
        <f>IFERROR(VLOOKUP(C1869,T_Insumos,3,FALSE),0)</f>
        <v>0</v>
      </c>
      <c r="G1869" s="439">
        <f>ROUND(E1869*F1869,2)</f>
        <v>0</v>
      </c>
    </row>
    <row r="1870" spans="1:7" ht="19.899999999999999" customHeight="1" x14ac:dyDescent="0.2">
      <c r="A1870" s="482">
        <f>IFERROR(VLOOKUP(C1870,T_Insumos,4,FALSE),0)</f>
        <v>0</v>
      </c>
      <c r="B1870" s="445">
        <f>IFERROR(VLOOKUP(C1870,T_Insumos,5,FALSE),0)</f>
        <v>0</v>
      </c>
      <c r="C1870" s="436"/>
      <c r="D1870" s="493">
        <f>IF(C1870=0,0,"$/tnkm")</f>
        <v>0</v>
      </c>
      <c r="E1870" s="453"/>
      <c r="F1870" s="439">
        <f>IFERROR(VLOOKUP(C1870,T_Insumos,3,FALSE),0)</f>
        <v>0</v>
      </c>
      <c r="G1870" s="439">
        <f t="shared" ref="G1870" si="613">ROUND(E1870*F1870,2)</f>
        <v>0</v>
      </c>
    </row>
    <row r="1871" spans="1:7" ht="19.899999999999999" customHeight="1" x14ac:dyDescent="0.2">
      <c r="A1871" s="480"/>
      <c r="B1871" s="139"/>
      <c r="C1871" s="139"/>
      <c r="D1871" s="426"/>
      <c r="E1871" s="427"/>
      <c r="F1871" s="448" t="s">
        <v>984</v>
      </c>
      <c r="G1871" s="485">
        <f>SUBTOTAL(9,G1869:G1870)</f>
        <v>0</v>
      </c>
    </row>
    <row r="1872" spans="1:7" ht="19.899999999999999" customHeight="1" x14ac:dyDescent="0.2">
      <c r="A1872" s="483"/>
      <c r="B1872" s="426"/>
      <c r="C1872" s="139"/>
      <c r="D1872" s="426"/>
      <c r="E1872" s="427"/>
      <c r="F1872" s="428"/>
      <c r="G1872" s="481"/>
    </row>
    <row r="1873" spans="1:7" ht="19.899999999999999" customHeight="1" x14ac:dyDescent="0.2">
      <c r="A1873" s="541" t="str">
        <f>B1807</f>
        <v/>
      </c>
      <c r="B1873" s="538">
        <f ca="1">C1807</f>
        <v>0</v>
      </c>
      <c r="C1873" s="426"/>
      <c r="D1873" s="426" t="s">
        <v>1704</v>
      </c>
      <c r="E1873" s="539"/>
      <c r="F1873" s="540" t="str">
        <f ca="1">"$/"&amp;G1807</f>
        <v>$/0</v>
      </c>
      <c r="G1873" s="490">
        <f>SUBTOTAL(9,G1830:G1872)</f>
        <v>0</v>
      </c>
    </row>
    <row r="1874" spans="1:7" ht="19.899999999999999" customHeight="1" x14ac:dyDescent="0.2">
      <c r="A1874" s="486"/>
      <c r="B1874" s="487"/>
      <c r="C1874" s="488"/>
      <c r="D1874" s="488" t="s">
        <v>1900</v>
      </c>
      <c r="E1874" s="489"/>
      <c r="F1874" s="542" t="str">
        <f ca="1">"$/"&amp;G1807</f>
        <v>$/0</v>
      </c>
      <c r="G1874" s="490">
        <f>ROUND(G1873*Coeficiente_Paso,2)</f>
        <v>0</v>
      </c>
    </row>
    <row r="1875" spans="1:7" ht="19.899999999999999" customHeight="1" x14ac:dyDescent="0.2">
      <c r="A1875" s="139"/>
      <c r="B1875" s="139"/>
      <c r="C1875" s="139"/>
      <c r="D1875" s="139"/>
      <c r="E1875" s="139"/>
      <c r="F1875" s="139"/>
      <c r="G1875" s="139"/>
    </row>
    <row r="1876" spans="1:7" ht="19.899999999999999" customHeight="1" x14ac:dyDescent="0.2">
      <c r="A1876" s="730" t="s">
        <v>31</v>
      </c>
      <c r="B1876" s="731"/>
      <c r="C1876" s="731"/>
      <c r="D1876" s="731"/>
      <c r="E1876" s="731"/>
      <c r="F1876" s="731"/>
      <c r="G1876" s="732"/>
    </row>
    <row r="1877" spans="1:7" ht="19.899999999999999" customHeight="1" x14ac:dyDescent="0.2">
      <c r="A1877" s="469" t="s">
        <v>711</v>
      </c>
      <c r="B1877" s="420" t="str">
        <f>Comitente</f>
        <v>DEPARTAMENTO DE HIDRAULICA</v>
      </c>
      <c r="C1877" s="421"/>
      <c r="D1877" s="422"/>
      <c r="E1877" s="422"/>
      <c r="F1877" s="423"/>
      <c r="G1877" s="470"/>
    </row>
    <row r="1878" spans="1:7" ht="19.899999999999999" customHeight="1" x14ac:dyDescent="0.2">
      <c r="A1878" s="469" t="s">
        <v>712</v>
      </c>
      <c r="B1878" s="420">
        <f>Contratista</f>
        <v>0</v>
      </c>
      <c r="C1878" s="424"/>
      <c r="D1878" s="424"/>
      <c r="E1878" s="424"/>
      <c r="F1878" s="420"/>
      <c r="G1878" s="471"/>
    </row>
    <row r="1879" spans="1:7" ht="19.899999999999999" customHeight="1" x14ac:dyDescent="0.2">
      <c r="A1879" s="469" t="s">
        <v>21</v>
      </c>
      <c r="B1879" s="420" t="str">
        <f>Obra</f>
        <v>Encamisado Parcial del Canal de Calle América</v>
      </c>
      <c r="C1879" s="424"/>
      <c r="D1879" s="424"/>
      <c r="E1879" s="424"/>
      <c r="F1879" s="420" t="s">
        <v>32</v>
      </c>
      <c r="G1879" s="471" t="str">
        <f>Fecha_Base</f>
        <v>X/X/2023</v>
      </c>
    </row>
    <row r="1880" spans="1:7" ht="19.899999999999999" customHeight="1" x14ac:dyDescent="0.2">
      <c r="A1880" s="472" t="s">
        <v>710</v>
      </c>
      <c r="B1880" s="425" t="str">
        <f>Ubicación</f>
        <v>Departamento Rawson</v>
      </c>
      <c r="C1880" s="425"/>
      <c r="D1880" s="426"/>
      <c r="E1880" s="427"/>
      <c r="F1880" s="428"/>
      <c r="G1880" s="473"/>
    </row>
    <row r="1881" spans="1:7" ht="19.899999999999999" customHeight="1" x14ac:dyDescent="0.2">
      <c r="A1881" s="472" t="s">
        <v>33</v>
      </c>
      <c r="B1881" s="429" t="str">
        <f>IFERROR(VALUE(LEFT(B1882,FIND(".",B1882)-1)),"")</f>
        <v/>
      </c>
      <c r="C1881" s="139">
        <f ca="1">IFERROR(VLOOKUP(B1881,T_Computo_Presupuesto,2,FALSE),0)</f>
        <v>0</v>
      </c>
      <c r="D1881" s="139"/>
      <c r="E1881" s="427"/>
      <c r="F1881" s="428"/>
      <c r="G1881" s="473"/>
    </row>
    <row r="1882" spans="1:7" ht="19.899999999999999" customHeight="1" x14ac:dyDescent="0.2">
      <c r="A1882" s="472" t="s">
        <v>22</v>
      </c>
      <c r="B1882" s="430" t="str">
        <f>IFERROR(VLOOKUP(COUNTIF($A$1:A1882,"ANALISIS DE PRECIOS"),T_NumeroItem,2,FALSE),"")</f>
        <v/>
      </c>
      <c r="C1882" s="733">
        <f ca="1">IFERROR(VLOOKUP(B1882,T_Computo_Presupuesto,2,FALSE),0)</f>
        <v>0</v>
      </c>
      <c r="D1882" s="733"/>
      <c r="E1882" s="733"/>
      <c r="F1882" s="425" t="s">
        <v>23</v>
      </c>
      <c r="G1882" s="474">
        <f ca="1">IFERROR(VLOOKUP(B1882,T_Computo_Presupuesto,4,FALSE),0)</f>
        <v>0</v>
      </c>
    </row>
    <row r="1883" spans="1:7" ht="19.899999999999999" customHeight="1" x14ac:dyDescent="0.2">
      <c r="A1883" s="472"/>
      <c r="B1883" s="425"/>
      <c r="C1883" s="139"/>
      <c r="D1883" s="426"/>
      <c r="E1883" s="427"/>
      <c r="F1883" s="139"/>
      <c r="G1883" s="475"/>
    </row>
    <row r="1884" spans="1:7" ht="19.899999999999999" customHeight="1" x14ac:dyDescent="0.2">
      <c r="A1884" s="476"/>
      <c r="B1884" s="431"/>
      <c r="C1884" s="432" t="s">
        <v>967</v>
      </c>
      <c r="D1884" s="431"/>
      <c r="E1884" s="431"/>
      <c r="F1884" s="431"/>
      <c r="G1884" s="477"/>
    </row>
    <row r="1885" spans="1:7" ht="19.899999999999999" customHeight="1" x14ac:dyDescent="0.2">
      <c r="A1885" s="472"/>
      <c r="B1885" s="433"/>
      <c r="C1885" s="139"/>
      <c r="D1885" s="426"/>
      <c r="E1885" s="427"/>
      <c r="F1885" s="425"/>
      <c r="G1885" s="474"/>
    </row>
    <row r="1886" spans="1:7" ht="19.899999999999999" customHeight="1" x14ac:dyDescent="0.2">
      <c r="A1886" s="472"/>
      <c r="B1886" s="433"/>
      <c r="C1886" s="434" t="s">
        <v>968</v>
      </c>
      <c r="D1886" s="435" t="s">
        <v>24</v>
      </c>
      <c r="E1886" s="435" t="s">
        <v>969</v>
      </c>
      <c r="F1886" s="435" t="s">
        <v>970</v>
      </c>
      <c r="G1886" s="434" t="s">
        <v>971</v>
      </c>
    </row>
    <row r="1887" spans="1:7" ht="19.899999999999999" customHeight="1" x14ac:dyDescent="0.2">
      <c r="A1887" s="472"/>
      <c r="B1887" s="433"/>
      <c r="C1887" s="436">
        <f>+C1662</f>
        <v>0</v>
      </c>
      <c r="D1887" s="436">
        <f>+D1662</f>
        <v>0</v>
      </c>
      <c r="E1887" s="438">
        <f t="shared" ref="E1887:E1896" si="614">IFERROR(VLOOKUP(C1887,T_Equipos,4,FALSE),0)</f>
        <v>0</v>
      </c>
      <c r="F1887" s="439">
        <f t="shared" ref="F1887:F1896" si="615">IFERROR(VLOOKUP(C1887,T_Equipos,5,FALSE),0)</f>
        <v>0</v>
      </c>
      <c r="G1887" s="439">
        <f>ROUND(D1887*F1887,2)</f>
        <v>0</v>
      </c>
    </row>
    <row r="1888" spans="1:7" ht="19.899999999999999" customHeight="1" x14ac:dyDescent="0.2">
      <c r="A1888" s="472"/>
      <c r="B1888" s="433"/>
      <c r="C1888" s="436">
        <f t="shared" ref="C1888:D1888" si="616">+C1663</f>
        <v>0</v>
      </c>
      <c r="D1888" s="436">
        <f t="shared" si="616"/>
        <v>0</v>
      </c>
      <c r="E1888" s="438">
        <f t="shared" si="614"/>
        <v>0</v>
      </c>
      <c r="F1888" s="439">
        <f t="shared" si="615"/>
        <v>0</v>
      </c>
      <c r="G1888" s="439">
        <f>ROUND(D1888*F1888,2)</f>
        <v>0</v>
      </c>
    </row>
    <row r="1889" spans="1:7" ht="19.899999999999999" customHeight="1" x14ac:dyDescent="0.2">
      <c r="A1889" s="472"/>
      <c r="B1889" s="433"/>
      <c r="C1889" s="436">
        <f t="shared" ref="C1889" si="617">+C1664</f>
        <v>0</v>
      </c>
      <c r="D1889" s="436"/>
      <c r="E1889" s="438">
        <f t="shared" si="614"/>
        <v>0</v>
      </c>
      <c r="F1889" s="439">
        <f t="shared" si="615"/>
        <v>0</v>
      </c>
      <c r="G1889" s="439">
        <f>ROUND(D1889*F1889,2)</f>
        <v>0</v>
      </c>
    </row>
    <row r="1890" spans="1:7" ht="19.899999999999999" customHeight="1" x14ac:dyDescent="0.2">
      <c r="A1890" s="472"/>
      <c r="B1890" s="433"/>
      <c r="C1890" s="436">
        <f t="shared" ref="C1890" si="618">+C1665</f>
        <v>0</v>
      </c>
      <c r="D1890" s="436"/>
      <c r="E1890" s="438">
        <f t="shared" si="614"/>
        <v>0</v>
      </c>
      <c r="F1890" s="439">
        <f t="shared" si="615"/>
        <v>0</v>
      </c>
      <c r="G1890" s="439">
        <f>ROUND(D1890*F1890,2)</f>
        <v>0</v>
      </c>
    </row>
    <row r="1891" spans="1:7" ht="19.899999999999999" customHeight="1" x14ac:dyDescent="0.2">
      <c r="A1891" s="472"/>
      <c r="B1891" s="433"/>
      <c r="C1891" s="436">
        <f t="shared" ref="C1891" si="619">+C1666</f>
        <v>0</v>
      </c>
      <c r="D1891" s="436"/>
      <c r="E1891" s="438">
        <f t="shared" si="614"/>
        <v>0</v>
      </c>
      <c r="F1891" s="439">
        <f t="shared" si="615"/>
        <v>0</v>
      </c>
      <c r="G1891" s="439">
        <f t="shared" ref="G1891:G1896" si="620">ROUND(D1891*F1891,2)</f>
        <v>0</v>
      </c>
    </row>
    <row r="1892" spans="1:7" ht="19.899999999999999" customHeight="1" x14ac:dyDescent="0.2">
      <c r="A1892" s="472"/>
      <c r="B1892" s="433"/>
      <c r="C1892" s="436">
        <f t="shared" ref="C1892" si="621">+C1667</f>
        <v>0</v>
      </c>
      <c r="D1892" s="436"/>
      <c r="E1892" s="438">
        <f t="shared" si="614"/>
        <v>0</v>
      </c>
      <c r="F1892" s="439">
        <f t="shared" si="615"/>
        <v>0</v>
      </c>
      <c r="G1892" s="439">
        <f t="shared" si="620"/>
        <v>0</v>
      </c>
    </row>
    <row r="1893" spans="1:7" ht="19.899999999999999" customHeight="1" x14ac:dyDescent="0.2">
      <c r="A1893" s="472"/>
      <c r="B1893" s="433"/>
      <c r="C1893" s="436">
        <f t="shared" ref="C1893:D1893" si="622">+C1668</f>
        <v>0</v>
      </c>
      <c r="D1893" s="436">
        <f t="shared" si="622"/>
        <v>0</v>
      </c>
      <c r="E1893" s="438">
        <f t="shared" si="614"/>
        <v>0</v>
      </c>
      <c r="F1893" s="439">
        <f t="shared" si="615"/>
        <v>0</v>
      </c>
      <c r="G1893" s="439">
        <f t="shared" si="620"/>
        <v>0</v>
      </c>
    </row>
    <row r="1894" spans="1:7" ht="19.899999999999999" customHeight="1" x14ac:dyDescent="0.2">
      <c r="A1894" s="472"/>
      <c r="B1894" s="433"/>
      <c r="C1894" s="436">
        <f t="shared" ref="C1894:D1894" si="623">+C1669</f>
        <v>0</v>
      </c>
      <c r="D1894" s="436">
        <f t="shared" si="623"/>
        <v>0</v>
      </c>
      <c r="E1894" s="438">
        <f t="shared" si="614"/>
        <v>0</v>
      </c>
      <c r="F1894" s="439">
        <f t="shared" si="615"/>
        <v>0</v>
      </c>
      <c r="G1894" s="439">
        <f t="shared" si="620"/>
        <v>0</v>
      </c>
    </row>
    <row r="1895" spans="1:7" ht="19.899999999999999" customHeight="1" x14ac:dyDescent="0.2">
      <c r="A1895" s="472"/>
      <c r="B1895" s="433"/>
      <c r="C1895" s="436"/>
      <c r="D1895" s="437"/>
      <c r="E1895" s="438">
        <f t="shared" si="614"/>
        <v>0</v>
      </c>
      <c r="F1895" s="439">
        <f t="shared" si="615"/>
        <v>0</v>
      </c>
      <c r="G1895" s="439">
        <f t="shared" si="620"/>
        <v>0</v>
      </c>
    </row>
    <row r="1896" spans="1:7" ht="19.899999999999999" customHeight="1" x14ac:dyDescent="0.2">
      <c r="A1896" s="472"/>
      <c r="B1896" s="433"/>
      <c r="C1896" s="436"/>
      <c r="D1896" s="437"/>
      <c r="E1896" s="438">
        <f t="shared" si="614"/>
        <v>0</v>
      </c>
      <c r="F1896" s="439">
        <f t="shared" si="615"/>
        <v>0</v>
      </c>
      <c r="G1896" s="439">
        <f t="shared" si="620"/>
        <v>0</v>
      </c>
    </row>
    <row r="1897" spans="1:7" ht="19.899999999999999" customHeight="1" x14ac:dyDescent="0.2">
      <c r="A1897" s="472"/>
      <c r="B1897" s="433"/>
      <c r="C1897" s="139"/>
      <c r="D1897" s="139"/>
      <c r="E1897" s="440"/>
      <c r="F1897" s="425"/>
      <c r="G1897" s="474"/>
    </row>
    <row r="1898" spans="1:7" ht="19.899999999999999" customHeight="1" x14ac:dyDescent="0.2">
      <c r="A1898" s="472"/>
      <c r="B1898" s="139"/>
      <c r="C1898" s="422" t="s">
        <v>972</v>
      </c>
      <c r="D1898" s="425" t="s">
        <v>969</v>
      </c>
      <c r="E1898" s="491">
        <f>SUMPRODUCT(D1887:D1896,E1887:E1896)</f>
        <v>0</v>
      </c>
      <c r="F1898" s="425" t="s">
        <v>973</v>
      </c>
      <c r="G1898" s="492">
        <f>SUM(G1887:G1896)</f>
        <v>0</v>
      </c>
    </row>
    <row r="1899" spans="1:7" ht="19.899999999999999" customHeight="1" x14ac:dyDescent="0.2">
      <c r="A1899" s="472"/>
      <c r="B1899" s="433"/>
      <c r="C1899" s="441"/>
      <c r="D1899" s="440"/>
      <c r="E1899" s="427"/>
      <c r="F1899" s="425"/>
      <c r="G1899" s="478"/>
    </row>
    <row r="1900" spans="1:7" ht="19.899999999999999" customHeight="1" x14ac:dyDescent="0.2">
      <c r="A1900" s="479"/>
      <c r="B1900" s="433"/>
      <c r="C1900" s="425" t="s">
        <v>974</v>
      </c>
      <c r="D1900" s="442">
        <f>IFERROR(VLOOKUP(COUNTIF($A$1:A1900,"ANALISIS DE PRECIOS"),T_Rendimiento_Equipo,5,FALSE),0)</f>
        <v>0</v>
      </c>
      <c r="E1900" s="443" t="str">
        <f ca="1">G1882&amp;"/día"</f>
        <v>0/día</v>
      </c>
      <c r="F1900" s="419"/>
      <c r="G1900" s="474"/>
    </row>
    <row r="1901" spans="1:7" ht="19.899999999999999" customHeight="1" x14ac:dyDescent="0.2">
      <c r="A1901" s="472"/>
      <c r="B1901" s="433"/>
      <c r="C1901" s="139"/>
      <c r="D1901" s="426"/>
      <c r="E1901" s="427"/>
      <c r="F1901" s="425"/>
      <c r="G1901" s="474"/>
    </row>
    <row r="1902" spans="1:7" ht="19.899999999999999" customHeight="1" x14ac:dyDescent="0.2">
      <c r="A1902" s="720" t="s">
        <v>576</v>
      </c>
      <c r="B1902" s="721"/>
      <c r="C1902" s="722" t="s">
        <v>0</v>
      </c>
      <c r="D1902" s="734" t="s">
        <v>1724</v>
      </c>
      <c r="E1902" s="734" t="s">
        <v>1723</v>
      </c>
      <c r="F1902" s="726" t="s">
        <v>975</v>
      </c>
      <c r="G1902" s="728" t="s">
        <v>26</v>
      </c>
    </row>
    <row r="1903" spans="1:7" ht="19.899999999999999" customHeight="1" x14ac:dyDescent="0.2">
      <c r="A1903" s="444" t="s">
        <v>577</v>
      </c>
      <c r="B1903" s="444" t="s">
        <v>578</v>
      </c>
      <c r="C1903" s="723"/>
      <c r="D1903" s="735"/>
      <c r="E1903" s="725"/>
      <c r="F1903" s="727"/>
      <c r="G1903" s="729"/>
    </row>
    <row r="1904" spans="1:7" ht="19.899999999999999" customHeight="1" x14ac:dyDescent="0.2">
      <c r="A1904" s="480"/>
      <c r="B1904" s="139"/>
      <c r="C1904" s="422" t="s">
        <v>976</v>
      </c>
      <c r="D1904" s="427"/>
      <c r="E1904" s="427"/>
      <c r="F1904" s="139"/>
      <c r="G1904" s="481"/>
    </row>
    <row r="1905" spans="1:7" ht="19.899999999999999" customHeight="1" x14ac:dyDescent="0.2">
      <c r="A1905" s="482">
        <f t="shared" ref="A1905:A1913" si="624">IFERROR(VLOOKUP(C1905,T_Insumos,4,FALSE),0)</f>
        <v>0</v>
      </c>
      <c r="B1905" s="445">
        <f t="shared" ref="B1905:B1913" si="625">IFERROR(VLOOKUP(C1905,T_Insumos,5,FALSE),0)</f>
        <v>0</v>
      </c>
      <c r="C1905" s="436">
        <f>+C1605</f>
        <v>0</v>
      </c>
      <c r="D1905" s="446">
        <f t="shared" ref="D1905:D1913" si="626">IFERROR(VLOOKUP(C1905,T_Insumos,3,FALSE),0)</f>
        <v>0</v>
      </c>
      <c r="E1905" s="439">
        <f>D1905*$G$323</f>
        <v>0</v>
      </c>
      <c r="F1905" s="442">
        <f>IF(C1905="",0,IFERROR(VLOOKUP(COUNTIF($A$1:A1905,"ANALISIS DE PRECIOS"),T_Rendimiento_Equipo,5,FALSE),0))</f>
        <v>0</v>
      </c>
      <c r="G1905" s="439">
        <f>IFERROR(ROUND(E1905/F1905,2),0)</f>
        <v>0</v>
      </c>
    </row>
    <row r="1906" spans="1:7" ht="19.899999999999999" customHeight="1" x14ac:dyDescent="0.2">
      <c r="A1906" s="482">
        <f t="shared" si="624"/>
        <v>0</v>
      </c>
      <c r="B1906" s="445">
        <f t="shared" si="625"/>
        <v>0</v>
      </c>
      <c r="C1906" s="436">
        <f t="shared" ref="C1906:C1908" si="627">+C1606</f>
        <v>0</v>
      </c>
      <c r="D1906" s="446">
        <f t="shared" si="626"/>
        <v>0</v>
      </c>
      <c r="E1906" s="439">
        <f t="shared" ref="E1906:E1907" si="628">D1906*$G$323</f>
        <v>0</v>
      </c>
      <c r="F1906" s="442">
        <f>IF(C1906="",0,IFERROR(VLOOKUP(COUNTIF($A$1:A1906,"ANALISIS DE PRECIOS"),T_Rendimiento_Equipo,5,FALSE),0))</f>
        <v>0</v>
      </c>
      <c r="G1906" s="439">
        <f t="shared" ref="G1906:G1913" si="629">IFERROR(ROUND(E1906/F1906,2),0)</f>
        <v>0</v>
      </c>
    </row>
    <row r="1907" spans="1:7" ht="19.899999999999999" customHeight="1" x14ac:dyDescent="0.2">
      <c r="A1907" s="482">
        <f t="shared" si="624"/>
        <v>0</v>
      </c>
      <c r="B1907" s="445">
        <f t="shared" si="625"/>
        <v>0</v>
      </c>
      <c r="C1907" s="436">
        <f t="shared" si="627"/>
        <v>0</v>
      </c>
      <c r="D1907" s="446">
        <f t="shared" si="626"/>
        <v>0</v>
      </c>
      <c r="E1907" s="439">
        <f t="shared" si="628"/>
        <v>0</v>
      </c>
      <c r="F1907" s="442">
        <f>IF(C1907="",0,IFERROR(VLOOKUP(COUNTIF($A$1:A1907,"ANALISIS DE PRECIOS"),T_Rendimiento_Equipo,5,FALSE),0))</f>
        <v>0</v>
      </c>
      <c r="G1907" s="439">
        <f t="shared" si="629"/>
        <v>0</v>
      </c>
    </row>
    <row r="1908" spans="1:7" ht="19.899999999999999" customHeight="1" x14ac:dyDescent="0.2">
      <c r="A1908" s="482">
        <f t="shared" si="624"/>
        <v>0</v>
      </c>
      <c r="B1908" s="445">
        <f t="shared" si="625"/>
        <v>0</v>
      </c>
      <c r="C1908" s="436">
        <f t="shared" si="627"/>
        <v>0</v>
      </c>
      <c r="D1908" s="446">
        <f t="shared" si="626"/>
        <v>0</v>
      </c>
      <c r="E1908" s="439">
        <f>D1908*$E$323</f>
        <v>0</v>
      </c>
      <c r="F1908" s="442">
        <f>IF(C1908="",0,IFERROR(VLOOKUP(COUNTIF($A$1:A1908,"ANALISIS DE PRECIOS"),T_Rendimiento_Equipo,5,FALSE),0))</f>
        <v>0</v>
      </c>
      <c r="G1908" s="439">
        <f t="shared" si="629"/>
        <v>0</v>
      </c>
    </row>
    <row r="1909" spans="1:7" ht="19.899999999999999" customHeight="1" x14ac:dyDescent="0.2">
      <c r="A1909" s="482">
        <f t="shared" si="624"/>
        <v>0</v>
      </c>
      <c r="B1909" s="445">
        <f t="shared" si="625"/>
        <v>0</v>
      </c>
      <c r="C1909" s="447"/>
      <c r="D1909" s="446">
        <f t="shared" si="626"/>
        <v>0</v>
      </c>
      <c r="E1909" s="439"/>
      <c r="F1909" s="442">
        <f>IF(C1909="",0,IFERROR(VLOOKUP(COUNTIF($A$1:A1909,"ANALISIS DE PRECIOS"),T_Rendimiento_Equipo,5,FALSE),0))</f>
        <v>0</v>
      </c>
      <c r="G1909" s="439">
        <f t="shared" si="629"/>
        <v>0</v>
      </c>
    </row>
    <row r="1910" spans="1:7" ht="19.899999999999999" customHeight="1" x14ac:dyDescent="0.2">
      <c r="A1910" s="482">
        <f t="shared" si="624"/>
        <v>0</v>
      </c>
      <c r="B1910" s="445">
        <f t="shared" si="625"/>
        <v>0</v>
      </c>
      <c r="C1910" s="447"/>
      <c r="D1910" s="446">
        <f t="shared" si="626"/>
        <v>0</v>
      </c>
      <c r="E1910" s="439"/>
      <c r="F1910" s="442">
        <f>IF(C1910="",0,IFERROR(VLOOKUP(COUNTIF($A$1:A1910,"ANALISIS DE PRECIOS"),T_Rendimiento_Equipo,5,FALSE),0))</f>
        <v>0</v>
      </c>
      <c r="G1910" s="439">
        <f t="shared" si="629"/>
        <v>0</v>
      </c>
    </row>
    <row r="1911" spans="1:7" ht="19.899999999999999" customHeight="1" x14ac:dyDescent="0.2">
      <c r="A1911" s="482">
        <f t="shared" si="624"/>
        <v>0</v>
      </c>
      <c r="B1911" s="445">
        <f t="shared" si="625"/>
        <v>0</v>
      </c>
      <c r="C1911" s="447"/>
      <c r="D1911" s="446">
        <f t="shared" si="626"/>
        <v>0</v>
      </c>
      <c r="E1911" s="439"/>
      <c r="F1911" s="442">
        <f>IF(C1911="",0,IFERROR(VLOOKUP(COUNTIF($A$1:A1911,"ANALISIS DE PRECIOS"),T_Rendimiento_Equipo,5,FALSE),0))</f>
        <v>0</v>
      </c>
      <c r="G1911" s="439">
        <f t="shared" si="629"/>
        <v>0</v>
      </c>
    </row>
    <row r="1912" spans="1:7" ht="19.899999999999999" customHeight="1" x14ac:dyDescent="0.2">
      <c r="A1912" s="482">
        <f t="shared" si="624"/>
        <v>0</v>
      </c>
      <c r="B1912" s="445">
        <f t="shared" si="625"/>
        <v>0</v>
      </c>
      <c r="C1912" s="447"/>
      <c r="D1912" s="446">
        <f t="shared" si="626"/>
        <v>0</v>
      </c>
      <c r="E1912" s="439"/>
      <c r="F1912" s="442">
        <f>IF(C1912="",0,IFERROR(VLOOKUP(COUNTIF($A$1:A1912,"ANALISIS DE PRECIOS"),T_Rendimiento_Equipo,5,FALSE),0))</f>
        <v>0</v>
      </c>
      <c r="G1912" s="439">
        <f t="shared" si="629"/>
        <v>0</v>
      </c>
    </row>
    <row r="1913" spans="1:7" ht="19.899999999999999" customHeight="1" x14ac:dyDescent="0.2">
      <c r="A1913" s="482">
        <f t="shared" si="624"/>
        <v>0</v>
      </c>
      <c r="B1913" s="445">
        <f t="shared" si="625"/>
        <v>0</v>
      </c>
      <c r="C1913" s="436"/>
      <c r="D1913" s="446">
        <f t="shared" si="626"/>
        <v>0</v>
      </c>
      <c r="E1913" s="439"/>
      <c r="F1913" s="442">
        <f>IF(C1913="",0,IFERROR(VLOOKUP(COUNTIF($A$1:A1913,"ANALISIS DE PRECIOS"),T_Rendimiento_Equipo,5,FALSE),0))</f>
        <v>0</v>
      </c>
      <c r="G1913" s="439">
        <f t="shared" si="629"/>
        <v>0</v>
      </c>
    </row>
    <row r="1914" spans="1:7" ht="19.899999999999999" customHeight="1" x14ac:dyDescent="0.2">
      <c r="A1914" s="483"/>
      <c r="B1914" s="426"/>
      <c r="C1914" s="139"/>
      <c r="D1914" s="426"/>
      <c r="E1914" s="427"/>
      <c r="F1914" s="448" t="s">
        <v>27</v>
      </c>
      <c r="G1914" s="484">
        <f>SUBTOTAL(9,G1905:G1913)</f>
        <v>0</v>
      </c>
    </row>
    <row r="1915" spans="1:7" ht="19.899999999999999" customHeight="1" x14ac:dyDescent="0.2">
      <c r="A1915" s="480"/>
      <c r="B1915" s="139"/>
      <c r="C1915" s="422" t="s">
        <v>713</v>
      </c>
      <c r="D1915" s="426"/>
      <c r="E1915" s="427"/>
      <c r="F1915" s="428"/>
      <c r="G1915" s="481"/>
    </row>
    <row r="1916" spans="1:7" ht="19.899999999999999" customHeight="1" x14ac:dyDescent="0.2">
      <c r="A1916" s="720" t="s">
        <v>576</v>
      </c>
      <c r="B1916" s="721"/>
      <c r="C1916" s="722" t="s">
        <v>0</v>
      </c>
      <c r="D1916" s="724" t="s">
        <v>24</v>
      </c>
      <c r="E1916" s="724" t="s">
        <v>1964</v>
      </c>
      <c r="F1916" s="726" t="s">
        <v>975</v>
      </c>
      <c r="G1916" s="728" t="s">
        <v>26</v>
      </c>
    </row>
    <row r="1917" spans="1:7" ht="19.899999999999999" customHeight="1" x14ac:dyDescent="0.2">
      <c r="A1917" s="444" t="s">
        <v>577</v>
      </c>
      <c r="B1917" s="444" t="s">
        <v>578</v>
      </c>
      <c r="C1917" s="723"/>
      <c r="D1917" s="725"/>
      <c r="E1917" s="725"/>
      <c r="F1917" s="727"/>
      <c r="G1917" s="729"/>
    </row>
    <row r="1918" spans="1:7" ht="19.899999999999999" customHeight="1" x14ac:dyDescent="0.2">
      <c r="A1918" s="482">
        <f t="shared" ref="A1918:A1924" si="630">IFERROR(VLOOKUP(C1918,T_Insumos,4,FALSE),0)</f>
        <v>0</v>
      </c>
      <c r="B1918" s="445">
        <f t="shared" ref="B1918:B1924" si="631">IFERROR(VLOOKUP(C1918,T_Insumos,5,FALSE),0)</f>
        <v>0</v>
      </c>
      <c r="C1918" s="436">
        <f t="shared" ref="C1918:C1921" si="632">+C1693</f>
        <v>0</v>
      </c>
      <c r="D1918" s="442"/>
      <c r="E1918" s="439">
        <f t="shared" ref="E1918:E1924" si="633">IFERROR(VLOOKUP(C1918,T_Insumos,3,FALSE),0)</f>
        <v>0</v>
      </c>
      <c r="F1918" s="442">
        <f>IF(C1918="",0,IFERROR(VLOOKUP(COUNTIF($A$1:A1918,"ANALISIS DE PRECIOS"),T_Rendimiento_Equipo,5,FALSE),0))</f>
        <v>0</v>
      </c>
      <c r="G1918" s="439">
        <f>IFERROR(ROUND(D1918*E1918/F1918,2),0)</f>
        <v>0</v>
      </c>
    </row>
    <row r="1919" spans="1:7" ht="19.899999999999999" customHeight="1" x14ac:dyDescent="0.2">
      <c r="A1919" s="482">
        <f t="shared" si="630"/>
        <v>0</v>
      </c>
      <c r="B1919" s="445">
        <f t="shared" si="631"/>
        <v>0</v>
      </c>
      <c r="C1919" s="436">
        <f t="shared" si="632"/>
        <v>0</v>
      </c>
      <c r="D1919" s="442">
        <v>1</v>
      </c>
      <c r="E1919" s="439">
        <f t="shared" si="633"/>
        <v>0</v>
      </c>
      <c r="F1919" s="442">
        <f>IF(C1919="",0,IFERROR(VLOOKUP(COUNTIF($A$1:A1919,"ANALISIS DE PRECIOS"),T_Rendimiento_Equipo,5,FALSE),0))</f>
        <v>0</v>
      </c>
      <c r="G1919" s="439">
        <f>IFERROR(ROUND(D1919*E1919/F1919,2),0)</f>
        <v>0</v>
      </c>
    </row>
    <row r="1920" spans="1:7" ht="19.899999999999999" customHeight="1" x14ac:dyDescent="0.2">
      <c r="A1920" s="482">
        <f t="shared" si="630"/>
        <v>0</v>
      </c>
      <c r="B1920" s="445">
        <f t="shared" si="631"/>
        <v>0</v>
      </c>
      <c r="C1920" s="436">
        <f t="shared" si="632"/>
        <v>0</v>
      </c>
      <c r="D1920" s="442"/>
      <c r="E1920" s="439">
        <f t="shared" si="633"/>
        <v>0</v>
      </c>
      <c r="F1920" s="442">
        <f>IF(C1920="",0,IFERROR(VLOOKUP(COUNTIF($A$1:A1920,"ANALISIS DE PRECIOS"),T_Rendimiento_Equipo,5,FALSE),0))</f>
        <v>0</v>
      </c>
      <c r="G1920" s="439">
        <f t="shared" ref="G1920:G1924" si="634">IFERROR(ROUND(D1920*E1920/F1920,2),0)</f>
        <v>0</v>
      </c>
    </row>
    <row r="1921" spans="1:7" ht="19.899999999999999" customHeight="1" x14ac:dyDescent="0.2">
      <c r="A1921" s="482">
        <f t="shared" si="630"/>
        <v>0</v>
      </c>
      <c r="B1921" s="445">
        <f t="shared" si="631"/>
        <v>0</v>
      </c>
      <c r="C1921" s="436">
        <f t="shared" si="632"/>
        <v>0</v>
      </c>
      <c r="D1921" s="442">
        <v>2</v>
      </c>
      <c r="E1921" s="439">
        <f t="shared" si="633"/>
        <v>0</v>
      </c>
      <c r="F1921" s="442">
        <f>IF(C1921="",0,IFERROR(VLOOKUP(COUNTIF($A$1:A1921,"ANALISIS DE PRECIOS"),T_Rendimiento_Equipo,5,FALSE),0))</f>
        <v>0</v>
      </c>
      <c r="G1921" s="439">
        <f t="shared" si="634"/>
        <v>0</v>
      </c>
    </row>
    <row r="1922" spans="1:7" ht="19.899999999999999" customHeight="1" x14ac:dyDescent="0.2">
      <c r="A1922" s="482">
        <f t="shared" si="630"/>
        <v>0</v>
      </c>
      <c r="B1922" s="445">
        <f t="shared" si="631"/>
        <v>0</v>
      </c>
      <c r="C1922" s="436"/>
      <c r="D1922" s="442"/>
      <c r="E1922" s="439">
        <f t="shared" si="633"/>
        <v>0</v>
      </c>
      <c r="F1922" s="442">
        <f>IF(C1922="",0,IFERROR(VLOOKUP(COUNTIF($A$1:A1922,"ANALISIS DE PRECIOS"),T_Rendimiento_Equipo,5,FALSE),0))</f>
        <v>0</v>
      </c>
      <c r="G1922" s="439">
        <f t="shared" si="634"/>
        <v>0</v>
      </c>
    </row>
    <row r="1923" spans="1:7" ht="19.899999999999999" customHeight="1" x14ac:dyDescent="0.2">
      <c r="A1923" s="482">
        <f t="shared" si="630"/>
        <v>0</v>
      </c>
      <c r="B1923" s="445">
        <f t="shared" si="631"/>
        <v>0</v>
      </c>
      <c r="C1923" s="436"/>
      <c r="D1923" s="450"/>
      <c r="E1923" s="439">
        <f t="shared" si="633"/>
        <v>0</v>
      </c>
      <c r="F1923" s="442">
        <f>IF(C1923="",0,IFERROR(VLOOKUP(COUNTIF($A$1:A1923,"ANALISIS DE PRECIOS"),T_Rendimiento_Equipo,5,FALSE),0))</f>
        <v>0</v>
      </c>
      <c r="G1923" s="439">
        <f t="shared" si="634"/>
        <v>0</v>
      </c>
    </row>
    <row r="1924" spans="1:7" ht="19.899999999999999" customHeight="1" x14ac:dyDescent="0.2">
      <c r="A1924" s="482">
        <f t="shared" si="630"/>
        <v>0</v>
      </c>
      <c r="B1924" s="445">
        <f t="shared" si="631"/>
        <v>0</v>
      </c>
      <c r="C1924" s="445"/>
      <c r="D1924" s="451"/>
      <c r="E1924" s="439">
        <f t="shared" si="633"/>
        <v>0</v>
      </c>
      <c r="F1924" s="442">
        <f>IF(C1924="",0,IFERROR(VLOOKUP(COUNTIF($A$1:A1924,"ANALISIS DE PRECIOS"),T_Rendimiento_Equipo,5,FALSE),0))</f>
        <v>0</v>
      </c>
      <c r="G1924" s="439">
        <f t="shared" si="634"/>
        <v>0</v>
      </c>
    </row>
    <row r="1925" spans="1:7" ht="19.899999999999999" customHeight="1" x14ac:dyDescent="0.2">
      <c r="A1925" s="483"/>
      <c r="B1925" s="426"/>
      <c r="C1925" s="139"/>
      <c r="D1925" s="426"/>
      <c r="E1925" s="427"/>
      <c r="F1925" s="448" t="s">
        <v>28</v>
      </c>
      <c r="G1925" s="485">
        <f>SUBTOTAL(9,G1918:G1924)</f>
        <v>0</v>
      </c>
    </row>
    <row r="1926" spans="1:7" ht="19.899999999999999" customHeight="1" x14ac:dyDescent="0.2">
      <c r="A1926" s="480"/>
      <c r="B1926" s="139"/>
      <c r="C1926" s="422" t="s">
        <v>982</v>
      </c>
      <c r="D1926" s="426"/>
      <c r="E1926" s="427"/>
      <c r="F1926" s="428"/>
      <c r="G1926" s="481"/>
    </row>
    <row r="1927" spans="1:7" ht="19.899999999999999" customHeight="1" x14ac:dyDescent="0.2">
      <c r="A1927" s="720" t="s">
        <v>576</v>
      </c>
      <c r="B1927" s="721"/>
      <c r="C1927" s="722" t="s">
        <v>0</v>
      </c>
      <c r="D1927" s="722" t="s">
        <v>1725</v>
      </c>
      <c r="E1927" s="724" t="s">
        <v>24</v>
      </c>
      <c r="F1927" s="726" t="s">
        <v>25</v>
      </c>
      <c r="G1927" s="728" t="s">
        <v>26</v>
      </c>
    </row>
    <row r="1928" spans="1:7" ht="19.899999999999999" customHeight="1" x14ac:dyDescent="0.2">
      <c r="A1928" s="444" t="s">
        <v>577</v>
      </c>
      <c r="B1928" s="444" t="s">
        <v>578</v>
      </c>
      <c r="C1928" s="723"/>
      <c r="D1928" s="723"/>
      <c r="E1928" s="725"/>
      <c r="F1928" s="727"/>
      <c r="G1928" s="729"/>
    </row>
    <row r="1929" spans="1:7" ht="19.899999999999999" customHeight="1" x14ac:dyDescent="0.2">
      <c r="A1929" s="482">
        <f t="shared" ref="A1929:A1939" si="635">IFERROR(VLOOKUP(C1929,T_Insumos,4,FALSE),0)</f>
        <v>0</v>
      </c>
      <c r="B1929" s="445">
        <f t="shared" ref="B1929:B1939" si="636">IFERROR(VLOOKUP(C1929,T_Insumos,5,FALSE),0)</f>
        <v>0</v>
      </c>
      <c r="C1929" s="436">
        <f t="shared" ref="C1929:C1939" si="637">+C1704</f>
        <v>0</v>
      </c>
      <c r="D1929" s="493">
        <f t="shared" ref="D1929:D1939" si="638">IFERROR(VLOOKUP(C1929,T_Insumos,2,FALSE),0)</f>
        <v>0</v>
      </c>
      <c r="E1929" s="437"/>
      <c r="F1929" s="439">
        <f t="shared" ref="F1929:F1939" si="639">IFERROR(VLOOKUP(C1929,T_Insumos,3,FALSE),0)</f>
        <v>0</v>
      </c>
      <c r="G1929" s="439">
        <f>ROUND(E1929*F1929,2)</f>
        <v>0</v>
      </c>
    </row>
    <row r="1930" spans="1:7" ht="19.899999999999999" customHeight="1" x14ac:dyDescent="0.2">
      <c r="A1930" s="482">
        <f t="shared" si="635"/>
        <v>0</v>
      </c>
      <c r="B1930" s="445">
        <f t="shared" si="636"/>
        <v>0</v>
      </c>
      <c r="C1930" s="436">
        <f t="shared" si="637"/>
        <v>0</v>
      </c>
      <c r="D1930" s="493">
        <f t="shared" si="638"/>
        <v>0</v>
      </c>
      <c r="E1930" s="437"/>
      <c r="F1930" s="439">
        <f t="shared" si="639"/>
        <v>0</v>
      </c>
      <c r="G1930" s="439">
        <f t="shared" ref="G1930:G1939" si="640">ROUND(E1930*F1930,2)</f>
        <v>0</v>
      </c>
    </row>
    <row r="1931" spans="1:7" ht="19.899999999999999" customHeight="1" x14ac:dyDescent="0.2">
      <c r="A1931" s="482">
        <f t="shared" si="635"/>
        <v>0</v>
      </c>
      <c r="B1931" s="445">
        <f t="shared" si="636"/>
        <v>0</v>
      </c>
      <c r="C1931" s="436">
        <f t="shared" si="637"/>
        <v>0</v>
      </c>
      <c r="D1931" s="493">
        <f t="shared" si="638"/>
        <v>0</v>
      </c>
      <c r="E1931" s="437"/>
      <c r="F1931" s="439">
        <f t="shared" si="639"/>
        <v>0</v>
      </c>
      <c r="G1931" s="439">
        <f t="shared" si="640"/>
        <v>0</v>
      </c>
    </row>
    <row r="1932" spans="1:7" ht="19.899999999999999" customHeight="1" x14ac:dyDescent="0.2">
      <c r="A1932" s="482">
        <f t="shared" si="635"/>
        <v>0</v>
      </c>
      <c r="B1932" s="445">
        <f t="shared" si="636"/>
        <v>0</v>
      </c>
      <c r="C1932" s="436">
        <f t="shared" si="637"/>
        <v>0</v>
      </c>
      <c r="D1932" s="493">
        <f t="shared" si="638"/>
        <v>0</v>
      </c>
      <c r="E1932" s="437"/>
      <c r="F1932" s="439">
        <f t="shared" si="639"/>
        <v>0</v>
      </c>
      <c r="G1932" s="439">
        <f t="shared" si="640"/>
        <v>0</v>
      </c>
    </row>
    <row r="1933" spans="1:7" ht="19.899999999999999" customHeight="1" x14ac:dyDescent="0.2">
      <c r="A1933" s="482">
        <f t="shared" si="635"/>
        <v>0</v>
      </c>
      <c r="B1933" s="445">
        <f t="shared" si="636"/>
        <v>0</v>
      </c>
      <c r="C1933" s="436">
        <f t="shared" si="637"/>
        <v>0</v>
      </c>
      <c r="D1933" s="493">
        <f t="shared" si="638"/>
        <v>0</v>
      </c>
      <c r="E1933" s="437"/>
      <c r="F1933" s="439">
        <f t="shared" si="639"/>
        <v>0</v>
      </c>
      <c r="G1933" s="439">
        <f t="shared" si="640"/>
        <v>0</v>
      </c>
    </row>
    <row r="1934" spans="1:7" ht="19.899999999999999" customHeight="1" x14ac:dyDescent="0.2">
      <c r="A1934" s="482">
        <f t="shared" si="635"/>
        <v>0</v>
      </c>
      <c r="B1934" s="445">
        <f t="shared" si="636"/>
        <v>0</v>
      </c>
      <c r="C1934" s="436">
        <f t="shared" si="637"/>
        <v>0</v>
      </c>
      <c r="D1934" s="493">
        <f t="shared" si="638"/>
        <v>0</v>
      </c>
      <c r="E1934" s="437"/>
      <c r="F1934" s="439">
        <f t="shared" si="639"/>
        <v>0</v>
      </c>
      <c r="G1934" s="439">
        <f t="shared" si="640"/>
        <v>0</v>
      </c>
    </row>
    <row r="1935" spans="1:7" ht="19.899999999999999" customHeight="1" x14ac:dyDescent="0.2">
      <c r="A1935" s="482">
        <f t="shared" si="635"/>
        <v>0</v>
      </c>
      <c r="B1935" s="445">
        <f t="shared" si="636"/>
        <v>0</v>
      </c>
      <c r="C1935" s="436">
        <f t="shared" si="637"/>
        <v>0</v>
      </c>
      <c r="D1935" s="493">
        <f t="shared" si="638"/>
        <v>0</v>
      </c>
      <c r="E1935" s="437"/>
      <c r="F1935" s="439">
        <f t="shared" si="639"/>
        <v>0</v>
      </c>
      <c r="G1935" s="439">
        <f t="shared" si="640"/>
        <v>0</v>
      </c>
    </row>
    <row r="1936" spans="1:7" ht="19.899999999999999" customHeight="1" x14ac:dyDescent="0.2">
      <c r="A1936" s="482">
        <f t="shared" si="635"/>
        <v>0</v>
      </c>
      <c r="B1936" s="445">
        <f t="shared" si="636"/>
        <v>0</v>
      </c>
      <c r="C1936" s="436">
        <f t="shared" si="637"/>
        <v>0</v>
      </c>
      <c r="D1936" s="493">
        <f t="shared" si="638"/>
        <v>0</v>
      </c>
      <c r="E1936" s="437"/>
      <c r="F1936" s="439">
        <f t="shared" si="639"/>
        <v>0</v>
      </c>
      <c r="G1936" s="439">
        <f t="shared" si="640"/>
        <v>0</v>
      </c>
    </row>
    <row r="1937" spans="1:7" ht="19.899999999999999" customHeight="1" x14ac:dyDescent="0.2">
      <c r="A1937" s="482">
        <f t="shared" si="635"/>
        <v>0</v>
      </c>
      <c r="B1937" s="445">
        <f t="shared" si="636"/>
        <v>0</v>
      </c>
      <c r="C1937" s="436">
        <f t="shared" si="637"/>
        <v>0</v>
      </c>
      <c r="D1937" s="493">
        <f t="shared" si="638"/>
        <v>0</v>
      </c>
      <c r="E1937" s="437"/>
      <c r="F1937" s="439">
        <f t="shared" si="639"/>
        <v>0</v>
      </c>
      <c r="G1937" s="439">
        <f t="shared" si="640"/>
        <v>0</v>
      </c>
    </row>
    <row r="1938" spans="1:7" ht="19.899999999999999" customHeight="1" x14ac:dyDescent="0.2">
      <c r="A1938" s="482">
        <f t="shared" si="635"/>
        <v>0</v>
      </c>
      <c r="B1938" s="445">
        <f t="shared" si="636"/>
        <v>0</v>
      </c>
      <c r="C1938" s="436">
        <f t="shared" si="637"/>
        <v>0</v>
      </c>
      <c r="D1938" s="493">
        <f t="shared" si="638"/>
        <v>0</v>
      </c>
      <c r="E1938" s="437"/>
      <c r="F1938" s="439">
        <f t="shared" si="639"/>
        <v>0</v>
      </c>
      <c r="G1938" s="439">
        <f t="shared" si="640"/>
        <v>0</v>
      </c>
    </row>
    <row r="1939" spans="1:7" ht="19.899999999999999" customHeight="1" x14ac:dyDescent="0.2">
      <c r="A1939" s="482">
        <f t="shared" si="635"/>
        <v>0</v>
      </c>
      <c r="B1939" s="445">
        <f t="shared" si="636"/>
        <v>0</v>
      </c>
      <c r="C1939" s="436">
        <f t="shared" si="637"/>
        <v>0</v>
      </c>
      <c r="D1939" s="493">
        <f t="shared" si="638"/>
        <v>0</v>
      </c>
      <c r="E1939" s="437"/>
      <c r="F1939" s="439">
        <f t="shared" si="639"/>
        <v>0</v>
      </c>
      <c r="G1939" s="439">
        <f t="shared" si="640"/>
        <v>0</v>
      </c>
    </row>
    <row r="1940" spans="1:7" ht="19.899999999999999" customHeight="1" x14ac:dyDescent="0.2">
      <c r="A1940" s="480"/>
      <c r="B1940" s="139"/>
      <c r="C1940" s="139"/>
      <c r="D1940" s="426"/>
      <c r="E1940" s="427"/>
      <c r="F1940" s="448" t="s">
        <v>29</v>
      </c>
      <c r="G1940" s="485">
        <f>SUBTOTAL(9,G1929:G1939)</f>
        <v>0</v>
      </c>
    </row>
    <row r="1941" spans="1:7" ht="19.899999999999999" customHeight="1" x14ac:dyDescent="0.2">
      <c r="A1941" s="480"/>
      <c r="B1941" s="139"/>
      <c r="C1941" s="422" t="s">
        <v>983</v>
      </c>
      <c r="D1941" s="426"/>
      <c r="E1941" s="427"/>
      <c r="F1941" s="428"/>
      <c r="G1941" s="481"/>
    </row>
    <row r="1942" spans="1:7" ht="19.899999999999999" customHeight="1" x14ac:dyDescent="0.2">
      <c r="A1942" s="720" t="s">
        <v>576</v>
      </c>
      <c r="B1942" s="721"/>
      <c r="C1942" s="722" t="s">
        <v>0</v>
      </c>
      <c r="D1942" s="722" t="s">
        <v>1725</v>
      </c>
      <c r="E1942" s="724" t="s">
        <v>24</v>
      </c>
      <c r="F1942" s="726" t="s">
        <v>25</v>
      </c>
      <c r="G1942" s="728" t="s">
        <v>26</v>
      </c>
    </row>
    <row r="1943" spans="1:7" ht="19.899999999999999" customHeight="1" x14ac:dyDescent="0.2">
      <c r="A1943" s="444" t="s">
        <v>577</v>
      </c>
      <c r="B1943" s="444" t="s">
        <v>578</v>
      </c>
      <c r="C1943" s="723"/>
      <c r="D1943" s="723"/>
      <c r="E1943" s="725"/>
      <c r="F1943" s="727"/>
      <c r="G1943" s="729"/>
    </row>
    <row r="1944" spans="1:7" ht="19.899999999999999" customHeight="1" x14ac:dyDescent="0.2">
      <c r="A1944" s="482">
        <f>IFERROR(VLOOKUP(C1944,T_Insumos,4,FALSE),0)</f>
        <v>0</v>
      </c>
      <c r="B1944" s="445">
        <f>IFERROR(VLOOKUP(C1944,T_Insumos,5,FALSE),0)</f>
        <v>0</v>
      </c>
      <c r="C1944" s="436"/>
      <c r="D1944" s="493">
        <f>IF(C1944=0,0,"$/tnkm")</f>
        <v>0</v>
      </c>
      <c r="E1944" s="437"/>
      <c r="F1944" s="439">
        <f>IFERROR(VLOOKUP(C1944,T_Insumos,3,FALSE),0)</f>
        <v>0</v>
      </c>
      <c r="G1944" s="439">
        <f>ROUND(E1944*F1944,2)</f>
        <v>0</v>
      </c>
    </row>
    <row r="1945" spans="1:7" ht="19.899999999999999" customHeight="1" x14ac:dyDescent="0.2">
      <c r="A1945" s="482">
        <f>IFERROR(VLOOKUP(C1945,T_Insumos,4,FALSE),0)</f>
        <v>0</v>
      </c>
      <c r="B1945" s="445">
        <f>IFERROR(VLOOKUP(C1945,T_Insumos,5,FALSE),0)</f>
        <v>0</v>
      </c>
      <c r="C1945" s="436"/>
      <c r="D1945" s="493">
        <f>IF(C1945=0,0,"$/tnkm")</f>
        <v>0</v>
      </c>
      <c r="E1945" s="453"/>
      <c r="F1945" s="439">
        <f>IFERROR(VLOOKUP(C1945,T_Insumos,3,FALSE),0)</f>
        <v>0</v>
      </c>
      <c r="G1945" s="439">
        <f t="shared" ref="G1945" si="641">ROUND(E1945*F1945,2)</f>
        <v>0</v>
      </c>
    </row>
    <row r="1946" spans="1:7" ht="19.899999999999999" customHeight="1" x14ac:dyDescent="0.2">
      <c r="A1946" s="480"/>
      <c r="B1946" s="139"/>
      <c r="C1946" s="139"/>
      <c r="D1946" s="426"/>
      <c r="E1946" s="427"/>
      <c r="F1946" s="448" t="s">
        <v>984</v>
      </c>
      <c r="G1946" s="485">
        <f>SUBTOTAL(9,G1944:G1945)</f>
        <v>0</v>
      </c>
    </row>
    <row r="1947" spans="1:7" ht="19.899999999999999" customHeight="1" x14ac:dyDescent="0.2">
      <c r="A1947" s="483"/>
      <c r="B1947" s="426"/>
      <c r="C1947" s="139"/>
      <c r="D1947" s="426"/>
      <c r="E1947" s="427"/>
      <c r="F1947" s="428"/>
      <c r="G1947" s="481"/>
    </row>
    <row r="1948" spans="1:7" ht="19.899999999999999" customHeight="1" x14ac:dyDescent="0.2">
      <c r="A1948" s="541" t="str">
        <f>B1882</f>
        <v/>
      </c>
      <c r="B1948" s="538">
        <f ca="1">C1882</f>
        <v>0</v>
      </c>
      <c r="C1948" s="426"/>
      <c r="D1948" s="426" t="s">
        <v>1704</v>
      </c>
      <c r="E1948" s="539"/>
      <c r="F1948" s="540" t="str">
        <f ca="1">"$/"&amp;G1882</f>
        <v>$/0</v>
      </c>
      <c r="G1948" s="490">
        <f>SUBTOTAL(9,G1905:G1947)</f>
        <v>0</v>
      </c>
    </row>
    <row r="1949" spans="1:7" ht="19.899999999999999" customHeight="1" x14ac:dyDescent="0.2">
      <c r="A1949" s="486"/>
      <c r="B1949" s="487"/>
      <c r="C1949" s="488"/>
      <c r="D1949" s="488" t="s">
        <v>1900</v>
      </c>
      <c r="E1949" s="489"/>
      <c r="F1949" s="542" t="str">
        <f ca="1">"$/"&amp;G1882</f>
        <v>$/0</v>
      </c>
      <c r="G1949" s="490">
        <f>ROUND(G1948*Coeficiente_Paso,2)</f>
        <v>0</v>
      </c>
    </row>
    <row r="1950" spans="1:7" ht="19.899999999999999" customHeight="1" x14ac:dyDescent="0.2">
      <c r="A1950" s="139"/>
      <c r="B1950" s="139"/>
      <c r="C1950" s="139"/>
      <c r="D1950" s="139"/>
      <c r="E1950" s="139"/>
      <c r="F1950" s="139"/>
      <c r="G1950" s="139"/>
    </row>
    <row r="1951" spans="1:7" ht="19.899999999999999" customHeight="1" x14ac:dyDescent="0.2">
      <c r="A1951" s="730" t="s">
        <v>31</v>
      </c>
      <c r="B1951" s="731"/>
      <c r="C1951" s="731"/>
      <c r="D1951" s="731"/>
      <c r="E1951" s="731"/>
      <c r="F1951" s="731"/>
      <c r="G1951" s="732"/>
    </row>
    <row r="1952" spans="1:7" ht="19.899999999999999" customHeight="1" x14ac:dyDescent="0.2">
      <c r="A1952" s="469" t="s">
        <v>711</v>
      </c>
      <c r="B1952" s="420" t="str">
        <f>Comitente</f>
        <v>DEPARTAMENTO DE HIDRAULICA</v>
      </c>
      <c r="C1952" s="421"/>
      <c r="D1952" s="422"/>
      <c r="E1952" s="422"/>
      <c r="F1952" s="423"/>
      <c r="G1952" s="470"/>
    </row>
    <row r="1953" spans="1:7" ht="19.899999999999999" customHeight="1" x14ac:dyDescent="0.2">
      <c r="A1953" s="469" t="s">
        <v>712</v>
      </c>
      <c r="B1953" s="420">
        <f>Contratista</f>
        <v>0</v>
      </c>
      <c r="C1953" s="424"/>
      <c r="D1953" s="424"/>
      <c r="E1953" s="424"/>
      <c r="F1953" s="420"/>
      <c r="G1953" s="471"/>
    </row>
    <row r="1954" spans="1:7" ht="19.899999999999999" customHeight="1" x14ac:dyDescent="0.2">
      <c r="A1954" s="469" t="s">
        <v>21</v>
      </c>
      <c r="B1954" s="420" t="str">
        <f>Obra</f>
        <v>Encamisado Parcial del Canal de Calle América</v>
      </c>
      <c r="C1954" s="424"/>
      <c r="D1954" s="424"/>
      <c r="E1954" s="424"/>
      <c r="F1954" s="420" t="s">
        <v>32</v>
      </c>
      <c r="G1954" s="471" t="str">
        <f>Fecha_Base</f>
        <v>X/X/2023</v>
      </c>
    </row>
    <row r="1955" spans="1:7" ht="19.899999999999999" customHeight="1" x14ac:dyDescent="0.2">
      <c r="A1955" s="472" t="s">
        <v>710</v>
      </c>
      <c r="B1955" s="425" t="str">
        <f>Ubicación</f>
        <v>Departamento Rawson</v>
      </c>
      <c r="C1955" s="425"/>
      <c r="D1955" s="426"/>
      <c r="E1955" s="427"/>
      <c r="F1955" s="428"/>
      <c r="G1955" s="473"/>
    </row>
    <row r="1956" spans="1:7" ht="19.899999999999999" customHeight="1" x14ac:dyDescent="0.2">
      <c r="A1956" s="472" t="s">
        <v>33</v>
      </c>
      <c r="B1956" s="429" t="str">
        <f>IFERROR(VALUE(LEFT(B1957,FIND(".",B1957)-1)),"")</f>
        <v/>
      </c>
      <c r="C1956" s="139">
        <f ca="1">IFERROR(VLOOKUP(B1956,T_Computo_Presupuesto,2,FALSE),0)</f>
        <v>0</v>
      </c>
      <c r="D1956" s="139"/>
      <c r="E1956" s="427"/>
      <c r="F1956" s="428"/>
      <c r="G1956" s="473"/>
    </row>
    <row r="1957" spans="1:7" ht="19.899999999999999" customHeight="1" x14ac:dyDescent="0.2">
      <c r="A1957" s="472" t="s">
        <v>22</v>
      </c>
      <c r="B1957" s="430" t="str">
        <f>IFERROR(VLOOKUP(COUNTIF($A$1:A1957,"ANALISIS DE PRECIOS"),T_NumeroItem,2,FALSE),"")</f>
        <v/>
      </c>
      <c r="C1957" s="733">
        <f ca="1">IFERROR(VLOOKUP(B1957,T_Computo_Presupuesto,2,FALSE),0)</f>
        <v>0</v>
      </c>
      <c r="D1957" s="733"/>
      <c r="E1957" s="733"/>
      <c r="F1957" s="425" t="s">
        <v>23</v>
      </c>
      <c r="G1957" s="474">
        <f ca="1">IFERROR(VLOOKUP(B1957,T_Computo_Presupuesto,4,FALSE),0)</f>
        <v>0</v>
      </c>
    </row>
    <row r="1958" spans="1:7" ht="19.899999999999999" customHeight="1" x14ac:dyDescent="0.2">
      <c r="A1958" s="472"/>
      <c r="B1958" s="425"/>
      <c r="C1958" s="139"/>
      <c r="D1958" s="426"/>
      <c r="E1958" s="427"/>
      <c r="F1958" s="139"/>
      <c r="G1958" s="475"/>
    </row>
    <row r="1959" spans="1:7" ht="19.899999999999999" customHeight="1" x14ac:dyDescent="0.2">
      <c r="A1959" s="476"/>
      <c r="B1959" s="431"/>
      <c r="C1959" s="432" t="s">
        <v>967</v>
      </c>
      <c r="D1959" s="431"/>
      <c r="E1959" s="431"/>
      <c r="F1959" s="431"/>
      <c r="G1959" s="477"/>
    </row>
    <row r="1960" spans="1:7" ht="19.899999999999999" customHeight="1" x14ac:dyDescent="0.2">
      <c r="A1960" s="472"/>
      <c r="B1960" s="433"/>
      <c r="C1960" s="139"/>
      <c r="D1960" s="426"/>
      <c r="E1960" s="427"/>
      <c r="F1960" s="425"/>
      <c r="G1960" s="474"/>
    </row>
    <row r="1961" spans="1:7" ht="19.899999999999999" customHeight="1" x14ac:dyDescent="0.2">
      <c r="A1961" s="472"/>
      <c r="B1961" s="433"/>
      <c r="C1961" s="434" t="s">
        <v>968</v>
      </c>
      <c r="D1961" s="435" t="s">
        <v>24</v>
      </c>
      <c r="E1961" s="435" t="s">
        <v>969</v>
      </c>
      <c r="F1961" s="435" t="s">
        <v>970</v>
      </c>
      <c r="G1961" s="434" t="s">
        <v>971</v>
      </c>
    </row>
    <row r="1962" spans="1:7" ht="19.899999999999999" customHeight="1" x14ac:dyDescent="0.2">
      <c r="A1962" s="472"/>
      <c r="B1962" s="433"/>
      <c r="C1962" s="436">
        <f>+C1737</f>
        <v>0</v>
      </c>
      <c r="D1962" s="436">
        <f>+D1737</f>
        <v>0</v>
      </c>
      <c r="E1962" s="438">
        <f t="shared" ref="E1962:E1971" si="642">IFERROR(VLOOKUP(C1962,T_Equipos,4,FALSE),0)</f>
        <v>0</v>
      </c>
      <c r="F1962" s="439">
        <f t="shared" ref="F1962:F1971" si="643">IFERROR(VLOOKUP(C1962,T_Equipos,5,FALSE),0)</f>
        <v>0</v>
      </c>
      <c r="G1962" s="439">
        <f>ROUND(D1962*F1962,2)</f>
        <v>0</v>
      </c>
    </row>
    <row r="1963" spans="1:7" ht="19.899999999999999" customHeight="1" x14ac:dyDescent="0.2">
      <c r="A1963" s="472"/>
      <c r="B1963" s="433"/>
      <c r="C1963" s="436">
        <f t="shared" ref="C1963:D1963" si="644">+C1738</f>
        <v>0</v>
      </c>
      <c r="D1963" s="436">
        <f t="shared" si="644"/>
        <v>0</v>
      </c>
      <c r="E1963" s="438">
        <f t="shared" si="642"/>
        <v>0</v>
      </c>
      <c r="F1963" s="439">
        <f t="shared" si="643"/>
        <v>0</v>
      </c>
      <c r="G1963" s="439">
        <f>ROUND(D1963*F1963,2)</f>
        <v>0</v>
      </c>
    </row>
    <row r="1964" spans="1:7" ht="19.899999999999999" customHeight="1" x14ac:dyDescent="0.2">
      <c r="A1964" s="472"/>
      <c r="B1964" s="433"/>
      <c r="C1964" s="436">
        <f t="shared" ref="C1964" si="645">+C1739</f>
        <v>0</v>
      </c>
      <c r="D1964" s="436"/>
      <c r="E1964" s="438">
        <f t="shared" si="642"/>
        <v>0</v>
      </c>
      <c r="F1964" s="439">
        <f t="shared" si="643"/>
        <v>0</v>
      </c>
      <c r="G1964" s="439">
        <f>ROUND(D1964*F1964,2)</f>
        <v>0</v>
      </c>
    </row>
    <row r="1965" spans="1:7" ht="19.899999999999999" customHeight="1" x14ac:dyDescent="0.2">
      <c r="A1965" s="472"/>
      <c r="B1965" s="433"/>
      <c r="C1965" s="436">
        <f t="shared" ref="C1965" si="646">+C1740</f>
        <v>0</v>
      </c>
      <c r="D1965" s="436"/>
      <c r="E1965" s="438">
        <f t="shared" si="642"/>
        <v>0</v>
      </c>
      <c r="F1965" s="439">
        <f t="shared" si="643"/>
        <v>0</v>
      </c>
      <c r="G1965" s="439">
        <f>ROUND(D1965*F1965,2)</f>
        <v>0</v>
      </c>
    </row>
    <row r="1966" spans="1:7" ht="19.899999999999999" customHeight="1" x14ac:dyDescent="0.2">
      <c r="A1966" s="472"/>
      <c r="B1966" s="433"/>
      <c r="C1966" s="436">
        <f t="shared" ref="C1966" si="647">+C1741</f>
        <v>0</v>
      </c>
      <c r="D1966" s="436"/>
      <c r="E1966" s="438">
        <f t="shared" si="642"/>
        <v>0</v>
      </c>
      <c r="F1966" s="439">
        <f t="shared" si="643"/>
        <v>0</v>
      </c>
      <c r="G1966" s="439">
        <f t="shared" ref="G1966:G1971" si="648">ROUND(D1966*F1966,2)</f>
        <v>0</v>
      </c>
    </row>
    <row r="1967" spans="1:7" ht="19.899999999999999" customHeight="1" x14ac:dyDescent="0.2">
      <c r="A1967" s="472"/>
      <c r="B1967" s="433"/>
      <c r="C1967" s="436">
        <f t="shared" ref="C1967" si="649">+C1742</f>
        <v>0</v>
      </c>
      <c r="D1967" s="436"/>
      <c r="E1967" s="438">
        <f t="shared" si="642"/>
        <v>0</v>
      </c>
      <c r="F1967" s="439">
        <f t="shared" si="643"/>
        <v>0</v>
      </c>
      <c r="G1967" s="439">
        <f t="shared" si="648"/>
        <v>0</v>
      </c>
    </row>
    <row r="1968" spans="1:7" ht="19.899999999999999" customHeight="1" x14ac:dyDescent="0.2">
      <c r="A1968" s="472"/>
      <c r="B1968" s="433"/>
      <c r="C1968" s="436">
        <f t="shared" ref="C1968:D1968" si="650">+C1743</f>
        <v>0</v>
      </c>
      <c r="D1968" s="436">
        <f t="shared" si="650"/>
        <v>0</v>
      </c>
      <c r="E1968" s="438">
        <f t="shared" si="642"/>
        <v>0</v>
      </c>
      <c r="F1968" s="439">
        <f t="shared" si="643"/>
        <v>0</v>
      </c>
      <c r="G1968" s="439">
        <f t="shared" si="648"/>
        <v>0</v>
      </c>
    </row>
    <row r="1969" spans="1:7" ht="19.899999999999999" customHeight="1" x14ac:dyDescent="0.2">
      <c r="A1969" s="472"/>
      <c r="B1969" s="433"/>
      <c r="C1969" s="436">
        <f t="shared" ref="C1969:D1969" si="651">+C1744</f>
        <v>0</v>
      </c>
      <c r="D1969" s="436">
        <f t="shared" si="651"/>
        <v>0</v>
      </c>
      <c r="E1969" s="438">
        <f t="shared" si="642"/>
        <v>0</v>
      </c>
      <c r="F1969" s="439">
        <f t="shared" si="643"/>
        <v>0</v>
      </c>
      <c r="G1969" s="439">
        <f t="shared" si="648"/>
        <v>0</v>
      </c>
    </row>
    <row r="1970" spans="1:7" ht="19.899999999999999" customHeight="1" x14ac:dyDescent="0.2">
      <c r="A1970" s="472"/>
      <c r="B1970" s="433"/>
      <c r="C1970" s="436"/>
      <c r="D1970" s="437"/>
      <c r="E1970" s="438">
        <f t="shared" si="642"/>
        <v>0</v>
      </c>
      <c r="F1970" s="439">
        <f t="shared" si="643"/>
        <v>0</v>
      </c>
      <c r="G1970" s="439">
        <f t="shared" si="648"/>
        <v>0</v>
      </c>
    </row>
    <row r="1971" spans="1:7" ht="19.899999999999999" customHeight="1" x14ac:dyDescent="0.2">
      <c r="A1971" s="472"/>
      <c r="B1971" s="433"/>
      <c r="C1971" s="436"/>
      <c r="D1971" s="437"/>
      <c r="E1971" s="438">
        <f t="shared" si="642"/>
        <v>0</v>
      </c>
      <c r="F1971" s="439">
        <f t="shared" si="643"/>
        <v>0</v>
      </c>
      <c r="G1971" s="439">
        <f t="shared" si="648"/>
        <v>0</v>
      </c>
    </row>
    <row r="1972" spans="1:7" ht="19.899999999999999" customHeight="1" x14ac:dyDescent="0.2">
      <c r="A1972" s="472"/>
      <c r="B1972" s="433"/>
      <c r="C1972" s="139"/>
      <c r="D1972" s="139"/>
      <c r="E1972" s="440"/>
      <c r="F1972" s="425"/>
      <c r="G1972" s="474"/>
    </row>
    <row r="1973" spans="1:7" ht="19.899999999999999" customHeight="1" x14ac:dyDescent="0.2">
      <c r="A1973" s="472"/>
      <c r="B1973" s="139"/>
      <c r="C1973" s="422" t="s">
        <v>972</v>
      </c>
      <c r="D1973" s="425" t="s">
        <v>969</v>
      </c>
      <c r="E1973" s="491">
        <f>SUMPRODUCT(D1962:D1971,E1962:E1971)</f>
        <v>0</v>
      </c>
      <c r="F1973" s="425" t="s">
        <v>973</v>
      </c>
      <c r="G1973" s="492">
        <f>SUM(G1962:G1971)</f>
        <v>0</v>
      </c>
    </row>
    <row r="1974" spans="1:7" ht="19.899999999999999" customHeight="1" x14ac:dyDescent="0.2">
      <c r="A1974" s="472"/>
      <c r="B1974" s="433"/>
      <c r="C1974" s="441"/>
      <c r="D1974" s="440"/>
      <c r="E1974" s="427"/>
      <c r="F1974" s="425"/>
      <c r="G1974" s="478"/>
    </row>
    <row r="1975" spans="1:7" ht="19.899999999999999" customHeight="1" x14ac:dyDescent="0.2">
      <c r="A1975" s="479"/>
      <c r="B1975" s="433"/>
      <c r="C1975" s="425" t="s">
        <v>974</v>
      </c>
      <c r="D1975" s="442">
        <f>IFERROR(VLOOKUP(COUNTIF($A$1:A1975,"ANALISIS DE PRECIOS"),T_Rendimiento_Equipo,5,FALSE),0)</f>
        <v>0</v>
      </c>
      <c r="E1975" s="443" t="str">
        <f ca="1">G1957&amp;"/día"</f>
        <v>0/día</v>
      </c>
      <c r="F1975" s="419"/>
      <c r="G1975" s="474"/>
    </row>
    <row r="1976" spans="1:7" ht="19.899999999999999" customHeight="1" x14ac:dyDescent="0.2">
      <c r="A1976" s="472"/>
      <c r="B1976" s="433"/>
      <c r="C1976" s="139"/>
      <c r="D1976" s="426"/>
      <c r="E1976" s="427"/>
      <c r="F1976" s="425"/>
      <c r="G1976" s="474"/>
    </row>
    <row r="1977" spans="1:7" ht="19.899999999999999" customHeight="1" x14ac:dyDescent="0.2">
      <c r="A1977" s="720" t="s">
        <v>576</v>
      </c>
      <c r="B1977" s="721"/>
      <c r="C1977" s="722" t="s">
        <v>0</v>
      </c>
      <c r="D1977" s="734" t="s">
        <v>1724</v>
      </c>
      <c r="E1977" s="734" t="s">
        <v>1723</v>
      </c>
      <c r="F1977" s="726" t="s">
        <v>975</v>
      </c>
      <c r="G1977" s="728" t="s">
        <v>26</v>
      </c>
    </row>
    <row r="1978" spans="1:7" ht="19.899999999999999" customHeight="1" x14ac:dyDescent="0.2">
      <c r="A1978" s="444" t="s">
        <v>577</v>
      </c>
      <c r="B1978" s="444" t="s">
        <v>578</v>
      </c>
      <c r="C1978" s="723"/>
      <c r="D1978" s="735"/>
      <c r="E1978" s="725"/>
      <c r="F1978" s="727"/>
      <c r="G1978" s="729"/>
    </row>
    <row r="1979" spans="1:7" ht="19.899999999999999" customHeight="1" x14ac:dyDescent="0.2">
      <c r="A1979" s="480"/>
      <c r="B1979" s="139"/>
      <c r="C1979" s="422" t="s">
        <v>976</v>
      </c>
      <c r="D1979" s="427"/>
      <c r="E1979" s="427"/>
      <c r="F1979" s="139"/>
      <c r="G1979" s="481"/>
    </row>
    <row r="1980" spans="1:7" ht="19.899999999999999" customHeight="1" x14ac:dyDescent="0.2">
      <c r="A1980" s="482">
        <f t="shared" ref="A1980:A1988" si="652">IFERROR(VLOOKUP(C1980,T_Insumos,4,FALSE),0)</f>
        <v>0</v>
      </c>
      <c r="B1980" s="445">
        <f t="shared" ref="B1980:B1988" si="653">IFERROR(VLOOKUP(C1980,T_Insumos,5,FALSE),0)</f>
        <v>0</v>
      </c>
      <c r="C1980" s="436">
        <f>+C1680</f>
        <v>0</v>
      </c>
      <c r="D1980" s="446">
        <f t="shared" ref="D1980:D1988" si="654">IFERROR(VLOOKUP(C1980,T_Insumos,3,FALSE),0)</f>
        <v>0</v>
      </c>
      <c r="E1980" s="439">
        <f>D1980*$G$323</f>
        <v>0</v>
      </c>
      <c r="F1980" s="442">
        <f>IF(C1980="",0,IFERROR(VLOOKUP(COUNTIF($A$1:A1980,"ANALISIS DE PRECIOS"),T_Rendimiento_Equipo,5,FALSE),0))</f>
        <v>0</v>
      </c>
      <c r="G1980" s="439">
        <f>IFERROR(ROUND(E1980/F1980,2),0)</f>
        <v>0</v>
      </c>
    </row>
    <row r="1981" spans="1:7" ht="19.899999999999999" customHeight="1" x14ac:dyDescent="0.2">
      <c r="A1981" s="482">
        <f t="shared" si="652"/>
        <v>0</v>
      </c>
      <c r="B1981" s="445">
        <f t="shared" si="653"/>
        <v>0</v>
      </c>
      <c r="C1981" s="436">
        <f t="shared" ref="C1981:C1983" si="655">+C1681</f>
        <v>0</v>
      </c>
      <c r="D1981" s="446">
        <f t="shared" si="654"/>
        <v>0</v>
      </c>
      <c r="E1981" s="439">
        <f t="shared" ref="E1981:E1982" si="656">D1981*$G$323</f>
        <v>0</v>
      </c>
      <c r="F1981" s="442">
        <f>IF(C1981="",0,IFERROR(VLOOKUP(COUNTIF($A$1:A1981,"ANALISIS DE PRECIOS"),T_Rendimiento_Equipo,5,FALSE),0))</f>
        <v>0</v>
      </c>
      <c r="G1981" s="439">
        <f t="shared" ref="G1981:G1988" si="657">IFERROR(ROUND(E1981/F1981,2),0)</f>
        <v>0</v>
      </c>
    </row>
    <row r="1982" spans="1:7" ht="19.899999999999999" customHeight="1" x14ac:dyDescent="0.2">
      <c r="A1982" s="482">
        <f t="shared" si="652"/>
        <v>0</v>
      </c>
      <c r="B1982" s="445">
        <f t="shared" si="653"/>
        <v>0</v>
      </c>
      <c r="C1982" s="436">
        <f t="shared" si="655"/>
        <v>0</v>
      </c>
      <c r="D1982" s="446">
        <f t="shared" si="654"/>
        <v>0</v>
      </c>
      <c r="E1982" s="439">
        <f t="shared" si="656"/>
        <v>0</v>
      </c>
      <c r="F1982" s="442">
        <f>IF(C1982="",0,IFERROR(VLOOKUP(COUNTIF($A$1:A1982,"ANALISIS DE PRECIOS"),T_Rendimiento_Equipo,5,FALSE),0))</f>
        <v>0</v>
      </c>
      <c r="G1982" s="439">
        <f t="shared" si="657"/>
        <v>0</v>
      </c>
    </row>
    <row r="1983" spans="1:7" ht="19.899999999999999" customHeight="1" x14ac:dyDescent="0.2">
      <c r="A1983" s="482">
        <f t="shared" si="652"/>
        <v>0</v>
      </c>
      <c r="B1983" s="445">
        <f t="shared" si="653"/>
        <v>0</v>
      </c>
      <c r="C1983" s="436">
        <f t="shared" si="655"/>
        <v>0</v>
      </c>
      <c r="D1983" s="446">
        <f t="shared" si="654"/>
        <v>0</v>
      </c>
      <c r="E1983" s="439">
        <f>D1983*$E$323</f>
        <v>0</v>
      </c>
      <c r="F1983" s="442">
        <f>IF(C1983="",0,IFERROR(VLOOKUP(COUNTIF($A$1:A1983,"ANALISIS DE PRECIOS"),T_Rendimiento_Equipo,5,FALSE),0))</f>
        <v>0</v>
      </c>
      <c r="G1983" s="439">
        <f t="shared" si="657"/>
        <v>0</v>
      </c>
    </row>
    <row r="1984" spans="1:7" ht="19.899999999999999" customHeight="1" x14ac:dyDescent="0.2">
      <c r="A1984" s="482">
        <f t="shared" si="652"/>
        <v>0</v>
      </c>
      <c r="B1984" s="445">
        <f t="shared" si="653"/>
        <v>0</v>
      </c>
      <c r="C1984" s="447"/>
      <c r="D1984" s="446">
        <f t="shared" si="654"/>
        <v>0</v>
      </c>
      <c r="E1984" s="439"/>
      <c r="F1984" s="442">
        <f>IF(C1984="",0,IFERROR(VLOOKUP(COUNTIF($A$1:A1984,"ANALISIS DE PRECIOS"),T_Rendimiento_Equipo,5,FALSE),0))</f>
        <v>0</v>
      </c>
      <c r="G1984" s="439">
        <f t="shared" si="657"/>
        <v>0</v>
      </c>
    </row>
    <row r="1985" spans="1:7" ht="19.899999999999999" customHeight="1" x14ac:dyDescent="0.2">
      <c r="A1985" s="482">
        <f t="shared" si="652"/>
        <v>0</v>
      </c>
      <c r="B1985" s="445">
        <f t="shared" si="653"/>
        <v>0</v>
      </c>
      <c r="C1985" s="447"/>
      <c r="D1985" s="446">
        <f t="shared" si="654"/>
        <v>0</v>
      </c>
      <c r="E1985" s="439"/>
      <c r="F1985" s="442">
        <f>IF(C1985="",0,IFERROR(VLOOKUP(COUNTIF($A$1:A1985,"ANALISIS DE PRECIOS"),T_Rendimiento_Equipo,5,FALSE),0))</f>
        <v>0</v>
      </c>
      <c r="G1985" s="439">
        <f t="shared" si="657"/>
        <v>0</v>
      </c>
    </row>
    <row r="1986" spans="1:7" ht="19.899999999999999" customHeight="1" x14ac:dyDescent="0.2">
      <c r="A1986" s="482">
        <f t="shared" si="652"/>
        <v>0</v>
      </c>
      <c r="B1986" s="445">
        <f t="shared" si="653"/>
        <v>0</v>
      </c>
      <c r="C1986" s="447"/>
      <c r="D1986" s="446">
        <f t="shared" si="654"/>
        <v>0</v>
      </c>
      <c r="E1986" s="439"/>
      <c r="F1986" s="442">
        <f>IF(C1986="",0,IFERROR(VLOOKUP(COUNTIF($A$1:A1986,"ANALISIS DE PRECIOS"),T_Rendimiento_Equipo,5,FALSE),0))</f>
        <v>0</v>
      </c>
      <c r="G1986" s="439">
        <f t="shared" si="657"/>
        <v>0</v>
      </c>
    </row>
    <row r="1987" spans="1:7" ht="19.899999999999999" customHeight="1" x14ac:dyDescent="0.2">
      <c r="A1987" s="482">
        <f t="shared" si="652"/>
        <v>0</v>
      </c>
      <c r="B1987" s="445">
        <f t="shared" si="653"/>
        <v>0</v>
      </c>
      <c r="C1987" s="447"/>
      <c r="D1987" s="446">
        <f t="shared" si="654"/>
        <v>0</v>
      </c>
      <c r="E1987" s="439"/>
      <c r="F1987" s="442">
        <f>IF(C1987="",0,IFERROR(VLOOKUP(COUNTIF($A$1:A1987,"ANALISIS DE PRECIOS"),T_Rendimiento_Equipo,5,FALSE),0))</f>
        <v>0</v>
      </c>
      <c r="G1987" s="439">
        <f t="shared" si="657"/>
        <v>0</v>
      </c>
    </row>
    <row r="1988" spans="1:7" ht="19.899999999999999" customHeight="1" x14ac:dyDescent="0.2">
      <c r="A1988" s="482">
        <f t="shared" si="652"/>
        <v>0</v>
      </c>
      <c r="B1988" s="445">
        <f t="shared" si="653"/>
        <v>0</v>
      </c>
      <c r="C1988" s="436"/>
      <c r="D1988" s="446">
        <f t="shared" si="654"/>
        <v>0</v>
      </c>
      <c r="E1988" s="439"/>
      <c r="F1988" s="442">
        <f>IF(C1988="",0,IFERROR(VLOOKUP(COUNTIF($A$1:A1988,"ANALISIS DE PRECIOS"),T_Rendimiento_Equipo,5,FALSE),0))</f>
        <v>0</v>
      </c>
      <c r="G1988" s="439">
        <f t="shared" si="657"/>
        <v>0</v>
      </c>
    </row>
    <row r="1989" spans="1:7" ht="19.899999999999999" customHeight="1" x14ac:dyDescent="0.2">
      <c r="A1989" s="483"/>
      <c r="B1989" s="426"/>
      <c r="C1989" s="139"/>
      <c r="D1989" s="426"/>
      <c r="E1989" s="427"/>
      <c r="F1989" s="448" t="s">
        <v>27</v>
      </c>
      <c r="G1989" s="484">
        <f>SUBTOTAL(9,G1980:G1988)</f>
        <v>0</v>
      </c>
    </row>
    <row r="1990" spans="1:7" ht="19.899999999999999" customHeight="1" x14ac:dyDescent="0.2">
      <c r="A1990" s="480"/>
      <c r="B1990" s="139"/>
      <c r="C1990" s="422" t="s">
        <v>713</v>
      </c>
      <c r="D1990" s="426"/>
      <c r="E1990" s="427"/>
      <c r="F1990" s="428"/>
      <c r="G1990" s="481"/>
    </row>
    <row r="1991" spans="1:7" ht="19.899999999999999" customHeight="1" x14ac:dyDescent="0.2">
      <c r="A1991" s="720" t="s">
        <v>576</v>
      </c>
      <c r="B1991" s="721"/>
      <c r="C1991" s="722" t="s">
        <v>0</v>
      </c>
      <c r="D1991" s="724" t="s">
        <v>24</v>
      </c>
      <c r="E1991" s="724" t="s">
        <v>1964</v>
      </c>
      <c r="F1991" s="726" t="s">
        <v>975</v>
      </c>
      <c r="G1991" s="728" t="s">
        <v>26</v>
      </c>
    </row>
    <row r="1992" spans="1:7" ht="19.899999999999999" customHeight="1" x14ac:dyDescent="0.2">
      <c r="A1992" s="444" t="s">
        <v>577</v>
      </c>
      <c r="B1992" s="444" t="s">
        <v>578</v>
      </c>
      <c r="C1992" s="723"/>
      <c r="D1992" s="725"/>
      <c r="E1992" s="725"/>
      <c r="F1992" s="727"/>
      <c r="G1992" s="729"/>
    </row>
    <row r="1993" spans="1:7" ht="19.899999999999999" customHeight="1" x14ac:dyDescent="0.2">
      <c r="A1993" s="482">
        <f t="shared" ref="A1993:A1999" si="658">IFERROR(VLOOKUP(C1993,T_Insumos,4,FALSE),0)</f>
        <v>0</v>
      </c>
      <c r="B1993" s="445">
        <f t="shared" ref="B1993:B1999" si="659">IFERROR(VLOOKUP(C1993,T_Insumos,5,FALSE),0)</f>
        <v>0</v>
      </c>
      <c r="C1993" s="436">
        <f t="shared" ref="C1993:C1996" si="660">+C1768</f>
        <v>0</v>
      </c>
      <c r="D1993" s="442"/>
      <c r="E1993" s="439">
        <f t="shared" ref="E1993:E1999" si="661">IFERROR(VLOOKUP(C1993,T_Insumos,3,FALSE),0)</f>
        <v>0</v>
      </c>
      <c r="F1993" s="442">
        <f>IF(C1993="",0,IFERROR(VLOOKUP(COUNTIF($A$1:A1993,"ANALISIS DE PRECIOS"),T_Rendimiento_Equipo,5,FALSE),0))</f>
        <v>0</v>
      </c>
      <c r="G1993" s="439">
        <f>IFERROR(ROUND(D1993*E1993/F1993,2),0)</f>
        <v>0</v>
      </c>
    </row>
    <row r="1994" spans="1:7" ht="19.899999999999999" customHeight="1" x14ac:dyDescent="0.2">
      <c r="A1994" s="482">
        <f t="shared" si="658"/>
        <v>0</v>
      </c>
      <c r="B1994" s="445">
        <f t="shared" si="659"/>
        <v>0</v>
      </c>
      <c r="C1994" s="436">
        <f t="shared" si="660"/>
        <v>0</v>
      </c>
      <c r="D1994" s="442">
        <v>1</v>
      </c>
      <c r="E1994" s="439">
        <f t="shared" si="661"/>
        <v>0</v>
      </c>
      <c r="F1994" s="442">
        <f>IF(C1994="",0,IFERROR(VLOOKUP(COUNTIF($A$1:A1994,"ANALISIS DE PRECIOS"),T_Rendimiento_Equipo,5,FALSE),0))</f>
        <v>0</v>
      </c>
      <c r="G1994" s="439">
        <f>IFERROR(ROUND(D1994*E1994/F1994,2),0)</f>
        <v>0</v>
      </c>
    </row>
    <row r="1995" spans="1:7" ht="19.899999999999999" customHeight="1" x14ac:dyDescent="0.2">
      <c r="A1995" s="482">
        <f t="shared" si="658"/>
        <v>0</v>
      </c>
      <c r="B1995" s="445">
        <f t="shared" si="659"/>
        <v>0</v>
      </c>
      <c r="C1995" s="436">
        <f t="shared" si="660"/>
        <v>0</v>
      </c>
      <c r="D1995" s="442"/>
      <c r="E1995" s="439">
        <f t="shared" si="661"/>
        <v>0</v>
      </c>
      <c r="F1995" s="442">
        <f>IF(C1995="",0,IFERROR(VLOOKUP(COUNTIF($A$1:A1995,"ANALISIS DE PRECIOS"),T_Rendimiento_Equipo,5,FALSE),0))</f>
        <v>0</v>
      </c>
      <c r="G1995" s="439">
        <f t="shared" ref="G1995:G1999" si="662">IFERROR(ROUND(D1995*E1995/F1995,2),0)</f>
        <v>0</v>
      </c>
    </row>
    <row r="1996" spans="1:7" ht="19.899999999999999" customHeight="1" x14ac:dyDescent="0.2">
      <c r="A1996" s="482">
        <f t="shared" si="658"/>
        <v>0</v>
      </c>
      <c r="B1996" s="445">
        <f t="shared" si="659"/>
        <v>0</v>
      </c>
      <c r="C1996" s="436">
        <f t="shared" si="660"/>
        <v>0</v>
      </c>
      <c r="D1996" s="442">
        <v>2</v>
      </c>
      <c r="E1996" s="439">
        <f t="shared" si="661"/>
        <v>0</v>
      </c>
      <c r="F1996" s="442">
        <f>IF(C1996="",0,IFERROR(VLOOKUP(COUNTIF($A$1:A1996,"ANALISIS DE PRECIOS"),T_Rendimiento_Equipo,5,FALSE),0))</f>
        <v>0</v>
      </c>
      <c r="G1996" s="439">
        <f t="shared" si="662"/>
        <v>0</v>
      </c>
    </row>
    <row r="1997" spans="1:7" ht="19.899999999999999" customHeight="1" x14ac:dyDescent="0.2">
      <c r="A1997" s="482">
        <f t="shared" si="658"/>
        <v>0</v>
      </c>
      <c r="B1997" s="445">
        <f t="shared" si="659"/>
        <v>0</v>
      </c>
      <c r="C1997" s="436"/>
      <c r="D1997" s="442"/>
      <c r="E1997" s="439">
        <f t="shared" si="661"/>
        <v>0</v>
      </c>
      <c r="F1997" s="442">
        <f>IF(C1997="",0,IFERROR(VLOOKUP(COUNTIF($A$1:A1997,"ANALISIS DE PRECIOS"),T_Rendimiento_Equipo,5,FALSE),0))</f>
        <v>0</v>
      </c>
      <c r="G1997" s="439">
        <f t="shared" si="662"/>
        <v>0</v>
      </c>
    </row>
    <row r="1998" spans="1:7" ht="19.899999999999999" customHeight="1" x14ac:dyDescent="0.2">
      <c r="A1998" s="482">
        <f t="shared" si="658"/>
        <v>0</v>
      </c>
      <c r="B1998" s="445">
        <f t="shared" si="659"/>
        <v>0</v>
      </c>
      <c r="C1998" s="436"/>
      <c r="D1998" s="450"/>
      <c r="E1998" s="439">
        <f t="shared" si="661"/>
        <v>0</v>
      </c>
      <c r="F1998" s="442">
        <f>IF(C1998="",0,IFERROR(VLOOKUP(COUNTIF($A$1:A1998,"ANALISIS DE PRECIOS"),T_Rendimiento_Equipo,5,FALSE),0))</f>
        <v>0</v>
      </c>
      <c r="G1998" s="439">
        <f t="shared" si="662"/>
        <v>0</v>
      </c>
    </row>
    <row r="1999" spans="1:7" ht="19.899999999999999" customHeight="1" x14ac:dyDescent="0.2">
      <c r="A1999" s="482">
        <f t="shared" si="658"/>
        <v>0</v>
      </c>
      <c r="B1999" s="445">
        <f t="shared" si="659"/>
        <v>0</v>
      </c>
      <c r="C1999" s="445"/>
      <c r="D1999" s="451"/>
      <c r="E1999" s="439">
        <f t="shared" si="661"/>
        <v>0</v>
      </c>
      <c r="F1999" s="442">
        <f>IF(C1999="",0,IFERROR(VLOOKUP(COUNTIF($A$1:A1999,"ANALISIS DE PRECIOS"),T_Rendimiento_Equipo,5,FALSE),0))</f>
        <v>0</v>
      </c>
      <c r="G1999" s="439">
        <f t="shared" si="662"/>
        <v>0</v>
      </c>
    </row>
    <row r="2000" spans="1:7" ht="19.899999999999999" customHeight="1" x14ac:dyDescent="0.2">
      <c r="A2000" s="483"/>
      <c r="B2000" s="426"/>
      <c r="C2000" s="139"/>
      <c r="D2000" s="426"/>
      <c r="E2000" s="427"/>
      <c r="F2000" s="448" t="s">
        <v>28</v>
      </c>
      <c r="G2000" s="485">
        <f>SUBTOTAL(9,G1993:G1999)</f>
        <v>0</v>
      </c>
    </row>
    <row r="2001" spans="1:7" ht="19.899999999999999" customHeight="1" x14ac:dyDescent="0.2">
      <c r="A2001" s="480"/>
      <c r="B2001" s="139"/>
      <c r="C2001" s="422" t="s">
        <v>982</v>
      </c>
      <c r="D2001" s="426"/>
      <c r="E2001" s="427"/>
      <c r="F2001" s="428"/>
      <c r="G2001" s="481"/>
    </row>
    <row r="2002" spans="1:7" ht="19.899999999999999" customHeight="1" x14ac:dyDescent="0.2">
      <c r="A2002" s="720" t="s">
        <v>576</v>
      </c>
      <c r="B2002" s="721"/>
      <c r="C2002" s="722" t="s">
        <v>0</v>
      </c>
      <c r="D2002" s="722" t="s">
        <v>1725</v>
      </c>
      <c r="E2002" s="724" t="s">
        <v>24</v>
      </c>
      <c r="F2002" s="726" t="s">
        <v>25</v>
      </c>
      <c r="G2002" s="728" t="s">
        <v>26</v>
      </c>
    </row>
    <row r="2003" spans="1:7" ht="19.899999999999999" customHeight="1" x14ac:dyDescent="0.2">
      <c r="A2003" s="444" t="s">
        <v>577</v>
      </c>
      <c r="B2003" s="444" t="s">
        <v>578</v>
      </c>
      <c r="C2003" s="723"/>
      <c r="D2003" s="723"/>
      <c r="E2003" s="725"/>
      <c r="F2003" s="727"/>
      <c r="G2003" s="729"/>
    </row>
    <row r="2004" spans="1:7" ht="19.899999999999999" customHeight="1" x14ac:dyDescent="0.2">
      <c r="A2004" s="482">
        <f t="shared" ref="A2004:A2014" si="663">IFERROR(VLOOKUP(C2004,T_Insumos,4,FALSE),0)</f>
        <v>0</v>
      </c>
      <c r="B2004" s="445">
        <f t="shared" ref="B2004:B2014" si="664">IFERROR(VLOOKUP(C2004,T_Insumos,5,FALSE),0)</f>
        <v>0</v>
      </c>
      <c r="C2004" s="436">
        <f t="shared" ref="C2004:C2014" si="665">+C1779</f>
        <v>0</v>
      </c>
      <c r="D2004" s="493">
        <f t="shared" ref="D2004:D2014" si="666">IFERROR(VLOOKUP(C2004,T_Insumos,2,FALSE),0)</f>
        <v>0</v>
      </c>
      <c r="E2004" s="437"/>
      <c r="F2004" s="439">
        <f t="shared" ref="F2004:F2014" si="667">IFERROR(VLOOKUP(C2004,T_Insumos,3,FALSE),0)</f>
        <v>0</v>
      </c>
      <c r="G2004" s="439">
        <f>ROUND(E2004*F2004,2)</f>
        <v>0</v>
      </c>
    </row>
    <row r="2005" spans="1:7" ht="19.899999999999999" customHeight="1" x14ac:dyDescent="0.2">
      <c r="A2005" s="482">
        <f t="shared" si="663"/>
        <v>0</v>
      </c>
      <c r="B2005" s="445">
        <f t="shared" si="664"/>
        <v>0</v>
      </c>
      <c r="C2005" s="436">
        <f t="shared" si="665"/>
        <v>0</v>
      </c>
      <c r="D2005" s="493">
        <f t="shared" si="666"/>
        <v>0</v>
      </c>
      <c r="E2005" s="437"/>
      <c r="F2005" s="439">
        <f t="shared" si="667"/>
        <v>0</v>
      </c>
      <c r="G2005" s="439">
        <f t="shared" ref="G2005:G2014" si="668">ROUND(E2005*F2005,2)</f>
        <v>0</v>
      </c>
    </row>
    <row r="2006" spans="1:7" ht="19.899999999999999" customHeight="1" x14ac:dyDescent="0.2">
      <c r="A2006" s="482">
        <f t="shared" si="663"/>
        <v>0</v>
      </c>
      <c r="B2006" s="445">
        <f t="shared" si="664"/>
        <v>0</v>
      </c>
      <c r="C2006" s="436">
        <f t="shared" si="665"/>
        <v>0</v>
      </c>
      <c r="D2006" s="493">
        <f t="shared" si="666"/>
        <v>0</v>
      </c>
      <c r="E2006" s="437"/>
      <c r="F2006" s="439">
        <f t="shared" si="667"/>
        <v>0</v>
      </c>
      <c r="G2006" s="439">
        <f t="shared" si="668"/>
        <v>0</v>
      </c>
    </row>
    <row r="2007" spans="1:7" ht="19.899999999999999" customHeight="1" x14ac:dyDescent="0.2">
      <c r="A2007" s="482">
        <f t="shared" si="663"/>
        <v>0</v>
      </c>
      <c r="B2007" s="445">
        <f t="shared" si="664"/>
        <v>0</v>
      </c>
      <c r="C2007" s="436">
        <f t="shared" si="665"/>
        <v>0</v>
      </c>
      <c r="D2007" s="493">
        <f t="shared" si="666"/>
        <v>0</v>
      </c>
      <c r="E2007" s="437"/>
      <c r="F2007" s="439">
        <f t="shared" si="667"/>
        <v>0</v>
      </c>
      <c r="G2007" s="439">
        <f t="shared" si="668"/>
        <v>0</v>
      </c>
    </row>
    <row r="2008" spans="1:7" ht="19.899999999999999" customHeight="1" x14ac:dyDescent="0.2">
      <c r="A2008" s="482">
        <f t="shared" si="663"/>
        <v>0</v>
      </c>
      <c r="B2008" s="445">
        <f t="shared" si="664"/>
        <v>0</v>
      </c>
      <c r="C2008" s="436">
        <f t="shared" si="665"/>
        <v>0</v>
      </c>
      <c r="D2008" s="493">
        <f t="shared" si="666"/>
        <v>0</v>
      </c>
      <c r="E2008" s="437"/>
      <c r="F2008" s="439">
        <f t="shared" si="667"/>
        <v>0</v>
      </c>
      <c r="G2008" s="439">
        <f t="shared" si="668"/>
        <v>0</v>
      </c>
    </row>
    <row r="2009" spans="1:7" ht="19.899999999999999" customHeight="1" x14ac:dyDescent="0.2">
      <c r="A2009" s="482">
        <f t="shared" si="663"/>
        <v>0</v>
      </c>
      <c r="B2009" s="445">
        <f t="shared" si="664"/>
        <v>0</v>
      </c>
      <c r="C2009" s="436">
        <f t="shared" si="665"/>
        <v>0</v>
      </c>
      <c r="D2009" s="493">
        <f t="shared" si="666"/>
        <v>0</v>
      </c>
      <c r="E2009" s="437"/>
      <c r="F2009" s="439">
        <f t="shared" si="667"/>
        <v>0</v>
      </c>
      <c r="G2009" s="439">
        <f t="shared" si="668"/>
        <v>0</v>
      </c>
    </row>
    <row r="2010" spans="1:7" ht="19.899999999999999" customHeight="1" x14ac:dyDescent="0.2">
      <c r="A2010" s="482">
        <f t="shared" si="663"/>
        <v>0</v>
      </c>
      <c r="B2010" s="445">
        <f t="shared" si="664"/>
        <v>0</v>
      </c>
      <c r="C2010" s="436">
        <f t="shared" si="665"/>
        <v>0</v>
      </c>
      <c r="D2010" s="493">
        <f t="shared" si="666"/>
        <v>0</v>
      </c>
      <c r="E2010" s="437"/>
      <c r="F2010" s="439">
        <f t="shared" si="667"/>
        <v>0</v>
      </c>
      <c r="G2010" s="439">
        <f t="shared" si="668"/>
        <v>0</v>
      </c>
    </row>
    <row r="2011" spans="1:7" ht="19.899999999999999" customHeight="1" x14ac:dyDescent="0.2">
      <c r="A2011" s="482">
        <f t="shared" si="663"/>
        <v>0</v>
      </c>
      <c r="B2011" s="445">
        <f t="shared" si="664"/>
        <v>0</v>
      </c>
      <c r="C2011" s="436">
        <f t="shared" si="665"/>
        <v>0</v>
      </c>
      <c r="D2011" s="493">
        <f t="shared" si="666"/>
        <v>0</v>
      </c>
      <c r="E2011" s="437"/>
      <c r="F2011" s="439">
        <f t="shared" si="667"/>
        <v>0</v>
      </c>
      <c r="G2011" s="439">
        <f t="shared" si="668"/>
        <v>0</v>
      </c>
    </row>
    <row r="2012" spans="1:7" ht="19.899999999999999" customHeight="1" x14ac:dyDescent="0.2">
      <c r="A2012" s="482">
        <f t="shared" si="663"/>
        <v>0</v>
      </c>
      <c r="B2012" s="445">
        <f t="shared" si="664"/>
        <v>0</v>
      </c>
      <c r="C2012" s="436">
        <f t="shared" si="665"/>
        <v>0</v>
      </c>
      <c r="D2012" s="493">
        <f t="shared" si="666"/>
        <v>0</v>
      </c>
      <c r="E2012" s="437"/>
      <c r="F2012" s="439">
        <f t="shared" si="667"/>
        <v>0</v>
      </c>
      <c r="G2012" s="439">
        <f t="shared" si="668"/>
        <v>0</v>
      </c>
    </row>
    <row r="2013" spans="1:7" ht="19.899999999999999" customHeight="1" x14ac:dyDescent="0.2">
      <c r="A2013" s="482">
        <f t="shared" si="663"/>
        <v>0</v>
      </c>
      <c r="B2013" s="445">
        <f t="shared" si="664"/>
        <v>0</v>
      </c>
      <c r="C2013" s="436">
        <f t="shared" si="665"/>
        <v>0</v>
      </c>
      <c r="D2013" s="493">
        <f t="shared" si="666"/>
        <v>0</v>
      </c>
      <c r="E2013" s="437"/>
      <c r="F2013" s="439">
        <f t="shared" si="667"/>
        <v>0</v>
      </c>
      <c r="G2013" s="439">
        <f t="shared" si="668"/>
        <v>0</v>
      </c>
    </row>
    <row r="2014" spans="1:7" ht="19.899999999999999" customHeight="1" x14ac:dyDescent="0.2">
      <c r="A2014" s="482">
        <f t="shared" si="663"/>
        <v>0</v>
      </c>
      <c r="B2014" s="445">
        <f t="shared" si="664"/>
        <v>0</v>
      </c>
      <c r="C2014" s="436">
        <f t="shared" si="665"/>
        <v>0</v>
      </c>
      <c r="D2014" s="493">
        <f t="shared" si="666"/>
        <v>0</v>
      </c>
      <c r="E2014" s="437"/>
      <c r="F2014" s="439">
        <f t="shared" si="667"/>
        <v>0</v>
      </c>
      <c r="G2014" s="439">
        <f t="shared" si="668"/>
        <v>0</v>
      </c>
    </row>
    <row r="2015" spans="1:7" ht="19.899999999999999" customHeight="1" x14ac:dyDescent="0.2">
      <c r="A2015" s="480"/>
      <c r="B2015" s="139"/>
      <c r="C2015" s="139"/>
      <c r="D2015" s="426"/>
      <c r="E2015" s="427"/>
      <c r="F2015" s="448" t="s">
        <v>29</v>
      </c>
      <c r="G2015" s="485">
        <f>SUBTOTAL(9,G2004:G2014)</f>
        <v>0</v>
      </c>
    </row>
    <row r="2016" spans="1:7" ht="19.899999999999999" customHeight="1" x14ac:dyDescent="0.2">
      <c r="A2016" s="480"/>
      <c r="B2016" s="139"/>
      <c r="C2016" s="422" t="s">
        <v>983</v>
      </c>
      <c r="D2016" s="426"/>
      <c r="E2016" s="427"/>
      <c r="F2016" s="428"/>
      <c r="G2016" s="481"/>
    </row>
    <row r="2017" spans="1:7" ht="19.899999999999999" customHeight="1" x14ac:dyDescent="0.2">
      <c r="A2017" s="720" t="s">
        <v>576</v>
      </c>
      <c r="B2017" s="721"/>
      <c r="C2017" s="722" t="s">
        <v>0</v>
      </c>
      <c r="D2017" s="722" t="s">
        <v>1725</v>
      </c>
      <c r="E2017" s="724" t="s">
        <v>24</v>
      </c>
      <c r="F2017" s="726" t="s">
        <v>25</v>
      </c>
      <c r="G2017" s="728" t="s">
        <v>26</v>
      </c>
    </row>
    <row r="2018" spans="1:7" ht="19.899999999999999" customHeight="1" x14ac:dyDescent="0.2">
      <c r="A2018" s="444" t="s">
        <v>577</v>
      </c>
      <c r="B2018" s="444" t="s">
        <v>578</v>
      </c>
      <c r="C2018" s="723"/>
      <c r="D2018" s="723"/>
      <c r="E2018" s="725"/>
      <c r="F2018" s="727"/>
      <c r="G2018" s="729"/>
    </row>
    <row r="2019" spans="1:7" ht="19.899999999999999" customHeight="1" x14ac:dyDescent="0.2">
      <c r="A2019" s="482">
        <f>IFERROR(VLOOKUP(C2019,T_Insumos,4,FALSE),0)</f>
        <v>0</v>
      </c>
      <c r="B2019" s="445">
        <f>IFERROR(VLOOKUP(C2019,T_Insumos,5,FALSE),0)</f>
        <v>0</v>
      </c>
      <c r="C2019" s="436"/>
      <c r="D2019" s="493">
        <f>IF(C2019=0,0,"$/tnkm")</f>
        <v>0</v>
      </c>
      <c r="E2019" s="437"/>
      <c r="F2019" s="439">
        <f>IFERROR(VLOOKUP(C2019,T_Insumos,3,FALSE),0)</f>
        <v>0</v>
      </c>
      <c r="G2019" s="439">
        <f>ROUND(E2019*F2019,2)</f>
        <v>0</v>
      </c>
    </row>
    <row r="2020" spans="1:7" ht="19.899999999999999" customHeight="1" x14ac:dyDescent="0.2">
      <c r="A2020" s="482">
        <f>IFERROR(VLOOKUP(C2020,T_Insumos,4,FALSE),0)</f>
        <v>0</v>
      </c>
      <c r="B2020" s="445">
        <f>IFERROR(VLOOKUP(C2020,T_Insumos,5,FALSE),0)</f>
        <v>0</v>
      </c>
      <c r="C2020" s="436"/>
      <c r="D2020" s="493">
        <f>IF(C2020=0,0,"$/tnkm")</f>
        <v>0</v>
      </c>
      <c r="E2020" s="453"/>
      <c r="F2020" s="439">
        <f>IFERROR(VLOOKUP(C2020,T_Insumos,3,FALSE),0)</f>
        <v>0</v>
      </c>
      <c r="G2020" s="439">
        <f t="shared" ref="G2020" si="669">ROUND(E2020*F2020,2)</f>
        <v>0</v>
      </c>
    </row>
    <row r="2021" spans="1:7" ht="19.899999999999999" customHeight="1" x14ac:dyDescent="0.2">
      <c r="A2021" s="480"/>
      <c r="B2021" s="139"/>
      <c r="C2021" s="139"/>
      <c r="D2021" s="426"/>
      <c r="E2021" s="427"/>
      <c r="F2021" s="448" t="s">
        <v>984</v>
      </c>
      <c r="G2021" s="485">
        <f>SUBTOTAL(9,G2019:G2020)</f>
        <v>0</v>
      </c>
    </row>
    <row r="2022" spans="1:7" ht="19.899999999999999" customHeight="1" x14ac:dyDescent="0.2">
      <c r="A2022" s="483"/>
      <c r="B2022" s="426"/>
      <c r="C2022" s="139"/>
      <c r="D2022" s="426"/>
      <c r="E2022" s="427"/>
      <c r="F2022" s="428"/>
      <c r="G2022" s="481"/>
    </row>
    <row r="2023" spans="1:7" ht="19.899999999999999" customHeight="1" x14ac:dyDescent="0.2">
      <c r="A2023" s="541" t="str">
        <f>B1957</f>
        <v/>
      </c>
      <c r="B2023" s="538">
        <f ca="1">C1957</f>
        <v>0</v>
      </c>
      <c r="C2023" s="426"/>
      <c r="D2023" s="426" t="s">
        <v>1704</v>
      </c>
      <c r="E2023" s="539"/>
      <c r="F2023" s="540" t="str">
        <f ca="1">"$/"&amp;G1957</f>
        <v>$/0</v>
      </c>
      <c r="G2023" s="490">
        <f>SUBTOTAL(9,G1980:G2022)</f>
        <v>0</v>
      </c>
    </row>
    <row r="2024" spans="1:7" ht="19.899999999999999" customHeight="1" x14ac:dyDescent="0.2">
      <c r="A2024" s="486"/>
      <c r="B2024" s="487"/>
      <c r="C2024" s="488"/>
      <c r="D2024" s="488" t="s">
        <v>1900</v>
      </c>
      <c r="E2024" s="489"/>
      <c r="F2024" s="542" t="str">
        <f ca="1">"$/"&amp;G1957</f>
        <v>$/0</v>
      </c>
      <c r="G2024" s="490">
        <f>ROUND(G2023*Coeficiente_Paso,2)</f>
        <v>0</v>
      </c>
    </row>
    <row r="2025" spans="1:7" ht="19.899999999999999" customHeight="1" x14ac:dyDescent="0.2">
      <c r="A2025" s="139"/>
      <c r="B2025" s="139"/>
      <c r="C2025" s="139"/>
      <c r="D2025" s="139"/>
      <c r="E2025" s="139"/>
      <c r="F2025" s="139"/>
      <c r="G2025" s="139"/>
    </row>
    <row r="2026" spans="1:7" ht="19.899999999999999" customHeight="1" x14ac:dyDescent="0.2">
      <c r="A2026" s="730" t="s">
        <v>31</v>
      </c>
      <c r="B2026" s="731"/>
      <c r="C2026" s="731"/>
      <c r="D2026" s="731"/>
      <c r="E2026" s="731"/>
      <c r="F2026" s="731"/>
      <c r="G2026" s="732"/>
    </row>
    <row r="2027" spans="1:7" ht="19.899999999999999" customHeight="1" x14ac:dyDescent="0.2">
      <c r="A2027" s="469" t="s">
        <v>711</v>
      </c>
      <c r="B2027" s="420" t="str">
        <f>Comitente</f>
        <v>DEPARTAMENTO DE HIDRAULICA</v>
      </c>
      <c r="C2027" s="421"/>
      <c r="D2027" s="422"/>
      <c r="E2027" s="422"/>
      <c r="F2027" s="423"/>
      <c r="G2027" s="470"/>
    </row>
    <row r="2028" spans="1:7" ht="19.899999999999999" customHeight="1" x14ac:dyDescent="0.2">
      <c r="A2028" s="469" t="s">
        <v>712</v>
      </c>
      <c r="B2028" s="420">
        <f>Contratista</f>
        <v>0</v>
      </c>
      <c r="C2028" s="424"/>
      <c r="D2028" s="424"/>
      <c r="E2028" s="424"/>
      <c r="F2028" s="420"/>
      <c r="G2028" s="471"/>
    </row>
    <row r="2029" spans="1:7" ht="19.899999999999999" customHeight="1" x14ac:dyDescent="0.2">
      <c r="A2029" s="469" t="s">
        <v>21</v>
      </c>
      <c r="B2029" s="420" t="str">
        <f>Obra</f>
        <v>Encamisado Parcial del Canal de Calle América</v>
      </c>
      <c r="C2029" s="424"/>
      <c r="D2029" s="424"/>
      <c r="E2029" s="424"/>
      <c r="F2029" s="420" t="s">
        <v>32</v>
      </c>
      <c r="G2029" s="471" t="str">
        <f>Fecha_Base</f>
        <v>X/X/2023</v>
      </c>
    </row>
    <row r="2030" spans="1:7" ht="19.899999999999999" customHeight="1" x14ac:dyDescent="0.2">
      <c r="A2030" s="472" t="s">
        <v>710</v>
      </c>
      <c r="B2030" s="425" t="str">
        <f>Ubicación</f>
        <v>Departamento Rawson</v>
      </c>
      <c r="C2030" s="425"/>
      <c r="D2030" s="426"/>
      <c r="E2030" s="427"/>
      <c r="F2030" s="428"/>
      <c r="G2030" s="473"/>
    </row>
    <row r="2031" spans="1:7" ht="19.899999999999999" customHeight="1" x14ac:dyDescent="0.2">
      <c r="A2031" s="472" t="s">
        <v>33</v>
      </c>
      <c r="B2031" s="429" t="str">
        <f>IFERROR(VALUE(LEFT(B2032,FIND(".",B2032)-1)),"")</f>
        <v/>
      </c>
      <c r="C2031" s="139">
        <f ca="1">IFERROR(VLOOKUP(B2031,T_Computo_Presupuesto,2,FALSE),0)</f>
        <v>0</v>
      </c>
      <c r="D2031" s="139"/>
      <c r="E2031" s="427"/>
      <c r="F2031" s="428"/>
      <c r="G2031" s="473"/>
    </row>
    <row r="2032" spans="1:7" ht="19.899999999999999" customHeight="1" x14ac:dyDescent="0.2">
      <c r="A2032" s="472" t="s">
        <v>22</v>
      </c>
      <c r="B2032" s="430" t="str">
        <f>IFERROR(VLOOKUP(COUNTIF($A$1:A2032,"ANALISIS DE PRECIOS"),T_NumeroItem,2,FALSE),"")</f>
        <v/>
      </c>
      <c r="C2032" s="733">
        <f ca="1">IFERROR(VLOOKUP(B2032,T_Computo_Presupuesto,2,FALSE),0)</f>
        <v>0</v>
      </c>
      <c r="D2032" s="733"/>
      <c r="E2032" s="733"/>
      <c r="F2032" s="425" t="s">
        <v>23</v>
      </c>
      <c r="G2032" s="474">
        <f ca="1">IFERROR(VLOOKUP(B2032,T_Computo_Presupuesto,4,FALSE),0)</f>
        <v>0</v>
      </c>
    </row>
    <row r="2033" spans="1:7" ht="19.899999999999999" customHeight="1" x14ac:dyDescent="0.2">
      <c r="A2033" s="472"/>
      <c r="B2033" s="425"/>
      <c r="C2033" s="139"/>
      <c r="D2033" s="426"/>
      <c r="E2033" s="427"/>
      <c r="F2033" s="139"/>
      <c r="G2033" s="475"/>
    </row>
    <row r="2034" spans="1:7" ht="19.899999999999999" customHeight="1" x14ac:dyDescent="0.2">
      <c r="A2034" s="476"/>
      <c r="B2034" s="431"/>
      <c r="C2034" s="432" t="s">
        <v>967</v>
      </c>
      <c r="D2034" s="431"/>
      <c r="E2034" s="431"/>
      <c r="F2034" s="431"/>
      <c r="G2034" s="477"/>
    </row>
    <row r="2035" spans="1:7" ht="19.899999999999999" customHeight="1" x14ac:dyDescent="0.2">
      <c r="A2035" s="472"/>
      <c r="B2035" s="433"/>
      <c r="C2035" s="139"/>
      <c r="D2035" s="426"/>
      <c r="E2035" s="427"/>
      <c r="F2035" s="425"/>
      <c r="G2035" s="474"/>
    </row>
    <row r="2036" spans="1:7" ht="19.899999999999999" customHeight="1" x14ac:dyDescent="0.2">
      <c r="A2036" s="472"/>
      <c r="B2036" s="433"/>
      <c r="C2036" s="434" t="s">
        <v>968</v>
      </c>
      <c r="D2036" s="435" t="s">
        <v>24</v>
      </c>
      <c r="E2036" s="435" t="s">
        <v>969</v>
      </c>
      <c r="F2036" s="435" t="s">
        <v>970</v>
      </c>
      <c r="G2036" s="434" t="s">
        <v>971</v>
      </c>
    </row>
    <row r="2037" spans="1:7" ht="19.899999999999999" customHeight="1" x14ac:dyDescent="0.2">
      <c r="A2037" s="472"/>
      <c r="B2037" s="433"/>
      <c r="C2037" s="436">
        <f>+C1812</f>
        <v>0</v>
      </c>
      <c r="D2037" s="436">
        <f>+D1812</f>
        <v>0</v>
      </c>
      <c r="E2037" s="438">
        <f t="shared" ref="E2037:E2046" si="670">IFERROR(VLOOKUP(C2037,T_Equipos,4,FALSE),0)</f>
        <v>0</v>
      </c>
      <c r="F2037" s="439">
        <f t="shared" ref="F2037:F2046" si="671">IFERROR(VLOOKUP(C2037,T_Equipos,5,FALSE),0)</f>
        <v>0</v>
      </c>
      <c r="G2037" s="439">
        <f>ROUND(D2037*F2037,2)</f>
        <v>0</v>
      </c>
    </row>
    <row r="2038" spans="1:7" ht="19.899999999999999" customHeight="1" x14ac:dyDescent="0.2">
      <c r="A2038" s="472"/>
      <c r="B2038" s="433"/>
      <c r="C2038" s="436">
        <f t="shared" ref="C2038:D2038" si="672">+C1813</f>
        <v>0</v>
      </c>
      <c r="D2038" s="436">
        <f t="shared" si="672"/>
        <v>0</v>
      </c>
      <c r="E2038" s="438">
        <f t="shared" si="670"/>
        <v>0</v>
      </c>
      <c r="F2038" s="439">
        <f t="shared" si="671"/>
        <v>0</v>
      </c>
      <c r="G2038" s="439">
        <f>ROUND(D2038*F2038,2)</f>
        <v>0</v>
      </c>
    </row>
    <row r="2039" spans="1:7" ht="19.899999999999999" customHeight="1" x14ac:dyDescent="0.2">
      <c r="A2039" s="472"/>
      <c r="B2039" s="433"/>
      <c r="C2039" s="436">
        <f t="shared" ref="C2039" si="673">+C1814</f>
        <v>0</v>
      </c>
      <c r="D2039" s="436"/>
      <c r="E2039" s="438">
        <f t="shared" si="670"/>
        <v>0</v>
      </c>
      <c r="F2039" s="439">
        <f t="shared" si="671"/>
        <v>0</v>
      </c>
      <c r="G2039" s="439">
        <f>ROUND(D2039*F2039,2)</f>
        <v>0</v>
      </c>
    </row>
    <row r="2040" spans="1:7" ht="19.899999999999999" customHeight="1" x14ac:dyDescent="0.2">
      <c r="A2040" s="472"/>
      <c r="B2040" s="433"/>
      <c r="C2040" s="436">
        <f t="shared" ref="C2040" si="674">+C1815</f>
        <v>0</v>
      </c>
      <c r="D2040" s="436"/>
      <c r="E2040" s="438">
        <f t="shared" si="670"/>
        <v>0</v>
      </c>
      <c r="F2040" s="439">
        <f t="shared" si="671"/>
        <v>0</v>
      </c>
      <c r="G2040" s="439">
        <f>ROUND(D2040*F2040,2)</f>
        <v>0</v>
      </c>
    </row>
    <row r="2041" spans="1:7" ht="19.899999999999999" customHeight="1" x14ac:dyDescent="0.2">
      <c r="A2041" s="472"/>
      <c r="B2041" s="433"/>
      <c r="C2041" s="436">
        <f t="shared" ref="C2041" si="675">+C1816</f>
        <v>0</v>
      </c>
      <c r="D2041" s="436"/>
      <c r="E2041" s="438">
        <f t="shared" si="670"/>
        <v>0</v>
      </c>
      <c r="F2041" s="439">
        <f t="shared" si="671"/>
        <v>0</v>
      </c>
      <c r="G2041" s="439">
        <f t="shared" ref="G2041:G2046" si="676">ROUND(D2041*F2041,2)</f>
        <v>0</v>
      </c>
    </row>
    <row r="2042" spans="1:7" ht="19.899999999999999" customHeight="1" x14ac:dyDescent="0.2">
      <c r="A2042" s="472"/>
      <c r="B2042" s="433"/>
      <c r="C2042" s="436">
        <f t="shared" ref="C2042" si="677">+C1817</f>
        <v>0</v>
      </c>
      <c r="D2042" s="436"/>
      <c r="E2042" s="438">
        <f t="shared" si="670"/>
        <v>0</v>
      </c>
      <c r="F2042" s="439">
        <f t="shared" si="671"/>
        <v>0</v>
      </c>
      <c r="G2042" s="439">
        <f t="shared" si="676"/>
        <v>0</v>
      </c>
    </row>
    <row r="2043" spans="1:7" ht="19.899999999999999" customHeight="1" x14ac:dyDescent="0.2">
      <c r="A2043" s="472"/>
      <c r="B2043" s="433"/>
      <c r="C2043" s="436">
        <f t="shared" ref="C2043:D2043" si="678">+C1818</f>
        <v>0</v>
      </c>
      <c r="D2043" s="436">
        <f t="shared" si="678"/>
        <v>0</v>
      </c>
      <c r="E2043" s="438">
        <f t="shared" si="670"/>
        <v>0</v>
      </c>
      <c r="F2043" s="439">
        <f t="shared" si="671"/>
        <v>0</v>
      </c>
      <c r="G2043" s="439">
        <f t="shared" si="676"/>
        <v>0</v>
      </c>
    </row>
    <row r="2044" spans="1:7" ht="19.899999999999999" customHeight="1" x14ac:dyDescent="0.2">
      <c r="A2044" s="472"/>
      <c r="B2044" s="433"/>
      <c r="C2044" s="436">
        <f t="shared" ref="C2044:D2044" si="679">+C1819</f>
        <v>0</v>
      </c>
      <c r="D2044" s="436">
        <f t="shared" si="679"/>
        <v>0</v>
      </c>
      <c r="E2044" s="438">
        <f t="shared" si="670"/>
        <v>0</v>
      </c>
      <c r="F2044" s="439">
        <f t="shared" si="671"/>
        <v>0</v>
      </c>
      <c r="G2044" s="439">
        <f t="shared" si="676"/>
        <v>0</v>
      </c>
    </row>
    <row r="2045" spans="1:7" ht="19.899999999999999" customHeight="1" x14ac:dyDescent="0.2">
      <c r="A2045" s="472"/>
      <c r="B2045" s="433"/>
      <c r="C2045" s="436"/>
      <c r="D2045" s="437"/>
      <c r="E2045" s="438">
        <f t="shared" si="670"/>
        <v>0</v>
      </c>
      <c r="F2045" s="439">
        <f t="shared" si="671"/>
        <v>0</v>
      </c>
      <c r="G2045" s="439">
        <f t="shared" si="676"/>
        <v>0</v>
      </c>
    </row>
    <row r="2046" spans="1:7" ht="19.899999999999999" customHeight="1" x14ac:dyDescent="0.2">
      <c r="A2046" s="472"/>
      <c r="B2046" s="433"/>
      <c r="C2046" s="436"/>
      <c r="D2046" s="437"/>
      <c r="E2046" s="438">
        <f t="shared" si="670"/>
        <v>0</v>
      </c>
      <c r="F2046" s="439">
        <f t="shared" si="671"/>
        <v>0</v>
      </c>
      <c r="G2046" s="439">
        <f t="shared" si="676"/>
        <v>0</v>
      </c>
    </row>
    <row r="2047" spans="1:7" ht="19.899999999999999" customHeight="1" x14ac:dyDescent="0.2">
      <c r="A2047" s="472"/>
      <c r="B2047" s="433"/>
      <c r="C2047" s="139"/>
      <c r="D2047" s="139"/>
      <c r="E2047" s="440"/>
      <c r="F2047" s="425"/>
      <c r="G2047" s="474"/>
    </row>
    <row r="2048" spans="1:7" ht="19.899999999999999" customHeight="1" x14ac:dyDescent="0.2">
      <c r="A2048" s="472"/>
      <c r="B2048" s="139"/>
      <c r="C2048" s="422" t="s">
        <v>972</v>
      </c>
      <c r="D2048" s="425" t="s">
        <v>969</v>
      </c>
      <c r="E2048" s="491">
        <f>SUMPRODUCT(D2037:D2046,E2037:E2046)</f>
        <v>0</v>
      </c>
      <c r="F2048" s="425" t="s">
        <v>973</v>
      </c>
      <c r="G2048" s="492">
        <f>SUM(G2037:G2046)</f>
        <v>0</v>
      </c>
    </row>
    <row r="2049" spans="1:7" ht="19.899999999999999" customHeight="1" x14ac:dyDescent="0.2">
      <c r="A2049" s="472"/>
      <c r="B2049" s="433"/>
      <c r="C2049" s="441"/>
      <c r="D2049" s="440"/>
      <c r="E2049" s="427"/>
      <c r="F2049" s="425"/>
      <c r="G2049" s="478"/>
    </row>
    <row r="2050" spans="1:7" ht="19.899999999999999" customHeight="1" x14ac:dyDescent="0.2">
      <c r="A2050" s="479"/>
      <c r="B2050" s="433"/>
      <c r="C2050" s="425" t="s">
        <v>974</v>
      </c>
      <c r="D2050" s="442">
        <f>IFERROR(VLOOKUP(COUNTIF($A$1:A2050,"ANALISIS DE PRECIOS"),T_Rendimiento_Equipo,5,FALSE),0)</f>
        <v>0</v>
      </c>
      <c r="E2050" s="443" t="str">
        <f ca="1">G2032&amp;"/día"</f>
        <v>0/día</v>
      </c>
      <c r="F2050" s="419"/>
      <c r="G2050" s="474"/>
    </row>
    <row r="2051" spans="1:7" ht="19.899999999999999" customHeight="1" x14ac:dyDescent="0.2">
      <c r="A2051" s="472"/>
      <c r="B2051" s="433"/>
      <c r="C2051" s="139"/>
      <c r="D2051" s="426"/>
      <c r="E2051" s="427"/>
      <c r="F2051" s="425"/>
      <c r="G2051" s="474"/>
    </row>
    <row r="2052" spans="1:7" ht="19.899999999999999" customHeight="1" x14ac:dyDescent="0.2">
      <c r="A2052" s="720" t="s">
        <v>576</v>
      </c>
      <c r="B2052" s="721"/>
      <c r="C2052" s="722" t="s">
        <v>0</v>
      </c>
      <c r="D2052" s="734" t="s">
        <v>1724</v>
      </c>
      <c r="E2052" s="734" t="s">
        <v>1723</v>
      </c>
      <c r="F2052" s="726" t="s">
        <v>975</v>
      </c>
      <c r="G2052" s="728" t="s">
        <v>26</v>
      </c>
    </row>
    <row r="2053" spans="1:7" ht="19.899999999999999" customHeight="1" x14ac:dyDescent="0.2">
      <c r="A2053" s="444" t="s">
        <v>577</v>
      </c>
      <c r="B2053" s="444" t="s">
        <v>578</v>
      </c>
      <c r="C2053" s="723"/>
      <c r="D2053" s="735"/>
      <c r="E2053" s="725"/>
      <c r="F2053" s="727"/>
      <c r="G2053" s="729"/>
    </row>
    <row r="2054" spans="1:7" ht="19.899999999999999" customHeight="1" x14ac:dyDescent="0.2">
      <c r="A2054" s="480"/>
      <c r="B2054" s="139"/>
      <c r="C2054" s="422" t="s">
        <v>976</v>
      </c>
      <c r="D2054" s="427"/>
      <c r="E2054" s="427"/>
      <c r="F2054" s="139"/>
      <c r="G2054" s="481"/>
    </row>
    <row r="2055" spans="1:7" ht="19.899999999999999" customHeight="1" x14ac:dyDescent="0.2">
      <c r="A2055" s="482">
        <f t="shared" ref="A2055:A2063" si="680">IFERROR(VLOOKUP(C2055,T_Insumos,4,FALSE),0)</f>
        <v>0</v>
      </c>
      <c r="B2055" s="445">
        <f t="shared" ref="B2055:B2063" si="681">IFERROR(VLOOKUP(C2055,T_Insumos,5,FALSE),0)</f>
        <v>0</v>
      </c>
      <c r="C2055" s="436">
        <f>+C1755</f>
        <v>0</v>
      </c>
      <c r="D2055" s="446">
        <f t="shared" ref="D2055:D2063" si="682">IFERROR(VLOOKUP(C2055,T_Insumos,3,FALSE),0)</f>
        <v>0</v>
      </c>
      <c r="E2055" s="439">
        <f>D2055*$G$323</f>
        <v>0</v>
      </c>
      <c r="F2055" s="442">
        <f>IF(C2055="",0,IFERROR(VLOOKUP(COUNTIF($A$1:A2055,"ANALISIS DE PRECIOS"),T_Rendimiento_Equipo,5,FALSE),0))</f>
        <v>0</v>
      </c>
      <c r="G2055" s="439">
        <f>IFERROR(ROUND(E2055/F2055,2),0)</f>
        <v>0</v>
      </c>
    </row>
    <row r="2056" spans="1:7" ht="19.899999999999999" customHeight="1" x14ac:dyDescent="0.2">
      <c r="A2056" s="482">
        <f t="shared" si="680"/>
        <v>0</v>
      </c>
      <c r="B2056" s="445">
        <f t="shared" si="681"/>
        <v>0</v>
      </c>
      <c r="C2056" s="436">
        <f t="shared" ref="C2056:C2058" si="683">+C1756</f>
        <v>0</v>
      </c>
      <c r="D2056" s="446">
        <f t="shared" si="682"/>
        <v>0</v>
      </c>
      <c r="E2056" s="439">
        <f t="shared" ref="E2056:E2057" si="684">D2056*$G$323</f>
        <v>0</v>
      </c>
      <c r="F2056" s="442">
        <f>IF(C2056="",0,IFERROR(VLOOKUP(COUNTIF($A$1:A2056,"ANALISIS DE PRECIOS"),T_Rendimiento_Equipo,5,FALSE),0))</f>
        <v>0</v>
      </c>
      <c r="G2056" s="439">
        <f t="shared" ref="G2056:G2063" si="685">IFERROR(ROUND(E2056/F2056,2),0)</f>
        <v>0</v>
      </c>
    </row>
    <row r="2057" spans="1:7" ht="19.899999999999999" customHeight="1" x14ac:dyDescent="0.2">
      <c r="A2057" s="482">
        <f t="shared" si="680"/>
        <v>0</v>
      </c>
      <c r="B2057" s="445">
        <f t="shared" si="681"/>
        <v>0</v>
      </c>
      <c r="C2057" s="436">
        <f t="shared" si="683"/>
        <v>0</v>
      </c>
      <c r="D2057" s="446">
        <f t="shared" si="682"/>
        <v>0</v>
      </c>
      <c r="E2057" s="439">
        <f t="shared" si="684"/>
        <v>0</v>
      </c>
      <c r="F2057" s="442">
        <f>IF(C2057="",0,IFERROR(VLOOKUP(COUNTIF($A$1:A2057,"ANALISIS DE PRECIOS"),T_Rendimiento_Equipo,5,FALSE),0))</f>
        <v>0</v>
      </c>
      <c r="G2057" s="439">
        <f t="shared" si="685"/>
        <v>0</v>
      </c>
    </row>
    <row r="2058" spans="1:7" ht="19.899999999999999" customHeight="1" x14ac:dyDescent="0.2">
      <c r="A2058" s="482">
        <f t="shared" si="680"/>
        <v>0</v>
      </c>
      <c r="B2058" s="445">
        <f t="shared" si="681"/>
        <v>0</v>
      </c>
      <c r="C2058" s="436">
        <f t="shared" si="683"/>
        <v>0</v>
      </c>
      <c r="D2058" s="446">
        <f t="shared" si="682"/>
        <v>0</v>
      </c>
      <c r="E2058" s="439">
        <f>D2058*$E$323</f>
        <v>0</v>
      </c>
      <c r="F2058" s="442">
        <f>IF(C2058="",0,IFERROR(VLOOKUP(COUNTIF($A$1:A2058,"ANALISIS DE PRECIOS"),T_Rendimiento_Equipo,5,FALSE),0))</f>
        <v>0</v>
      </c>
      <c r="G2058" s="439">
        <f t="shared" si="685"/>
        <v>0</v>
      </c>
    </row>
    <row r="2059" spans="1:7" ht="19.899999999999999" customHeight="1" x14ac:dyDescent="0.2">
      <c r="A2059" s="482">
        <f t="shared" si="680"/>
        <v>0</v>
      </c>
      <c r="B2059" s="445">
        <f t="shared" si="681"/>
        <v>0</v>
      </c>
      <c r="C2059" s="447"/>
      <c r="D2059" s="446">
        <f t="shared" si="682"/>
        <v>0</v>
      </c>
      <c r="E2059" s="439"/>
      <c r="F2059" s="442">
        <f>IF(C2059="",0,IFERROR(VLOOKUP(COUNTIF($A$1:A2059,"ANALISIS DE PRECIOS"),T_Rendimiento_Equipo,5,FALSE),0))</f>
        <v>0</v>
      </c>
      <c r="G2059" s="439">
        <f t="shared" si="685"/>
        <v>0</v>
      </c>
    </row>
    <row r="2060" spans="1:7" ht="19.899999999999999" customHeight="1" x14ac:dyDescent="0.2">
      <c r="A2060" s="482">
        <f t="shared" si="680"/>
        <v>0</v>
      </c>
      <c r="B2060" s="445">
        <f t="shared" si="681"/>
        <v>0</v>
      </c>
      <c r="C2060" s="447"/>
      <c r="D2060" s="446">
        <f t="shared" si="682"/>
        <v>0</v>
      </c>
      <c r="E2060" s="439"/>
      <c r="F2060" s="442">
        <f>IF(C2060="",0,IFERROR(VLOOKUP(COUNTIF($A$1:A2060,"ANALISIS DE PRECIOS"),T_Rendimiento_Equipo,5,FALSE),0))</f>
        <v>0</v>
      </c>
      <c r="G2060" s="439">
        <f t="shared" si="685"/>
        <v>0</v>
      </c>
    </row>
    <row r="2061" spans="1:7" ht="19.899999999999999" customHeight="1" x14ac:dyDescent="0.2">
      <c r="A2061" s="482">
        <f t="shared" si="680"/>
        <v>0</v>
      </c>
      <c r="B2061" s="445">
        <f t="shared" si="681"/>
        <v>0</v>
      </c>
      <c r="C2061" s="447"/>
      <c r="D2061" s="446">
        <f t="shared" si="682"/>
        <v>0</v>
      </c>
      <c r="E2061" s="439"/>
      <c r="F2061" s="442">
        <f>IF(C2061="",0,IFERROR(VLOOKUP(COUNTIF($A$1:A2061,"ANALISIS DE PRECIOS"),T_Rendimiento_Equipo,5,FALSE),0))</f>
        <v>0</v>
      </c>
      <c r="G2061" s="439">
        <f t="shared" si="685"/>
        <v>0</v>
      </c>
    </row>
    <row r="2062" spans="1:7" ht="19.899999999999999" customHeight="1" x14ac:dyDescent="0.2">
      <c r="A2062" s="482">
        <f t="shared" si="680"/>
        <v>0</v>
      </c>
      <c r="B2062" s="445">
        <f t="shared" si="681"/>
        <v>0</v>
      </c>
      <c r="C2062" s="447"/>
      <c r="D2062" s="446">
        <f t="shared" si="682"/>
        <v>0</v>
      </c>
      <c r="E2062" s="439"/>
      <c r="F2062" s="442">
        <f>IF(C2062="",0,IFERROR(VLOOKUP(COUNTIF($A$1:A2062,"ANALISIS DE PRECIOS"),T_Rendimiento_Equipo,5,FALSE),0))</f>
        <v>0</v>
      </c>
      <c r="G2062" s="439">
        <f t="shared" si="685"/>
        <v>0</v>
      </c>
    </row>
    <row r="2063" spans="1:7" ht="19.899999999999999" customHeight="1" x14ac:dyDescent="0.2">
      <c r="A2063" s="482">
        <f t="shared" si="680"/>
        <v>0</v>
      </c>
      <c r="B2063" s="445">
        <f t="shared" si="681"/>
        <v>0</v>
      </c>
      <c r="C2063" s="436"/>
      <c r="D2063" s="446">
        <f t="shared" si="682"/>
        <v>0</v>
      </c>
      <c r="E2063" s="439"/>
      <c r="F2063" s="442">
        <f>IF(C2063="",0,IFERROR(VLOOKUP(COUNTIF($A$1:A2063,"ANALISIS DE PRECIOS"),T_Rendimiento_Equipo,5,FALSE),0))</f>
        <v>0</v>
      </c>
      <c r="G2063" s="439">
        <f t="shared" si="685"/>
        <v>0</v>
      </c>
    </row>
    <row r="2064" spans="1:7" ht="19.899999999999999" customHeight="1" x14ac:dyDescent="0.2">
      <c r="A2064" s="483"/>
      <c r="B2064" s="426"/>
      <c r="C2064" s="139"/>
      <c r="D2064" s="426"/>
      <c r="E2064" s="427"/>
      <c r="F2064" s="448" t="s">
        <v>27</v>
      </c>
      <c r="G2064" s="484">
        <f>SUBTOTAL(9,G2055:G2063)</f>
        <v>0</v>
      </c>
    </row>
    <row r="2065" spans="1:7" ht="19.899999999999999" customHeight="1" x14ac:dyDescent="0.2">
      <c r="A2065" s="480"/>
      <c r="B2065" s="139"/>
      <c r="C2065" s="422" t="s">
        <v>713</v>
      </c>
      <c r="D2065" s="426"/>
      <c r="E2065" s="427"/>
      <c r="F2065" s="428"/>
      <c r="G2065" s="481"/>
    </row>
    <row r="2066" spans="1:7" ht="19.899999999999999" customHeight="1" x14ac:dyDescent="0.2">
      <c r="A2066" s="720" t="s">
        <v>576</v>
      </c>
      <c r="B2066" s="721"/>
      <c r="C2066" s="722" t="s">
        <v>0</v>
      </c>
      <c r="D2066" s="724" t="s">
        <v>24</v>
      </c>
      <c r="E2066" s="724" t="s">
        <v>1964</v>
      </c>
      <c r="F2066" s="726" t="s">
        <v>975</v>
      </c>
      <c r="G2066" s="728" t="s">
        <v>26</v>
      </c>
    </row>
    <row r="2067" spans="1:7" ht="19.899999999999999" customHeight="1" x14ac:dyDescent="0.2">
      <c r="A2067" s="444" t="s">
        <v>577</v>
      </c>
      <c r="B2067" s="444" t="s">
        <v>578</v>
      </c>
      <c r="C2067" s="723"/>
      <c r="D2067" s="725"/>
      <c r="E2067" s="725"/>
      <c r="F2067" s="727"/>
      <c r="G2067" s="729"/>
    </row>
    <row r="2068" spans="1:7" ht="19.899999999999999" customHeight="1" x14ac:dyDescent="0.2">
      <c r="A2068" s="482">
        <f t="shared" ref="A2068:A2074" si="686">IFERROR(VLOOKUP(C2068,T_Insumos,4,FALSE),0)</f>
        <v>0</v>
      </c>
      <c r="B2068" s="445">
        <f t="shared" ref="B2068:B2074" si="687">IFERROR(VLOOKUP(C2068,T_Insumos,5,FALSE),0)</f>
        <v>0</v>
      </c>
      <c r="C2068" s="436">
        <f t="shared" ref="C2068:C2071" si="688">+C1843</f>
        <v>0</v>
      </c>
      <c r="D2068" s="442"/>
      <c r="E2068" s="439">
        <f t="shared" ref="E2068:E2074" si="689">IFERROR(VLOOKUP(C2068,T_Insumos,3,FALSE),0)</f>
        <v>0</v>
      </c>
      <c r="F2068" s="442">
        <f>IF(C2068="",0,IFERROR(VLOOKUP(COUNTIF($A$1:A2068,"ANALISIS DE PRECIOS"),T_Rendimiento_Equipo,5,FALSE),0))</f>
        <v>0</v>
      </c>
      <c r="G2068" s="439">
        <f>IFERROR(ROUND(D2068*E2068/F2068,2),0)</f>
        <v>0</v>
      </c>
    </row>
    <row r="2069" spans="1:7" ht="19.899999999999999" customHeight="1" x14ac:dyDescent="0.2">
      <c r="A2069" s="482">
        <f t="shared" si="686"/>
        <v>0</v>
      </c>
      <c r="B2069" s="445">
        <f t="shared" si="687"/>
        <v>0</v>
      </c>
      <c r="C2069" s="436">
        <f t="shared" si="688"/>
        <v>0</v>
      </c>
      <c r="D2069" s="442">
        <v>1</v>
      </c>
      <c r="E2069" s="439">
        <f t="shared" si="689"/>
        <v>0</v>
      </c>
      <c r="F2069" s="442">
        <f>IF(C2069="",0,IFERROR(VLOOKUP(COUNTIF($A$1:A2069,"ANALISIS DE PRECIOS"),T_Rendimiento_Equipo,5,FALSE),0))</f>
        <v>0</v>
      </c>
      <c r="G2069" s="439">
        <f>IFERROR(ROUND(D2069*E2069/F2069,2),0)</f>
        <v>0</v>
      </c>
    </row>
    <row r="2070" spans="1:7" ht="19.899999999999999" customHeight="1" x14ac:dyDescent="0.2">
      <c r="A2070" s="482">
        <f t="shared" si="686"/>
        <v>0</v>
      </c>
      <c r="B2070" s="445">
        <f t="shared" si="687"/>
        <v>0</v>
      </c>
      <c r="C2070" s="436">
        <f t="shared" si="688"/>
        <v>0</v>
      </c>
      <c r="D2070" s="442"/>
      <c r="E2070" s="439">
        <f t="shared" si="689"/>
        <v>0</v>
      </c>
      <c r="F2070" s="442">
        <f>IF(C2070="",0,IFERROR(VLOOKUP(COUNTIF($A$1:A2070,"ANALISIS DE PRECIOS"),T_Rendimiento_Equipo,5,FALSE),0))</f>
        <v>0</v>
      </c>
      <c r="G2070" s="439">
        <f t="shared" ref="G2070:G2074" si="690">IFERROR(ROUND(D2070*E2070/F2070,2),0)</f>
        <v>0</v>
      </c>
    </row>
    <row r="2071" spans="1:7" ht="19.899999999999999" customHeight="1" x14ac:dyDescent="0.2">
      <c r="A2071" s="482">
        <f t="shared" si="686"/>
        <v>0</v>
      </c>
      <c r="B2071" s="445">
        <f t="shared" si="687"/>
        <v>0</v>
      </c>
      <c r="C2071" s="436">
        <f t="shared" si="688"/>
        <v>0</v>
      </c>
      <c r="D2071" s="442">
        <v>2</v>
      </c>
      <c r="E2071" s="439">
        <f t="shared" si="689"/>
        <v>0</v>
      </c>
      <c r="F2071" s="442">
        <f>IF(C2071="",0,IFERROR(VLOOKUP(COUNTIF($A$1:A2071,"ANALISIS DE PRECIOS"),T_Rendimiento_Equipo,5,FALSE),0))</f>
        <v>0</v>
      </c>
      <c r="G2071" s="439">
        <f t="shared" si="690"/>
        <v>0</v>
      </c>
    </row>
    <row r="2072" spans="1:7" ht="19.899999999999999" customHeight="1" x14ac:dyDescent="0.2">
      <c r="A2072" s="482">
        <f t="shared" si="686"/>
        <v>0</v>
      </c>
      <c r="B2072" s="445">
        <f t="shared" si="687"/>
        <v>0</v>
      </c>
      <c r="C2072" s="436"/>
      <c r="D2072" s="442"/>
      <c r="E2072" s="439">
        <f t="shared" si="689"/>
        <v>0</v>
      </c>
      <c r="F2072" s="442">
        <f>IF(C2072="",0,IFERROR(VLOOKUP(COUNTIF($A$1:A2072,"ANALISIS DE PRECIOS"),T_Rendimiento_Equipo,5,FALSE),0))</f>
        <v>0</v>
      </c>
      <c r="G2072" s="439">
        <f t="shared" si="690"/>
        <v>0</v>
      </c>
    </row>
    <row r="2073" spans="1:7" ht="19.899999999999999" customHeight="1" x14ac:dyDescent="0.2">
      <c r="A2073" s="482">
        <f t="shared" si="686"/>
        <v>0</v>
      </c>
      <c r="B2073" s="445">
        <f t="shared" si="687"/>
        <v>0</v>
      </c>
      <c r="C2073" s="436"/>
      <c r="D2073" s="450"/>
      <c r="E2073" s="439">
        <f t="shared" si="689"/>
        <v>0</v>
      </c>
      <c r="F2073" s="442">
        <f>IF(C2073="",0,IFERROR(VLOOKUP(COUNTIF($A$1:A2073,"ANALISIS DE PRECIOS"),T_Rendimiento_Equipo,5,FALSE),0))</f>
        <v>0</v>
      </c>
      <c r="G2073" s="439">
        <f t="shared" si="690"/>
        <v>0</v>
      </c>
    </row>
    <row r="2074" spans="1:7" ht="19.899999999999999" customHeight="1" x14ac:dyDescent="0.2">
      <c r="A2074" s="482">
        <f t="shared" si="686"/>
        <v>0</v>
      </c>
      <c r="B2074" s="445">
        <f t="shared" si="687"/>
        <v>0</v>
      </c>
      <c r="C2074" s="445"/>
      <c r="D2074" s="451"/>
      <c r="E2074" s="439">
        <f t="shared" si="689"/>
        <v>0</v>
      </c>
      <c r="F2074" s="442">
        <f>IF(C2074="",0,IFERROR(VLOOKUP(COUNTIF($A$1:A2074,"ANALISIS DE PRECIOS"),T_Rendimiento_Equipo,5,FALSE),0))</f>
        <v>0</v>
      </c>
      <c r="G2074" s="439">
        <f t="shared" si="690"/>
        <v>0</v>
      </c>
    </row>
    <row r="2075" spans="1:7" ht="19.899999999999999" customHeight="1" x14ac:dyDescent="0.2">
      <c r="A2075" s="483"/>
      <c r="B2075" s="426"/>
      <c r="C2075" s="139"/>
      <c r="D2075" s="426"/>
      <c r="E2075" s="427"/>
      <c r="F2075" s="448" t="s">
        <v>28</v>
      </c>
      <c r="G2075" s="485">
        <f>SUBTOTAL(9,G2068:G2074)</f>
        <v>0</v>
      </c>
    </row>
    <row r="2076" spans="1:7" ht="19.899999999999999" customHeight="1" x14ac:dyDescent="0.2">
      <c r="A2076" s="480"/>
      <c r="B2076" s="139"/>
      <c r="C2076" s="422" t="s">
        <v>982</v>
      </c>
      <c r="D2076" s="426"/>
      <c r="E2076" s="427"/>
      <c r="F2076" s="428"/>
      <c r="G2076" s="481"/>
    </row>
    <row r="2077" spans="1:7" ht="19.899999999999999" customHeight="1" x14ac:dyDescent="0.2">
      <c r="A2077" s="720" t="s">
        <v>576</v>
      </c>
      <c r="B2077" s="721"/>
      <c r="C2077" s="722" t="s">
        <v>0</v>
      </c>
      <c r="D2077" s="722" t="s">
        <v>1725</v>
      </c>
      <c r="E2077" s="724" t="s">
        <v>24</v>
      </c>
      <c r="F2077" s="726" t="s">
        <v>25</v>
      </c>
      <c r="G2077" s="728" t="s">
        <v>26</v>
      </c>
    </row>
    <row r="2078" spans="1:7" ht="19.899999999999999" customHeight="1" x14ac:dyDescent="0.2">
      <c r="A2078" s="444" t="s">
        <v>577</v>
      </c>
      <c r="B2078" s="444" t="s">
        <v>578</v>
      </c>
      <c r="C2078" s="723"/>
      <c r="D2078" s="723"/>
      <c r="E2078" s="725"/>
      <c r="F2078" s="727"/>
      <c r="G2078" s="729"/>
    </row>
    <row r="2079" spans="1:7" ht="19.899999999999999" customHeight="1" x14ac:dyDescent="0.2">
      <c r="A2079" s="482">
        <f t="shared" ref="A2079:A2089" si="691">IFERROR(VLOOKUP(C2079,T_Insumos,4,FALSE),0)</f>
        <v>0</v>
      </c>
      <c r="B2079" s="445">
        <f t="shared" ref="B2079:B2089" si="692">IFERROR(VLOOKUP(C2079,T_Insumos,5,FALSE),0)</f>
        <v>0</v>
      </c>
      <c r="C2079" s="436">
        <f t="shared" ref="C2079:C2089" si="693">+C1854</f>
        <v>0</v>
      </c>
      <c r="D2079" s="493">
        <f t="shared" ref="D2079:D2089" si="694">IFERROR(VLOOKUP(C2079,T_Insumos,2,FALSE),0)</f>
        <v>0</v>
      </c>
      <c r="E2079" s="437"/>
      <c r="F2079" s="439">
        <f t="shared" ref="F2079:F2089" si="695">IFERROR(VLOOKUP(C2079,T_Insumos,3,FALSE),0)</f>
        <v>0</v>
      </c>
      <c r="G2079" s="439">
        <f>ROUND(E2079*F2079,2)</f>
        <v>0</v>
      </c>
    </row>
    <row r="2080" spans="1:7" ht="19.899999999999999" customHeight="1" x14ac:dyDescent="0.2">
      <c r="A2080" s="482">
        <f t="shared" si="691"/>
        <v>0</v>
      </c>
      <c r="B2080" s="445">
        <f t="shared" si="692"/>
        <v>0</v>
      </c>
      <c r="C2080" s="436">
        <f t="shared" si="693"/>
        <v>0</v>
      </c>
      <c r="D2080" s="493">
        <f t="shared" si="694"/>
        <v>0</v>
      </c>
      <c r="E2080" s="437"/>
      <c r="F2080" s="439">
        <f t="shared" si="695"/>
        <v>0</v>
      </c>
      <c r="G2080" s="439">
        <f t="shared" ref="G2080:G2089" si="696">ROUND(E2080*F2080,2)</f>
        <v>0</v>
      </c>
    </row>
    <row r="2081" spans="1:7" ht="19.899999999999999" customHeight="1" x14ac:dyDescent="0.2">
      <c r="A2081" s="482">
        <f t="shared" si="691"/>
        <v>0</v>
      </c>
      <c r="B2081" s="445">
        <f t="shared" si="692"/>
        <v>0</v>
      </c>
      <c r="C2081" s="436">
        <f t="shared" si="693"/>
        <v>0</v>
      </c>
      <c r="D2081" s="493">
        <f t="shared" si="694"/>
        <v>0</v>
      </c>
      <c r="E2081" s="437"/>
      <c r="F2081" s="439">
        <f t="shared" si="695"/>
        <v>0</v>
      </c>
      <c r="G2081" s="439">
        <f t="shared" si="696"/>
        <v>0</v>
      </c>
    </row>
    <row r="2082" spans="1:7" ht="19.899999999999999" customHeight="1" x14ac:dyDescent="0.2">
      <c r="A2082" s="482">
        <f t="shared" si="691"/>
        <v>0</v>
      </c>
      <c r="B2082" s="445">
        <f t="shared" si="692"/>
        <v>0</v>
      </c>
      <c r="C2082" s="436">
        <f t="shared" si="693"/>
        <v>0</v>
      </c>
      <c r="D2082" s="493">
        <f t="shared" si="694"/>
        <v>0</v>
      </c>
      <c r="E2082" s="437"/>
      <c r="F2082" s="439">
        <f t="shared" si="695"/>
        <v>0</v>
      </c>
      <c r="G2082" s="439">
        <f t="shared" si="696"/>
        <v>0</v>
      </c>
    </row>
    <row r="2083" spans="1:7" ht="19.899999999999999" customHeight="1" x14ac:dyDescent="0.2">
      <c r="A2083" s="482">
        <f t="shared" si="691"/>
        <v>0</v>
      </c>
      <c r="B2083" s="445">
        <f t="shared" si="692"/>
        <v>0</v>
      </c>
      <c r="C2083" s="436">
        <f t="shared" si="693"/>
        <v>0</v>
      </c>
      <c r="D2083" s="493">
        <f t="shared" si="694"/>
        <v>0</v>
      </c>
      <c r="E2083" s="437"/>
      <c r="F2083" s="439">
        <f t="shared" si="695"/>
        <v>0</v>
      </c>
      <c r="G2083" s="439">
        <f t="shared" si="696"/>
        <v>0</v>
      </c>
    </row>
    <row r="2084" spans="1:7" ht="19.899999999999999" customHeight="1" x14ac:dyDescent="0.2">
      <c r="A2084" s="482">
        <f t="shared" si="691"/>
        <v>0</v>
      </c>
      <c r="B2084" s="445">
        <f t="shared" si="692"/>
        <v>0</v>
      </c>
      <c r="C2084" s="436">
        <f t="shared" si="693"/>
        <v>0</v>
      </c>
      <c r="D2084" s="493">
        <f t="shared" si="694"/>
        <v>0</v>
      </c>
      <c r="E2084" s="437"/>
      <c r="F2084" s="439">
        <f t="shared" si="695"/>
        <v>0</v>
      </c>
      <c r="G2084" s="439">
        <f t="shared" si="696"/>
        <v>0</v>
      </c>
    </row>
    <row r="2085" spans="1:7" ht="19.899999999999999" customHeight="1" x14ac:dyDescent="0.2">
      <c r="A2085" s="482">
        <f t="shared" si="691"/>
        <v>0</v>
      </c>
      <c r="B2085" s="445">
        <f t="shared" si="692"/>
        <v>0</v>
      </c>
      <c r="C2085" s="436">
        <f t="shared" si="693"/>
        <v>0</v>
      </c>
      <c r="D2085" s="493">
        <f t="shared" si="694"/>
        <v>0</v>
      </c>
      <c r="E2085" s="437"/>
      <c r="F2085" s="439">
        <f t="shared" si="695"/>
        <v>0</v>
      </c>
      <c r="G2085" s="439">
        <f t="shared" si="696"/>
        <v>0</v>
      </c>
    </row>
    <row r="2086" spans="1:7" ht="19.899999999999999" customHeight="1" x14ac:dyDescent="0.2">
      <c r="A2086" s="482">
        <f t="shared" si="691"/>
        <v>0</v>
      </c>
      <c r="B2086" s="445">
        <f t="shared" si="692"/>
        <v>0</v>
      </c>
      <c r="C2086" s="436">
        <f t="shared" si="693"/>
        <v>0</v>
      </c>
      <c r="D2086" s="493">
        <f t="shared" si="694"/>
        <v>0</v>
      </c>
      <c r="E2086" s="437"/>
      <c r="F2086" s="439">
        <f t="shared" si="695"/>
        <v>0</v>
      </c>
      <c r="G2086" s="439">
        <f t="shared" si="696"/>
        <v>0</v>
      </c>
    </row>
    <row r="2087" spans="1:7" ht="19.899999999999999" customHeight="1" x14ac:dyDescent="0.2">
      <c r="A2087" s="482">
        <f t="shared" si="691"/>
        <v>0</v>
      </c>
      <c r="B2087" s="445">
        <f t="shared" si="692"/>
        <v>0</v>
      </c>
      <c r="C2087" s="436">
        <f t="shared" si="693"/>
        <v>0</v>
      </c>
      <c r="D2087" s="493">
        <f t="shared" si="694"/>
        <v>0</v>
      </c>
      <c r="E2087" s="437"/>
      <c r="F2087" s="439">
        <f t="shared" si="695"/>
        <v>0</v>
      </c>
      <c r="G2087" s="439">
        <f t="shared" si="696"/>
        <v>0</v>
      </c>
    </row>
    <row r="2088" spans="1:7" ht="19.899999999999999" customHeight="1" x14ac:dyDescent="0.2">
      <c r="A2088" s="482">
        <f t="shared" si="691"/>
        <v>0</v>
      </c>
      <c r="B2088" s="445">
        <f t="shared" si="692"/>
        <v>0</v>
      </c>
      <c r="C2088" s="436">
        <f t="shared" si="693"/>
        <v>0</v>
      </c>
      <c r="D2088" s="493">
        <f t="shared" si="694"/>
        <v>0</v>
      </c>
      <c r="E2088" s="437"/>
      <c r="F2088" s="439">
        <f t="shared" si="695"/>
        <v>0</v>
      </c>
      <c r="G2088" s="439">
        <f t="shared" si="696"/>
        <v>0</v>
      </c>
    </row>
    <row r="2089" spans="1:7" ht="19.899999999999999" customHeight="1" x14ac:dyDescent="0.2">
      <c r="A2089" s="482">
        <f t="shared" si="691"/>
        <v>0</v>
      </c>
      <c r="B2089" s="445">
        <f t="shared" si="692"/>
        <v>0</v>
      </c>
      <c r="C2089" s="436">
        <f t="shared" si="693"/>
        <v>0</v>
      </c>
      <c r="D2089" s="493">
        <f t="shared" si="694"/>
        <v>0</v>
      </c>
      <c r="E2089" s="437"/>
      <c r="F2089" s="439">
        <f t="shared" si="695"/>
        <v>0</v>
      </c>
      <c r="G2089" s="439">
        <f t="shared" si="696"/>
        <v>0</v>
      </c>
    </row>
    <row r="2090" spans="1:7" ht="19.899999999999999" customHeight="1" x14ac:dyDescent="0.2">
      <c r="A2090" s="480"/>
      <c r="B2090" s="139"/>
      <c r="C2090" s="139"/>
      <c r="D2090" s="426"/>
      <c r="E2090" s="427"/>
      <c r="F2090" s="448" t="s">
        <v>29</v>
      </c>
      <c r="G2090" s="485">
        <f>SUBTOTAL(9,G2079:G2089)</f>
        <v>0</v>
      </c>
    </row>
    <row r="2091" spans="1:7" ht="19.899999999999999" customHeight="1" x14ac:dyDescent="0.2">
      <c r="A2091" s="480"/>
      <c r="B2091" s="139"/>
      <c r="C2091" s="422" t="s">
        <v>983</v>
      </c>
      <c r="D2091" s="426"/>
      <c r="E2091" s="427"/>
      <c r="F2091" s="428"/>
      <c r="G2091" s="481"/>
    </row>
    <row r="2092" spans="1:7" ht="19.899999999999999" customHeight="1" x14ac:dyDescent="0.2">
      <c r="A2092" s="720" t="s">
        <v>576</v>
      </c>
      <c r="B2092" s="721"/>
      <c r="C2092" s="722" t="s">
        <v>0</v>
      </c>
      <c r="D2092" s="722" t="s">
        <v>1725</v>
      </c>
      <c r="E2092" s="724" t="s">
        <v>24</v>
      </c>
      <c r="F2092" s="726" t="s">
        <v>25</v>
      </c>
      <c r="G2092" s="728" t="s">
        <v>26</v>
      </c>
    </row>
    <row r="2093" spans="1:7" ht="19.899999999999999" customHeight="1" x14ac:dyDescent="0.2">
      <c r="A2093" s="444" t="s">
        <v>577</v>
      </c>
      <c r="B2093" s="444" t="s">
        <v>578</v>
      </c>
      <c r="C2093" s="723"/>
      <c r="D2093" s="723"/>
      <c r="E2093" s="725"/>
      <c r="F2093" s="727"/>
      <c r="G2093" s="729"/>
    </row>
    <row r="2094" spans="1:7" ht="19.899999999999999" customHeight="1" x14ac:dyDescent="0.2">
      <c r="A2094" s="482">
        <f>IFERROR(VLOOKUP(C2094,T_Insumos,4,FALSE),0)</f>
        <v>0</v>
      </c>
      <c r="B2094" s="445">
        <f>IFERROR(VLOOKUP(C2094,T_Insumos,5,FALSE),0)</f>
        <v>0</v>
      </c>
      <c r="C2094" s="436"/>
      <c r="D2094" s="493">
        <f>IF(C2094=0,0,"$/tnkm")</f>
        <v>0</v>
      </c>
      <c r="E2094" s="437"/>
      <c r="F2094" s="439">
        <f>IFERROR(VLOOKUP(C2094,T_Insumos,3,FALSE),0)</f>
        <v>0</v>
      </c>
      <c r="G2094" s="439">
        <f>ROUND(E2094*F2094,2)</f>
        <v>0</v>
      </c>
    </row>
    <row r="2095" spans="1:7" ht="19.899999999999999" customHeight="1" x14ac:dyDescent="0.2">
      <c r="A2095" s="482">
        <f>IFERROR(VLOOKUP(C2095,T_Insumos,4,FALSE),0)</f>
        <v>0</v>
      </c>
      <c r="B2095" s="445">
        <f>IFERROR(VLOOKUP(C2095,T_Insumos,5,FALSE),0)</f>
        <v>0</v>
      </c>
      <c r="C2095" s="436"/>
      <c r="D2095" s="493">
        <f>IF(C2095=0,0,"$/tnkm")</f>
        <v>0</v>
      </c>
      <c r="E2095" s="453"/>
      <c r="F2095" s="439">
        <f>IFERROR(VLOOKUP(C2095,T_Insumos,3,FALSE),0)</f>
        <v>0</v>
      </c>
      <c r="G2095" s="439">
        <f t="shared" ref="G2095" si="697">ROUND(E2095*F2095,2)</f>
        <v>0</v>
      </c>
    </row>
    <row r="2096" spans="1:7" ht="19.899999999999999" customHeight="1" x14ac:dyDescent="0.2">
      <c r="A2096" s="480"/>
      <c r="B2096" s="139"/>
      <c r="C2096" s="139"/>
      <c r="D2096" s="426"/>
      <c r="E2096" s="427"/>
      <c r="F2096" s="448" t="s">
        <v>984</v>
      </c>
      <c r="G2096" s="485">
        <f>SUBTOTAL(9,G2094:G2095)</f>
        <v>0</v>
      </c>
    </row>
    <row r="2097" spans="1:7" ht="19.899999999999999" customHeight="1" x14ac:dyDescent="0.2">
      <c r="A2097" s="483"/>
      <c r="B2097" s="426"/>
      <c r="C2097" s="139"/>
      <c r="D2097" s="426"/>
      <c r="E2097" s="427"/>
      <c r="F2097" s="428"/>
      <c r="G2097" s="481"/>
    </row>
    <row r="2098" spans="1:7" ht="19.899999999999999" customHeight="1" x14ac:dyDescent="0.2">
      <c r="A2098" s="541" t="str">
        <f>B2032</f>
        <v/>
      </c>
      <c r="B2098" s="538">
        <f ca="1">C2032</f>
        <v>0</v>
      </c>
      <c r="C2098" s="426"/>
      <c r="D2098" s="426" t="s">
        <v>1704</v>
      </c>
      <c r="E2098" s="539"/>
      <c r="F2098" s="540" t="str">
        <f ca="1">"$/"&amp;G2032</f>
        <v>$/0</v>
      </c>
      <c r="G2098" s="490">
        <f>SUBTOTAL(9,G2055:G2097)</f>
        <v>0</v>
      </c>
    </row>
    <row r="2099" spans="1:7" ht="19.899999999999999" customHeight="1" x14ac:dyDescent="0.2">
      <c r="A2099" s="486"/>
      <c r="B2099" s="487"/>
      <c r="C2099" s="488"/>
      <c r="D2099" s="488" t="s">
        <v>1900</v>
      </c>
      <c r="E2099" s="489"/>
      <c r="F2099" s="542" t="str">
        <f ca="1">"$/"&amp;G2032</f>
        <v>$/0</v>
      </c>
      <c r="G2099" s="490">
        <f>ROUND(G2098*Coeficiente_Paso,2)</f>
        <v>0</v>
      </c>
    </row>
    <row r="2100" spans="1:7" ht="19.899999999999999" customHeight="1" x14ac:dyDescent="0.2">
      <c r="A2100" s="139"/>
      <c r="B2100" s="139"/>
      <c r="C2100" s="139"/>
      <c r="D2100" s="139"/>
      <c r="E2100" s="139"/>
      <c r="F2100" s="139"/>
      <c r="G2100" s="139"/>
    </row>
    <row r="2101" spans="1:7" ht="19.899999999999999" customHeight="1" x14ac:dyDescent="0.2">
      <c r="A2101" s="730" t="s">
        <v>31</v>
      </c>
      <c r="B2101" s="731"/>
      <c r="C2101" s="731"/>
      <c r="D2101" s="731"/>
      <c r="E2101" s="731"/>
      <c r="F2101" s="731"/>
      <c r="G2101" s="732"/>
    </row>
    <row r="2102" spans="1:7" ht="19.899999999999999" customHeight="1" x14ac:dyDescent="0.2">
      <c r="A2102" s="469" t="s">
        <v>711</v>
      </c>
      <c r="B2102" s="420" t="str">
        <f>Comitente</f>
        <v>DEPARTAMENTO DE HIDRAULICA</v>
      </c>
      <c r="C2102" s="421"/>
      <c r="D2102" s="422"/>
      <c r="E2102" s="422"/>
      <c r="F2102" s="423"/>
      <c r="G2102" s="470"/>
    </row>
    <row r="2103" spans="1:7" ht="19.899999999999999" customHeight="1" x14ac:dyDescent="0.2">
      <c r="A2103" s="469" t="s">
        <v>712</v>
      </c>
      <c r="B2103" s="420">
        <f>Contratista</f>
        <v>0</v>
      </c>
      <c r="C2103" s="424"/>
      <c r="D2103" s="424"/>
      <c r="E2103" s="424"/>
      <c r="F2103" s="420"/>
      <c r="G2103" s="471"/>
    </row>
    <row r="2104" spans="1:7" ht="19.899999999999999" customHeight="1" x14ac:dyDescent="0.2">
      <c r="A2104" s="469" t="s">
        <v>21</v>
      </c>
      <c r="B2104" s="420" t="str">
        <f>Obra</f>
        <v>Encamisado Parcial del Canal de Calle América</v>
      </c>
      <c r="C2104" s="424"/>
      <c r="D2104" s="424"/>
      <c r="E2104" s="424"/>
      <c r="F2104" s="420" t="s">
        <v>32</v>
      </c>
      <c r="G2104" s="471" t="str">
        <f>Fecha_Base</f>
        <v>X/X/2023</v>
      </c>
    </row>
    <row r="2105" spans="1:7" ht="19.899999999999999" customHeight="1" x14ac:dyDescent="0.2">
      <c r="A2105" s="472" t="s">
        <v>710</v>
      </c>
      <c r="B2105" s="425" t="str">
        <f>Ubicación</f>
        <v>Departamento Rawson</v>
      </c>
      <c r="C2105" s="425"/>
      <c r="D2105" s="426"/>
      <c r="E2105" s="427"/>
      <c r="F2105" s="428"/>
      <c r="G2105" s="473"/>
    </row>
    <row r="2106" spans="1:7" ht="19.899999999999999" customHeight="1" x14ac:dyDescent="0.2">
      <c r="A2106" s="472" t="s">
        <v>33</v>
      </c>
      <c r="B2106" s="429" t="str">
        <f>IFERROR(VALUE(LEFT(B2107,FIND(".",B2107)-1)),"")</f>
        <v/>
      </c>
      <c r="C2106" s="139">
        <f ca="1">IFERROR(VLOOKUP(B2106,T_Computo_Presupuesto,2,FALSE),0)</f>
        <v>0</v>
      </c>
      <c r="D2106" s="139"/>
      <c r="E2106" s="427"/>
      <c r="F2106" s="428"/>
      <c r="G2106" s="473"/>
    </row>
    <row r="2107" spans="1:7" ht="19.899999999999999" customHeight="1" x14ac:dyDescent="0.2">
      <c r="A2107" s="472" t="s">
        <v>22</v>
      </c>
      <c r="B2107" s="430" t="str">
        <f>IFERROR(VLOOKUP(COUNTIF($A$1:A2107,"ANALISIS DE PRECIOS"),T_NumeroItem,2,FALSE),"")</f>
        <v/>
      </c>
      <c r="C2107" s="733">
        <f ca="1">IFERROR(VLOOKUP(B2107,T_Computo_Presupuesto,2,FALSE),0)</f>
        <v>0</v>
      </c>
      <c r="D2107" s="733"/>
      <c r="E2107" s="733"/>
      <c r="F2107" s="425" t="s">
        <v>23</v>
      </c>
      <c r="G2107" s="474">
        <f ca="1">IFERROR(VLOOKUP(B2107,T_Computo_Presupuesto,4,FALSE),0)</f>
        <v>0</v>
      </c>
    </row>
    <row r="2108" spans="1:7" ht="19.899999999999999" customHeight="1" x14ac:dyDescent="0.2">
      <c r="A2108" s="472"/>
      <c r="B2108" s="425"/>
      <c r="C2108" s="139"/>
      <c r="D2108" s="426"/>
      <c r="E2108" s="427"/>
      <c r="F2108" s="139"/>
      <c r="G2108" s="475"/>
    </row>
    <row r="2109" spans="1:7" ht="19.899999999999999" customHeight="1" x14ac:dyDescent="0.2">
      <c r="A2109" s="476"/>
      <c r="B2109" s="431"/>
      <c r="C2109" s="432" t="s">
        <v>967</v>
      </c>
      <c r="D2109" s="431"/>
      <c r="E2109" s="431"/>
      <c r="F2109" s="431"/>
      <c r="G2109" s="477"/>
    </row>
    <row r="2110" spans="1:7" ht="19.899999999999999" customHeight="1" x14ac:dyDescent="0.2">
      <c r="A2110" s="472"/>
      <c r="B2110" s="433"/>
      <c r="C2110" s="139"/>
      <c r="D2110" s="426"/>
      <c r="E2110" s="427"/>
      <c r="F2110" s="425"/>
      <c r="G2110" s="474"/>
    </row>
    <row r="2111" spans="1:7" ht="19.899999999999999" customHeight="1" x14ac:dyDescent="0.2">
      <c r="A2111" s="472"/>
      <c r="B2111" s="433"/>
      <c r="C2111" s="434" t="s">
        <v>968</v>
      </c>
      <c r="D2111" s="435" t="s">
        <v>24</v>
      </c>
      <c r="E2111" s="435" t="s">
        <v>969</v>
      </c>
      <c r="F2111" s="435" t="s">
        <v>970</v>
      </c>
      <c r="G2111" s="434" t="s">
        <v>971</v>
      </c>
    </row>
    <row r="2112" spans="1:7" ht="19.899999999999999" customHeight="1" x14ac:dyDescent="0.2">
      <c r="A2112" s="472"/>
      <c r="B2112" s="433"/>
      <c r="C2112" s="436">
        <f>+C1887</f>
        <v>0</v>
      </c>
      <c r="D2112" s="436">
        <f>+D1887</f>
        <v>0</v>
      </c>
      <c r="E2112" s="438">
        <f t="shared" ref="E2112:E2121" si="698">IFERROR(VLOOKUP(C2112,T_Equipos,4,FALSE),0)</f>
        <v>0</v>
      </c>
      <c r="F2112" s="439">
        <f t="shared" ref="F2112:F2121" si="699">IFERROR(VLOOKUP(C2112,T_Equipos,5,FALSE),0)</f>
        <v>0</v>
      </c>
      <c r="G2112" s="439">
        <f>ROUND(D2112*F2112,2)</f>
        <v>0</v>
      </c>
    </row>
    <row r="2113" spans="1:7" ht="19.899999999999999" customHeight="1" x14ac:dyDescent="0.2">
      <c r="A2113" s="472"/>
      <c r="B2113" s="433"/>
      <c r="C2113" s="436">
        <f t="shared" ref="C2113:D2113" si="700">+C1888</f>
        <v>0</v>
      </c>
      <c r="D2113" s="436">
        <f t="shared" si="700"/>
        <v>0</v>
      </c>
      <c r="E2113" s="438">
        <f t="shared" si="698"/>
        <v>0</v>
      </c>
      <c r="F2113" s="439">
        <f t="shared" si="699"/>
        <v>0</v>
      </c>
      <c r="G2113" s="439">
        <f>ROUND(D2113*F2113,2)</f>
        <v>0</v>
      </c>
    </row>
    <row r="2114" spans="1:7" ht="19.899999999999999" customHeight="1" x14ac:dyDescent="0.2">
      <c r="A2114" s="472"/>
      <c r="B2114" s="433"/>
      <c r="C2114" s="436">
        <f t="shared" ref="C2114" si="701">+C1889</f>
        <v>0</v>
      </c>
      <c r="D2114" s="436"/>
      <c r="E2114" s="438">
        <f t="shared" si="698"/>
        <v>0</v>
      </c>
      <c r="F2114" s="439">
        <f t="shared" si="699"/>
        <v>0</v>
      </c>
      <c r="G2114" s="439">
        <f>ROUND(D2114*F2114,2)</f>
        <v>0</v>
      </c>
    </row>
    <row r="2115" spans="1:7" ht="19.899999999999999" customHeight="1" x14ac:dyDescent="0.2">
      <c r="A2115" s="472"/>
      <c r="B2115" s="433"/>
      <c r="C2115" s="436">
        <f t="shared" ref="C2115" si="702">+C1890</f>
        <v>0</v>
      </c>
      <c r="D2115" s="436"/>
      <c r="E2115" s="438">
        <f t="shared" si="698"/>
        <v>0</v>
      </c>
      <c r="F2115" s="439">
        <f t="shared" si="699"/>
        <v>0</v>
      </c>
      <c r="G2115" s="439">
        <f>ROUND(D2115*F2115,2)</f>
        <v>0</v>
      </c>
    </row>
    <row r="2116" spans="1:7" ht="19.899999999999999" customHeight="1" x14ac:dyDescent="0.2">
      <c r="A2116" s="472"/>
      <c r="B2116" s="433"/>
      <c r="C2116" s="436">
        <f t="shared" ref="C2116" si="703">+C1891</f>
        <v>0</v>
      </c>
      <c r="D2116" s="436"/>
      <c r="E2116" s="438">
        <f t="shared" si="698"/>
        <v>0</v>
      </c>
      <c r="F2116" s="439">
        <f t="shared" si="699"/>
        <v>0</v>
      </c>
      <c r="G2116" s="439">
        <f t="shared" ref="G2116:G2121" si="704">ROUND(D2116*F2116,2)</f>
        <v>0</v>
      </c>
    </row>
    <row r="2117" spans="1:7" ht="19.899999999999999" customHeight="1" x14ac:dyDescent="0.2">
      <c r="A2117" s="472"/>
      <c r="B2117" s="433"/>
      <c r="C2117" s="436">
        <f t="shared" ref="C2117" si="705">+C1892</f>
        <v>0</v>
      </c>
      <c r="D2117" s="436"/>
      <c r="E2117" s="438">
        <f t="shared" si="698"/>
        <v>0</v>
      </c>
      <c r="F2117" s="439">
        <f t="shared" si="699"/>
        <v>0</v>
      </c>
      <c r="G2117" s="439">
        <f t="shared" si="704"/>
        <v>0</v>
      </c>
    </row>
    <row r="2118" spans="1:7" ht="19.899999999999999" customHeight="1" x14ac:dyDescent="0.2">
      <c r="A2118" s="472"/>
      <c r="B2118" s="433"/>
      <c r="C2118" s="436">
        <f t="shared" ref="C2118:D2118" si="706">+C1893</f>
        <v>0</v>
      </c>
      <c r="D2118" s="436">
        <f t="shared" si="706"/>
        <v>0</v>
      </c>
      <c r="E2118" s="438">
        <f t="shared" si="698"/>
        <v>0</v>
      </c>
      <c r="F2118" s="439">
        <f t="shared" si="699"/>
        <v>0</v>
      </c>
      <c r="G2118" s="439">
        <f t="shared" si="704"/>
        <v>0</v>
      </c>
    </row>
    <row r="2119" spans="1:7" ht="19.899999999999999" customHeight="1" x14ac:dyDescent="0.2">
      <c r="A2119" s="472"/>
      <c r="B2119" s="433"/>
      <c r="C2119" s="436">
        <f t="shared" ref="C2119:D2119" si="707">+C1894</f>
        <v>0</v>
      </c>
      <c r="D2119" s="436">
        <f t="shared" si="707"/>
        <v>0</v>
      </c>
      <c r="E2119" s="438">
        <f t="shared" si="698"/>
        <v>0</v>
      </c>
      <c r="F2119" s="439">
        <f t="shared" si="699"/>
        <v>0</v>
      </c>
      <c r="G2119" s="439">
        <f t="shared" si="704"/>
        <v>0</v>
      </c>
    </row>
    <row r="2120" spans="1:7" ht="19.899999999999999" customHeight="1" x14ac:dyDescent="0.2">
      <c r="A2120" s="472"/>
      <c r="B2120" s="433"/>
      <c r="C2120" s="436"/>
      <c r="D2120" s="437"/>
      <c r="E2120" s="438">
        <f t="shared" si="698"/>
        <v>0</v>
      </c>
      <c r="F2120" s="439">
        <f t="shared" si="699"/>
        <v>0</v>
      </c>
      <c r="G2120" s="439">
        <f t="shared" si="704"/>
        <v>0</v>
      </c>
    </row>
    <row r="2121" spans="1:7" ht="19.899999999999999" customHeight="1" x14ac:dyDescent="0.2">
      <c r="A2121" s="472"/>
      <c r="B2121" s="433"/>
      <c r="C2121" s="436"/>
      <c r="D2121" s="437"/>
      <c r="E2121" s="438">
        <f t="shared" si="698"/>
        <v>0</v>
      </c>
      <c r="F2121" s="439">
        <f t="shared" si="699"/>
        <v>0</v>
      </c>
      <c r="G2121" s="439">
        <f t="shared" si="704"/>
        <v>0</v>
      </c>
    </row>
    <row r="2122" spans="1:7" ht="19.899999999999999" customHeight="1" x14ac:dyDescent="0.2">
      <c r="A2122" s="472"/>
      <c r="B2122" s="433"/>
      <c r="C2122" s="139"/>
      <c r="D2122" s="139"/>
      <c r="E2122" s="440"/>
      <c r="F2122" s="425"/>
      <c r="G2122" s="474"/>
    </row>
    <row r="2123" spans="1:7" ht="19.899999999999999" customHeight="1" x14ac:dyDescent="0.2">
      <c r="A2123" s="472"/>
      <c r="B2123" s="139"/>
      <c r="C2123" s="422" t="s">
        <v>972</v>
      </c>
      <c r="D2123" s="425" t="s">
        <v>969</v>
      </c>
      <c r="E2123" s="491">
        <f>SUMPRODUCT(D2112:D2121,E2112:E2121)</f>
        <v>0</v>
      </c>
      <c r="F2123" s="425" t="s">
        <v>973</v>
      </c>
      <c r="G2123" s="492">
        <f>SUM(G2112:G2121)</f>
        <v>0</v>
      </c>
    </row>
    <row r="2124" spans="1:7" ht="19.899999999999999" customHeight="1" x14ac:dyDescent="0.2">
      <c r="A2124" s="472"/>
      <c r="B2124" s="433"/>
      <c r="C2124" s="441"/>
      <c r="D2124" s="440"/>
      <c r="E2124" s="427"/>
      <c r="F2124" s="425"/>
      <c r="G2124" s="478"/>
    </row>
    <row r="2125" spans="1:7" ht="19.899999999999999" customHeight="1" x14ac:dyDescent="0.2">
      <c r="A2125" s="479"/>
      <c r="B2125" s="433"/>
      <c r="C2125" s="425" t="s">
        <v>974</v>
      </c>
      <c r="D2125" s="442">
        <f>IFERROR(VLOOKUP(COUNTIF($A$1:A2125,"ANALISIS DE PRECIOS"),T_Rendimiento_Equipo,5,FALSE),0)</f>
        <v>0</v>
      </c>
      <c r="E2125" s="443" t="str">
        <f ca="1">G2107&amp;"/día"</f>
        <v>0/día</v>
      </c>
      <c r="F2125" s="419"/>
      <c r="G2125" s="474"/>
    </row>
    <row r="2126" spans="1:7" ht="19.899999999999999" customHeight="1" x14ac:dyDescent="0.2">
      <c r="A2126" s="472"/>
      <c r="B2126" s="433"/>
      <c r="C2126" s="139"/>
      <c r="D2126" s="426"/>
      <c r="E2126" s="427"/>
      <c r="F2126" s="425"/>
      <c r="G2126" s="474"/>
    </row>
    <row r="2127" spans="1:7" ht="19.899999999999999" customHeight="1" x14ac:dyDescent="0.2">
      <c r="A2127" s="720" t="s">
        <v>576</v>
      </c>
      <c r="B2127" s="721"/>
      <c r="C2127" s="722" t="s">
        <v>0</v>
      </c>
      <c r="D2127" s="734" t="s">
        <v>1724</v>
      </c>
      <c r="E2127" s="734" t="s">
        <v>1723</v>
      </c>
      <c r="F2127" s="726" t="s">
        <v>975</v>
      </c>
      <c r="G2127" s="728" t="s">
        <v>26</v>
      </c>
    </row>
    <row r="2128" spans="1:7" ht="19.899999999999999" customHeight="1" x14ac:dyDescent="0.2">
      <c r="A2128" s="444" t="s">
        <v>577</v>
      </c>
      <c r="B2128" s="444" t="s">
        <v>578</v>
      </c>
      <c r="C2128" s="723"/>
      <c r="D2128" s="735"/>
      <c r="E2128" s="725"/>
      <c r="F2128" s="727"/>
      <c r="G2128" s="729"/>
    </row>
    <row r="2129" spans="1:7" ht="19.899999999999999" customHeight="1" x14ac:dyDescent="0.2">
      <c r="A2129" s="480"/>
      <c r="B2129" s="139"/>
      <c r="C2129" s="422" t="s">
        <v>976</v>
      </c>
      <c r="D2129" s="427"/>
      <c r="E2129" s="427"/>
      <c r="F2129" s="139"/>
      <c r="G2129" s="481"/>
    </row>
    <row r="2130" spans="1:7" ht="19.899999999999999" customHeight="1" x14ac:dyDescent="0.2">
      <c r="A2130" s="482">
        <f t="shared" ref="A2130:A2138" si="708">IFERROR(VLOOKUP(C2130,T_Insumos,4,FALSE),0)</f>
        <v>0</v>
      </c>
      <c r="B2130" s="445">
        <f t="shared" ref="B2130:B2138" si="709">IFERROR(VLOOKUP(C2130,T_Insumos,5,FALSE),0)</f>
        <v>0</v>
      </c>
      <c r="C2130" s="436">
        <f>+C1830</f>
        <v>0</v>
      </c>
      <c r="D2130" s="446">
        <f t="shared" ref="D2130:D2138" si="710">IFERROR(VLOOKUP(C2130,T_Insumos,3,FALSE),0)</f>
        <v>0</v>
      </c>
      <c r="E2130" s="439">
        <f>D2130*$G$323</f>
        <v>0</v>
      </c>
      <c r="F2130" s="442">
        <f>IF(C2130="",0,IFERROR(VLOOKUP(COUNTIF($A$1:A2130,"ANALISIS DE PRECIOS"),T_Rendimiento_Equipo,5,FALSE),0))</f>
        <v>0</v>
      </c>
      <c r="G2130" s="439">
        <f>IFERROR(ROUND(E2130/F2130,2),0)</f>
        <v>0</v>
      </c>
    </row>
    <row r="2131" spans="1:7" ht="19.899999999999999" customHeight="1" x14ac:dyDescent="0.2">
      <c r="A2131" s="482">
        <f t="shared" si="708"/>
        <v>0</v>
      </c>
      <c r="B2131" s="445">
        <f t="shared" si="709"/>
        <v>0</v>
      </c>
      <c r="C2131" s="436">
        <f t="shared" ref="C2131:C2133" si="711">+C1831</f>
        <v>0</v>
      </c>
      <c r="D2131" s="446">
        <f t="shared" si="710"/>
        <v>0</v>
      </c>
      <c r="E2131" s="439">
        <f t="shared" ref="E2131:E2132" si="712">D2131*$G$323</f>
        <v>0</v>
      </c>
      <c r="F2131" s="442">
        <f>IF(C2131="",0,IFERROR(VLOOKUP(COUNTIF($A$1:A2131,"ANALISIS DE PRECIOS"),T_Rendimiento_Equipo,5,FALSE),0))</f>
        <v>0</v>
      </c>
      <c r="G2131" s="439">
        <f t="shared" ref="G2131:G2138" si="713">IFERROR(ROUND(E2131/F2131,2),0)</f>
        <v>0</v>
      </c>
    </row>
    <row r="2132" spans="1:7" ht="19.899999999999999" customHeight="1" x14ac:dyDescent="0.2">
      <c r="A2132" s="482">
        <f t="shared" si="708"/>
        <v>0</v>
      </c>
      <c r="B2132" s="445">
        <f t="shared" si="709"/>
        <v>0</v>
      </c>
      <c r="C2132" s="436">
        <f t="shared" si="711"/>
        <v>0</v>
      </c>
      <c r="D2132" s="446">
        <f t="shared" si="710"/>
        <v>0</v>
      </c>
      <c r="E2132" s="439">
        <f t="shared" si="712"/>
        <v>0</v>
      </c>
      <c r="F2132" s="442">
        <f>IF(C2132="",0,IFERROR(VLOOKUP(COUNTIF($A$1:A2132,"ANALISIS DE PRECIOS"),T_Rendimiento_Equipo,5,FALSE),0))</f>
        <v>0</v>
      </c>
      <c r="G2132" s="439">
        <f t="shared" si="713"/>
        <v>0</v>
      </c>
    </row>
    <row r="2133" spans="1:7" ht="19.899999999999999" customHeight="1" x14ac:dyDescent="0.2">
      <c r="A2133" s="482">
        <f t="shared" si="708"/>
        <v>0</v>
      </c>
      <c r="B2133" s="445">
        <f t="shared" si="709"/>
        <v>0</v>
      </c>
      <c r="C2133" s="436">
        <f t="shared" si="711"/>
        <v>0</v>
      </c>
      <c r="D2133" s="446">
        <f t="shared" si="710"/>
        <v>0</v>
      </c>
      <c r="E2133" s="439">
        <f>D2133*$E$323</f>
        <v>0</v>
      </c>
      <c r="F2133" s="442">
        <f>IF(C2133="",0,IFERROR(VLOOKUP(COUNTIF($A$1:A2133,"ANALISIS DE PRECIOS"),T_Rendimiento_Equipo,5,FALSE),0))</f>
        <v>0</v>
      </c>
      <c r="G2133" s="439">
        <f t="shared" si="713"/>
        <v>0</v>
      </c>
    </row>
    <row r="2134" spans="1:7" ht="19.899999999999999" customHeight="1" x14ac:dyDescent="0.2">
      <c r="A2134" s="482">
        <f t="shared" si="708"/>
        <v>0</v>
      </c>
      <c r="B2134" s="445">
        <f t="shared" si="709"/>
        <v>0</v>
      </c>
      <c r="C2134" s="447"/>
      <c r="D2134" s="446">
        <f t="shared" si="710"/>
        <v>0</v>
      </c>
      <c r="E2134" s="439"/>
      <c r="F2134" s="442">
        <f>IF(C2134="",0,IFERROR(VLOOKUP(COUNTIF($A$1:A2134,"ANALISIS DE PRECIOS"),T_Rendimiento_Equipo,5,FALSE),0))</f>
        <v>0</v>
      </c>
      <c r="G2134" s="439">
        <f t="shared" si="713"/>
        <v>0</v>
      </c>
    </row>
    <row r="2135" spans="1:7" ht="19.899999999999999" customHeight="1" x14ac:dyDescent="0.2">
      <c r="A2135" s="482">
        <f t="shared" si="708"/>
        <v>0</v>
      </c>
      <c r="B2135" s="445">
        <f t="shared" si="709"/>
        <v>0</v>
      </c>
      <c r="C2135" s="447"/>
      <c r="D2135" s="446">
        <f t="shared" si="710"/>
        <v>0</v>
      </c>
      <c r="E2135" s="439"/>
      <c r="F2135" s="442">
        <f>IF(C2135="",0,IFERROR(VLOOKUP(COUNTIF($A$1:A2135,"ANALISIS DE PRECIOS"),T_Rendimiento_Equipo,5,FALSE),0))</f>
        <v>0</v>
      </c>
      <c r="G2135" s="439">
        <f t="shared" si="713"/>
        <v>0</v>
      </c>
    </row>
    <row r="2136" spans="1:7" ht="19.899999999999999" customHeight="1" x14ac:dyDescent="0.2">
      <c r="A2136" s="482">
        <f t="shared" si="708"/>
        <v>0</v>
      </c>
      <c r="B2136" s="445">
        <f t="shared" si="709"/>
        <v>0</v>
      </c>
      <c r="C2136" s="447"/>
      <c r="D2136" s="446">
        <f t="shared" si="710"/>
        <v>0</v>
      </c>
      <c r="E2136" s="439"/>
      <c r="F2136" s="442">
        <f>IF(C2136="",0,IFERROR(VLOOKUP(COUNTIF($A$1:A2136,"ANALISIS DE PRECIOS"),T_Rendimiento_Equipo,5,FALSE),0))</f>
        <v>0</v>
      </c>
      <c r="G2136" s="439">
        <f t="shared" si="713"/>
        <v>0</v>
      </c>
    </row>
    <row r="2137" spans="1:7" ht="19.899999999999999" customHeight="1" x14ac:dyDescent="0.2">
      <c r="A2137" s="482">
        <f t="shared" si="708"/>
        <v>0</v>
      </c>
      <c r="B2137" s="445">
        <f t="shared" si="709"/>
        <v>0</v>
      </c>
      <c r="C2137" s="447"/>
      <c r="D2137" s="446">
        <f t="shared" si="710"/>
        <v>0</v>
      </c>
      <c r="E2137" s="439"/>
      <c r="F2137" s="442">
        <f>IF(C2137="",0,IFERROR(VLOOKUP(COUNTIF($A$1:A2137,"ANALISIS DE PRECIOS"),T_Rendimiento_Equipo,5,FALSE),0))</f>
        <v>0</v>
      </c>
      <c r="G2137" s="439">
        <f t="shared" si="713"/>
        <v>0</v>
      </c>
    </row>
    <row r="2138" spans="1:7" ht="19.899999999999999" customHeight="1" x14ac:dyDescent="0.2">
      <c r="A2138" s="482">
        <f t="shared" si="708"/>
        <v>0</v>
      </c>
      <c r="B2138" s="445">
        <f t="shared" si="709"/>
        <v>0</v>
      </c>
      <c r="C2138" s="436"/>
      <c r="D2138" s="446">
        <f t="shared" si="710"/>
        <v>0</v>
      </c>
      <c r="E2138" s="439"/>
      <c r="F2138" s="442">
        <f>IF(C2138="",0,IFERROR(VLOOKUP(COUNTIF($A$1:A2138,"ANALISIS DE PRECIOS"),T_Rendimiento_Equipo,5,FALSE),0))</f>
        <v>0</v>
      </c>
      <c r="G2138" s="439">
        <f t="shared" si="713"/>
        <v>0</v>
      </c>
    </row>
    <row r="2139" spans="1:7" ht="19.899999999999999" customHeight="1" x14ac:dyDescent="0.2">
      <c r="A2139" s="483"/>
      <c r="B2139" s="426"/>
      <c r="C2139" s="139"/>
      <c r="D2139" s="426"/>
      <c r="E2139" s="427"/>
      <c r="F2139" s="448" t="s">
        <v>27</v>
      </c>
      <c r="G2139" s="484">
        <f>SUBTOTAL(9,G2130:G2138)</f>
        <v>0</v>
      </c>
    </row>
    <row r="2140" spans="1:7" ht="19.899999999999999" customHeight="1" x14ac:dyDescent="0.2">
      <c r="A2140" s="480"/>
      <c r="B2140" s="139"/>
      <c r="C2140" s="422" t="s">
        <v>713</v>
      </c>
      <c r="D2140" s="426"/>
      <c r="E2140" s="427"/>
      <c r="F2140" s="428"/>
      <c r="G2140" s="481"/>
    </row>
    <row r="2141" spans="1:7" ht="19.899999999999999" customHeight="1" x14ac:dyDescent="0.2">
      <c r="A2141" s="720" t="s">
        <v>576</v>
      </c>
      <c r="B2141" s="721"/>
      <c r="C2141" s="722" t="s">
        <v>0</v>
      </c>
      <c r="D2141" s="724" t="s">
        <v>24</v>
      </c>
      <c r="E2141" s="724" t="s">
        <v>1964</v>
      </c>
      <c r="F2141" s="726" t="s">
        <v>975</v>
      </c>
      <c r="G2141" s="728" t="s">
        <v>26</v>
      </c>
    </row>
    <row r="2142" spans="1:7" ht="19.899999999999999" customHeight="1" x14ac:dyDescent="0.2">
      <c r="A2142" s="444" t="s">
        <v>577</v>
      </c>
      <c r="B2142" s="444" t="s">
        <v>578</v>
      </c>
      <c r="C2142" s="723"/>
      <c r="D2142" s="725"/>
      <c r="E2142" s="725"/>
      <c r="F2142" s="727"/>
      <c r="G2142" s="729"/>
    </row>
    <row r="2143" spans="1:7" ht="19.899999999999999" customHeight="1" x14ac:dyDescent="0.2">
      <c r="A2143" s="482">
        <f t="shared" ref="A2143:A2149" si="714">IFERROR(VLOOKUP(C2143,T_Insumos,4,FALSE),0)</f>
        <v>0</v>
      </c>
      <c r="B2143" s="445">
        <f t="shared" ref="B2143:B2149" si="715">IFERROR(VLOOKUP(C2143,T_Insumos,5,FALSE),0)</f>
        <v>0</v>
      </c>
      <c r="C2143" s="436">
        <f t="shared" ref="C2143:C2146" si="716">+C1918</f>
        <v>0</v>
      </c>
      <c r="D2143" s="442"/>
      <c r="E2143" s="439">
        <f t="shared" ref="E2143:E2149" si="717">IFERROR(VLOOKUP(C2143,T_Insumos,3,FALSE),0)</f>
        <v>0</v>
      </c>
      <c r="F2143" s="442">
        <f>IF(C2143="",0,IFERROR(VLOOKUP(COUNTIF($A$1:A2143,"ANALISIS DE PRECIOS"),T_Rendimiento_Equipo,5,FALSE),0))</f>
        <v>0</v>
      </c>
      <c r="G2143" s="439">
        <f>IFERROR(ROUND(D2143*E2143/F2143,2),0)</f>
        <v>0</v>
      </c>
    </row>
    <row r="2144" spans="1:7" ht="19.899999999999999" customHeight="1" x14ac:dyDescent="0.2">
      <c r="A2144" s="482">
        <f t="shared" si="714"/>
        <v>0</v>
      </c>
      <c r="B2144" s="445">
        <f t="shared" si="715"/>
        <v>0</v>
      </c>
      <c r="C2144" s="436">
        <f t="shared" si="716"/>
        <v>0</v>
      </c>
      <c r="D2144" s="442">
        <v>1</v>
      </c>
      <c r="E2144" s="439">
        <f t="shared" si="717"/>
        <v>0</v>
      </c>
      <c r="F2144" s="442">
        <f>IF(C2144="",0,IFERROR(VLOOKUP(COUNTIF($A$1:A2144,"ANALISIS DE PRECIOS"),T_Rendimiento_Equipo,5,FALSE),0))</f>
        <v>0</v>
      </c>
      <c r="G2144" s="439">
        <f>IFERROR(ROUND(D2144*E2144/F2144,2),0)</f>
        <v>0</v>
      </c>
    </row>
    <row r="2145" spans="1:7" ht="19.899999999999999" customHeight="1" x14ac:dyDescent="0.2">
      <c r="A2145" s="482">
        <f t="shared" si="714"/>
        <v>0</v>
      </c>
      <c r="B2145" s="445">
        <f t="shared" si="715"/>
        <v>0</v>
      </c>
      <c r="C2145" s="436">
        <f t="shared" si="716"/>
        <v>0</v>
      </c>
      <c r="D2145" s="442"/>
      <c r="E2145" s="439">
        <f t="shared" si="717"/>
        <v>0</v>
      </c>
      <c r="F2145" s="442">
        <f>IF(C2145="",0,IFERROR(VLOOKUP(COUNTIF($A$1:A2145,"ANALISIS DE PRECIOS"),T_Rendimiento_Equipo,5,FALSE),0))</f>
        <v>0</v>
      </c>
      <c r="G2145" s="439">
        <f t="shared" ref="G2145:G2149" si="718">IFERROR(ROUND(D2145*E2145/F2145,2),0)</f>
        <v>0</v>
      </c>
    </row>
    <row r="2146" spans="1:7" ht="19.899999999999999" customHeight="1" x14ac:dyDescent="0.2">
      <c r="A2146" s="482">
        <f t="shared" si="714"/>
        <v>0</v>
      </c>
      <c r="B2146" s="445">
        <f t="shared" si="715"/>
        <v>0</v>
      </c>
      <c r="C2146" s="436">
        <f t="shared" si="716"/>
        <v>0</v>
      </c>
      <c r="D2146" s="442">
        <v>2</v>
      </c>
      <c r="E2146" s="439">
        <f t="shared" si="717"/>
        <v>0</v>
      </c>
      <c r="F2146" s="442">
        <f>IF(C2146="",0,IFERROR(VLOOKUP(COUNTIF($A$1:A2146,"ANALISIS DE PRECIOS"),T_Rendimiento_Equipo,5,FALSE),0))</f>
        <v>0</v>
      </c>
      <c r="G2146" s="439">
        <f t="shared" si="718"/>
        <v>0</v>
      </c>
    </row>
    <row r="2147" spans="1:7" ht="19.899999999999999" customHeight="1" x14ac:dyDescent="0.2">
      <c r="A2147" s="482">
        <f t="shared" si="714"/>
        <v>0</v>
      </c>
      <c r="B2147" s="445">
        <f t="shared" si="715"/>
        <v>0</v>
      </c>
      <c r="C2147" s="436"/>
      <c r="D2147" s="442"/>
      <c r="E2147" s="439">
        <f t="shared" si="717"/>
        <v>0</v>
      </c>
      <c r="F2147" s="442">
        <f>IF(C2147="",0,IFERROR(VLOOKUP(COUNTIF($A$1:A2147,"ANALISIS DE PRECIOS"),T_Rendimiento_Equipo,5,FALSE),0))</f>
        <v>0</v>
      </c>
      <c r="G2147" s="439">
        <f t="shared" si="718"/>
        <v>0</v>
      </c>
    </row>
    <row r="2148" spans="1:7" ht="19.899999999999999" customHeight="1" x14ac:dyDescent="0.2">
      <c r="A2148" s="482">
        <f t="shared" si="714"/>
        <v>0</v>
      </c>
      <c r="B2148" s="445">
        <f t="shared" si="715"/>
        <v>0</v>
      </c>
      <c r="C2148" s="436"/>
      <c r="D2148" s="450"/>
      <c r="E2148" s="439">
        <f t="shared" si="717"/>
        <v>0</v>
      </c>
      <c r="F2148" s="442">
        <f>IF(C2148="",0,IFERROR(VLOOKUP(COUNTIF($A$1:A2148,"ANALISIS DE PRECIOS"),T_Rendimiento_Equipo,5,FALSE),0))</f>
        <v>0</v>
      </c>
      <c r="G2148" s="439">
        <f t="shared" si="718"/>
        <v>0</v>
      </c>
    </row>
    <row r="2149" spans="1:7" ht="19.899999999999999" customHeight="1" x14ac:dyDescent="0.2">
      <c r="A2149" s="482">
        <f t="shared" si="714"/>
        <v>0</v>
      </c>
      <c r="B2149" s="445">
        <f t="shared" si="715"/>
        <v>0</v>
      </c>
      <c r="C2149" s="445"/>
      <c r="D2149" s="451"/>
      <c r="E2149" s="439">
        <f t="shared" si="717"/>
        <v>0</v>
      </c>
      <c r="F2149" s="442">
        <f>IF(C2149="",0,IFERROR(VLOOKUP(COUNTIF($A$1:A2149,"ANALISIS DE PRECIOS"),T_Rendimiento_Equipo,5,FALSE),0))</f>
        <v>0</v>
      </c>
      <c r="G2149" s="439">
        <f t="shared" si="718"/>
        <v>0</v>
      </c>
    </row>
    <row r="2150" spans="1:7" ht="19.899999999999999" customHeight="1" x14ac:dyDescent="0.2">
      <c r="A2150" s="483"/>
      <c r="B2150" s="426"/>
      <c r="C2150" s="139"/>
      <c r="D2150" s="426"/>
      <c r="E2150" s="427"/>
      <c r="F2150" s="448" t="s">
        <v>28</v>
      </c>
      <c r="G2150" s="485">
        <f>SUBTOTAL(9,G2143:G2149)</f>
        <v>0</v>
      </c>
    </row>
    <row r="2151" spans="1:7" ht="19.899999999999999" customHeight="1" x14ac:dyDescent="0.2">
      <c r="A2151" s="480"/>
      <c r="B2151" s="139"/>
      <c r="C2151" s="422" t="s">
        <v>982</v>
      </c>
      <c r="D2151" s="426"/>
      <c r="E2151" s="427"/>
      <c r="F2151" s="428"/>
      <c r="G2151" s="481"/>
    </row>
    <row r="2152" spans="1:7" ht="19.899999999999999" customHeight="1" x14ac:dyDescent="0.2">
      <c r="A2152" s="720" t="s">
        <v>576</v>
      </c>
      <c r="B2152" s="721"/>
      <c r="C2152" s="722" t="s">
        <v>0</v>
      </c>
      <c r="D2152" s="722" t="s">
        <v>1725</v>
      </c>
      <c r="E2152" s="724" t="s">
        <v>24</v>
      </c>
      <c r="F2152" s="726" t="s">
        <v>25</v>
      </c>
      <c r="G2152" s="728" t="s">
        <v>26</v>
      </c>
    </row>
    <row r="2153" spans="1:7" ht="19.899999999999999" customHeight="1" x14ac:dyDescent="0.2">
      <c r="A2153" s="444" t="s">
        <v>577</v>
      </c>
      <c r="B2153" s="444" t="s">
        <v>578</v>
      </c>
      <c r="C2153" s="723"/>
      <c r="D2153" s="723"/>
      <c r="E2153" s="725"/>
      <c r="F2153" s="727"/>
      <c r="G2153" s="729"/>
    </row>
    <row r="2154" spans="1:7" ht="19.899999999999999" customHeight="1" x14ac:dyDescent="0.2">
      <c r="A2154" s="482">
        <f t="shared" ref="A2154:A2164" si="719">IFERROR(VLOOKUP(C2154,T_Insumos,4,FALSE),0)</f>
        <v>0</v>
      </c>
      <c r="B2154" s="445">
        <f t="shared" ref="B2154:B2164" si="720">IFERROR(VLOOKUP(C2154,T_Insumos,5,FALSE),0)</f>
        <v>0</v>
      </c>
      <c r="C2154" s="436">
        <f t="shared" ref="C2154:C2164" si="721">+C1929</f>
        <v>0</v>
      </c>
      <c r="D2154" s="493">
        <f t="shared" ref="D2154:D2164" si="722">IFERROR(VLOOKUP(C2154,T_Insumos,2,FALSE),0)</f>
        <v>0</v>
      </c>
      <c r="E2154" s="437"/>
      <c r="F2154" s="439">
        <f t="shared" ref="F2154:F2164" si="723">IFERROR(VLOOKUP(C2154,T_Insumos,3,FALSE),0)</f>
        <v>0</v>
      </c>
      <c r="G2154" s="439">
        <f>ROUND(E2154*F2154,2)</f>
        <v>0</v>
      </c>
    </row>
    <row r="2155" spans="1:7" ht="19.899999999999999" customHeight="1" x14ac:dyDescent="0.2">
      <c r="A2155" s="482">
        <f t="shared" si="719"/>
        <v>0</v>
      </c>
      <c r="B2155" s="445">
        <f t="shared" si="720"/>
        <v>0</v>
      </c>
      <c r="C2155" s="436">
        <f t="shared" si="721"/>
        <v>0</v>
      </c>
      <c r="D2155" s="493">
        <f t="shared" si="722"/>
        <v>0</v>
      </c>
      <c r="E2155" s="437"/>
      <c r="F2155" s="439">
        <f t="shared" si="723"/>
        <v>0</v>
      </c>
      <c r="G2155" s="439">
        <f t="shared" ref="G2155:G2164" si="724">ROUND(E2155*F2155,2)</f>
        <v>0</v>
      </c>
    </row>
    <row r="2156" spans="1:7" ht="19.899999999999999" customHeight="1" x14ac:dyDescent="0.2">
      <c r="A2156" s="482">
        <f t="shared" si="719"/>
        <v>0</v>
      </c>
      <c r="B2156" s="445">
        <f t="shared" si="720"/>
        <v>0</v>
      </c>
      <c r="C2156" s="436">
        <f t="shared" si="721"/>
        <v>0</v>
      </c>
      <c r="D2156" s="493">
        <f t="shared" si="722"/>
        <v>0</v>
      </c>
      <c r="E2156" s="437"/>
      <c r="F2156" s="439">
        <f t="shared" si="723"/>
        <v>0</v>
      </c>
      <c r="G2156" s="439">
        <f t="shared" si="724"/>
        <v>0</v>
      </c>
    </row>
    <row r="2157" spans="1:7" ht="19.899999999999999" customHeight="1" x14ac:dyDescent="0.2">
      <c r="A2157" s="482">
        <f t="shared" si="719"/>
        <v>0</v>
      </c>
      <c r="B2157" s="445">
        <f t="shared" si="720"/>
        <v>0</v>
      </c>
      <c r="C2157" s="436">
        <f t="shared" si="721"/>
        <v>0</v>
      </c>
      <c r="D2157" s="493">
        <f t="shared" si="722"/>
        <v>0</v>
      </c>
      <c r="E2157" s="437"/>
      <c r="F2157" s="439">
        <f t="shared" si="723"/>
        <v>0</v>
      </c>
      <c r="G2157" s="439">
        <f t="shared" si="724"/>
        <v>0</v>
      </c>
    </row>
    <row r="2158" spans="1:7" ht="19.899999999999999" customHeight="1" x14ac:dyDescent="0.2">
      <c r="A2158" s="482">
        <f t="shared" si="719"/>
        <v>0</v>
      </c>
      <c r="B2158" s="445">
        <f t="shared" si="720"/>
        <v>0</v>
      </c>
      <c r="C2158" s="436">
        <f t="shared" si="721"/>
        <v>0</v>
      </c>
      <c r="D2158" s="493">
        <f t="shared" si="722"/>
        <v>0</v>
      </c>
      <c r="E2158" s="437"/>
      <c r="F2158" s="439">
        <f t="shared" si="723"/>
        <v>0</v>
      </c>
      <c r="G2158" s="439">
        <f t="shared" si="724"/>
        <v>0</v>
      </c>
    </row>
    <row r="2159" spans="1:7" ht="19.899999999999999" customHeight="1" x14ac:dyDescent="0.2">
      <c r="A2159" s="482">
        <f t="shared" si="719"/>
        <v>0</v>
      </c>
      <c r="B2159" s="445">
        <f t="shared" si="720"/>
        <v>0</v>
      </c>
      <c r="C2159" s="436">
        <f t="shared" si="721"/>
        <v>0</v>
      </c>
      <c r="D2159" s="493">
        <f t="shared" si="722"/>
        <v>0</v>
      </c>
      <c r="E2159" s="437"/>
      <c r="F2159" s="439">
        <f t="shared" si="723"/>
        <v>0</v>
      </c>
      <c r="G2159" s="439">
        <f t="shared" si="724"/>
        <v>0</v>
      </c>
    </row>
    <row r="2160" spans="1:7" ht="19.899999999999999" customHeight="1" x14ac:dyDescent="0.2">
      <c r="A2160" s="482">
        <f t="shared" si="719"/>
        <v>0</v>
      </c>
      <c r="B2160" s="445">
        <f t="shared" si="720"/>
        <v>0</v>
      </c>
      <c r="C2160" s="436">
        <f t="shared" si="721"/>
        <v>0</v>
      </c>
      <c r="D2160" s="493">
        <f t="shared" si="722"/>
        <v>0</v>
      </c>
      <c r="E2160" s="437"/>
      <c r="F2160" s="439">
        <f t="shared" si="723"/>
        <v>0</v>
      </c>
      <c r="G2160" s="439">
        <f t="shared" si="724"/>
        <v>0</v>
      </c>
    </row>
    <row r="2161" spans="1:7" ht="19.899999999999999" customHeight="1" x14ac:dyDescent="0.2">
      <c r="A2161" s="482">
        <f t="shared" si="719"/>
        <v>0</v>
      </c>
      <c r="B2161" s="445">
        <f t="shared" si="720"/>
        <v>0</v>
      </c>
      <c r="C2161" s="436">
        <f t="shared" si="721"/>
        <v>0</v>
      </c>
      <c r="D2161" s="493">
        <f t="shared" si="722"/>
        <v>0</v>
      </c>
      <c r="E2161" s="437"/>
      <c r="F2161" s="439">
        <f t="shared" si="723"/>
        <v>0</v>
      </c>
      <c r="G2161" s="439">
        <f t="shared" si="724"/>
        <v>0</v>
      </c>
    </row>
    <row r="2162" spans="1:7" ht="19.899999999999999" customHeight="1" x14ac:dyDescent="0.2">
      <c r="A2162" s="482">
        <f t="shared" si="719"/>
        <v>0</v>
      </c>
      <c r="B2162" s="445">
        <f t="shared" si="720"/>
        <v>0</v>
      </c>
      <c r="C2162" s="436">
        <f t="shared" si="721"/>
        <v>0</v>
      </c>
      <c r="D2162" s="493">
        <f t="shared" si="722"/>
        <v>0</v>
      </c>
      <c r="E2162" s="437"/>
      <c r="F2162" s="439">
        <f t="shared" si="723"/>
        <v>0</v>
      </c>
      <c r="G2162" s="439">
        <f t="shared" si="724"/>
        <v>0</v>
      </c>
    </row>
    <row r="2163" spans="1:7" ht="19.899999999999999" customHeight="1" x14ac:dyDescent="0.2">
      <c r="A2163" s="482">
        <f t="shared" si="719"/>
        <v>0</v>
      </c>
      <c r="B2163" s="445">
        <f t="shared" si="720"/>
        <v>0</v>
      </c>
      <c r="C2163" s="436">
        <f t="shared" si="721"/>
        <v>0</v>
      </c>
      <c r="D2163" s="493">
        <f t="shared" si="722"/>
        <v>0</v>
      </c>
      <c r="E2163" s="437"/>
      <c r="F2163" s="439">
        <f t="shared" si="723"/>
        <v>0</v>
      </c>
      <c r="G2163" s="439">
        <f t="shared" si="724"/>
        <v>0</v>
      </c>
    </row>
    <row r="2164" spans="1:7" ht="19.899999999999999" customHeight="1" x14ac:dyDescent="0.2">
      <c r="A2164" s="482">
        <f t="shared" si="719"/>
        <v>0</v>
      </c>
      <c r="B2164" s="445">
        <f t="shared" si="720"/>
        <v>0</v>
      </c>
      <c r="C2164" s="436">
        <f t="shared" si="721"/>
        <v>0</v>
      </c>
      <c r="D2164" s="493">
        <f t="shared" si="722"/>
        <v>0</v>
      </c>
      <c r="E2164" s="437"/>
      <c r="F2164" s="439">
        <f t="shared" si="723"/>
        <v>0</v>
      </c>
      <c r="G2164" s="439">
        <f t="shared" si="724"/>
        <v>0</v>
      </c>
    </row>
    <row r="2165" spans="1:7" ht="19.899999999999999" customHeight="1" x14ac:dyDescent="0.2">
      <c r="A2165" s="480"/>
      <c r="B2165" s="139"/>
      <c r="C2165" s="139"/>
      <c r="D2165" s="426"/>
      <c r="E2165" s="427"/>
      <c r="F2165" s="448" t="s">
        <v>29</v>
      </c>
      <c r="G2165" s="485">
        <f>SUBTOTAL(9,G2154:G2164)</f>
        <v>0</v>
      </c>
    </row>
    <row r="2166" spans="1:7" ht="19.899999999999999" customHeight="1" x14ac:dyDescent="0.2">
      <c r="A2166" s="480"/>
      <c r="B2166" s="139"/>
      <c r="C2166" s="422" t="s">
        <v>983</v>
      </c>
      <c r="D2166" s="426"/>
      <c r="E2166" s="427"/>
      <c r="F2166" s="428"/>
      <c r="G2166" s="481"/>
    </row>
    <row r="2167" spans="1:7" ht="19.899999999999999" customHeight="1" x14ac:dyDescent="0.2">
      <c r="A2167" s="720" t="s">
        <v>576</v>
      </c>
      <c r="B2167" s="721"/>
      <c r="C2167" s="722" t="s">
        <v>0</v>
      </c>
      <c r="D2167" s="722" t="s">
        <v>1725</v>
      </c>
      <c r="E2167" s="724" t="s">
        <v>24</v>
      </c>
      <c r="F2167" s="726" t="s">
        <v>25</v>
      </c>
      <c r="G2167" s="728" t="s">
        <v>26</v>
      </c>
    </row>
    <row r="2168" spans="1:7" ht="19.899999999999999" customHeight="1" x14ac:dyDescent="0.2">
      <c r="A2168" s="444" t="s">
        <v>577</v>
      </c>
      <c r="B2168" s="444" t="s">
        <v>578</v>
      </c>
      <c r="C2168" s="723"/>
      <c r="D2168" s="723"/>
      <c r="E2168" s="725"/>
      <c r="F2168" s="727"/>
      <c r="G2168" s="729"/>
    </row>
    <row r="2169" spans="1:7" ht="19.899999999999999" customHeight="1" x14ac:dyDescent="0.2">
      <c r="A2169" s="482">
        <f>IFERROR(VLOOKUP(C2169,T_Insumos,4,FALSE),0)</f>
        <v>0</v>
      </c>
      <c r="B2169" s="445">
        <f>IFERROR(VLOOKUP(C2169,T_Insumos,5,FALSE),0)</f>
        <v>0</v>
      </c>
      <c r="C2169" s="436"/>
      <c r="D2169" s="493">
        <f>IF(C2169=0,0,"$/tnkm")</f>
        <v>0</v>
      </c>
      <c r="E2169" s="437"/>
      <c r="F2169" s="439">
        <f>IFERROR(VLOOKUP(C2169,T_Insumos,3,FALSE),0)</f>
        <v>0</v>
      </c>
      <c r="G2169" s="439">
        <f>ROUND(E2169*F2169,2)</f>
        <v>0</v>
      </c>
    </row>
    <row r="2170" spans="1:7" ht="19.899999999999999" customHeight="1" x14ac:dyDescent="0.2">
      <c r="A2170" s="482">
        <f>IFERROR(VLOOKUP(C2170,T_Insumos,4,FALSE),0)</f>
        <v>0</v>
      </c>
      <c r="B2170" s="445">
        <f>IFERROR(VLOOKUP(C2170,T_Insumos,5,FALSE),0)</f>
        <v>0</v>
      </c>
      <c r="C2170" s="436"/>
      <c r="D2170" s="493">
        <f>IF(C2170=0,0,"$/tnkm")</f>
        <v>0</v>
      </c>
      <c r="E2170" s="453"/>
      <c r="F2170" s="439">
        <f>IFERROR(VLOOKUP(C2170,T_Insumos,3,FALSE),0)</f>
        <v>0</v>
      </c>
      <c r="G2170" s="439">
        <f t="shared" ref="G2170" si="725">ROUND(E2170*F2170,2)</f>
        <v>0</v>
      </c>
    </row>
    <row r="2171" spans="1:7" ht="19.899999999999999" customHeight="1" x14ac:dyDescent="0.2">
      <c r="A2171" s="480"/>
      <c r="B2171" s="139"/>
      <c r="C2171" s="139"/>
      <c r="D2171" s="426"/>
      <c r="E2171" s="427"/>
      <c r="F2171" s="448" t="s">
        <v>984</v>
      </c>
      <c r="G2171" s="485">
        <f>SUBTOTAL(9,G2169:G2170)</f>
        <v>0</v>
      </c>
    </row>
    <row r="2172" spans="1:7" ht="19.899999999999999" customHeight="1" x14ac:dyDescent="0.2">
      <c r="A2172" s="483"/>
      <c r="B2172" s="426"/>
      <c r="C2172" s="139"/>
      <c r="D2172" s="426"/>
      <c r="E2172" s="427"/>
      <c r="F2172" s="428"/>
      <c r="G2172" s="481"/>
    </row>
    <row r="2173" spans="1:7" ht="19.899999999999999" customHeight="1" x14ac:dyDescent="0.2">
      <c r="A2173" s="541" t="str">
        <f>B2107</f>
        <v/>
      </c>
      <c r="B2173" s="538">
        <f ca="1">C2107</f>
        <v>0</v>
      </c>
      <c r="C2173" s="426"/>
      <c r="D2173" s="426" t="s">
        <v>1704</v>
      </c>
      <c r="E2173" s="539"/>
      <c r="F2173" s="540" t="str">
        <f ca="1">"$/"&amp;G2107</f>
        <v>$/0</v>
      </c>
      <c r="G2173" s="490">
        <f>SUBTOTAL(9,G2130:G2172)</f>
        <v>0</v>
      </c>
    </row>
    <row r="2174" spans="1:7" ht="19.899999999999999" customHeight="1" x14ac:dyDescent="0.2">
      <c r="A2174" s="486"/>
      <c r="B2174" s="487"/>
      <c r="C2174" s="488"/>
      <c r="D2174" s="488" t="s">
        <v>1900</v>
      </c>
      <c r="E2174" s="489"/>
      <c r="F2174" s="542" t="str">
        <f ca="1">"$/"&amp;G2107</f>
        <v>$/0</v>
      </c>
      <c r="G2174" s="490">
        <f>ROUND(G2173*Coeficiente_Paso,2)</f>
        <v>0</v>
      </c>
    </row>
    <row r="2175" spans="1:7" ht="19.899999999999999" customHeight="1" x14ac:dyDescent="0.2">
      <c r="A2175" s="139"/>
      <c r="B2175" s="139"/>
      <c r="C2175" s="139"/>
      <c r="D2175" s="139"/>
      <c r="E2175" s="139"/>
      <c r="F2175" s="139"/>
      <c r="G2175" s="139"/>
    </row>
    <row r="2176" spans="1:7" ht="19.899999999999999" customHeight="1" x14ac:dyDescent="0.2">
      <c r="A2176" s="730" t="s">
        <v>31</v>
      </c>
      <c r="B2176" s="731"/>
      <c r="C2176" s="731"/>
      <c r="D2176" s="731"/>
      <c r="E2176" s="731"/>
      <c r="F2176" s="731"/>
      <c r="G2176" s="732"/>
    </row>
    <row r="2177" spans="1:7" ht="19.899999999999999" customHeight="1" x14ac:dyDescent="0.2">
      <c r="A2177" s="469" t="s">
        <v>711</v>
      </c>
      <c r="B2177" s="420" t="str">
        <f>Comitente</f>
        <v>DEPARTAMENTO DE HIDRAULICA</v>
      </c>
      <c r="C2177" s="421"/>
      <c r="D2177" s="422"/>
      <c r="E2177" s="422"/>
      <c r="F2177" s="423"/>
      <c r="G2177" s="470"/>
    </row>
    <row r="2178" spans="1:7" ht="19.899999999999999" customHeight="1" x14ac:dyDescent="0.2">
      <c r="A2178" s="469" t="s">
        <v>712</v>
      </c>
      <c r="B2178" s="420">
        <f>Contratista</f>
        <v>0</v>
      </c>
      <c r="C2178" s="424"/>
      <c r="D2178" s="424"/>
      <c r="E2178" s="424"/>
      <c r="F2178" s="420"/>
      <c r="G2178" s="471"/>
    </row>
    <row r="2179" spans="1:7" ht="19.899999999999999" customHeight="1" x14ac:dyDescent="0.2">
      <c r="A2179" s="469" t="s">
        <v>21</v>
      </c>
      <c r="B2179" s="420" t="str">
        <f>Obra</f>
        <v>Encamisado Parcial del Canal de Calle América</v>
      </c>
      <c r="C2179" s="424"/>
      <c r="D2179" s="424"/>
      <c r="E2179" s="424"/>
      <c r="F2179" s="420" t="s">
        <v>32</v>
      </c>
      <c r="G2179" s="471" t="str">
        <f>Fecha_Base</f>
        <v>X/X/2023</v>
      </c>
    </row>
    <row r="2180" spans="1:7" ht="19.899999999999999" customHeight="1" x14ac:dyDescent="0.2">
      <c r="A2180" s="472" t="s">
        <v>710</v>
      </c>
      <c r="B2180" s="425" t="str">
        <f>Ubicación</f>
        <v>Departamento Rawson</v>
      </c>
      <c r="C2180" s="425"/>
      <c r="D2180" s="426"/>
      <c r="E2180" s="427"/>
      <c r="F2180" s="428"/>
      <c r="G2180" s="473"/>
    </row>
    <row r="2181" spans="1:7" ht="19.899999999999999" customHeight="1" x14ac:dyDescent="0.2">
      <c r="A2181" s="472" t="s">
        <v>33</v>
      </c>
      <c r="B2181" s="429" t="str">
        <f>IFERROR(VALUE(LEFT(B2182,FIND(".",B2182)-1)),"")</f>
        <v/>
      </c>
      <c r="C2181" s="139">
        <f ca="1">IFERROR(VLOOKUP(B2181,T_Computo_Presupuesto,2,FALSE),0)</f>
        <v>0</v>
      </c>
      <c r="D2181" s="139"/>
      <c r="E2181" s="427"/>
      <c r="F2181" s="428"/>
      <c r="G2181" s="473"/>
    </row>
    <row r="2182" spans="1:7" ht="19.899999999999999" customHeight="1" x14ac:dyDescent="0.2">
      <c r="A2182" s="472" t="s">
        <v>22</v>
      </c>
      <c r="B2182" s="430" t="str">
        <f>IFERROR(VLOOKUP(COUNTIF($A$1:A2182,"ANALISIS DE PRECIOS"),T_NumeroItem,2,FALSE),"")</f>
        <v/>
      </c>
      <c r="C2182" s="733">
        <f ca="1">IFERROR(VLOOKUP(B2182,T_Computo_Presupuesto,2,FALSE),0)</f>
        <v>0</v>
      </c>
      <c r="D2182" s="733"/>
      <c r="E2182" s="733"/>
      <c r="F2182" s="425" t="s">
        <v>23</v>
      </c>
      <c r="G2182" s="474">
        <f ca="1">IFERROR(VLOOKUP(B2182,T_Computo_Presupuesto,4,FALSE),0)</f>
        <v>0</v>
      </c>
    </row>
    <row r="2183" spans="1:7" ht="19.899999999999999" customHeight="1" x14ac:dyDescent="0.2">
      <c r="A2183" s="472"/>
      <c r="B2183" s="425"/>
      <c r="C2183" s="139"/>
      <c r="D2183" s="426"/>
      <c r="E2183" s="427"/>
      <c r="F2183" s="139"/>
      <c r="G2183" s="475"/>
    </row>
    <row r="2184" spans="1:7" ht="19.899999999999999" customHeight="1" x14ac:dyDescent="0.2">
      <c r="A2184" s="476"/>
      <c r="B2184" s="431"/>
      <c r="C2184" s="432" t="s">
        <v>967</v>
      </c>
      <c r="D2184" s="431"/>
      <c r="E2184" s="431"/>
      <c r="F2184" s="431"/>
      <c r="G2184" s="477"/>
    </row>
    <row r="2185" spans="1:7" ht="19.899999999999999" customHeight="1" x14ac:dyDescent="0.2">
      <c r="A2185" s="472"/>
      <c r="B2185" s="433"/>
      <c r="C2185" s="139"/>
      <c r="D2185" s="426"/>
      <c r="E2185" s="427"/>
      <c r="F2185" s="425"/>
      <c r="G2185" s="474"/>
    </row>
    <row r="2186" spans="1:7" ht="19.899999999999999" customHeight="1" x14ac:dyDescent="0.2">
      <c r="A2186" s="472"/>
      <c r="B2186" s="433"/>
      <c r="C2186" s="434" t="s">
        <v>968</v>
      </c>
      <c r="D2186" s="435" t="s">
        <v>24</v>
      </c>
      <c r="E2186" s="435" t="s">
        <v>969</v>
      </c>
      <c r="F2186" s="435" t="s">
        <v>970</v>
      </c>
      <c r="G2186" s="434" t="s">
        <v>971</v>
      </c>
    </row>
    <row r="2187" spans="1:7" ht="19.899999999999999" customHeight="1" x14ac:dyDescent="0.2">
      <c r="A2187" s="472"/>
      <c r="B2187" s="433"/>
      <c r="C2187" s="436">
        <f>+C1962</f>
        <v>0</v>
      </c>
      <c r="D2187" s="436">
        <f>+D1962</f>
        <v>0</v>
      </c>
      <c r="E2187" s="438">
        <f t="shared" ref="E2187:E2196" si="726">IFERROR(VLOOKUP(C2187,T_Equipos,4,FALSE),0)</f>
        <v>0</v>
      </c>
      <c r="F2187" s="439">
        <f t="shared" ref="F2187:F2196" si="727">IFERROR(VLOOKUP(C2187,T_Equipos,5,FALSE),0)</f>
        <v>0</v>
      </c>
      <c r="G2187" s="439">
        <f>ROUND(D2187*F2187,2)</f>
        <v>0</v>
      </c>
    </row>
    <row r="2188" spans="1:7" ht="19.899999999999999" customHeight="1" x14ac:dyDescent="0.2">
      <c r="A2188" s="472"/>
      <c r="B2188" s="433"/>
      <c r="C2188" s="436">
        <f t="shared" ref="C2188:D2188" si="728">+C1963</f>
        <v>0</v>
      </c>
      <c r="D2188" s="436">
        <f t="shared" si="728"/>
        <v>0</v>
      </c>
      <c r="E2188" s="438">
        <f t="shared" si="726"/>
        <v>0</v>
      </c>
      <c r="F2188" s="439">
        <f t="shared" si="727"/>
        <v>0</v>
      </c>
      <c r="G2188" s="439">
        <f>ROUND(D2188*F2188,2)</f>
        <v>0</v>
      </c>
    </row>
    <row r="2189" spans="1:7" ht="19.899999999999999" customHeight="1" x14ac:dyDescent="0.2">
      <c r="A2189" s="472"/>
      <c r="B2189" s="433"/>
      <c r="C2189" s="436">
        <f t="shared" ref="C2189" si="729">+C1964</f>
        <v>0</v>
      </c>
      <c r="D2189" s="436"/>
      <c r="E2189" s="438">
        <f t="shared" si="726"/>
        <v>0</v>
      </c>
      <c r="F2189" s="439">
        <f t="shared" si="727"/>
        <v>0</v>
      </c>
      <c r="G2189" s="439">
        <f>ROUND(D2189*F2189,2)</f>
        <v>0</v>
      </c>
    </row>
    <row r="2190" spans="1:7" ht="19.899999999999999" customHeight="1" x14ac:dyDescent="0.2">
      <c r="A2190" s="472"/>
      <c r="B2190" s="433"/>
      <c r="C2190" s="436">
        <f t="shared" ref="C2190" si="730">+C1965</f>
        <v>0</v>
      </c>
      <c r="D2190" s="436"/>
      <c r="E2190" s="438">
        <f t="shared" si="726"/>
        <v>0</v>
      </c>
      <c r="F2190" s="439">
        <f t="shared" si="727"/>
        <v>0</v>
      </c>
      <c r="G2190" s="439">
        <f>ROUND(D2190*F2190,2)</f>
        <v>0</v>
      </c>
    </row>
    <row r="2191" spans="1:7" ht="19.899999999999999" customHeight="1" x14ac:dyDescent="0.2">
      <c r="A2191" s="472"/>
      <c r="B2191" s="433"/>
      <c r="C2191" s="436">
        <f t="shared" ref="C2191" si="731">+C1966</f>
        <v>0</v>
      </c>
      <c r="D2191" s="436"/>
      <c r="E2191" s="438">
        <f t="shared" si="726"/>
        <v>0</v>
      </c>
      <c r="F2191" s="439">
        <f t="shared" si="727"/>
        <v>0</v>
      </c>
      <c r="G2191" s="439">
        <f t="shared" ref="G2191:G2196" si="732">ROUND(D2191*F2191,2)</f>
        <v>0</v>
      </c>
    </row>
    <row r="2192" spans="1:7" ht="19.899999999999999" customHeight="1" x14ac:dyDescent="0.2">
      <c r="A2192" s="472"/>
      <c r="B2192" s="433"/>
      <c r="C2192" s="436">
        <f t="shared" ref="C2192" si="733">+C1967</f>
        <v>0</v>
      </c>
      <c r="D2192" s="436"/>
      <c r="E2192" s="438">
        <f t="shared" si="726"/>
        <v>0</v>
      </c>
      <c r="F2192" s="439">
        <f t="shared" si="727"/>
        <v>0</v>
      </c>
      <c r="G2192" s="439">
        <f t="shared" si="732"/>
        <v>0</v>
      </c>
    </row>
    <row r="2193" spans="1:7" ht="19.899999999999999" customHeight="1" x14ac:dyDescent="0.2">
      <c r="A2193" s="472"/>
      <c r="B2193" s="433"/>
      <c r="C2193" s="436">
        <f t="shared" ref="C2193:D2193" si="734">+C1968</f>
        <v>0</v>
      </c>
      <c r="D2193" s="436">
        <f t="shared" si="734"/>
        <v>0</v>
      </c>
      <c r="E2193" s="438">
        <f t="shared" si="726"/>
        <v>0</v>
      </c>
      <c r="F2193" s="439">
        <f t="shared" si="727"/>
        <v>0</v>
      </c>
      <c r="G2193" s="439">
        <f t="shared" si="732"/>
        <v>0</v>
      </c>
    </row>
    <row r="2194" spans="1:7" ht="19.899999999999999" customHeight="1" x14ac:dyDescent="0.2">
      <c r="A2194" s="472"/>
      <c r="B2194" s="433"/>
      <c r="C2194" s="436">
        <f t="shared" ref="C2194:D2194" si="735">+C1969</f>
        <v>0</v>
      </c>
      <c r="D2194" s="436">
        <f t="shared" si="735"/>
        <v>0</v>
      </c>
      <c r="E2194" s="438">
        <f t="shared" si="726"/>
        <v>0</v>
      </c>
      <c r="F2194" s="439">
        <f t="shared" si="727"/>
        <v>0</v>
      </c>
      <c r="G2194" s="439">
        <f t="shared" si="732"/>
        <v>0</v>
      </c>
    </row>
    <row r="2195" spans="1:7" ht="19.899999999999999" customHeight="1" x14ac:dyDescent="0.2">
      <c r="A2195" s="472"/>
      <c r="B2195" s="433"/>
      <c r="C2195" s="436"/>
      <c r="D2195" s="437"/>
      <c r="E2195" s="438">
        <f t="shared" si="726"/>
        <v>0</v>
      </c>
      <c r="F2195" s="439">
        <f t="shared" si="727"/>
        <v>0</v>
      </c>
      <c r="G2195" s="439">
        <f t="shared" si="732"/>
        <v>0</v>
      </c>
    </row>
    <row r="2196" spans="1:7" ht="19.899999999999999" customHeight="1" x14ac:dyDescent="0.2">
      <c r="A2196" s="472"/>
      <c r="B2196" s="433"/>
      <c r="C2196" s="436"/>
      <c r="D2196" s="437"/>
      <c r="E2196" s="438">
        <f t="shared" si="726"/>
        <v>0</v>
      </c>
      <c r="F2196" s="439">
        <f t="shared" si="727"/>
        <v>0</v>
      </c>
      <c r="G2196" s="439">
        <f t="shared" si="732"/>
        <v>0</v>
      </c>
    </row>
    <row r="2197" spans="1:7" ht="19.899999999999999" customHeight="1" x14ac:dyDescent="0.2">
      <c r="A2197" s="472"/>
      <c r="B2197" s="433"/>
      <c r="C2197" s="139"/>
      <c r="D2197" s="139"/>
      <c r="E2197" s="440"/>
      <c r="F2197" s="425"/>
      <c r="G2197" s="474"/>
    </row>
    <row r="2198" spans="1:7" ht="19.899999999999999" customHeight="1" x14ac:dyDescent="0.2">
      <c r="A2198" s="472"/>
      <c r="B2198" s="139"/>
      <c r="C2198" s="422" t="s">
        <v>972</v>
      </c>
      <c r="D2198" s="425" t="s">
        <v>969</v>
      </c>
      <c r="E2198" s="491">
        <f>SUMPRODUCT(D2187:D2196,E2187:E2196)</f>
        <v>0</v>
      </c>
      <c r="F2198" s="425" t="s">
        <v>973</v>
      </c>
      <c r="G2198" s="492">
        <f>SUM(G2187:G2196)</f>
        <v>0</v>
      </c>
    </row>
    <row r="2199" spans="1:7" ht="19.899999999999999" customHeight="1" x14ac:dyDescent="0.2">
      <c r="A2199" s="472"/>
      <c r="B2199" s="433"/>
      <c r="C2199" s="441"/>
      <c r="D2199" s="440"/>
      <c r="E2199" s="427"/>
      <c r="F2199" s="425"/>
      <c r="G2199" s="478"/>
    </row>
    <row r="2200" spans="1:7" ht="19.899999999999999" customHeight="1" x14ac:dyDescent="0.2">
      <c r="A2200" s="479"/>
      <c r="B2200" s="433"/>
      <c r="C2200" s="425" t="s">
        <v>974</v>
      </c>
      <c r="D2200" s="442">
        <f>IFERROR(VLOOKUP(COUNTIF($A$1:A2200,"ANALISIS DE PRECIOS"),T_Rendimiento_Equipo,5,FALSE),0)</f>
        <v>0</v>
      </c>
      <c r="E2200" s="443" t="str">
        <f ca="1">G2182&amp;"/día"</f>
        <v>0/día</v>
      </c>
      <c r="F2200" s="419"/>
      <c r="G2200" s="474"/>
    </row>
    <row r="2201" spans="1:7" ht="19.899999999999999" customHeight="1" x14ac:dyDescent="0.2">
      <c r="A2201" s="472"/>
      <c r="B2201" s="433"/>
      <c r="C2201" s="139"/>
      <c r="D2201" s="426"/>
      <c r="E2201" s="427"/>
      <c r="F2201" s="425"/>
      <c r="G2201" s="474"/>
    </row>
    <row r="2202" spans="1:7" ht="19.899999999999999" customHeight="1" x14ac:dyDescent="0.2">
      <c r="A2202" s="720" t="s">
        <v>576</v>
      </c>
      <c r="B2202" s="721"/>
      <c r="C2202" s="722" t="s">
        <v>0</v>
      </c>
      <c r="D2202" s="734" t="s">
        <v>1724</v>
      </c>
      <c r="E2202" s="734" t="s">
        <v>1723</v>
      </c>
      <c r="F2202" s="726" t="s">
        <v>975</v>
      </c>
      <c r="G2202" s="728" t="s">
        <v>26</v>
      </c>
    </row>
    <row r="2203" spans="1:7" ht="19.899999999999999" customHeight="1" x14ac:dyDescent="0.2">
      <c r="A2203" s="444" t="s">
        <v>577</v>
      </c>
      <c r="B2203" s="444" t="s">
        <v>578</v>
      </c>
      <c r="C2203" s="723"/>
      <c r="D2203" s="735"/>
      <c r="E2203" s="725"/>
      <c r="F2203" s="727"/>
      <c r="G2203" s="729"/>
    </row>
    <row r="2204" spans="1:7" ht="19.899999999999999" customHeight="1" x14ac:dyDescent="0.2">
      <c r="A2204" s="480"/>
      <c r="B2204" s="139"/>
      <c r="C2204" s="422" t="s">
        <v>976</v>
      </c>
      <c r="D2204" s="427"/>
      <c r="E2204" s="427"/>
      <c r="F2204" s="139"/>
      <c r="G2204" s="481"/>
    </row>
    <row r="2205" spans="1:7" ht="19.899999999999999" customHeight="1" x14ac:dyDescent="0.2">
      <c r="A2205" s="482">
        <f t="shared" ref="A2205:A2213" si="736">IFERROR(VLOOKUP(C2205,T_Insumos,4,FALSE),0)</f>
        <v>0</v>
      </c>
      <c r="B2205" s="445">
        <f t="shared" ref="B2205:B2213" si="737">IFERROR(VLOOKUP(C2205,T_Insumos,5,FALSE),0)</f>
        <v>0</v>
      </c>
      <c r="C2205" s="436">
        <f>+C1905</f>
        <v>0</v>
      </c>
      <c r="D2205" s="446">
        <f t="shared" ref="D2205:D2213" si="738">IFERROR(VLOOKUP(C2205,T_Insumos,3,FALSE),0)</f>
        <v>0</v>
      </c>
      <c r="E2205" s="439">
        <f>D2205*$G$323</f>
        <v>0</v>
      </c>
      <c r="F2205" s="442">
        <f>IF(C2205="",0,IFERROR(VLOOKUP(COUNTIF($A$1:A2205,"ANALISIS DE PRECIOS"),T_Rendimiento_Equipo,5,FALSE),0))</f>
        <v>0</v>
      </c>
      <c r="G2205" s="439">
        <f>IFERROR(ROUND(E2205/F2205,2),0)</f>
        <v>0</v>
      </c>
    </row>
    <row r="2206" spans="1:7" ht="19.899999999999999" customHeight="1" x14ac:dyDescent="0.2">
      <c r="A2206" s="482">
        <f t="shared" si="736"/>
        <v>0</v>
      </c>
      <c r="B2206" s="445">
        <f t="shared" si="737"/>
        <v>0</v>
      </c>
      <c r="C2206" s="436">
        <f t="shared" ref="C2206:C2208" si="739">+C1906</f>
        <v>0</v>
      </c>
      <c r="D2206" s="446">
        <f t="shared" si="738"/>
        <v>0</v>
      </c>
      <c r="E2206" s="439">
        <f t="shared" ref="E2206:E2207" si="740">D2206*$G$323</f>
        <v>0</v>
      </c>
      <c r="F2206" s="442">
        <f>IF(C2206="",0,IFERROR(VLOOKUP(COUNTIF($A$1:A2206,"ANALISIS DE PRECIOS"),T_Rendimiento_Equipo,5,FALSE),0))</f>
        <v>0</v>
      </c>
      <c r="G2206" s="439">
        <f t="shared" ref="G2206:G2213" si="741">IFERROR(ROUND(E2206/F2206,2),0)</f>
        <v>0</v>
      </c>
    </row>
    <row r="2207" spans="1:7" ht="19.899999999999999" customHeight="1" x14ac:dyDescent="0.2">
      <c r="A2207" s="482">
        <f t="shared" si="736"/>
        <v>0</v>
      </c>
      <c r="B2207" s="445">
        <f t="shared" si="737"/>
        <v>0</v>
      </c>
      <c r="C2207" s="436">
        <f t="shared" si="739"/>
        <v>0</v>
      </c>
      <c r="D2207" s="446">
        <f t="shared" si="738"/>
        <v>0</v>
      </c>
      <c r="E2207" s="439">
        <f t="shared" si="740"/>
        <v>0</v>
      </c>
      <c r="F2207" s="442">
        <f>IF(C2207="",0,IFERROR(VLOOKUP(COUNTIF($A$1:A2207,"ANALISIS DE PRECIOS"),T_Rendimiento_Equipo,5,FALSE),0))</f>
        <v>0</v>
      </c>
      <c r="G2207" s="439">
        <f t="shared" si="741"/>
        <v>0</v>
      </c>
    </row>
    <row r="2208" spans="1:7" ht="19.899999999999999" customHeight="1" x14ac:dyDescent="0.2">
      <c r="A2208" s="482">
        <f t="shared" si="736"/>
        <v>0</v>
      </c>
      <c r="B2208" s="445">
        <f t="shared" si="737"/>
        <v>0</v>
      </c>
      <c r="C2208" s="436">
        <f t="shared" si="739"/>
        <v>0</v>
      </c>
      <c r="D2208" s="446">
        <f t="shared" si="738"/>
        <v>0</v>
      </c>
      <c r="E2208" s="439">
        <f>D2208*$E$323</f>
        <v>0</v>
      </c>
      <c r="F2208" s="442">
        <f>IF(C2208="",0,IFERROR(VLOOKUP(COUNTIF($A$1:A2208,"ANALISIS DE PRECIOS"),T_Rendimiento_Equipo,5,FALSE),0))</f>
        <v>0</v>
      </c>
      <c r="G2208" s="439">
        <f t="shared" si="741"/>
        <v>0</v>
      </c>
    </row>
    <row r="2209" spans="1:7" ht="19.899999999999999" customHeight="1" x14ac:dyDescent="0.2">
      <c r="A2209" s="482">
        <f t="shared" si="736"/>
        <v>0</v>
      </c>
      <c r="B2209" s="445">
        <f t="shared" si="737"/>
        <v>0</v>
      </c>
      <c r="C2209" s="447"/>
      <c r="D2209" s="446">
        <f t="shared" si="738"/>
        <v>0</v>
      </c>
      <c r="E2209" s="439"/>
      <c r="F2209" s="442">
        <f>IF(C2209="",0,IFERROR(VLOOKUP(COUNTIF($A$1:A2209,"ANALISIS DE PRECIOS"),T_Rendimiento_Equipo,5,FALSE),0))</f>
        <v>0</v>
      </c>
      <c r="G2209" s="439">
        <f t="shared" si="741"/>
        <v>0</v>
      </c>
    </row>
    <row r="2210" spans="1:7" ht="19.899999999999999" customHeight="1" x14ac:dyDescent="0.2">
      <c r="A2210" s="482">
        <f t="shared" si="736"/>
        <v>0</v>
      </c>
      <c r="B2210" s="445">
        <f t="shared" si="737"/>
        <v>0</v>
      </c>
      <c r="C2210" s="447"/>
      <c r="D2210" s="446">
        <f t="shared" si="738"/>
        <v>0</v>
      </c>
      <c r="E2210" s="439"/>
      <c r="F2210" s="442">
        <f>IF(C2210="",0,IFERROR(VLOOKUP(COUNTIF($A$1:A2210,"ANALISIS DE PRECIOS"),T_Rendimiento_Equipo,5,FALSE),0))</f>
        <v>0</v>
      </c>
      <c r="G2210" s="439">
        <f t="shared" si="741"/>
        <v>0</v>
      </c>
    </row>
    <row r="2211" spans="1:7" ht="19.899999999999999" customHeight="1" x14ac:dyDescent="0.2">
      <c r="A2211" s="482">
        <f t="shared" si="736"/>
        <v>0</v>
      </c>
      <c r="B2211" s="445">
        <f t="shared" si="737"/>
        <v>0</v>
      </c>
      <c r="C2211" s="447"/>
      <c r="D2211" s="446">
        <f t="shared" si="738"/>
        <v>0</v>
      </c>
      <c r="E2211" s="439"/>
      <c r="F2211" s="442">
        <f>IF(C2211="",0,IFERROR(VLOOKUP(COUNTIF($A$1:A2211,"ANALISIS DE PRECIOS"),T_Rendimiento_Equipo,5,FALSE),0))</f>
        <v>0</v>
      </c>
      <c r="G2211" s="439">
        <f t="shared" si="741"/>
        <v>0</v>
      </c>
    </row>
    <row r="2212" spans="1:7" ht="19.899999999999999" customHeight="1" x14ac:dyDescent="0.2">
      <c r="A2212" s="482">
        <f t="shared" si="736"/>
        <v>0</v>
      </c>
      <c r="B2212" s="445">
        <f t="shared" si="737"/>
        <v>0</v>
      </c>
      <c r="C2212" s="447"/>
      <c r="D2212" s="446">
        <f t="shared" si="738"/>
        <v>0</v>
      </c>
      <c r="E2212" s="439"/>
      <c r="F2212" s="442">
        <f>IF(C2212="",0,IFERROR(VLOOKUP(COUNTIF($A$1:A2212,"ANALISIS DE PRECIOS"),T_Rendimiento_Equipo,5,FALSE),0))</f>
        <v>0</v>
      </c>
      <c r="G2212" s="439">
        <f t="shared" si="741"/>
        <v>0</v>
      </c>
    </row>
    <row r="2213" spans="1:7" ht="19.899999999999999" customHeight="1" x14ac:dyDescent="0.2">
      <c r="A2213" s="482">
        <f t="shared" si="736"/>
        <v>0</v>
      </c>
      <c r="B2213" s="445">
        <f t="shared" si="737"/>
        <v>0</v>
      </c>
      <c r="C2213" s="436"/>
      <c r="D2213" s="446">
        <f t="shared" si="738"/>
        <v>0</v>
      </c>
      <c r="E2213" s="439"/>
      <c r="F2213" s="442">
        <f>IF(C2213="",0,IFERROR(VLOOKUP(COUNTIF($A$1:A2213,"ANALISIS DE PRECIOS"),T_Rendimiento_Equipo,5,FALSE),0))</f>
        <v>0</v>
      </c>
      <c r="G2213" s="439">
        <f t="shared" si="741"/>
        <v>0</v>
      </c>
    </row>
    <row r="2214" spans="1:7" ht="19.899999999999999" customHeight="1" x14ac:dyDescent="0.2">
      <c r="A2214" s="483"/>
      <c r="B2214" s="426"/>
      <c r="C2214" s="139"/>
      <c r="D2214" s="426"/>
      <c r="E2214" s="427"/>
      <c r="F2214" s="448" t="s">
        <v>27</v>
      </c>
      <c r="G2214" s="484">
        <f>SUBTOTAL(9,G2205:G2213)</f>
        <v>0</v>
      </c>
    </row>
    <row r="2215" spans="1:7" ht="19.899999999999999" customHeight="1" x14ac:dyDescent="0.2">
      <c r="A2215" s="480"/>
      <c r="B2215" s="139"/>
      <c r="C2215" s="422" t="s">
        <v>713</v>
      </c>
      <c r="D2215" s="426"/>
      <c r="E2215" s="427"/>
      <c r="F2215" s="428"/>
      <c r="G2215" s="481"/>
    </row>
    <row r="2216" spans="1:7" ht="19.899999999999999" customHeight="1" x14ac:dyDescent="0.2">
      <c r="A2216" s="720" t="s">
        <v>576</v>
      </c>
      <c r="B2216" s="721"/>
      <c r="C2216" s="722" t="s">
        <v>0</v>
      </c>
      <c r="D2216" s="724" t="s">
        <v>24</v>
      </c>
      <c r="E2216" s="724" t="s">
        <v>1964</v>
      </c>
      <c r="F2216" s="726" t="s">
        <v>975</v>
      </c>
      <c r="G2216" s="728" t="s">
        <v>26</v>
      </c>
    </row>
    <row r="2217" spans="1:7" ht="19.899999999999999" customHeight="1" x14ac:dyDescent="0.2">
      <c r="A2217" s="444" t="s">
        <v>577</v>
      </c>
      <c r="B2217" s="444" t="s">
        <v>578</v>
      </c>
      <c r="C2217" s="723"/>
      <c r="D2217" s="725"/>
      <c r="E2217" s="725"/>
      <c r="F2217" s="727"/>
      <c r="G2217" s="729"/>
    </row>
    <row r="2218" spans="1:7" ht="19.899999999999999" customHeight="1" x14ac:dyDescent="0.2">
      <c r="A2218" s="482">
        <f t="shared" ref="A2218:A2224" si="742">IFERROR(VLOOKUP(C2218,T_Insumos,4,FALSE),0)</f>
        <v>0</v>
      </c>
      <c r="B2218" s="445">
        <f t="shared" ref="B2218:B2224" si="743">IFERROR(VLOOKUP(C2218,T_Insumos,5,FALSE),0)</f>
        <v>0</v>
      </c>
      <c r="C2218" s="436">
        <f t="shared" ref="C2218:C2221" si="744">+C1993</f>
        <v>0</v>
      </c>
      <c r="D2218" s="442"/>
      <c r="E2218" s="439">
        <f t="shared" ref="E2218:E2224" si="745">IFERROR(VLOOKUP(C2218,T_Insumos,3,FALSE),0)</f>
        <v>0</v>
      </c>
      <c r="F2218" s="442">
        <f>IF(C2218="",0,IFERROR(VLOOKUP(COUNTIF($A$1:A2218,"ANALISIS DE PRECIOS"),T_Rendimiento_Equipo,5,FALSE),0))</f>
        <v>0</v>
      </c>
      <c r="G2218" s="439">
        <f>IFERROR(ROUND(D2218*E2218/F2218,2),0)</f>
        <v>0</v>
      </c>
    </row>
    <row r="2219" spans="1:7" ht="19.899999999999999" customHeight="1" x14ac:dyDescent="0.2">
      <c r="A2219" s="482">
        <f t="shared" si="742"/>
        <v>0</v>
      </c>
      <c r="B2219" s="445">
        <f t="shared" si="743"/>
        <v>0</v>
      </c>
      <c r="C2219" s="436">
        <f t="shared" si="744"/>
        <v>0</v>
      </c>
      <c r="D2219" s="442">
        <v>1</v>
      </c>
      <c r="E2219" s="439">
        <f t="shared" si="745"/>
        <v>0</v>
      </c>
      <c r="F2219" s="442">
        <f>IF(C2219="",0,IFERROR(VLOOKUP(COUNTIF($A$1:A2219,"ANALISIS DE PRECIOS"),T_Rendimiento_Equipo,5,FALSE),0))</f>
        <v>0</v>
      </c>
      <c r="G2219" s="439">
        <f>IFERROR(ROUND(D2219*E2219/F2219,2),0)</f>
        <v>0</v>
      </c>
    </row>
    <row r="2220" spans="1:7" ht="19.899999999999999" customHeight="1" x14ac:dyDescent="0.2">
      <c r="A2220" s="482">
        <f t="shared" si="742"/>
        <v>0</v>
      </c>
      <c r="B2220" s="445">
        <f t="shared" si="743"/>
        <v>0</v>
      </c>
      <c r="C2220" s="436">
        <f t="shared" si="744"/>
        <v>0</v>
      </c>
      <c r="D2220" s="442"/>
      <c r="E2220" s="439">
        <f t="shared" si="745"/>
        <v>0</v>
      </c>
      <c r="F2220" s="442">
        <f>IF(C2220="",0,IFERROR(VLOOKUP(COUNTIF($A$1:A2220,"ANALISIS DE PRECIOS"),T_Rendimiento_Equipo,5,FALSE),0))</f>
        <v>0</v>
      </c>
      <c r="G2220" s="439">
        <f t="shared" ref="G2220:G2224" si="746">IFERROR(ROUND(D2220*E2220/F2220,2),0)</f>
        <v>0</v>
      </c>
    </row>
    <row r="2221" spans="1:7" ht="19.899999999999999" customHeight="1" x14ac:dyDescent="0.2">
      <c r="A2221" s="482">
        <f t="shared" si="742"/>
        <v>0</v>
      </c>
      <c r="B2221" s="445">
        <f t="shared" si="743"/>
        <v>0</v>
      </c>
      <c r="C2221" s="436">
        <f t="shared" si="744"/>
        <v>0</v>
      </c>
      <c r="D2221" s="442">
        <v>2</v>
      </c>
      <c r="E2221" s="439">
        <f t="shared" si="745"/>
        <v>0</v>
      </c>
      <c r="F2221" s="442">
        <f>IF(C2221="",0,IFERROR(VLOOKUP(COUNTIF($A$1:A2221,"ANALISIS DE PRECIOS"),T_Rendimiento_Equipo,5,FALSE),0))</f>
        <v>0</v>
      </c>
      <c r="G2221" s="439">
        <f t="shared" si="746"/>
        <v>0</v>
      </c>
    </row>
    <row r="2222" spans="1:7" ht="19.899999999999999" customHeight="1" x14ac:dyDescent="0.2">
      <c r="A2222" s="482">
        <f t="shared" si="742"/>
        <v>0</v>
      </c>
      <c r="B2222" s="445">
        <f t="shared" si="743"/>
        <v>0</v>
      </c>
      <c r="C2222" s="436"/>
      <c r="D2222" s="442"/>
      <c r="E2222" s="439">
        <f t="shared" si="745"/>
        <v>0</v>
      </c>
      <c r="F2222" s="442">
        <f>IF(C2222="",0,IFERROR(VLOOKUP(COUNTIF($A$1:A2222,"ANALISIS DE PRECIOS"),T_Rendimiento_Equipo,5,FALSE),0))</f>
        <v>0</v>
      </c>
      <c r="G2222" s="439">
        <f t="shared" si="746"/>
        <v>0</v>
      </c>
    </row>
    <row r="2223" spans="1:7" ht="19.899999999999999" customHeight="1" x14ac:dyDescent="0.2">
      <c r="A2223" s="482">
        <f t="shared" si="742"/>
        <v>0</v>
      </c>
      <c r="B2223" s="445">
        <f t="shared" si="743"/>
        <v>0</v>
      </c>
      <c r="C2223" s="436"/>
      <c r="D2223" s="450"/>
      <c r="E2223" s="439">
        <f t="shared" si="745"/>
        <v>0</v>
      </c>
      <c r="F2223" s="442">
        <f>IF(C2223="",0,IFERROR(VLOOKUP(COUNTIF($A$1:A2223,"ANALISIS DE PRECIOS"),T_Rendimiento_Equipo,5,FALSE),0))</f>
        <v>0</v>
      </c>
      <c r="G2223" s="439">
        <f t="shared" si="746"/>
        <v>0</v>
      </c>
    </row>
    <row r="2224" spans="1:7" ht="19.899999999999999" customHeight="1" x14ac:dyDescent="0.2">
      <c r="A2224" s="482">
        <f t="shared" si="742"/>
        <v>0</v>
      </c>
      <c r="B2224" s="445">
        <f t="shared" si="743"/>
        <v>0</v>
      </c>
      <c r="C2224" s="445"/>
      <c r="D2224" s="451"/>
      <c r="E2224" s="439">
        <f t="shared" si="745"/>
        <v>0</v>
      </c>
      <c r="F2224" s="442">
        <f>IF(C2224="",0,IFERROR(VLOOKUP(COUNTIF($A$1:A2224,"ANALISIS DE PRECIOS"),T_Rendimiento_Equipo,5,FALSE),0))</f>
        <v>0</v>
      </c>
      <c r="G2224" s="439">
        <f t="shared" si="746"/>
        <v>0</v>
      </c>
    </row>
    <row r="2225" spans="1:7" ht="19.899999999999999" customHeight="1" x14ac:dyDescent="0.2">
      <c r="A2225" s="483"/>
      <c r="B2225" s="426"/>
      <c r="C2225" s="139"/>
      <c r="D2225" s="426"/>
      <c r="E2225" s="427"/>
      <c r="F2225" s="448" t="s">
        <v>28</v>
      </c>
      <c r="G2225" s="485">
        <f>SUBTOTAL(9,G2218:G2224)</f>
        <v>0</v>
      </c>
    </row>
    <row r="2226" spans="1:7" ht="19.899999999999999" customHeight="1" x14ac:dyDescent="0.2">
      <c r="A2226" s="480"/>
      <c r="B2226" s="139"/>
      <c r="C2226" s="422" t="s">
        <v>982</v>
      </c>
      <c r="D2226" s="426"/>
      <c r="E2226" s="427"/>
      <c r="F2226" s="428"/>
      <c r="G2226" s="481"/>
    </row>
    <row r="2227" spans="1:7" ht="19.899999999999999" customHeight="1" x14ac:dyDescent="0.2">
      <c r="A2227" s="720" t="s">
        <v>576</v>
      </c>
      <c r="B2227" s="721"/>
      <c r="C2227" s="722" t="s">
        <v>0</v>
      </c>
      <c r="D2227" s="722" t="s">
        <v>1725</v>
      </c>
      <c r="E2227" s="724" t="s">
        <v>24</v>
      </c>
      <c r="F2227" s="726" t="s">
        <v>25</v>
      </c>
      <c r="G2227" s="728" t="s">
        <v>26</v>
      </c>
    </row>
    <row r="2228" spans="1:7" ht="19.899999999999999" customHeight="1" x14ac:dyDescent="0.2">
      <c r="A2228" s="444" t="s">
        <v>577</v>
      </c>
      <c r="B2228" s="444" t="s">
        <v>578</v>
      </c>
      <c r="C2228" s="723"/>
      <c r="D2228" s="723"/>
      <c r="E2228" s="725"/>
      <c r="F2228" s="727"/>
      <c r="G2228" s="729"/>
    </row>
    <row r="2229" spans="1:7" ht="19.899999999999999" customHeight="1" x14ac:dyDescent="0.2">
      <c r="A2229" s="482">
        <f t="shared" ref="A2229:A2239" si="747">IFERROR(VLOOKUP(C2229,T_Insumos,4,FALSE),0)</f>
        <v>0</v>
      </c>
      <c r="B2229" s="445">
        <f t="shared" ref="B2229:B2239" si="748">IFERROR(VLOOKUP(C2229,T_Insumos,5,FALSE),0)</f>
        <v>0</v>
      </c>
      <c r="C2229" s="436">
        <f t="shared" ref="C2229:C2239" si="749">+C2004</f>
        <v>0</v>
      </c>
      <c r="D2229" s="493">
        <f t="shared" ref="D2229:D2239" si="750">IFERROR(VLOOKUP(C2229,T_Insumos,2,FALSE),0)</f>
        <v>0</v>
      </c>
      <c r="E2229" s="437"/>
      <c r="F2229" s="439">
        <f t="shared" ref="F2229:F2239" si="751">IFERROR(VLOOKUP(C2229,T_Insumos,3,FALSE),0)</f>
        <v>0</v>
      </c>
      <c r="G2229" s="439">
        <f>ROUND(E2229*F2229,2)</f>
        <v>0</v>
      </c>
    </row>
    <row r="2230" spans="1:7" ht="19.899999999999999" customHeight="1" x14ac:dyDescent="0.2">
      <c r="A2230" s="482">
        <f t="shared" si="747"/>
        <v>0</v>
      </c>
      <c r="B2230" s="445">
        <f t="shared" si="748"/>
        <v>0</v>
      </c>
      <c r="C2230" s="436">
        <f t="shared" si="749"/>
        <v>0</v>
      </c>
      <c r="D2230" s="493">
        <f t="shared" si="750"/>
        <v>0</v>
      </c>
      <c r="E2230" s="437"/>
      <c r="F2230" s="439">
        <f t="shared" si="751"/>
        <v>0</v>
      </c>
      <c r="G2230" s="439">
        <f t="shared" ref="G2230:G2239" si="752">ROUND(E2230*F2230,2)</f>
        <v>0</v>
      </c>
    </row>
    <row r="2231" spans="1:7" ht="19.899999999999999" customHeight="1" x14ac:dyDescent="0.2">
      <c r="A2231" s="482">
        <f t="shared" si="747"/>
        <v>0</v>
      </c>
      <c r="B2231" s="445">
        <f t="shared" si="748"/>
        <v>0</v>
      </c>
      <c r="C2231" s="436">
        <f t="shared" si="749"/>
        <v>0</v>
      </c>
      <c r="D2231" s="493">
        <f t="shared" si="750"/>
        <v>0</v>
      </c>
      <c r="E2231" s="437"/>
      <c r="F2231" s="439">
        <f t="shared" si="751"/>
        <v>0</v>
      </c>
      <c r="G2231" s="439">
        <f t="shared" si="752"/>
        <v>0</v>
      </c>
    </row>
    <row r="2232" spans="1:7" ht="19.899999999999999" customHeight="1" x14ac:dyDescent="0.2">
      <c r="A2232" s="482">
        <f t="shared" si="747"/>
        <v>0</v>
      </c>
      <c r="B2232" s="445">
        <f t="shared" si="748"/>
        <v>0</v>
      </c>
      <c r="C2232" s="436">
        <f t="shared" si="749"/>
        <v>0</v>
      </c>
      <c r="D2232" s="493">
        <f t="shared" si="750"/>
        <v>0</v>
      </c>
      <c r="E2232" s="437"/>
      <c r="F2232" s="439">
        <f t="shared" si="751"/>
        <v>0</v>
      </c>
      <c r="G2232" s="439">
        <f t="shared" si="752"/>
        <v>0</v>
      </c>
    </row>
    <row r="2233" spans="1:7" ht="19.899999999999999" customHeight="1" x14ac:dyDescent="0.2">
      <c r="A2233" s="482">
        <f t="shared" si="747"/>
        <v>0</v>
      </c>
      <c r="B2233" s="445">
        <f t="shared" si="748"/>
        <v>0</v>
      </c>
      <c r="C2233" s="436">
        <f t="shared" si="749"/>
        <v>0</v>
      </c>
      <c r="D2233" s="493">
        <f t="shared" si="750"/>
        <v>0</v>
      </c>
      <c r="E2233" s="437"/>
      <c r="F2233" s="439">
        <f t="shared" si="751"/>
        <v>0</v>
      </c>
      <c r="G2233" s="439">
        <f t="shared" si="752"/>
        <v>0</v>
      </c>
    </row>
    <row r="2234" spans="1:7" ht="19.899999999999999" customHeight="1" x14ac:dyDescent="0.2">
      <c r="A2234" s="482">
        <f t="shared" si="747"/>
        <v>0</v>
      </c>
      <c r="B2234" s="445">
        <f t="shared" si="748"/>
        <v>0</v>
      </c>
      <c r="C2234" s="436">
        <f t="shared" si="749"/>
        <v>0</v>
      </c>
      <c r="D2234" s="493">
        <f t="shared" si="750"/>
        <v>0</v>
      </c>
      <c r="E2234" s="437"/>
      <c r="F2234" s="439">
        <f t="shared" si="751"/>
        <v>0</v>
      </c>
      <c r="G2234" s="439">
        <f t="shared" si="752"/>
        <v>0</v>
      </c>
    </row>
    <row r="2235" spans="1:7" ht="19.899999999999999" customHeight="1" x14ac:dyDescent="0.2">
      <c r="A2235" s="482">
        <f t="shared" si="747"/>
        <v>0</v>
      </c>
      <c r="B2235" s="445">
        <f t="shared" si="748"/>
        <v>0</v>
      </c>
      <c r="C2235" s="436">
        <f t="shared" si="749"/>
        <v>0</v>
      </c>
      <c r="D2235" s="493">
        <f t="shared" si="750"/>
        <v>0</v>
      </c>
      <c r="E2235" s="437"/>
      <c r="F2235" s="439">
        <f t="shared" si="751"/>
        <v>0</v>
      </c>
      <c r="G2235" s="439">
        <f t="shared" si="752"/>
        <v>0</v>
      </c>
    </row>
    <row r="2236" spans="1:7" ht="19.899999999999999" customHeight="1" x14ac:dyDescent="0.2">
      <c r="A2236" s="482">
        <f t="shared" si="747"/>
        <v>0</v>
      </c>
      <c r="B2236" s="445">
        <f t="shared" si="748"/>
        <v>0</v>
      </c>
      <c r="C2236" s="436">
        <f t="shared" si="749"/>
        <v>0</v>
      </c>
      <c r="D2236" s="493">
        <f t="shared" si="750"/>
        <v>0</v>
      </c>
      <c r="E2236" s="437"/>
      <c r="F2236" s="439">
        <f t="shared" si="751"/>
        <v>0</v>
      </c>
      <c r="G2236" s="439">
        <f t="shared" si="752"/>
        <v>0</v>
      </c>
    </row>
    <row r="2237" spans="1:7" ht="19.899999999999999" customHeight="1" x14ac:dyDescent="0.2">
      <c r="A2237" s="482">
        <f t="shared" si="747"/>
        <v>0</v>
      </c>
      <c r="B2237" s="445">
        <f t="shared" si="748"/>
        <v>0</v>
      </c>
      <c r="C2237" s="436">
        <f t="shared" si="749"/>
        <v>0</v>
      </c>
      <c r="D2237" s="493">
        <f t="shared" si="750"/>
        <v>0</v>
      </c>
      <c r="E2237" s="437"/>
      <c r="F2237" s="439">
        <f t="shared" si="751"/>
        <v>0</v>
      </c>
      <c r="G2237" s="439">
        <f t="shared" si="752"/>
        <v>0</v>
      </c>
    </row>
    <row r="2238" spans="1:7" ht="19.899999999999999" customHeight="1" x14ac:dyDescent="0.2">
      <c r="A2238" s="482">
        <f t="shared" si="747"/>
        <v>0</v>
      </c>
      <c r="B2238" s="445">
        <f t="shared" si="748"/>
        <v>0</v>
      </c>
      <c r="C2238" s="436">
        <f t="shared" si="749"/>
        <v>0</v>
      </c>
      <c r="D2238" s="493">
        <f t="shared" si="750"/>
        <v>0</v>
      </c>
      <c r="E2238" s="437"/>
      <c r="F2238" s="439">
        <f t="shared" si="751"/>
        <v>0</v>
      </c>
      <c r="G2238" s="439">
        <f t="shared" si="752"/>
        <v>0</v>
      </c>
    </row>
    <row r="2239" spans="1:7" ht="19.899999999999999" customHeight="1" x14ac:dyDescent="0.2">
      <c r="A2239" s="482">
        <f t="shared" si="747"/>
        <v>0</v>
      </c>
      <c r="B2239" s="445">
        <f t="shared" si="748"/>
        <v>0</v>
      </c>
      <c r="C2239" s="436">
        <f t="shared" si="749"/>
        <v>0</v>
      </c>
      <c r="D2239" s="493">
        <f t="shared" si="750"/>
        <v>0</v>
      </c>
      <c r="E2239" s="437"/>
      <c r="F2239" s="439">
        <f t="shared" si="751"/>
        <v>0</v>
      </c>
      <c r="G2239" s="439">
        <f t="shared" si="752"/>
        <v>0</v>
      </c>
    </row>
    <row r="2240" spans="1:7" ht="19.899999999999999" customHeight="1" x14ac:dyDescent="0.2">
      <c r="A2240" s="480"/>
      <c r="B2240" s="139"/>
      <c r="C2240" s="139"/>
      <c r="D2240" s="426"/>
      <c r="E2240" s="427"/>
      <c r="F2240" s="448" t="s">
        <v>29</v>
      </c>
      <c r="G2240" s="485">
        <f>SUBTOTAL(9,G2229:G2239)</f>
        <v>0</v>
      </c>
    </row>
    <row r="2241" spans="1:7" ht="19.899999999999999" customHeight="1" x14ac:dyDescent="0.2">
      <c r="A2241" s="480"/>
      <c r="B2241" s="139"/>
      <c r="C2241" s="422" t="s">
        <v>983</v>
      </c>
      <c r="D2241" s="426"/>
      <c r="E2241" s="427"/>
      <c r="F2241" s="428"/>
      <c r="G2241" s="481"/>
    </row>
    <row r="2242" spans="1:7" ht="19.899999999999999" customHeight="1" x14ac:dyDescent="0.2">
      <c r="A2242" s="720" t="s">
        <v>576</v>
      </c>
      <c r="B2242" s="721"/>
      <c r="C2242" s="722" t="s">
        <v>0</v>
      </c>
      <c r="D2242" s="722" t="s">
        <v>1725</v>
      </c>
      <c r="E2242" s="724" t="s">
        <v>24</v>
      </c>
      <c r="F2242" s="726" t="s">
        <v>25</v>
      </c>
      <c r="G2242" s="728" t="s">
        <v>26</v>
      </c>
    </row>
    <row r="2243" spans="1:7" ht="19.899999999999999" customHeight="1" x14ac:dyDescent="0.2">
      <c r="A2243" s="444" t="s">
        <v>577</v>
      </c>
      <c r="B2243" s="444" t="s">
        <v>578</v>
      </c>
      <c r="C2243" s="723"/>
      <c r="D2243" s="723"/>
      <c r="E2243" s="725"/>
      <c r="F2243" s="727"/>
      <c r="G2243" s="729"/>
    </row>
    <row r="2244" spans="1:7" ht="19.899999999999999" customHeight="1" x14ac:dyDescent="0.2">
      <c r="A2244" s="482">
        <f>IFERROR(VLOOKUP(C2244,T_Insumos,4,FALSE),0)</f>
        <v>0</v>
      </c>
      <c r="B2244" s="445">
        <f>IFERROR(VLOOKUP(C2244,T_Insumos,5,FALSE),0)</f>
        <v>0</v>
      </c>
      <c r="C2244" s="436"/>
      <c r="D2244" s="493">
        <f>IF(C2244=0,0,"$/tnkm")</f>
        <v>0</v>
      </c>
      <c r="E2244" s="437"/>
      <c r="F2244" s="439">
        <f>IFERROR(VLOOKUP(C2244,T_Insumos,3,FALSE),0)</f>
        <v>0</v>
      </c>
      <c r="G2244" s="439">
        <f>ROUND(E2244*F2244,2)</f>
        <v>0</v>
      </c>
    </row>
    <row r="2245" spans="1:7" ht="19.899999999999999" customHeight="1" x14ac:dyDescent="0.2">
      <c r="A2245" s="482">
        <f>IFERROR(VLOOKUP(C2245,T_Insumos,4,FALSE),0)</f>
        <v>0</v>
      </c>
      <c r="B2245" s="445">
        <f>IFERROR(VLOOKUP(C2245,T_Insumos,5,FALSE),0)</f>
        <v>0</v>
      </c>
      <c r="C2245" s="436"/>
      <c r="D2245" s="493">
        <f>IF(C2245=0,0,"$/tnkm")</f>
        <v>0</v>
      </c>
      <c r="E2245" s="453"/>
      <c r="F2245" s="439">
        <f>IFERROR(VLOOKUP(C2245,T_Insumos,3,FALSE),0)</f>
        <v>0</v>
      </c>
      <c r="G2245" s="439">
        <f t="shared" ref="G2245" si="753">ROUND(E2245*F2245,2)</f>
        <v>0</v>
      </c>
    </row>
    <row r="2246" spans="1:7" ht="19.899999999999999" customHeight="1" x14ac:dyDescent="0.2">
      <c r="A2246" s="480"/>
      <c r="B2246" s="139"/>
      <c r="C2246" s="139"/>
      <c r="D2246" s="426"/>
      <c r="E2246" s="427"/>
      <c r="F2246" s="448" t="s">
        <v>984</v>
      </c>
      <c r="G2246" s="485">
        <f>SUBTOTAL(9,G2244:G2245)</f>
        <v>0</v>
      </c>
    </row>
    <row r="2247" spans="1:7" ht="19.899999999999999" customHeight="1" x14ac:dyDescent="0.2">
      <c r="A2247" s="483"/>
      <c r="B2247" s="426"/>
      <c r="C2247" s="139"/>
      <c r="D2247" s="426"/>
      <c r="E2247" s="427"/>
      <c r="F2247" s="428"/>
      <c r="G2247" s="481"/>
    </row>
    <row r="2248" spans="1:7" ht="19.899999999999999" customHeight="1" x14ac:dyDescent="0.2">
      <c r="A2248" s="541" t="str">
        <f>B2182</f>
        <v/>
      </c>
      <c r="B2248" s="538">
        <f ca="1">C2182</f>
        <v>0</v>
      </c>
      <c r="C2248" s="426"/>
      <c r="D2248" s="426" t="s">
        <v>1704</v>
      </c>
      <c r="E2248" s="539"/>
      <c r="F2248" s="540" t="str">
        <f ca="1">"$/"&amp;G2182</f>
        <v>$/0</v>
      </c>
      <c r="G2248" s="490">
        <f>SUBTOTAL(9,G2205:G2247)</f>
        <v>0</v>
      </c>
    </row>
    <row r="2249" spans="1:7" ht="19.899999999999999" customHeight="1" x14ac:dyDescent="0.2">
      <c r="A2249" s="486"/>
      <c r="B2249" s="487"/>
      <c r="C2249" s="488"/>
      <c r="D2249" s="488" t="s">
        <v>1900</v>
      </c>
      <c r="E2249" s="489"/>
      <c r="F2249" s="542" t="str">
        <f ca="1">"$/"&amp;G2182</f>
        <v>$/0</v>
      </c>
      <c r="G2249" s="490">
        <f>ROUND(G2248*Coeficiente_Paso,2)</f>
        <v>0</v>
      </c>
    </row>
    <row r="2250" spans="1:7" ht="19.899999999999999" customHeight="1" x14ac:dyDescent="0.2">
      <c r="A2250" s="139"/>
      <c r="B2250" s="139"/>
      <c r="C2250" s="139"/>
      <c r="D2250" s="139"/>
      <c r="E2250" s="139"/>
      <c r="F2250" s="139"/>
      <c r="G2250" s="139"/>
    </row>
    <row r="2251" spans="1:7" ht="19.899999999999999" customHeight="1" x14ac:dyDescent="0.2">
      <c r="A2251" s="730" t="s">
        <v>31</v>
      </c>
      <c r="B2251" s="731"/>
      <c r="C2251" s="731"/>
      <c r="D2251" s="731"/>
      <c r="E2251" s="731"/>
      <c r="F2251" s="731"/>
      <c r="G2251" s="732"/>
    </row>
    <row r="2252" spans="1:7" ht="19.899999999999999" customHeight="1" x14ac:dyDescent="0.2">
      <c r="A2252" s="469" t="s">
        <v>711</v>
      </c>
      <c r="B2252" s="420" t="str">
        <f>Comitente</f>
        <v>DEPARTAMENTO DE HIDRAULICA</v>
      </c>
      <c r="C2252" s="421"/>
      <c r="D2252" s="422"/>
      <c r="E2252" s="422"/>
      <c r="F2252" s="423"/>
      <c r="G2252" s="470"/>
    </row>
    <row r="2253" spans="1:7" ht="19.899999999999999" customHeight="1" x14ac:dyDescent="0.2">
      <c r="A2253" s="469" t="s">
        <v>712</v>
      </c>
      <c r="B2253" s="420">
        <f>Contratista</f>
        <v>0</v>
      </c>
      <c r="C2253" s="424"/>
      <c r="D2253" s="424"/>
      <c r="E2253" s="424"/>
      <c r="F2253" s="420"/>
      <c r="G2253" s="471"/>
    </row>
    <row r="2254" spans="1:7" ht="19.899999999999999" customHeight="1" x14ac:dyDescent="0.2">
      <c r="A2254" s="469" t="s">
        <v>21</v>
      </c>
      <c r="B2254" s="420" t="str">
        <f>Obra</f>
        <v>Encamisado Parcial del Canal de Calle América</v>
      </c>
      <c r="C2254" s="424"/>
      <c r="D2254" s="424"/>
      <c r="E2254" s="424"/>
      <c r="F2254" s="420" t="s">
        <v>32</v>
      </c>
      <c r="G2254" s="471" t="str">
        <f>Fecha_Base</f>
        <v>X/X/2023</v>
      </c>
    </row>
    <row r="2255" spans="1:7" ht="19.899999999999999" customHeight="1" x14ac:dyDescent="0.2">
      <c r="A2255" s="472" t="s">
        <v>710</v>
      </c>
      <c r="B2255" s="425" t="str">
        <f>Ubicación</f>
        <v>Departamento Rawson</v>
      </c>
      <c r="C2255" s="425"/>
      <c r="D2255" s="426"/>
      <c r="E2255" s="427"/>
      <c r="F2255" s="428"/>
      <c r="G2255" s="473"/>
    </row>
    <row r="2256" spans="1:7" ht="19.899999999999999" customHeight="1" x14ac:dyDescent="0.2">
      <c r="A2256" s="472" t="s">
        <v>33</v>
      </c>
      <c r="B2256" s="429" t="str">
        <f>IFERROR(VALUE(LEFT(B2257,FIND(".",B2257)-1)),"")</f>
        <v/>
      </c>
      <c r="C2256" s="139">
        <f ca="1">IFERROR(VLOOKUP(B2256,T_Computo_Presupuesto,2,FALSE),0)</f>
        <v>0</v>
      </c>
      <c r="D2256" s="139"/>
      <c r="E2256" s="427"/>
      <c r="F2256" s="428"/>
      <c r="G2256" s="473"/>
    </row>
    <row r="2257" spans="1:7" ht="19.899999999999999" customHeight="1" x14ac:dyDescent="0.2">
      <c r="A2257" s="472" t="s">
        <v>22</v>
      </c>
      <c r="B2257" s="430" t="str">
        <f>IFERROR(VLOOKUP(COUNTIF($A$1:A2257,"ANALISIS DE PRECIOS"),T_NumeroItem,2,FALSE),"")</f>
        <v/>
      </c>
      <c r="C2257" s="733">
        <f ca="1">IFERROR(VLOOKUP(B2257,T_Computo_Presupuesto,2,FALSE),0)</f>
        <v>0</v>
      </c>
      <c r="D2257" s="733"/>
      <c r="E2257" s="733"/>
      <c r="F2257" s="425" t="s">
        <v>23</v>
      </c>
      <c r="G2257" s="474">
        <f ca="1">IFERROR(VLOOKUP(B2257,T_Computo_Presupuesto,4,FALSE),0)</f>
        <v>0</v>
      </c>
    </row>
    <row r="2258" spans="1:7" ht="19.899999999999999" customHeight="1" x14ac:dyDescent="0.2">
      <c r="A2258" s="472"/>
      <c r="B2258" s="425"/>
      <c r="C2258" s="139"/>
      <c r="D2258" s="426"/>
      <c r="E2258" s="427"/>
      <c r="F2258" s="139"/>
      <c r="G2258" s="475"/>
    </row>
    <row r="2259" spans="1:7" ht="19.899999999999999" customHeight="1" x14ac:dyDescent="0.2">
      <c r="A2259" s="476"/>
      <c r="B2259" s="431"/>
      <c r="C2259" s="432" t="s">
        <v>967</v>
      </c>
      <c r="D2259" s="431"/>
      <c r="E2259" s="431"/>
      <c r="F2259" s="431"/>
      <c r="G2259" s="477"/>
    </row>
    <row r="2260" spans="1:7" ht="19.899999999999999" customHeight="1" x14ac:dyDescent="0.2">
      <c r="A2260" s="472"/>
      <c r="B2260" s="433"/>
      <c r="C2260" s="139"/>
      <c r="D2260" s="426"/>
      <c r="E2260" s="427"/>
      <c r="F2260" s="425"/>
      <c r="G2260" s="474"/>
    </row>
    <row r="2261" spans="1:7" ht="19.899999999999999" customHeight="1" x14ac:dyDescent="0.2">
      <c r="A2261" s="472"/>
      <c r="B2261" s="433"/>
      <c r="C2261" s="434" t="s">
        <v>968</v>
      </c>
      <c r="D2261" s="435" t="s">
        <v>24</v>
      </c>
      <c r="E2261" s="435" t="s">
        <v>969</v>
      </c>
      <c r="F2261" s="435" t="s">
        <v>970</v>
      </c>
      <c r="G2261" s="434" t="s">
        <v>971</v>
      </c>
    </row>
    <row r="2262" spans="1:7" ht="19.899999999999999" customHeight="1" x14ac:dyDescent="0.2">
      <c r="A2262" s="472"/>
      <c r="B2262" s="433"/>
      <c r="C2262" s="436">
        <f>+C2037</f>
        <v>0</v>
      </c>
      <c r="D2262" s="436">
        <f>+D2037</f>
        <v>0</v>
      </c>
      <c r="E2262" s="438">
        <f t="shared" ref="E2262:E2271" si="754">IFERROR(VLOOKUP(C2262,T_Equipos,4,FALSE),0)</f>
        <v>0</v>
      </c>
      <c r="F2262" s="439">
        <f t="shared" ref="F2262:F2271" si="755">IFERROR(VLOOKUP(C2262,T_Equipos,5,FALSE),0)</f>
        <v>0</v>
      </c>
      <c r="G2262" s="439">
        <f>ROUND(D2262*F2262,2)</f>
        <v>0</v>
      </c>
    </row>
    <row r="2263" spans="1:7" ht="19.899999999999999" customHeight="1" x14ac:dyDescent="0.2">
      <c r="A2263" s="472"/>
      <c r="B2263" s="433"/>
      <c r="C2263" s="436">
        <f t="shared" ref="C2263:D2263" si="756">+C2038</f>
        <v>0</v>
      </c>
      <c r="D2263" s="436">
        <f t="shared" si="756"/>
        <v>0</v>
      </c>
      <c r="E2263" s="438">
        <f t="shared" si="754"/>
        <v>0</v>
      </c>
      <c r="F2263" s="439">
        <f t="shared" si="755"/>
        <v>0</v>
      </c>
      <c r="G2263" s="439">
        <f>ROUND(D2263*F2263,2)</f>
        <v>0</v>
      </c>
    </row>
    <row r="2264" spans="1:7" ht="19.899999999999999" customHeight="1" x14ac:dyDescent="0.2">
      <c r="A2264" s="472"/>
      <c r="B2264" s="433"/>
      <c r="C2264" s="436">
        <f t="shared" ref="C2264" si="757">+C2039</f>
        <v>0</v>
      </c>
      <c r="D2264" s="436"/>
      <c r="E2264" s="438">
        <f t="shared" si="754"/>
        <v>0</v>
      </c>
      <c r="F2264" s="439">
        <f t="shared" si="755"/>
        <v>0</v>
      </c>
      <c r="G2264" s="439">
        <f>ROUND(D2264*F2264,2)</f>
        <v>0</v>
      </c>
    </row>
    <row r="2265" spans="1:7" ht="19.899999999999999" customHeight="1" x14ac:dyDescent="0.2">
      <c r="A2265" s="472"/>
      <c r="B2265" s="433"/>
      <c r="C2265" s="436">
        <f t="shared" ref="C2265" si="758">+C2040</f>
        <v>0</v>
      </c>
      <c r="D2265" s="436"/>
      <c r="E2265" s="438">
        <f t="shared" si="754"/>
        <v>0</v>
      </c>
      <c r="F2265" s="439">
        <f t="shared" si="755"/>
        <v>0</v>
      </c>
      <c r="G2265" s="439">
        <f>ROUND(D2265*F2265,2)</f>
        <v>0</v>
      </c>
    </row>
    <row r="2266" spans="1:7" ht="19.899999999999999" customHeight="1" x14ac:dyDescent="0.2">
      <c r="A2266" s="472"/>
      <c r="B2266" s="433"/>
      <c r="C2266" s="436">
        <f t="shared" ref="C2266" si="759">+C2041</f>
        <v>0</v>
      </c>
      <c r="D2266" s="436"/>
      <c r="E2266" s="438">
        <f t="shared" si="754"/>
        <v>0</v>
      </c>
      <c r="F2266" s="439">
        <f t="shared" si="755"/>
        <v>0</v>
      </c>
      <c r="G2266" s="439">
        <f t="shared" ref="G2266:G2271" si="760">ROUND(D2266*F2266,2)</f>
        <v>0</v>
      </c>
    </row>
    <row r="2267" spans="1:7" ht="19.899999999999999" customHeight="1" x14ac:dyDescent="0.2">
      <c r="A2267" s="472"/>
      <c r="B2267" s="433"/>
      <c r="C2267" s="436">
        <f t="shared" ref="C2267" si="761">+C2042</f>
        <v>0</v>
      </c>
      <c r="D2267" s="436"/>
      <c r="E2267" s="438">
        <f t="shared" si="754"/>
        <v>0</v>
      </c>
      <c r="F2267" s="439">
        <f t="shared" si="755"/>
        <v>0</v>
      </c>
      <c r="G2267" s="439">
        <f t="shared" si="760"/>
        <v>0</v>
      </c>
    </row>
    <row r="2268" spans="1:7" ht="19.899999999999999" customHeight="1" x14ac:dyDescent="0.2">
      <c r="A2268" s="472"/>
      <c r="B2268" s="433"/>
      <c r="C2268" s="436">
        <f t="shared" ref="C2268:D2268" si="762">+C2043</f>
        <v>0</v>
      </c>
      <c r="D2268" s="436">
        <f t="shared" si="762"/>
        <v>0</v>
      </c>
      <c r="E2268" s="438">
        <f t="shared" si="754"/>
        <v>0</v>
      </c>
      <c r="F2268" s="439">
        <f t="shared" si="755"/>
        <v>0</v>
      </c>
      <c r="G2268" s="439">
        <f t="shared" si="760"/>
        <v>0</v>
      </c>
    </row>
    <row r="2269" spans="1:7" ht="19.899999999999999" customHeight="1" x14ac:dyDescent="0.2">
      <c r="A2269" s="472"/>
      <c r="B2269" s="433"/>
      <c r="C2269" s="436">
        <f t="shared" ref="C2269:D2269" si="763">+C2044</f>
        <v>0</v>
      </c>
      <c r="D2269" s="436">
        <f t="shared" si="763"/>
        <v>0</v>
      </c>
      <c r="E2269" s="438">
        <f t="shared" si="754"/>
        <v>0</v>
      </c>
      <c r="F2269" s="439">
        <f t="shared" si="755"/>
        <v>0</v>
      </c>
      <c r="G2269" s="439">
        <f t="shared" si="760"/>
        <v>0</v>
      </c>
    </row>
    <row r="2270" spans="1:7" ht="19.899999999999999" customHeight="1" x14ac:dyDescent="0.2">
      <c r="A2270" s="472"/>
      <c r="B2270" s="433"/>
      <c r="C2270" s="436"/>
      <c r="D2270" s="437"/>
      <c r="E2270" s="438">
        <f t="shared" si="754"/>
        <v>0</v>
      </c>
      <c r="F2270" s="439">
        <f t="shared" si="755"/>
        <v>0</v>
      </c>
      <c r="G2270" s="439">
        <f t="shared" si="760"/>
        <v>0</v>
      </c>
    </row>
    <row r="2271" spans="1:7" ht="19.899999999999999" customHeight="1" x14ac:dyDescent="0.2">
      <c r="A2271" s="472"/>
      <c r="B2271" s="433"/>
      <c r="C2271" s="436"/>
      <c r="D2271" s="437"/>
      <c r="E2271" s="438">
        <f t="shared" si="754"/>
        <v>0</v>
      </c>
      <c r="F2271" s="439">
        <f t="shared" si="755"/>
        <v>0</v>
      </c>
      <c r="G2271" s="439">
        <f t="shared" si="760"/>
        <v>0</v>
      </c>
    </row>
    <row r="2272" spans="1:7" ht="19.899999999999999" customHeight="1" x14ac:dyDescent="0.2">
      <c r="A2272" s="472"/>
      <c r="B2272" s="433"/>
      <c r="C2272" s="139"/>
      <c r="D2272" s="139"/>
      <c r="E2272" s="440"/>
      <c r="F2272" s="425"/>
      <c r="G2272" s="474"/>
    </row>
    <row r="2273" spans="1:7" ht="19.899999999999999" customHeight="1" x14ac:dyDescent="0.2">
      <c r="A2273" s="472"/>
      <c r="B2273" s="139"/>
      <c r="C2273" s="422" t="s">
        <v>972</v>
      </c>
      <c r="D2273" s="425" t="s">
        <v>969</v>
      </c>
      <c r="E2273" s="491">
        <f>SUMPRODUCT(D2262:D2271,E2262:E2271)</f>
        <v>0</v>
      </c>
      <c r="F2273" s="425" t="s">
        <v>973</v>
      </c>
      <c r="G2273" s="492">
        <f>SUM(G2262:G2271)</f>
        <v>0</v>
      </c>
    </row>
    <row r="2274" spans="1:7" ht="19.899999999999999" customHeight="1" x14ac:dyDescent="0.2">
      <c r="A2274" s="472"/>
      <c r="B2274" s="433"/>
      <c r="C2274" s="441"/>
      <c r="D2274" s="440"/>
      <c r="E2274" s="427"/>
      <c r="F2274" s="425"/>
      <c r="G2274" s="478"/>
    </row>
    <row r="2275" spans="1:7" ht="19.899999999999999" customHeight="1" x14ac:dyDescent="0.2">
      <c r="A2275" s="479"/>
      <c r="B2275" s="433"/>
      <c r="C2275" s="425" t="s">
        <v>974</v>
      </c>
      <c r="D2275" s="442">
        <f>IFERROR(VLOOKUP(COUNTIF($A$1:A2275,"ANALISIS DE PRECIOS"),T_Rendimiento_Equipo,5,FALSE),0)</f>
        <v>0</v>
      </c>
      <c r="E2275" s="443" t="str">
        <f ca="1">G2257&amp;"/día"</f>
        <v>0/día</v>
      </c>
      <c r="F2275" s="419"/>
      <c r="G2275" s="474"/>
    </row>
    <row r="2276" spans="1:7" ht="19.899999999999999" customHeight="1" x14ac:dyDescent="0.2">
      <c r="A2276" s="472"/>
      <c r="B2276" s="433"/>
      <c r="C2276" s="139"/>
      <c r="D2276" s="426"/>
      <c r="E2276" s="427"/>
      <c r="F2276" s="425"/>
      <c r="G2276" s="474"/>
    </row>
    <row r="2277" spans="1:7" ht="19.899999999999999" customHeight="1" x14ac:dyDescent="0.2">
      <c r="A2277" s="720" t="s">
        <v>576</v>
      </c>
      <c r="B2277" s="721"/>
      <c r="C2277" s="722" t="s">
        <v>0</v>
      </c>
      <c r="D2277" s="734" t="s">
        <v>1724</v>
      </c>
      <c r="E2277" s="734" t="s">
        <v>1723</v>
      </c>
      <c r="F2277" s="726" t="s">
        <v>975</v>
      </c>
      <c r="G2277" s="728" t="s">
        <v>26</v>
      </c>
    </row>
    <row r="2278" spans="1:7" ht="19.899999999999999" customHeight="1" x14ac:dyDescent="0.2">
      <c r="A2278" s="444" t="s">
        <v>577</v>
      </c>
      <c r="B2278" s="444" t="s">
        <v>578</v>
      </c>
      <c r="C2278" s="723"/>
      <c r="D2278" s="735"/>
      <c r="E2278" s="725"/>
      <c r="F2278" s="727"/>
      <c r="G2278" s="729"/>
    </row>
    <row r="2279" spans="1:7" ht="19.899999999999999" customHeight="1" x14ac:dyDescent="0.2">
      <c r="A2279" s="480"/>
      <c r="B2279" s="139"/>
      <c r="C2279" s="422" t="s">
        <v>976</v>
      </c>
      <c r="D2279" s="427"/>
      <c r="E2279" s="427"/>
      <c r="F2279" s="139"/>
      <c r="G2279" s="481"/>
    </row>
    <row r="2280" spans="1:7" ht="19.899999999999999" customHeight="1" x14ac:dyDescent="0.2">
      <c r="A2280" s="482">
        <f t="shared" ref="A2280:A2288" si="764">IFERROR(VLOOKUP(C2280,T_Insumos,4,FALSE),0)</f>
        <v>0</v>
      </c>
      <c r="B2280" s="445">
        <f t="shared" ref="B2280:B2288" si="765">IFERROR(VLOOKUP(C2280,T_Insumos,5,FALSE),0)</f>
        <v>0</v>
      </c>
      <c r="C2280" s="436">
        <f>+C1980</f>
        <v>0</v>
      </c>
      <c r="D2280" s="446">
        <f t="shared" ref="D2280:D2288" si="766">IFERROR(VLOOKUP(C2280,T_Insumos,3,FALSE),0)</f>
        <v>0</v>
      </c>
      <c r="E2280" s="439">
        <f>D2280*$G$323</f>
        <v>0</v>
      </c>
      <c r="F2280" s="442">
        <f>IF(C2280="",0,IFERROR(VLOOKUP(COUNTIF($A$1:A2280,"ANALISIS DE PRECIOS"),T_Rendimiento_Equipo,5,FALSE),0))</f>
        <v>0</v>
      </c>
      <c r="G2280" s="439">
        <f>IFERROR(ROUND(E2280/F2280,2),0)</f>
        <v>0</v>
      </c>
    </row>
    <row r="2281" spans="1:7" ht="19.899999999999999" customHeight="1" x14ac:dyDescent="0.2">
      <c r="A2281" s="482">
        <f t="shared" si="764"/>
        <v>0</v>
      </c>
      <c r="B2281" s="445">
        <f t="shared" si="765"/>
        <v>0</v>
      </c>
      <c r="C2281" s="436">
        <f t="shared" ref="C2281:C2283" si="767">+C1981</f>
        <v>0</v>
      </c>
      <c r="D2281" s="446">
        <f t="shared" si="766"/>
        <v>0</v>
      </c>
      <c r="E2281" s="439">
        <f t="shared" ref="E2281:E2282" si="768">D2281*$G$323</f>
        <v>0</v>
      </c>
      <c r="F2281" s="442">
        <f>IF(C2281="",0,IFERROR(VLOOKUP(COUNTIF($A$1:A2281,"ANALISIS DE PRECIOS"),T_Rendimiento_Equipo,5,FALSE),0))</f>
        <v>0</v>
      </c>
      <c r="G2281" s="439">
        <f t="shared" ref="G2281:G2288" si="769">IFERROR(ROUND(E2281/F2281,2),0)</f>
        <v>0</v>
      </c>
    </row>
    <row r="2282" spans="1:7" ht="19.899999999999999" customHeight="1" x14ac:dyDescent="0.2">
      <c r="A2282" s="482">
        <f t="shared" si="764"/>
        <v>0</v>
      </c>
      <c r="B2282" s="445">
        <f t="shared" si="765"/>
        <v>0</v>
      </c>
      <c r="C2282" s="436">
        <f t="shared" si="767"/>
        <v>0</v>
      </c>
      <c r="D2282" s="446">
        <f t="shared" si="766"/>
        <v>0</v>
      </c>
      <c r="E2282" s="439">
        <f t="shared" si="768"/>
        <v>0</v>
      </c>
      <c r="F2282" s="442">
        <f>IF(C2282="",0,IFERROR(VLOOKUP(COUNTIF($A$1:A2282,"ANALISIS DE PRECIOS"),T_Rendimiento_Equipo,5,FALSE),0))</f>
        <v>0</v>
      </c>
      <c r="G2282" s="439">
        <f t="shared" si="769"/>
        <v>0</v>
      </c>
    </row>
    <row r="2283" spans="1:7" ht="19.899999999999999" customHeight="1" x14ac:dyDescent="0.2">
      <c r="A2283" s="482">
        <f t="shared" si="764"/>
        <v>0</v>
      </c>
      <c r="B2283" s="445">
        <f t="shared" si="765"/>
        <v>0</v>
      </c>
      <c r="C2283" s="436">
        <f t="shared" si="767"/>
        <v>0</v>
      </c>
      <c r="D2283" s="446">
        <f t="shared" si="766"/>
        <v>0</v>
      </c>
      <c r="E2283" s="439">
        <f>D2283*$E$323</f>
        <v>0</v>
      </c>
      <c r="F2283" s="442">
        <f>IF(C2283="",0,IFERROR(VLOOKUP(COUNTIF($A$1:A2283,"ANALISIS DE PRECIOS"),T_Rendimiento_Equipo,5,FALSE),0))</f>
        <v>0</v>
      </c>
      <c r="G2283" s="439">
        <f t="shared" si="769"/>
        <v>0</v>
      </c>
    </row>
    <row r="2284" spans="1:7" ht="19.899999999999999" customHeight="1" x14ac:dyDescent="0.2">
      <c r="A2284" s="482">
        <f t="shared" si="764"/>
        <v>0</v>
      </c>
      <c r="B2284" s="445">
        <f t="shared" si="765"/>
        <v>0</v>
      </c>
      <c r="C2284" s="447"/>
      <c r="D2284" s="446">
        <f t="shared" si="766"/>
        <v>0</v>
      </c>
      <c r="E2284" s="439"/>
      <c r="F2284" s="442">
        <f>IF(C2284="",0,IFERROR(VLOOKUP(COUNTIF($A$1:A2284,"ANALISIS DE PRECIOS"),T_Rendimiento_Equipo,5,FALSE),0))</f>
        <v>0</v>
      </c>
      <c r="G2284" s="439">
        <f t="shared" si="769"/>
        <v>0</v>
      </c>
    </row>
    <row r="2285" spans="1:7" ht="19.899999999999999" customHeight="1" x14ac:dyDescent="0.2">
      <c r="A2285" s="482">
        <f t="shared" si="764"/>
        <v>0</v>
      </c>
      <c r="B2285" s="445">
        <f t="shared" si="765"/>
        <v>0</v>
      </c>
      <c r="C2285" s="447"/>
      <c r="D2285" s="446">
        <f t="shared" si="766"/>
        <v>0</v>
      </c>
      <c r="E2285" s="439"/>
      <c r="F2285" s="442">
        <f>IF(C2285="",0,IFERROR(VLOOKUP(COUNTIF($A$1:A2285,"ANALISIS DE PRECIOS"),T_Rendimiento_Equipo,5,FALSE),0))</f>
        <v>0</v>
      </c>
      <c r="G2285" s="439">
        <f t="shared" si="769"/>
        <v>0</v>
      </c>
    </row>
    <row r="2286" spans="1:7" ht="19.899999999999999" customHeight="1" x14ac:dyDescent="0.2">
      <c r="A2286" s="482">
        <f t="shared" si="764"/>
        <v>0</v>
      </c>
      <c r="B2286" s="445">
        <f t="shared" si="765"/>
        <v>0</v>
      </c>
      <c r="C2286" s="447"/>
      <c r="D2286" s="446">
        <f t="shared" si="766"/>
        <v>0</v>
      </c>
      <c r="E2286" s="439"/>
      <c r="F2286" s="442">
        <f>IF(C2286="",0,IFERROR(VLOOKUP(COUNTIF($A$1:A2286,"ANALISIS DE PRECIOS"),T_Rendimiento_Equipo,5,FALSE),0))</f>
        <v>0</v>
      </c>
      <c r="G2286" s="439">
        <f t="shared" si="769"/>
        <v>0</v>
      </c>
    </row>
    <row r="2287" spans="1:7" ht="19.899999999999999" customHeight="1" x14ac:dyDescent="0.2">
      <c r="A2287" s="482">
        <f t="shared" si="764"/>
        <v>0</v>
      </c>
      <c r="B2287" s="445">
        <f t="shared" si="765"/>
        <v>0</v>
      </c>
      <c r="C2287" s="447"/>
      <c r="D2287" s="446">
        <f t="shared" si="766"/>
        <v>0</v>
      </c>
      <c r="E2287" s="439"/>
      <c r="F2287" s="442">
        <f>IF(C2287="",0,IFERROR(VLOOKUP(COUNTIF($A$1:A2287,"ANALISIS DE PRECIOS"),T_Rendimiento_Equipo,5,FALSE),0))</f>
        <v>0</v>
      </c>
      <c r="G2287" s="439">
        <f t="shared" si="769"/>
        <v>0</v>
      </c>
    </row>
    <row r="2288" spans="1:7" ht="19.899999999999999" customHeight="1" x14ac:dyDescent="0.2">
      <c r="A2288" s="482">
        <f t="shared" si="764"/>
        <v>0</v>
      </c>
      <c r="B2288" s="445">
        <f t="shared" si="765"/>
        <v>0</v>
      </c>
      <c r="C2288" s="436"/>
      <c r="D2288" s="446">
        <f t="shared" si="766"/>
        <v>0</v>
      </c>
      <c r="E2288" s="439"/>
      <c r="F2288" s="442">
        <f>IF(C2288="",0,IFERROR(VLOOKUP(COUNTIF($A$1:A2288,"ANALISIS DE PRECIOS"),T_Rendimiento_Equipo,5,FALSE),0))</f>
        <v>0</v>
      </c>
      <c r="G2288" s="439">
        <f t="shared" si="769"/>
        <v>0</v>
      </c>
    </row>
    <row r="2289" spans="1:7" ht="19.899999999999999" customHeight="1" x14ac:dyDescent="0.2">
      <c r="A2289" s="483"/>
      <c r="B2289" s="426"/>
      <c r="C2289" s="139"/>
      <c r="D2289" s="426"/>
      <c r="E2289" s="427"/>
      <c r="F2289" s="448" t="s">
        <v>27</v>
      </c>
      <c r="G2289" s="484">
        <f>SUBTOTAL(9,G2280:G2288)</f>
        <v>0</v>
      </c>
    </row>
    <row r="2290" spans="1:7" ht="19.899999999999999" customHeight="1" x14ac:dyDescent="0.2">
      <c r="A2290" s="480"/>
      <c r="B2290" s="139"/>
      <c r="C2290" s="422" t="s">
        <v>713</v>
      </c>
      <c r="D2290" s="426"/>
      <c r="E2290" s="427"/>
      <c r="F2290" s="428"/>
      <c r="G2290" s="481"/>
    </row>
    <row r="2291" spans="1:7" ht="19.899999999999999" customHeight="1" x14ac:dyDescent="0.2">
      <c r="A2291" s="720" t="s">
        <v>576</v>
      </c>
      <c r="B2291" s="721"/>
      <c r="C2291" s="722" t="s">
        <v>0</v>
      </c>
      <c r="D2291" s="724" t="s">
        <v>24</v>
      </c>
      <c r="E2291" s="724" t="s">
        <v>1964</v>
      </c>
      <c r="F2291" s="726" t="s">
        <v>975</v>
      </c>
      <c r="G2291" s="728" t="s">
        <v>26</v>
      </c>
    </row>
    <row r="2292" spans="1:7" ht="19.899999999999999" customHeight="1" x14ac:dyDescent="0.2">
      <c r="A2292" s="444" t="s">
        <v>577</v>
      </c>
      <c r="B2292" s="444" t="s">
        <v>578</v>
      </c>
      <c r="C2292" s="723"/>
      <c r="D2292" s="725"/>
      <c r="E2292" s="725"/>
      <c r="F2292" s="727"/>
      <c r="G2292" s="729"/>
    </row>
    <row r="2293" spans="1:7" ht="19.899999999999999" customHeight="1" x14ac:dyDescent="0.2">
      <c r="A2293" s="482">
        <f t="shared" ref="A2293:A2299" si="770">IFERROR(VLOOKUP(C2293,T_Insumos,4,FALSE),0)</f>
        <v>0</v>
      </c>
      <c r="B2293" s="445">
        <f t="shared" ref="B2293:B2299" si="771">IFERROR(VLOOKUP(C2293,T_Insumos,5,FALSE),0)</f>
        <v>0</v>
      </c>
      <c r="C2293" s="436">
        <f t="shared" ref="C2293:C2296" si="772">+C2068</f>
        <v>0</v>
      </c>
      <c r="D2293" s="442"/>
      <c r="E2293" s="439">
        <f t="shared" ref="E2293:E2299" si="773">IFERROR(VLOOKUP(C2293,T_Insumos,3,FALSE),0)</f>
        <v>0</v>
      </c>
      <c r="F2293" s="442">
        <f>IF(C2293="",0,IFERROR(VLOOKUP(COUNTIF($A$1:A2293,"ANALISIS DE PRECIOS"),T_Rendimiento_Equipo,5,FALSE),0))</f>
        <v>0</v>
      </c>
      <c r="G2293" s="439">
        <f>IFERROR(ROUND(D2293*E2293/F2293,2),0)</f>
        <v>0</v>
      </c>
    </row>
    <row r="2294" spans="1:7" ht="19.899999999999999" customHeight="1" x14ac:dyDescent="0.2">
      <c r="A2294" s="482">
        <f t="shared" si="770"/>
        <v>0</v>
      </c>
      <c r="B2294" s="445">
        <f t="shared" si="771"/>
        <v>0</v>
      </c>
      <c r="C2294" s="436">
        <f t="shared" si="772"/>
        <v>0</v>
      </c>
      <c r="D2294" s="442">
        <v>1</v>
      </c>
      <c r="E2294" s="439">
        <f t="shared" si="773"/>
        <v>0</v>
      </c>
      <c r="F2294" s="442">
        <f>IF(C2294="",0,IFERROR(VLOOKUP(COUNTIF($A$1:A2294,"ANALISIS DE PRECIOS"),T_Rendimiento_Equipo,5,FALSE),0))</f>
        <v>0</v>
      </c>
      <c r="G2294" s="439">
        <f>IFERROR(ROUND(D2294*E2294/F2294,2),0)</f>
        <v>0</v>
      </c>
    </row>
    <row r="2295" spans="1:7" ht="19.899999999999999" customHeight="1" x14ac:dyDescent="0.2">
      <c r="A2295" s="482">
        <f t="shared" si="770"/>
        <v>0</v>
      </c>
      <c r="B2295" s="445">
        <f t="shared" si="771"/>
        <v>0</v>
      </c>
      <c r="C2295" s="436">
        <f t="shared" si="772"/>
        <v>0</v>
      </c>
      <c r="D2295" s="442"/>
      <c r="E2295" s="439">
        <f t="shared" si="773"/>
        <v>0</v>
      </c>
      <c r="F2295" s="442">
        <f>IF(C2295="",0,IFERROR(VLOOKUP(COUNTIF($A$1:A2295,"ANALISIS DE PRECIOS"),T_Rendimiento_Equipo,5,FALSE),0))</f>
        <v>0</v>
      </c>
      <c r="G2295" s="439">
        <f t="shared" ref="G2295:G2299" si="774">IFERROR(ROUND(D2295*E2295/F2295,2),0)</f>
        <v>0</v>
      </c>
    </row>
    <row r="2296" spans="1:7" ht="19.899999999999999" customHeight="1" x14ac:dyDescent="0.2">
      <c r="A2296" s="482">
        <f t="shared" si="770"/>
        <v>0</v>
      </c>
      <c r="B2296" s="445">
        <f t="shared" si="771"/>
        <v>0</v>
      </c>
      <c r="C2296" s="436">
        <f t="shared" si="772"/>
        <v>0</v>
      </c>
      <c r="D2296" s="442">
        <v>2</v>
      </c>
      <c r="E2296" s="439">
        <f t="shared" si="773"/>
        <v>0</v>
      </c>
      <c r="F2296" s="442">
        <f>IF(C2296="",0,IFERROR(VLOOKUP(COUNTIF($A$1:A2296,"ANALISIS DE PRECIOS"),T_Rendimiento_Equipo,5,FALSE),0))</f>
        <v>0</v>
      </c>
      <c r="G2296" s="439">
        <f t="shared" si="774"/>
        <v>0</v>
      </c>
    </row>
    <row r="2297" spans="1:7" ht="19.899999999999999" customHeight="1" x14ac:dyDescent="0.2">
      <c r="A2297" s="482">
        <f t="shared" si="770"/>
        <v>0</v>
      </c>
      <c r="B2297" s="445">
        <f t="shared" si="771"/>
        <v>0</v>
      </c>
      <c r="C2297" s="436"/>
      <c r="D2297" s="442"/>
      <c r="E2297" s="439">
        <f t="shared" si="773"/>
        <v>0</v>
      </c>
      <c r="F2297" s="442">
        <f>IF(C2297="",0,IFERROR(VLOOKUP(COUNTIF($A$1:A2297,"ANALISIS DE PRECIOS"),T_Rendimiento_Equipo,5,FALSE),0))</f>
        <v>0</v>
      </c>
      <c r="G2297" s="439">
        <f t="shared" si="774"/>
        <v>0</v>
      </c>
    </row>
    <row r="2298" spans="1:7" ht="19.899999999999999" customHeight="1" x14ac:dyDescent="0.2">
      <c r="A2298" s="482">
        <f t="shared" si="770"/>
        <v>0</v>
      </c>
      <c r="B2298" s="445">
        <f t="shared" si="771"/>
        <v>0</v>
      </c>
      <c r="C2298" s="436"/>
      <c r="D2298" s="450"/>
      <c r="E2298" s="439">
        <f t="shared" si="773"/>
        <v>0</v>
      </c>
      <c r="F2298" s="442">
        <f>IF(C2298="",0,IFERROR(VLOOKUP(COUNTIF($A$1:A2298,"ANALISIS DE PRECIOS"),T_Rendimiento_Equipo,5,FALSE),0))</f>
        <v>0</v>
      </c>
      <c r="G2298" s="439">
        <f t="shared" si="774"/>
        <v>0</v>
      </c>
    </row>
    <row r="2299" spans="1:7" ht="19.899999999999999" customHeight="1" x14ac:dyDescent="0.2">
      <c r="A2299" s="482">
        <f t="shared" si="770"/>
        <v>0</v>
      </c>
      <c r="B2299" s="445">
        <f t="shared" si="771"/>
        <v>0</v>
      </c>
      <c r="C2299" s="445"/>
      <c r="D2299" s="451"/>
      <c r="E2299" s="439">
        <f t="shared" si="773"/>
        <v>0</v>
      </c>
      <c r="F2299" s="442">
        <f>IF(C2299="",0,IFERROR(VLOOKUP(COUNTIF($A$1:A2299,"ANALISIS DE PRECIOS"),T_Rendimiento_Equipo,5,FALSE),0))</f>
        <v>0</v>
      </c>
      <c r="G2299" s="439">
        <f t="shared" si="774"/>
        <v>0</v>
      </c>
    </row>
    <row r="2300" spans="1:7" ht="19.899999999999999" customHeight="1" x14ac:dyDescent="0.2">
      <c r="A2300" s="483"/>
      <c r="B2300" s="426"/>
      <c r="C2300" s="139"/>
      <c r="D2300" s="426"/>
      <c r="E2300" s="427"/>
      <c r="F2300" s="448" t="s">
        <v>28</v>
      </c>
      <c r="G2300" s="485">
        <f>SUBTOTAL(9,G2293:G2299)</f>
        <v>0</v>
      </c>
    </row>
    <row r="2301" spans="1:7" ht="19.899999999999999" customHeight="1" x14ac:dyDescent="0.2">
      <c r="A2301" s="480"/>
      <c r="B2301" s="139"/>
      <c r="C2301" s="422" t="s">
        <v>982</v>
      </c>
      <c r="D2301" s="426"/>
      <c r="E2301" s="427"/>
      <c r="F2301" s="428"/>
      <c r="G2301" s="481"/>
    </row>
    <row r="2302" spans="1:7" ht="19.899999999999999" customHeight="1" x14ac:dyDescent="0.2">
      <c r="A2302" s="720" t="s">
        <v>576</v>
      </c>
      <c r="B2302" s="721"/>
      <c r="C2302" s="722" t="s">
        <v>0</v>
      </c>
      <c r="D2302" s="722" t="s">
        <v>1725</v>
      </c>
      <c r="E2302" s="724" t="s">
        <v>24</v>
      </c>
      <c r="F2302" s="726" t="s">
        <v>25</v>
      </c>
      <c r="G2302" s="728" t="s">
        <v>26</v>
      </c>
    </row>
    <row r="2303" spans="1:7" ht="19.899999999999999" customHeight="1" x14ac:dyDescent="0.2">
      <c r="A2303" s="444" t="s">
        <v>577</v>
      </c>
      <c r="B2303" s="444" t="s">
        <v>578</v>
      </c>
      <c r="C2303" s="723"/>
      <c r="D2303" s="723"/>
      <c r="E2303" s="725"/>
      <c r="F2303" s="727"/>
      <c r="G2303" s="729"/>
    </row>
    <row r="2304" spans="1:7" ht="19.899999999999999" customHeight="1" x14ac:dyDescent="0.2">
      <c r="A2304" s="482">
        <f t="shared" ref="A2304:A2314" si="775">IFERROR(VLOOKUP(C2304,T_Insumos,4,FALSE),0)</f>
        <v>0</v>
      </c>
      <c r="B2304" s="445">
        <f t="shared" ref="B2304:B2314" si="776">IFERROR(VLOOKUP(C2304,T_Insumos,5,FALSE),0)</f>
        <v>0</v>
      </c>
      <c r="C2304" s="436">
        <f t="shared" ref="C2304:C2314" si="777">+C2079</f>
        <v>0</v>
      </c>
      <c r="D2304" s="493">
        <f t="shared" ref="D2304:D2314" si="778">IFERROR(VLOOKUP(C2304,T_Insumos,2,FALSE),0)</f>
        <v>0</v>
      </c>
      <c r="E2304" s="437"/>
      <c r="F2304" s="439">
        <f t="shared" ref="F2304:F2314" si="779">IFERROR(VLOOKUP(C2304,T_Insumos,3,FALSE),0)</f>
        <v>0</v>
      </c>
      <c r="G2304" s="439">
        <f>ROUND(E2304*F2304,2)</f>
        <v>0</v>
      </c>
    </row>
    <row r="2305" spans="1:7" ht="19.899999999999999" customHeight="1" x14ac:dyDescent="0.2">
      <c r="A2305" s="482">
        <f t="shared" si="775"/>
        <v>0</v>
      </c>
      <c r="B2305" s="445">
        <f t="shared" si="776"/>
        <v>0</v>
      </c>
      <c r="C2305" s="436">
        <f t="shared" si="777"/>
        <v>0</v>
      </c>
      <c r="D2305" s="493">
        <f t="shared" si="778"/>
        <v>0</v>
      </c>
      <c r="E2305" s="437"/>
      <c r="F2305" s="439">
        <f t="shared" si="779"/>
        <v>0</v>
      </c>
      <c r="G2305" s="439">
        <f t="shared" ref="G2305:G2314" si="780">ROUND(E2305*F2305,2)</f>
        <v>0</v>
      </c>
    </row>
    <row r="2306" spans="1:7" ht="19.899999999999999" customHeight="1" x14ac:dyDescent="0.2">
      <c r="A2306" s="482">
        <f t="shared" si="775"/>
        <v>0</v>
      </c>
      <c r="B2306" s="445">
        <f t="shared" si="776"/>
        <v>0</v>
      </c>
      <c r="C2306" s="436">
        <f t="shared" si="777"/>
        <v>0</v>
      </c>
      <c r="D2306" s="493">
        <f t="shared" si="778"/>
        <v>0</v>
      </c>
      <c r="E2306" s="437"/>
      <c r="F2306" s="439">
        <f t="shared" si="779"/>
        <v>0</v>
      </c>
      <c r="G2306" s="439">
        <f t="shared" si="780"/>
        <v>0</v>
      </c>
    </row>
    <row r="2307" spans="1:7" ht="19.899999999999999" customHeight="1" x14ac:dyDescent="0.2">
      <c r="A2307" s="482">
        <f t="shared" si="775"/>
        <v>0</v>
      </c>
      <c r="B2307" s="445">
        <f t="shared" si="776"/>
        <v>0</v>
      </c>
      <c r="C2307" s="436">
        <f t="shared" si="777"/>
        <v>0</v>
      </c>
      <c r="D2307" s="493">
        <f t="shared" si="778"/>
        <v>0</v>
      </c>
      <c r="E2307" s="437"/>
      <c r="F2307" s="439">
        <f t="shared" si="779"/>
        <v>0</v>
      </c>
      <c r="G2307" s="439">
        <f t="shared" si="780"/>
        <v>0</v>
      </c>
    </row>
    <row r="2308" spans="1:7" ht="19.899999999999999" customHeight="1" x14ac:dyDescent="0.2">
      <c r="A2308" s="482">
        <f t="shared" si="775"/>
        <v>0</v>
      </c>
      <c r="B2308" s="445">
        <f t="shared" si="776"/>
        <v>0</v>
      </c>
      <c r="C2308" s="436">
        <f t="shared" si="777"/>
        <v>0</v>
      </c>
      <c r="D2308" s="493">
        <f t="shared" si="778"/>
        <v>0</v>
      </c>
      <c r="E2308" s="437"/>
      <c r="F2308" s="439">
        <f t="shared" si="779"/>
        <v>0</v>
      </c>
      <c r="G2308" s="439">
        <f t="shared" si="780"/>
        <v>0</v>
      </c>
    </row>
    <row r="2309" spans="1:7" ht="19.899999999999999" customHeight="1" x14ac:dyDescent="0.2">
      <c r="A2309" s="482">
        <f t="shared" si="775"/>
        <v>0</v>
      </c>
      <c r="B2309" s="445">
        <f t="shared" si="776"/>
        <v>0</v>
      </c>
      <c r="C2309" s="436">
        <f t="shared" si="777"/>
        <v>0</v>
      </c>
      <c r="D2309" s="493">
        <f t="shared" si="778"/>
        <v>0</v>
      </c>
      <c r="E2309" s="437"/>
      <c r="F2309" s="439">
        <f t="shared" si="779"/>
        <v>0</v>
      </c>
      <c r="G2309" s="439">
        <f t="shared" si="780"/>
        <v>0</v>
      </c>
    </row>
    <row r="2310" spans="1:7" ht="19.899999999999999" customHeight="1" x14ac:dyDescent="0.2">
      <c r="A2310" s="482">
        <f t="shared" si="775"/>
        <v>0</v>
      </c>
      <c r="B2310" s="445">
        <f t="shared" si="776"/>
        <v>0</v>
      </c>
      <c r="C2310" s="436">
        <f t="shared" si="777"/>
        <v>0</v>
      </c>
      <c r="D2310" s="493">
        <f t="shared" si="778"/>
        <v>0</v>
      </c>
      <c r="E2310" s="437"/>
      <c r="F2310" s="439">
        <f t="shared" si="779"/>
        <v>0</v>
      </c>
      <c r="G2310" s="439">
        <f t="shared" si="780"/>
        <v>0</v>
      </c>
    </row>
    <row r="2311" spans="1:7" ht="19.899999999999999" customHeight="1" x14ac:dyDescent="0.2">
      <c r="A2311" s="482">
        <f t="shared" si="775"/>
        <v>0</v>
      </c>
      <c r="B2311" s="445">
        <f t="shared" si="776"/>
        <v>0</v>
      </c>
      <c r="C2311" s="436">
        <f t="shared" si="777"/>
        <v>0</v>
      </c>
      <c r="D2311" s="493">
        <f t="shared" si="778"/>
        <v>0</v>
      </c>
      <c r="E2311" s="437"/>
      <c r="F2311" s="439">
        <f t="shared" si="779"/>
        <v>0</v>
      </c>
      <c r="G2311" s="439">
        <f t="shared" si="780"/>
        <v>0</v>
      </c>
    </row>
    <row r="2312" spans="1:7" ht="19.899999999999999" customHeight="1" x14ac:dyDescent="0.2">
      <c r="A2312" s="482">
        <f t="shared" si="775"/>
        <v>0</v>
      </c>
      <c r="B2312" s="445">
        <f t="shared" si="776"/>
        <v>0</v>
      </c>
      <c r="C2312" s="436">
        <f t="shared" si="777"/>
        <v>0</v>
      </c>
      <c r="D2312" s="493">
        <f t="shared" si="778"/>
        <v>0</v>
      </c>
      <c r="E2312" s="437"/>
      <c r="F2312" s="439">
        <f t="shared" si="779"/>
        <v>0</v>
      </c>
      <c r="G2312" s="439">
        <f t="shared" si="780"/>
        <v>0</v>
      </c>
    </row>
    <row r="2313" spans="1:7" ht="19.899999999999999" customHeight="1" x14ac:dyDescent="0.2">
      <c r="A2313" s="482">
        <f t="shared" si="775"/>
        <v>0</v>
      </c>
      <c r="B2313" s="445">
        <f t="shared" si="776"/>
        <v>0</v>
      </c>
      <c r="C2313" s="436">
        <f t="shared" si="777"/>
        <v>0</v>
      </c>
      <c r="D2313" s="493">
        <f t="shared" si="778"/>
        <v>0</v>
      </c>
      <c r="E2313" s="437"/>
      <c r="F2313" s="439">
        <f t="shared" si="779"/>
        <v>0</v>
      </c>
      <c r="G2313" s="439">
        <f t="shared" si="780"/>
        <v>0</v>
      </c>
    </row>
    <row r="2314" spans="1:7" ht="19.899999999999999" customHeight="1" x14ac:dyDescent="0.2">
      <c r="A2314" s="482">
        <f t="shared" si="775"/>
        <v>0</v>
      </c>
      <c r="B2314" s="445">
        <f t="shared" si="776"/>
        <v>0</v>
      </c>
      <c r="C2314" s="436">
        <f t="shared" si="777"/>
        <v>0</v>
      </c>
      <c r="D2314" s="493">
        <f t="shared" si="778"/>
        <v>0</v>
      </c>
      <c r="E2314" s="437"/>
      <c r="F2314" s="439">
        <f t="shared" si="779"/>
        <v>0</v>
      </c>
      <c r="G2314" s="439">
        <f t="shared" si="780"/>
        <v>0</v>
      </c>
    </row>
    <row r="2315" spans="1:7" ht="19.899999999999999" customHeight="1" x14ac:dyDescent="0.2">
      <c r="A2315" s="480"/>
      <c r="B2315" s="139"/>
      <c r="C2315" s="139"/>
      <c r="D2315" s="426"/>
      <c r="E2315" s="427"/>
      <c r="F2315" s="448" t="s">
        <v>29</v>
      </c>
      <c r="G2315" s="485">
        <f>SUBTOTAL(9,G2304:G2314)</f>
        <v>0</v>
      </c>
    </row>
    <row r="2316" spans="1:7" ht="19.899999999999999" customHeight="1" x14ac:dyDescent="0.2">
      <c r="A2316" s="480"/>
      <c r="B2316" s="139"/>
      <c r="C2316" s="422" t="s">
        <v>983</v>
      </c>
      <c r="D2316" s="426"/>
      <c r="E2316" s="427"/>
      <c r="F2316" s="428"/>
      <c r="G2316" s="481"/>
    </row>
    <row r="2317" spans="1:7" ht="19.899999999999999" customHeight="1" x14ac:dyDescent="0.2">
      <c r="A2317" s="720" t="s">
        <v>576</v>
      </c>
      <c r="B2317" s="721"/>
      <c r="C2317" s="722" t="s">
        <v>0</v>
      </c>
      <c r="D2317" s="722" t="s">
        <v>1725</v>
      </c>
      <c r="E2317" s="724" t="s">
        <v>24</v>
      </c>
      <c r="F2317" s="726" t="s">
        <v>25</v>
      </c>
      <c r="G2317" s="728" t="s">
        <v>26</v>
      </c>
    </row>
    <row r="2318" spans="1:7" ht="19.899999999999999" customHeight="1" x14ac:dyDescent="0.2">
      <c r="A2318" s="444" t="s">
        <v>577</v>
      </c>
      <c r="B2318" s="444" t="s">
        <v>578</v>
      </c>
      <c r="C2318" s="723"/>
      <c r="D2318" s="723"/>
      <c r="E2318" s="725"/>
      <c r="F2318" s="727"/>
      <c r="G2318" s="729"/>
    </row>
    <row r="2319" spans="1:7" ht="19.899999999999999" customHeight="1" x14ac:dyDescent="0.2">
      <c r="A2319" s="482">
        <f>IFERROR(VLOOKUP(C2319,T_Insumos,4,FALSE),0)</f>
        <v>0</v>
      </c>
      <c r="B2319" s="445">
        <f>IFERROR(VLOOKUP(C2319,T_Insumos,5,FALSE),0)</f>
        <v>0</v>
      </c>
      <c r="C2319" s="436"/>
      <c r="D2319" s="493">
        <f>IF(C2319=0,0,"$/tnkm")</f>
        <v>0</v>
      </c>
      <c r="E2319" s="437"/>
      <c r="F2319" s="439">
        <f>IFERROR(VLOOKUP(C2319,T_Insumos,3,FALSE),0)</f>
        <v>0</v>
      </c>
      <c r="G2319" s="439">
        <f>ROUND(E2319*F2319,2)</f>
        <v>0</v>
      </c>
    </row>
    <row r="2320" spans="1:7" ht="19.899999999999999" customHeight="1" x14ac:dyDescent="0.2">
      <c r="A2320" s="482">
        <f>IFERROR(VLOOKUP(C2320,T_Insumos,4,FALSE),0)</f>
        <v>0</v>
      </c>
      <c r="B2320" s="445">
        <f>IFERROR(VLOOKUP(C2320,T_Insumos,5,FALSE),0)</f>
        <v>0</v>
      </c>
      <c r="C2320" s="436"/>
      <c r="D2320" s="493">
        <f>IF(C2320=0,0,"$/tnkm")</f>
        <v>0</v>
      </c>
      <c r="E2320" s="453"/>
      <c r="F2320" s="439">
        <f>IFERROR(VLOOKUP(C2320,T_Insumos,3,FALSE),0)</f>
        <v>0</v>
      </c>
      <c r="G2320" s="439">
        <f t="shared" ref="G2320" si="781">ROUND(E2320*F2320,2)</f>
        <v>0</v>
      </c>
    </row>
    <row r="2321" spans="1:7" ht="19.899999999999999" customHeight="1" x14ac:dyDescent="0.2">
      <c r="A2321" s="480"/>
      <c r="B2321" s="139"/>
      <c r="C2321" s="139"/>
      <c r="D2321" s="426"/>
      <c r="E2321" s="427"/>
      <c r="F2321" s="448" t="s">
        <v>984</v>
      </c>
      <c r="G2321" s="485">
        <f>SUBTOTAL(9,G2319:G2320)</f>
        <v>0</v>
      </c>
    </row>
    <row r="2322" spans="1:7" ht="19.899999999999999" customHeight="1" x14ac:dyDescent="0.2">
      <c r="A2322" s="483"/>
      <c r="B2322" s="426"/>
      <c r="C2322" s="139"/>
      <c r="D2322" s="426"/>
      <c r="E2322" s="427"/>
      <c r="F2322" s="428"/>
      <c r="G2322" s="481"/>
    </row>
    <row r="2323" spans="1:7" ht="19.899999999999999" customHeight="1" x14ac:dyDescent="0.2">
      <c r="A2323" s="541" t="str">
        <f>B2257</f>
        <v/>
      </c>
      <c r="B2323" s="538">
        <f ca="1">C2257</f>
        <v>0</v>
      </c>
      <c r="C2323" s="426"/>
      <c r="D2323" s="426" t="s">
        <v>1704</v>
      </c>
      <c r="E2323" s="539"/>
      <c r="F2323" s="540" t="str">
        <f ca="1">"$/"&amp;G2257</f>
        <v>$/0</v>
      </c>
      <c r="G2323" s="490">
        <f>SUBTOTAL(9,G2280:G2322)</f>
        <v>0</v>
      </c>
    </row>
    <row r="2324" spans="1:7" ht="19.899999999999999" customHeight="1" x14ac:dyDescent="0.2">
      <c r="A2324" s="486"/>
      <c r="B2324" s="487"/>
      <c r="C2324" s="488"/>
      <c r="D2324" s="488" t="s">
        <v>1900</v>
      </c>
      <c r="E2324" s="489"/>
      <c r="F2324" s="542" t="str">
        <f ca="1">"$/"&amp;G2257</f>
        <v>$/0</v>
      </c>
      <c r="G2324" s="490">
        <f>ROUND(G2323*Coeficiente_Paso,2)</f>
        <v>0</v>
      </c>
    </row>
    <row r="2325" spans="1:7" ht="19.899999999999999" customHeight="1" x14ac:dyDescent="0.2">
      <c r="A2325" s="139"/>
      <c r="B2325" s="139"/>
      <c r="C2325" s="139"/>
      <c r="D2325" s="139"/>
      <c r="E2325" s="139"/>
      <c r="F2325" s="139"/>
      <c r="G2325" s="139"/>
    </row>
    <row r="2326" spans="1:7" ht="19.899999999999999" customHeight="1" x14ac:dyDescent="0.2">
      <c r="A2326" s="730" t="s">
        <v>31</v>
      </c>
      <c r="B2326" s="731"/>
      <c r="C2326" s="731"/>
      <c r="D2326" s="731"/>
      <c r="E2326" s="731"/>
      <c r="F2326" s="731"/>
      <c r="G2326" s="732"/>
    </row>
    <row r="2327" spans="1:7" ht="19.899999999999999" customHeight="1" x14ac:dyDescent="0.2">
      <c r="A2327" s="469" t="s">
        <v>711</v>
      </c>
      <c r="B2327" s="420" t="str">
        <f>Comitente</f>
        <v>DEPARTAMENTO DE HIDRAULICA</v>
      </c>
      <c r="C2327" s="421"/>
      <c r="D2327" s="422"/>
      <c r="E2327" s="422"/>
      <c r="F2327" s="423"/>
      <c r="G2327" s="470"/>
    </row>
    <row r="2328" spans="1:7" ht="19.899999999999999" customHeight="1" x14ac:dyDescent="0.2">
      <c r="A2328" s="469" t="s">
        <v>712</v>
      </c>
      <c r="B2328" s="420">
        <f>Contratista</f>
        <v>0</v>
      </c>
      <c r="C2328" s="424"/>
      <c r="D2328" s="424"/>
      <c r="E2328" s="424"/>
      <c r="F2328" s="420"/>
      <c r="G2328" s="471"/>
    </row>
    <row r="2329" spans="1:7" ht="19.899999999999999" customHeight="1" x14ac:dyDescent="0.2">
      <c r="A2329" s="469" t="s">
        <v>21</v>
      </c>
      <c r="B2329" s="420" t="str">
        <f>Obra</f>
        <v>Encamisado Parcial del Canal de Calle América</v>
      </c>
      <c r="C2329" s="424"/>
      <c r="D2329" s="424"/>
      <c r="E2329" s="424"/>
      <c r="F2329" s="420" t="s">
        <v>32</v>
      </c>
      <c r="G2329" s="471" t="str">
        <f>Fecha_Base</f>
        <v>X/X/2023</v>
      </c>
    </row>
    <row r="2330" spans="1:7" ht="19.899999999999999" customHeight="1" x14ac:dyDescent="0.2">
      <c r="A2330" s="472" t="s">
        <v>710</v>
      </c>
      <c r="B2330" s="425" t="str">
        <f>Ubicación</f>
        <v>Departamento Rawson</v>
      </c>
      <c r="C2330" s="425"/>
      <c r="D2330" s="426"/>
      <c r="E2330" s="427"/>
      <c r="F2330" s="428"/>
      <c r="G2330" s="473"/>
    </row>
    <row r="2331" spans="1:7" ht="19.899999999999999" customHeight="1" x14ac:dyDescent="0.2">
      <c r="A2331" s="472" t="s">
        <v>33</v>
      </c>
      <c r="B2331" s="429" t="str">
        <f>IFERROR(VALUE(LEFT(B2332,FIND(".",B2332)-1)),"")</f>
        <v/>
      </c>
      <c r="C2331" s="139">
        <f ca="1">IFERROR(VLOOKUP(B2331,T_Computo_Presupuesto,2,FALSE),0)</f>
        <v>0</v>
      </c>
      <c r="D2331" s="139"/>
      <c r="E2331" s="427"/>
      <c r="F2331" s="428"/>
      <c r="G2331" s="473"/>
    </row>
    <row r="2332" spans="1:7" ht="19.899999999999999" customHeight="1" x14ac:dyDescent="0.2">
      <c r="A2332" s="472" t="s">
        <v>22</v>
      </c>
      <c r="B2332" s="430" t="str">
        <f>IFERROR(VLOOKUP(COUNTIF($A$1:A2332,"ANALISIS DE PRECIOS"),T_NumeroItem,2,FALSE),"")</f>
        <v/>
      </c>
      <c r="C2332" s="733">
        <f ca="1">IFERROR(VLOOKUP(B2332,T_Computo_Presupuesto,2,FALSE),0)</f>
        <v>0</v>
      </c>
      <c r="D2332" s="733"/>
      <c r="E2332" s="733"/>
      <c r="F2332" s="425" t="s">
        <v>23</v>
      </c>
      <c r="G2332" s="474">
        <f ca="1">IFERROR(VLOOKUP(B2332,T_Computo_Presupuesto,4,FALSE),0)</f>
        <v>0</v>
      </c>
    </row>
    <row r="2333" spans="1:7" ht="19.899999999999999" customHeight="1" x14ac:dyDescent="0.2">
      <c r="A2333" s="472"/>
      <c r="B2333" s="425"/>
      <c r="C2333" s="139"/>
      <c r="D2333" s="426"/>
      <c r="E2333" s="427"/>
      <c r="F2333" s="139"/>
      <c r="G2333" s="475"/>
    </row>
    <row r="2334" spans="1:7" ht="19.899999999999999" customHeight="1" x14ac:dyDescent="0.2">
      <c r="A2334" s="476"/>
      <c r="B2334" s="431"/>
      <c r="C2334" s="432" t="s">
        <v>967</v>
      </c>
      <c r="D2334" s="431"/>
      <c r="E2334" s="431"/>
      <c r="F2334" s="431"/>
      <c r="G2334" s="477"/>
    </row>
    <row r="2335" spans="1:7" ht="19.899999999999999" customHeight="1" x14ac:dyDescent="0.2">
      <c r="A2335" s="472"/>
      <c r="B2335" s="433"/>
      <c r="C2335" s="139"/>
      <c r="D2335" s="426"/>
      <c r="E2335" s="427"/>
      <c r="F2335" s="425"/>
      <c r="G2335" s="474"/>
    </row>
    <row r="2336" spans="1:7" ht="19.899999999999999" customHeight="1" x14ac:dyDescent="0.2">
      <c r="A2336" s="472"/>
      <c r="B2336" s="433"/>
      <c r="C2336" s="434" t="s">
        <v>968</v>
      </c>
      <c r="D2336" s="435" t="s">
        <v>24</v>
      </c>
      <c r="E2336" s="435" t="s">
        <v>969</v>
      </c>
      <c r="F2336" s="435" t="s">
        <v>970</v>
      </c>
      <c r="G2336" s="434" t="s">
        <v>971</v>
      </c>
    </row>
    <row r="2337" spans="1:7" ht="19.899999999999999" customHeight="1" x14ac:dyDescent="0.2">
      <c r="A2337" s="472"/>
      <c r="B2337" s="433"/>
      <c r="C2337" s="436">
        <f>+C2112</f>
        <v>0</v>
      </c>
      <c r="D2337" s="436">
        <f>+D2112</f>
        <v>0</v>
      </c>
      <c r="E2337" s="438">
        <f t="shared" ref="E2337:E2346" si="782">IFERROR(VLOOKUP(C2337,T_Equipos,4,FALSE),0)</f>
        <v>0</v>
      </c>
      <c r="F2337" s="439">
        <f t="shared" ref="F2337:F2346" si="783">IFERROR(VLOOKUP(C2337,T_Equipos,5,FALSE),0)</f>
        <v>0</v>
      </c>
      <c r="G2337" s="439">
        <f>ROUND(D2337*F2337,2)</f>
        <v>0</v>
      </c>
    </row>
    <row r="2338" spans="1:7" ht="19.899999999999999" customHeight="1" x14ac:dyDescent="0.2">
      <c r="A2338" s="472"/>
      <c r="B2338" s="433"/>
      <c r="C2338" s="436">
        <f t="shared" ref="C2338:D2338" si="784">+C2113</f>
        <v>0</v>
      </c>
      <c r="D2338" s="436">
        <f t="shared" si="784"/>
        <v>0</v>
      </c>
      <c r="E2338" s="438">
        <f t="shared" si="782"/>
        <v>0</v>
      </c>
      <c r="F2338" s="439">
        <f t="shared" si="783"/>
        <v>0</v>
      </c>
      <c r="G2338" s="439">
        <f>ROUND(D2338*F2338,2)</f>
        <v>0</v>
      </c>
    </row>
    <row r="2339" spans="1:7" ht="19.899999999999999" customHeight="1" x14ac:dyDescent="0.2">
      <c r="A2339" s="472"/>
      <c r="B2339" s="433"/>
      <c r="C2339" s="436">
        <f t="shared" ref="C2339" si="785">+C2114</f>
        <v>0</v>
      </c>
      <c r="D2339" s="436"/>
      <c r="E2339" s="438">
        <f t="shared" si="782"/>
        <v>0</v>
      </c>
      <c r="F2339" s="439">
        <f t="shared" si="783"/>
        <v>0</v>
      </c>
      <c r="G2339" s="439">
        <f>ROUND(D2339*F2339,2)</f>
        <v>0</v>
      </c>
    </row>
    <row r="2340" spans="1:7" ht="19.899999999999999" customHeight="1" x14ac:dyDescent="0.2">
      <c r="A2340" s="472"/>
      <c r="B2340" s="433"/>
      <c r="C2340" s="436">
        <f t="shared" ref="C2340" si="786">+C2115</f>
        <v>0</v>
      </c>
      <c r="D2340" s="436"/>
      <c r="E2340" s="438">
        <f t="shared" si="782"/>
        <v>0</v>
      </c>
      <c r="F2340" s="439">
        <f t="shared" si="783"/>
        <v>0</v>
      </c>
      <c r="G2340" s="439">
        <f>ROUND(D2340*F2340,2)</f>
        <v>0</v>
      </c>
    </row>
    <row r="2341" spans="1:7" ht="19.899999999999999" customHeight="1" x14ac:dyDescent="0.2">
      <c r="A2341" s="472"/>
      <c r="B2341" s="433"/>
      <c r="C2341" s="436">
        <f t="shared" ref="C2341" si="787">+C2116</f>
        <v>0</v>
      </c>
      <c r="D2341" s="436"/>
      <c r="E2341" s="438">
        <f t="shared" si="782"/>
        <v>0</v>
      </c>
      <c r="F2341" s="439">
        <f t="shared" si="783"/>
        <v>0</v>
      </c>
      <c r="G2341" s="439">
        <f t="shared" ref="G2341:G2346" si="788">ROUND(D2341*F2341,2)</f>
        <v>0</v>
      </c>
    </row>
    <row r="2342" spans="1:7" ht="19.899999999999999" customHeight="1" x14ac:dyDescent="0.2">
      <c r="A2342" s="472"/>
      <c r="B2342" s="433"/>
      <c r="C2342" s="436">
        <f t="shared" ref="C2342" si="789">+C2117</f>
        <v>0</v>
      </c>
      <c r="D2342" s="436"/>
      <c r="E2342" s="438">
        <f t="shared" si="782"/>
        <v>0</v>
      </c>
      <c r="F2342" s="439">
        <f t="shared" si="783"/>
        <v>0</v>
      </c>
      <c r="G2342" s="439">
        <f t="shared" si="788"/>
        <v>0</v>
      </c>
    </row>
    <row r="2343" spans="1:7" ht="19.899999999999999" customHeight="1" x14ac:dyDescent="0.2">
      <c r="A2343" s="472"/>
      <c r="B2343" s="433"/>
      <c r="C2343" s="436">
        <f t="shared" ref="C2343:D2343" si="790">+C2118</f>
        <v>0</v>
      </c>
      <c r="D2343" s="436">
        <f t="shared" si="790"/>
        <v>0</v>
      </c>
      <c r="E2343" s="438">
        <f t="shared" si="782"/>
        <v>0</v>
      </c>
      <c r="F2343" s="439">
        <f t="shared" si="783"/>
        <v>0</v>
      </c>
      <c r="G2343" s="439">
        <f t="shared" si="788"/>
        <v>0</v>
      </c>
    </row>
    <row r="2344" spans="1:7" ht="19.899999999999999" customHeight="1" x14ac:dyDescent="0.2">
      <c r="A2344" s="472"/>
      <c r="B2344" s="433"/>
      <c r="C2344" s="436">
        <f t="shared" ref="C2344:D2344" si="791">+C2119</f>
        <v>0</v>
      </c>
      <c r="D2344" s="436">
        <f t="shared" si="791"/>
        <v>0</v>
      </c>
      <c r="E2344" s="438">
        <f t="shared" si="782"/>
        <v>0</v>
      </c>
      <c r="F2344" s="439">
        <f t="shared" si="783"/>
        <v>0</v>
      </c>
      <c r="G2344" s="439">
        <f t="shared" si="788"/>
        <v>0</v>
      </c>
    </row>
    <row r="2345" spans="1:7" ht="19.899999999999999" customHeight="1" x14ac:dyDescent="0.2">
      <c r="A2345" s="472"/>
      <c r="B2345" s="433"/>
      <c r="C2345" s="436"/>
      <c r="D2345" s="437"/>
      <c r="E2345" s="438">
        <f t="shared" si="782"/>
        <v>0</v>
      </c>
      <c r="F2345" s="439">
        <f t="shared" si="783"/>
        <v>0</v>
      </c>
      <c r="G2345" s="439">
        <f t="shared" si="788"/>
        <v>0</v>
      </c>
    </row>
    <row r="2346" spans="1:7" ht="19.899999999999999" customHeight="1" x14ac:dyDescent="0.2">
      <c r="A2346" s="472"/>
      <c r="B2346" s="433"/>
      <c r="C2346" s="436"/>
      <c r="D2346" s="437"/>
      <c r="E2346" s="438">
        <f t="shared" si="782"/>
        <v>0</v>
      </c>
      <c r="F2346" s="439">
        <f t="shared" si="783"/>
        <v>0</v>
      </c>
      <c r="G2346" s="439">
        <f t="shared" si="788"/>
        <v>0</v>
      </c>
    </row>
    <row r="2347" spans="1:7" ht="19.899999999999999" customHeight="1" x14ac:dyDescent="0.2">
      <c r="A2347" s="472"/>
      <c r="B2347" s="433"/>
      <c r="C2347" s="139"/>
      <c r="D2347" s="139"/>
      <c r="E2347" s="440"/>
      <c r="F2347" s="425"/>
      <c r="G2347" s="474"/>
    </row>
    <row r="2348" spans="1:7" ht="19.899999999999999" customHeight="1" x14ac:dyDescent="0.2">
      <c r="A2348" s="472"/>
      <c r="B2348" s="139"/>
      <c r="C2348" s="422" t="s">
        <v>972</v>
      </c>
      <c r="D2348" s="425" t="s">
        <v>969</v>
      </c>
      <c r="E2348" s="491">
        <f>SUMPRODUCT(D2337:D2346,E2337:E2346)</f>
        <v>0</v>
      </c>
      <c r="F2348" s="425" t="s">
        <v>973</v>
      </c>
      <c r="G2348" s="492">
        <f>SUM(G2337:G2346)</f>
        <v>0</v>
      </c>
    </row>
    <row r="2349" spans="1:7" ht="19.899999999999999" customHeight="1" x14ac:dyDescent="0.2">
      <c r="A2349" s="472"/>
      <c r="B2349" s="433"/>
      <c r="C2349" s="441"/>
      <c r="D2349" s="440"/>
      <c r="E2349" s="427"/>
      <c r="F2349" s="425"/>
      <c r="G2349" s="478"/>
    </row>
    <row r="2350" spans="1:7" ht="19.899999999999999" customHeight="1" x14ac:dyDescent="0.2">
      <c r="A2350" s="479"/>
      <c r="B2350" s="433"/>
      <c r="C2350" s="425" t="s">
        <v>974</v>
      </c>
      <c r="D2350" s="442">
        <f>IFERROR(VLOOKUP(COUNTIF($A$1:A2350,"ANALISIS DE PRECIOS"),T_Rendimiento_Equipo,5,FALSE),0)</f>
        <v>0</v>
      </c>
      <c r="E2350" s="443" t="str">
        <f ca="1">G2332&amp;"/día"</f>
        <v>0/día</v>
      </c>
      <c r="F2350" s="419"/>
      <c r="G2350" s="474"/>
    </row>
    <row r="2351" spans="1:7" ht="19.899999999999999" customHeight="1" x14ac:dyDescent="0.2">
      <c r="A2351" s="472"/>
      <c r="B2351" s="433"/>
      <c r="C2351" s="139"/>
      <c r="D2351" s="426"/>
      <c r="E2351" s="427"/>
      <c r="F2351" s="425"/>
      <c r="G2351" s="474"/>
    </row>
    <row r="2352" spans="1:7" ht="19.899999999999999" customHeight="1" x14ac:dyDescent="0.2">
      <c r="A2352" s="720" t="s">
        <v>576</v>
      </c>
      <c r="B2352" s="721"/>
      <c r="C2352" s="722" t="s">
        <v>0</v>
      </c>
      <c r="D2352" s="734" t="s">
        <v>1724</v>
      </c>
      <c r="E2352" s="734" t="s">
        <v>1723</v>
      </c>
      <c r="F2352" s="726" t="s">
        <v>975</v>
      </c>
      <c r="G2352" s="728" t="s">
        <v>26</v>
      </c>
    </row>
    <row r="2353" spans="1:7" ht="19.899999999999999" customHeight="1" x14ac:dyDescent="0.2">
      <c r="A2353" s="444" t="s">
        <v>577</v>
      </c>
      <c r="B2353" s="444" t="s">
        <v>578</v>
      </c>
      <c r="C2353" s="723"/>
      <c r="D2353" s="735"/>
      <c r="E2353" s="725"/>
      <c r="F2353" s="727"/>
      <c r="G2353" s="729"/>
    </row>
    <row r="2354" spans="1:7" ht="19.899999999999999" customHeight="1" x14ac:dyDescent="0.2">
      <c r="A2354" s="480"/>
      <c r="B2354" s="139"/>
      <c r="C2354" s="422" t="s">
        <v>976</v>
      </c>
      <c r="D2354" s="427"/>
      <c r="E2354" s="427"/>
      <c r="F2354" s="139"/>
      <c r="G2354" s="481"/>
    </row>
    <row r="2355" spans="1:7" ht="19.899999999999999" customHeight="1" x14ac:dyDescent="0.2">
      <c r="A2355" s="482">
        <f t="shared" ref="A2355:A2363" si="792">IFERROR(VLOOKUP(C2355,T_Insumos,4,FALSE),0)</f>
        <v>0</v>
      </c>
      <c r="B2355" s="445">
        <f t="shared" ref="B2355:B2363" si="793">IFERROR(VLOOKUP(C2355,T_Insumos,5,FALSE),0)</f>
        <v>0</v>
      </c>
      <c r="C2355" s="436">
        <f>+C2055</f>
        <v>0</v>
      </c>
      <c r="D2355" s="446">
        <f t="shared" ref="D2355:D2363" si="794">IFERROR(VLOOKUP(C2355,T_Insumos,3,FALSE),0)</f>
        <v>0</v>
      </c>
      <c r="E2355" s="439">
        <f>D2355*$G$323</f>
        <v>0</v>
      </c>
      <c r="F2355" s="442">
        <f>IF(C2355="",0,IFERROR(VLOOKUP(COUNTIF($A$1:A2355,"ANALISIS DE PRECIOS"),T_Rendimiento_Equipo,5,FALSE),0))</f>
        <v>0</v>
      </c>
      <c r="G2355" s="439">
        <f>IFERROR(ROUND(E2355/F2355,2),0)</f>
        <v>0</v>
      </c>
    </row>
    <row r="2356" spans="1:7" ht="19.899999999999999" customHeight="1" x14ac:dyDescent="0.2">
      <c r="A2356" s="482">
        <f t="shared" si="792"/>
        <v>0</v>
      </c>
      <c r="B2356" s="445">
        <f t="shared" si="793"/>
        <v>0</v>
      </c>
      <c r="C2356" s="436">
        <f t="shared" ref="C2356:C2358" si="795">+C2056</f>
        <v>0</v>
      </c>
      <c r="D2356" s="446">
        <f t="shared" si="794"/>
        <v>0</v>
      </c>
      <c r="E2356" s="439">
        <f t="shared" ref="E2356:E2357" si="796">D2356*$G$323</f>
        <v>0</v>
      </c>
      <c r="F2356" s="442">
        <f>IF(C2356="",0,IFERROR(VLOOKUP(COUNTIF($A$1:A2356,"ANALISIS DE PRECIOS"),T_Rendimiento_Equipo,5,FALSE),0))</f>
        <v>0</v>
      </c>
      <c r="G2356" s="439">
        <f t="shared" ref="G2356:G2363" si="797">IFERROR(ROUND(E2356/F2356,2),0)</f>
        <v>0</v>
      </c>
    </row>
    <row r="2357" spans="1:7" ht="19.899999999999999" customHeight="1" x14ac:dyDescent="0.2">
      <c r="A2357" s="482">
        <f t="shared" si="792"/>
        <v>0</v>
      </c>
      <c r="B2357" s="445">
        <f t="shared" si="793"/>
        <v>0</v>
      </c>
      <c r="C2357" s="436">
        <f t="shared" si="795"/>
        <v>0</v>
      </c>
      <c r="D2357" s="446">
        <f t="shared" si="794"/>
        <v>0</v>
      </c>
      <c r="E2357" s="439">
        <f t="shared" si="796"/>
        <v>0</v>
      </c>
      <c r="F2357" s="442">
        <f>IF(C2357="",0,IFERROR(VLOOKUP(COUNTIF($A$1:A2357,"ANALISIS DE PRECIOS"),T_Rendimiento_Equipo,5,FALSE),0))</f>
        <v>0</v>
      </c>
      <c r="G2357" s="439">
        <f t="shared" si="797"/>
        <v>0</v>
      </c>
    </row>
    <row r="2358" spans="1:7" ht="19.899999999999999" customHeight="1" x14ac:dyDescent="0.2">
      <c r="A2358" s="482">
        <f t="shared" si="792"/>
        <v>0</v>
      </c>
      <c r="B2358" s="445">
        <f t="shared" si="793"/>
        <v>0</v>
      </c>
      <c r="C2358" s="436">
        <f t="shared" si="795"/>
        <v>0</v>
      </c>
      <c r="D2358" s="446">
        <f t="shared" si="794"/>
        <v>0</v>
      </c>
      <c r="E2358" s="439">
        <f>D2358*$E$323</f>
        <v>0</v>
      </c>
      <c r="F2358" s="442">
        <f>IF(C2358="",0,IFERROR(VLOOKUP(COUNTIF($A$1:A2358,"ANALISIS DE PRECIOS"),T_Rendimiento_Equipo,5,FALSE),0))</f>
        <v>0</v>
      </c>
      <c r="G2358" s="439">
        <f t="shared" si="797"/>
        <v>0</v>
      </c>
    </row>
    <row r="2359" spans="1:7" ht="19.899999999999999" customHeight="1" x14ac:dyDescent="0.2">
      <c r="A2359" s="482">
        <f t="shared" si="792"/>
        <v>0</v>
      </c>
      <c r="B2359" s="445">
        <f t="shared" si="793"/>
        <v>0</v>
      </c>
      <c r="C2359" s="447"/>
      <c r="D2359" s="446">
        <f t="shared" si="794"/>
        <v>0</v>
      </c>
      <c r="E2359" s="439"/>
      <c r="F2359" s="442">
        <f>IF(C2359="",0,IFERROR(VLOOKUP(COUNTIF($A$1:A2359,"ANALISIS DE PRECIOS"),T_Rendimiento_Equipo,5,FALSE),0))</f>
        <v>0</v>
      </c>
      <c r="G2359" s="439">
        <f t="shared" si="797"/>
        <v>0</v>
      </c>
    </row>
    <row r="2360" spans="1:7" ht="19.899999999999999" customHeight="1" x14ac:dyDescent="0.2">
      <c r="A2360" s="482">
        <f t="shared" si="792"/>
        <v>0</v>
      </c>
      <c r="B2360" s="445">
        <f t="shared" si="793"/>
        <v>0</v>
      </c>
      <c r="C2360" s="447"/>
      <c r="D2360" s="446">
        <f t="shared" si="794"/>
        <v>0</v>
      </c>
      <c r="E2360" s="439"/>
      <c r="F2360" s="442">
        <f>IF(C2360="",0,IFERROR(VLOOKUP(COUNTIF($A$1:A2360,"ANALISIS DE PRECIOS"),T_Rendimiento_Equipo,5,FALSE),0))</f>
        <v>0</v>
      </c>
      <c r="G2360" s="439">
        <f t="shared" si="797"/>
        <v>0</v>
      </c>
    </row>
    <row r="2361" spans="1:7" ht="19.899999999999999" customHeight="1" x14ac:dyDescent="0.2">
      <c r="A2361" s="482">
        <f t="shared" si="792"/>
        <v>0</v>
      </c>
      <c r="B2361" s="445">
        <f t="shared" si="793"/>
        <v>0</v>
      </c>
      <c r="C2361" s="447"/>
      <c r="D2361" s="446">
        <f t="shared" si="794"/>
        <v>0</v>
      </c>
      <c r="E2361" s="439"/>
      <c r="F2361" s="442">
        <f>IF(C2361="",0,IFERROR(VLOOKUP(COUNTIF($A$1:A2361,"ANALISIS DE PRECIOS"),T_Rendimiento_Equipo,5,FALSE),0))</f>
        <v>0</v>
      </c>
      <c r="G2361" s="439">
        <f t="shared" si="797"/>
        <v>0</v>
      </c>
    </row>
    <row r="2362" spans="1:7" ht="19.899999999999999" customHeight="1" x14ac:dyDescent="0.2">
      <c r="A2362" s="482">
        <f t="shared" si="792"/>
        <v>0</v>
      </c>
      <c r="B2362" s="445">
        <f t="shared" si="793"/>
        <v>0</v>
      </c>
      <c r="C2362" s="447"/>
      <c r="D2362" s="446">
        <f t="shared" si="794"/>
        <v>0</v>
      </c>
      <c r="E2362" s="439"/>
      <c r="F2362" s="442">
        <f>IF(C2362="",0,IFERROR(VLOOKUP(COUNTIF($A$1:A2362,"ANALISIS DE PRECIOS"),T_Rendimiento_Equipo,5,FALSE),0))</f>
        <v>0</v>
      </c>
      <c r="G2362" s="439">
        <f t="shared" si="797"/>
        <v>0</v>
      </c>
    </row>
    <row r="2363" spans="1:7" ht="19.899999999999999" customHeight="1" x14ac:dyDescent="0.2">
      <c r="A2363" s="482">
        <f t="shared" si="792"/>
        <v>0</v>
      </c>
      <c r="B2363" s="445">
        <f t="shared" si="793"/>
        <v>0</v>
      </c>
      <c r="C2363" s="436"/>
      <c r="D2363" s="446">
        <f t="shared" si="794"/>
        <v>0</v>
      </c>
      <c r="E2363" s="439"/>
      <c r="F2363" s="442">
        <f>IF(C2363="",0,IFERROR(VLOOKUP(COUNTIF($A$1:A2363,"ANALISIS DE PRECIOS"),T_Rendimiento_Equipo,5,FALSE),0))</f>
        <v>0</v>
      </c>
      <c r="G2363" s="439">
        <f t="shared" si="797"/>
        <v>0</v>
      </c>
    </row>
    <row r="2364" spans="1:7" ht="19.899999999999999" customHeight="1" x14ac:dyDescent="0.2">
      <c r="A2364" s="483"/>
      <c r="B2364" s="426"/>
      <c r="C2364" s="139"/>
      <c r="D2364" s="426"/>
      <c r="E2364" s="427"/>
      <c r="F2364" s="448" t="s">
        <v>27</v>
      </c>
      <c r="G2364" s="484">
        <f>SUBTOTAL(9,G2355:G2363)</f>
        <v>0</v>
      </c>
    </row>
    <row r="2365" spans="1:7" ht="19.899999999999999" customHeight="1" x14ac:dyDescent="0.2">
      <c r="A2365" s="480"/>
      <c r="B2365" s="139"/>
      <c r="C2365" s="422" t="s">
        <v>713</v>
      </c>
      <c r="D2365" s="426"/>
      <c r="E2365" s="427"/>
      <c r="F2365" s="428"/>
      <c r="G2365" s="481"/>
    </row>
    <row r="2366" spans="1:7" ht="19.899999999999999" customHeight="1" x14ac:dyDescent="0.2">
      <c r="A2366" s="720" t="s">
        <v>576</v>
      </c>
      <c r="B2366" s="721"/>
      <c r="C2366" s="722" t="s">
        <v>0</v>
      </c>
      <c r="D2366" s="724" t="s">
        <v>24</v>
      </c>
      <c r="E2366" s="724" t="s">
        <v>1964</v>
      </c>
      <c r="F2366" s="726" t="s">
        <v>975</v>
      </c>
      <c r="G2366" s="728" t="s">
        <v>26</v>
      </c>
    </row>
    <row r="2367" spans="1:7" ht="19.899999999999999" customHeight="1" x14ac:dyDescent="0.2">
      <c r="A2367" s="444" t="s">
        <v>577</v>
      </c>
      <c r="B2367" s="444" t="s">
        <v>578</v>
      </c>
      <c r="C2367" s="723"/>
      <c r="D2367" s="725"/>
      <c r="E2367" s="725"/>
      <c r="F2367" s="727"/>
      <c r="G2367" s="729"/>
    </row>
    <row r="2368" spans="1:7" ht="19.899999999999999" customHeight="1" x14ac:dyDescent="0.2">
      <c r="A2368" s="482">
        <f t="shared" ref="A2368:A2374" si="798">IFERROR(VLOOKUP(C2368,T_Insumos,4,FALSE),0)</f>
        <v>0</v>
      </c>
      <c r="B2368" s="445">
        <f t="shared" ref="B2368:B2374" si="799">IFERROR(VLOOKUP(C2368,T_Insumos,5,FALSE),0)</f>
        <v>0</v>
      </c>
      <c r="C2368" s="436">
        <f t="shared" ref="C2368:C2371" si="800">+C2143</f>
        <v>0</v>
      </c>
      <c r="D2368" s="442"/>
      <c r="E2368" s="439">
        <f t="shared" ref="E2368:E2374" si="801">IFERROR(VLOOKUP(C2368,T_Insumos,3,FALSE),0)</f>
        <v>0</v>
      </c>
      <c r="F2368" s="442">
        <f>IF(C2368="",0,IFERROR(VLOOKUP(COUNTIF($A$1:A2368,"ANALISIS DE PRECIOS"),T_Rendimiento_Equipo,5,FALSE),0))</f>
        <v>0</v>
      </c>
      <c r="G2368" s="439">
        <f>IFERROR(ROUND(D2368*E2368/F2368,2),0)</f>
        <v>0</v>
      </c>
    </row>
    <row r="2369" spans="1:7" ht="19.899999999999999" customHeight="1" x14ac:dyDescent="0.2">
      <c r="A2369" s="482">
        <f t="shared" si="798"/>
        <v>0</v>
      </c>
      <c r="B2369" s="445">
        <f t="shared" si="799"/>
        <v>0</v>
      </c>
      <c r="C2369" s="436">
        <f t="shared" si="800"/>
        <v>0</v>
      </c>
      <c r="D2369" s="442">
        <v>1</v>
      </c>
      <c r="E2369" s="439">
        <f t="shared" si="801"/>
        <v>0</v>
      </c>
      <c r="F2369" s="442">
        <f>IF(C2369="",0,IFERROR(VLOOKUP(COUNTIF($A$1:A2369,"ANALISIS DE PRECIOS"),T_Rendimiento_Equipo,5,FALSE),0))</f>
        <v>0</v>
      </c>
      <c r="G2369" s="439">
        <f>IFERROR(ROUND(D2369*E2369/F2369,2),0)</f>
        <v>0</v>
      </c>
    </row>
    <row r="2370" spans="1:7" ht="19.899999999999999" customHeight="1" x14ac:dyDescent="0.2">
      <c r="A2370" s="482">
        <f t="shared" si="798"/>
        <v>0</v>
      </c>
      <c r="B2370" s="445">
        <f t="shared" si="799"/>
        <v>0</v>
      </c>
      <c r="C2370" s="436">
        <f t="shared" si="800"/>
        <v>0</v>
      </c>
      <c r="D2370" s="442"/>
      <c r="E2370" s="439">
        <f t="shared" si="801"/>
        <v>0</v>
      </c>
      <c r="F2370" s="442">
        <f>IF(C2370="",0,IFERROR(VLOOKUP(COUNTIF($A$1:A2370,"ANALISIS DE PRECIOS"),T_Rendimiento_Equipo,5,FALSE),0))</f>
        <v>0</v>
      </c>
      <c r="G2370" s="439">
        <f t="shared" ref="G2370:G2374" si="802">IFERROR(ROUND(D2370*E2370/F2370,2),0)</f>
        <v>0</v>
      </c>
    </row>
    <row r="2371" spans="1:7" ht="19.899999999999999" customHeight="1" x14ac:dyDescent="0.2">
      <c r="A2371" s="482">
        <f t="shared" si="798"/>
        <v>0</v>
      </c>
      <c r="B2371" s="445">
        <f t="shared" si="799"/>
        <v>0</v>
      </c>
      <c r="C2371" s="436">
        <f t="shared" si="800"/>
        <v>0</v>
      </c>
      <c r="D2371" s="442">
        <v>2</v>
      </c>
      <c r="E2371" s="439">
        <f t="shared" si="801"/>
        <v>0</v>
      </c>
      <c r="F2371" s="442">
        <f>IF(C2371="",0,IFERROR(VLOOKUP(COUNTIF($A$1:A2371,"ANALISIS DE PRECIOS"),T_Rendimiento_Equipo,5,FALSE),0))</f>
        <v>0</v>
      </c>
      <c r="G2371" s="439">
        <f t="shared" si="802"/>
        <v>0</v>
      </c>
    </row>
    <row r="2372" spans="1:7" ht="19.899999999999999" customHeight="1" x14ac:dyDescent="0.2">
      <c r="A2372" s="482">
        <f t="shared" si="798"/>
        <v>0</v>
      </c>
      <c r="B2372" s="445">
        <f t="shared" si="799"/>
        <v>0</v>
      </c>
      <c r="C2372" s="436"/>
      <c r="D2372" s="442"/>
      <c r="E2372" s="439">
        <f t="shared" si="801"/>
        <v>0</v>
      </c>
      <c r="F2372" s="442">
        <f>IF(C2372="",0,IFERROR(VLOOKUP(COUNTIF($A$1:A2372,"ANALISIS DE PRECIOS"),T_Rendimiento_Equipo,5,FALSE),0))</f>
        <v>0</v>
      </c>
      <c r="G2372" s="439">
        <f t="shared" si="802"/>
        <v>0</v>
      </c>
    </row>
    <row r="2373" spans="1:7" ht="19.899999999999999" customHeight="1" x14ac:dyDescent="0.2">
      <c r="A2373" s="482">
        <f t="shared" si="798"/>
        <v>0</v>
      </c>
      <c r="B2373" s="445">
        <f t="shared" si="799"/>
        <v>0</v>
      </c>
      <c r="C2373" s="436"/>
      <c r="D2373" s="450"/>
      <c r="E2373" s="439">
        <f t="shared" si="801"/>
        <v>0</v>
      </c>
      <c r="F2373" s="442">
        <f>IF(C2373="",0,IFERROR(VLOOKUP(COUNTIF($A$1:A2373,"ANALISIS DE PRECIOS"),T_Rendimiento_Equipo,5,FALSE),0))</f>
        <v>0</v>
      </c>
      <c r="G2373" s="439">
        <f t="shared" si="802"/>
        <v>0</v>
      </c>
    </row>
    <row r="2374" spans="1:7" ht="19.899999999999999" customHeight="1" x14ac:dyDescent="0.2">
      <c r="A2374" s="482">
        <f t="shared" si="798"/>
        <v>0</v>
      </c>
      <c r="B2374" s="445">
        <f t="shared" si="799"/>
        <v>0</v>
      </c>
      <c r="C2374" s="445"/>
      <c r="D2374" s="451"/>
      <c r="E2374" s="439">
        <f t="shared" si="801"/>
        <v>0</v>
      </c>
      <c r="F2374" s="442">
        <f>IF(C2374="",0,IFERROR(VLOOKUP(COUNTIF($A$1:A2374,"ANALISIS DE PRECIOS"),T_Rendimiento_Equipo,5,FALSE),0))</f>
        <v>0</v>
      </c>
      <c r="G2374" s="439">
        <f t="shared" si="802"/>
        <v>0</v>
      </c>
    </row>
    <row r="2375" spans="1:7" ht="19.899999999999999" customHeight="1" x14ac:dyDescent="0.2">
      <c r="A2375" s="483"/>
      <c r="B2375" s="426"/>
      <c r="C2375" s="139"/>
      <c r="D2375" s="426"/>
      <c r="E2375" s="427"/>
      <c r="F2375" s="448" t="s">
        <v>28</v>
      </c>
      <c r="G2375" s="485">
        <f>SUBTOTAL(9,G2368:G2374)</f>
        <v>0</v>
      </c>
    </row>
    <row r="2376" spans="1:7" ht="19.899999999999999" customHeight="1" x14ac:dyDescent="0.2">
      <c r="A2376" s="480"/>
      <c r="B2376" s="139"/>
      <c r="C2376" s="422" t="s">
        <v>982</v>
      </c>
      <c r="D2376" s="426"/>
      <c r="E2376" s="427"/>
      <c r="F2376" s="428"/>
      <c r="G2376" s="481"/>
    </row>
    <row r="2377" spans="1:7" ht="19.899999999999999" customHeight="1" x14ac:dyDescent="0.2">
      <c r="A2377" s="720" t="s">
        <v>576</v>
      </c>
      <c r="B2377" s="721"/>
      <c r="C2377" s="722" t="s">
        <v>0</v>
      </c>
      <c r="D2377" s="722" t="s">
        <v>1725</v>
      </c>
      <c r="E2377" s="724" t="s">
        <v>24</v>
      </c>
      <c r="F2377" s="726" t="s">
        <v>25</v>
      </c>
      <c r="G2377" s="728" t="s">
        <v>26</v>
      </c>
    </row>
    <row r="2378" spans="1:7" ht="19.899999999999999" customHeight="1" x14ac:dyDescent="0.2">
      <c r="A2378" s="444" t="s">
        <v>577</v>
      </c>
      <c r="B2378" s="444" t="s">
        <v>578</v>
      </c>
      <c r="C2378" s="723"/>
      <c r="D2378" s="723"/>
      <c r="E2378" s="725"/>
      <c r="F2378" s="727"/>
      <c r="G2378" s="729"/>
    </row>
    <row r="2379" spans="1:7" ht="19.899999999999999" customHeight="1" x14ac:dyDescent="0.2">
      <c r="A2379" s="482">
        <f t="shared" ref="A2379:A2389" si="803">IFERROR(VLOOKUP(C2379,T_Insumos,4,FALSE),0)</f>
        <v>0</v>
      </c>
      <c r="B2379" s="445">
        <f t="shared" ref="B2379:B2389" si="804">IFERROR(VLOOKUP(C2379,T_Insumos,5,FALSE),0)</f>
        <v>0</v>
      </c>
      <c r="C2379" s="436">
        <f t="shared" ref="C2379:C2389" si="805">+C2154</f>
        <v>0</v>
      </c>
      <c r="D2379" s="493">
        <f t="shared" ref="D2379:D2389" si="806">IFERROR(VLOOKUP(C2379,T_Insumos,2,FALSE),0)</f>
        <v>0</v>
      </c>
      <c r="E2379" s="437"/>
      <c r="F2379" s="439">
        <f t="shared" ref="F2379:F2389" si="807">IFERROR(VLOOKUP(C2379,T_Insumos,3,FALSE),0)</f>
        <v>0</v>
      </c>
      <c r="G2379" s="439">
        <f>ROUND(E2379*F2379,2)</f>
        <v>0</v>
      </c>
    </row>
    <row r="2380" spans="1:7" ht="19.899999999999999" customHeight="1" x14ac:dyDescent="0.2">
      <c r="A2380" s="482">
        <f t="shared" si="803"/>
        <v>0</v>
      </c>
      <c r="B2380" s="445">
        <f t="shared" si="804"/>
        <v>0</v>
      </c>
      <c r="C2380" s="436">
        <f t="shared" si="805"/>
        <v>0</v>
      </c>
      <c r="D2380" s="493">
        <f t="shared" si="806"/>
        <v>0</v>
      </c>
      <c r="E2380" s="437"/>
      <c r="F2380" s="439">
        <f t="shared" si="807"/>
        <v>0</v>
      </c>
      <c r="G2380" s="439">
        <f t="shared" ref="G2380:G2389" si="808">ROUND(E2380*F2380,2)</f>
        <v>0</v>
      </c>
    </row>
    <row r="2381" spans="1:7" ht="19.899999999999999" customHeight="1" x14ac:dyDescent="0.2">
      <c r="A2381" s="482">
        <f t="shared" si="803"/>
        <v>0</v>
      </c>
      <c r="B2381" s="445">
        <f t="shared" si="804"/>
        <v>0</v>
      </c>
      <c r="C2381" s="436">
        <f t="shared" si="805"/>
        <v>0</v>
      </c>
      <c r="D2381" s="493">
        <f t="shared" si="806"/>
        <v>0</v>
      </c>
      <c r="E2381" s="437"/>
      <c r="F2381" s="439">
        <f t="shared" si="807"/>
        <v>0</v>
      </c>
      <c r="G2381" s="439">
        <f t="shared" si="808"/>
        <v>0</v>
      </c>
    </row>
    <row r="2382" spans="1:7" ht="19.899999999999999" customHeight="1" x14ac:dyDescent="0.2">
      <c r="A2382" s="482">
        <f t="shared" si="803"/>
        <v>0</v>
      </c>
      <c r="B2382" s="445">
        <f t="shared" si="804"/>
        <v>0</v>
      </c>
      <c r="C2382" s="436">
        <f t="shared" si="805"/>
        <v>0</v>
      </c>
      <c r="D2382" s="493">
        <f t="shared" si="806"/>
        <v>0</v>
      </c>
      <c r="E2382" s="437"/>
      <c r="F2382" s="439">
        <f t="shared" si="807"/>
        <v>0</v>
      </c>
      <c r="G2382" s="439">
        <f t="shared" si="808"/>
        <v>0</v>
      </c>
    </row>
    <row r="2383" spans="1:7" ht="19.899999999999999" customHeight="1" x14ac:dyDescent="0.2">
      <c r="A2383" s="482">
        <f t="shared" si="803"/>
        <v>0</v>
      </c>
      <c r="B2383" s="445">
        <f t="shared" si="804"/>
        <v>0</v>
      </c>
      <c r="C2383" s="436">
        <f t="shared" si="805"/>
        <v>0</v>
      </c>
      <c r="D2383" s="493">
        <f t="shared" si="806"/>
        <v>0</v>
      </c>
      <c r="E2383" s="437"/>
      <c r="F2383" s="439">
        <f t="shared" si="807"/>
        <v>0</v>
      </c>
      <c r="G2383" s="439">
        <f t="shared" si="808"/>
        <v>0</v>
      </c>
    </row>
    <row r="2384" spans="1:7" ht="19.899999999999999" customHeight="1" x14ac:dyDescent="0.2">
      <c r="A2384" s="482">
        <f t="shared" si="803"/>
        <v>0</v>
      </c>
      <c r="B2384" s="445">
        <f t="shared" si="804"/>
        <v>0</v>
      </c>
      <c r="C2384" s="436">
        <f t="shared" si="805"/>
        <v>0</v>
      </c>
      <c r="D2384" s="493">
        <f t="shared" si="806"/>
        <v>0</v>
      </c>
      <c r="E2384" s="437"/>
      <c r="F2384" s="439">
        <f t="shared" si="807"/>
        <v>0</v>
      </c>
      <c r="G2384" s="439">
        <f t="shared" si="808"/>
        <v>0</v>
      </c>
    </row>
    <row r="2385" spans="1:7" ht="19.899999999999999" customHeight="1" x14ac:dyDescent="0.2">
      <c r="A2385" s="482">
        <f t="shared" si="803"/>
        <v>0</v>
      </c>
      <c r="B2385" s="445">
        <f t="shared" si="804"/>
        <v>0</v>
      </c>
      <c r="C2385" s="436">
        <f t="shared" si="805"/>
        <v>0</v>
      </c>
      <c r="D2385" s="493">
        <f t="shared" si="806"/>
        <v>0</v>
      </c>
      <c r="E2385" s="437"/>
      <c r="F2385" s="439">
        <f t="shared" si="807"/>
        <v>0</v>
      </c>
      <c r="G2385" s="439">
        <f t="shared" si="808"/>
        <v>0</v>
      </c>
    </row>
    <row r="2386" spans="1:7" ht="19.899999999999999" customHeight="1" x14ac:dyDescent="0.2">
      <c r="A2386" s="482">
        <f t="shared" si="803"/>
        <v>0</v>
      </c>
      <c r="B2386" s="445">
        <f t="shared" si="804"/>
        <v>0</v>
      </c>
      <c r="C2386" s="436">
        <f t="shared" si="805"/>
        <v>0</v>
      </c>
      <c r="D2386" s="493">
        <f t="shared" si="806"/>
        <v>0</v>
      </c>
      <c r="E2386" s="437"/>
      <c r="F2386" s="439">
        <f t="shared" si="807"/>
        <v>0</v>
      </c>
      <c r="G2386" s="439">
        <f t="shared" si="808"/>
        <v>0</v>
      </c>
    </row>
    <row r="2387" spans="1:7" ht="19.899999999999999" customHeight="1" x14ac:dyDescent="0.2">
      <c r="A2387" s="482">
        <f t="shared" si="803"/>
        <v>0</v>
      </c>
      <c r="B2387" s="445">
        <f t="shared" si="804"/>
        <v>0</v>
      </c>
      <c r="C2387" s="436">
        <f t="shared" si="805"/>
        <v>0</v>
      </c>
      <c r="D2387" s="493">
        <f t="shared" si="806"/>
        <v>0</v>
      </c>
      <c r="E2387" s="437"/>
      <c r="F2387" s="439">
        <f t="shared" si="807"/>
        <v>0</v>
      </c>
      <c r="G2387" s="439">
        <f t="shared" si="808"/>
        <v>0</v>
      </c>
    </row>
    <row r="2388" spans="1:7" ht="19.899999999999999" customHeight="1" x14ac:dyDescent="0.2">
      <c r="A2388" s="482">
        <f t="shared" si="803"/>
        <v>0</v>
      </c>
      <c r="B2388" s="445">
        <f t="shared" si="804"/>
        <v>0</v>
      </c>
      <c r="C2388" s="436">
        <f t="shared" si="805"/>
        <v>0</v>
      </c>
      <c r="D2388" s="493">
        <f t="shared" si="806"/>
        <v>0</v>
      </c>
      <c r="E2388" s="437"/>
      <c r="F2388" s="439">
        <f t="shared" si="807"/>
        <v>0</v>
      </c>
      <c r="G2388" s="439">
        <f t="shared" si="808"/>
        <v>0</v>
      </c>
    </row>
    <row r="2389" spans="1:7" ht="19.899999999999999" customHeight="1" x14ac:dyDescent="0.2">
      <c r="A2389" s="482">
        <f t="shared" si="803"/>
        <v>0</v>
      </c>
      <c r="B2389" s="445">
        <f t="shared" si="804"/>
        <v>0</v>
      </c>
      <c r="C2389" s="436">
        <f t="shared" si="805"/>
        <v>0</v>
      </c>
      <c r="D2389" s="493">
        <f t="shared" si="806"/>
        <v>0</v>
      </c>
      <c r="E2389" s="437"/>
      <c r="F2389" s="439">
        <f t="shared" si="807"/>
        <v>0</v>
      </c>
      <c r="G2389" s="439">
        <f t="shared" si="808"/>
        <v>0</v>
      </c>
    </row>
    <row r="2390" spans="1:7" ht="19.899999999999999" customHeight="1" x14ac:dyDescent="0.2">
      <c r="A2390" s="480"/>
      <c r="B2390" s="139"/>
      <c r="C2390" s="139"/>
      <c r="D2390" s="426"/>
      <c r="E2390" s="427"/>
      <c r="F2390" s="448" t="s">
        <v>29</v>
      </c>
      <c r="G2390" s="485">
        <f>SUBTOTAL(9,G2379:G2389)</f>
        <v>0</v>
      </c>
    </row>
    <row r="2391" spans="1:7" ht="19.899999999999999" customHeight="1" x14ac:dyDescent="0.2">
      <c r="A2391" s="480"/>
      <c r="B2391" s="139"/>
      <c r="C2391" s="422" t="s">
        <v>983</v>
      </c>
      <c r="D2391" s="426"/>
      <c r="E2391" s="427"/>
      <c r="F2391" s="428"/>
      <c r="G2391" s="481"/>
    </row>
    <row r="2392" spans="1:7" ht="19.899999999999999" customHeight="1" x14ac:dyDescent="0.2">
      <c r="A2392" s="720" t="s">
        <v>576</v>
      </c>
      <c r="B2392" s="721"/>
      <c r="C2392" s="722" t="s">
        <v>0</v>
      </c>
      <c r="D2392" s="722" t="s">
        <v>1725</v>
      </c>
      <c r="E2392" s="724" t="s">
        <v>24</v>
      </c>
      <c r="F2392" s="726" t="s">
        <v>25</v>
      </c>
      <c r="G2392" s="728" t="s">
        <v>26</v>
      </c>
    </row>
    <row r="2393" spans="1:7" ht="19.899999999999999" customHeight="1" x14ac:dyDescent="0.2">
      <c r="A2393" s="444" t="s">
        <v>577</v>
      </c>
      <c r="B2393" s="444" t="s">
        <v>578</v>
      </c>
      <c r="C2393" s="723"/>
      <c r="D2393" s="723"/>
      <c r="E2393" s="725"/>
      <c r="F2393" s="727"/>
      <c r="G2393" s="729"/>
    </row>
    <row r="2394" spans="1:7" ht="19.899999999999999" customHeight="1" x14ac:dyDescent="0.2">
      <c r="A2394" s="482">
        <f>IFERROR(VLOOKUP(C2394,T_Insumos,4,FALSE),0)</f>
        <v>0</v>
      </c>
      <c r="B2394" s="445">
        <f>IFERROR(VLOOKUP(C2394,T_Insumos,5,FALSE),0)</f>
        <v>0</v>
      </c>
      <c r="C2394" s="436"/>
      <c r="D2394" s="493">
        <f>IF(C2394=0,0,"$/tnkm")</f>
        <v>0</v>
      </c>
      <c r="E2394" s="437"/>
      <c r="F2394" s="439">
        <f>IFERROR(VLOOKUP(C2394,T_Insumos,3,FALSE),0)</f>
        <v>0</v>
      </c>
      <c r="G2394" s="439">
        <f>ROUND(E2394*F2394,2)</f>
        <v>0</v>
      </c>
    </row>
    <row r="2395" spans="1:7" ht="19.899999999999999" customHeight="1" x14ac:dyDescent="0.2">
      <c r="A2395" s="482">
        <f>IFERROR(VLOOKUP(C2395,T_Insumos,4,FALSE),0)</f>
        <v>0</v>
      </c>
      <c r="B2395" s="445">
        <f>IFERROR(VLOOKUP(C2395,T_Insumos,5,FALSE),0)</f>
        <v>0</v>
      </c>
      <c r="C2395" s="436"/>
      <c r="D2395" s="493">
        <f>IF(C2395=0,0,"$/tnkm")</f>
        <v>0</v>
      </c>
      <c r="E2395" s="453"/>
      <c r="F2395" s="439">
        <f>IFERROR(VLOOKUP(C2395,T_Insumos,3,FALSE),0)</f>
        <v>0</v>
      </c>
      <c r="G2395" s="439">
        <f t="shared" ref="G2395" si="809">ROUND(E2395*F2395,2)</f>
        <v>0</v>
      </c>
    </row>
    <row r="2396" spans="1:7" ht="19.899999999999999" customHeight="1" x14ac:dyDescent="0.2">
      <c r="A2396" s="480"/>
      <c r="B2396" s="139"/>
      <c r="C2396" s="139"/>
      <c r="D2396" s="426"/>
      <c r="E2396" s="427"/>
      <c r="F2396" s="448" t="s">
        <v>984</v>
      </c>
      <c r="G2396" s="485">
        <f>SUBTOTAL(9,G2394:G2395)</f>
        <v>0</v>
      </c>
    </row>
    <row r="2397" spans="1:7" ht="19.899999999999999" customHeight="1" x14ac:dyDescent="0.2">
      <c r="A2397" s="483"/>
      <c r="B2397" s="426"/>
      <c r="C2397" s="139"/>
      <c r="D2397" s="426"/>
      <c r="E2397" s="427"/>
      <c r="F2397" s="428"/>
      <c r="G2397" s="481"/>
    </row>
    <row r="2398" spans="1:7" ht="19.899999999999999" customHeight="1" x14ac:dyDescent="0.2">
      <c r="A2398" s="541" t="str">
        <f>B2332</f>
        <v/>
      </c>
      <c r="B2398" s="538">
        <f ca="1">C2332</f>
        <v>0</v>
      </c>
      <c r="C2398" s="426"/>
      <c r="D2398" s="426" t="s">
        <v>1704</v>
      </c>
      <c r="E2398" s="539"/>
      <c r="F2398" s="540" t="str">
        <f ca="1">"$/"&amp;G2332</f>
        <v>$/0</v>
      </c>
      <c r="G2398" s="490">
        <f>SUBTOTAL(9,G2355:G2397)</f>
        <v>0</v>
      </c>
    </row>
    <row r="2399" spans="1:7" ht="19.899999999999999" customHeight="1" x14ac:dyDescent="0.2">
      <c r="A2399" s="486"/>
      <c r="B2399" s="487"/>
      <c r="C2399" s="488"/>
      <c r="D2399" s="488" t="s">
        <v>1900</v>
      </c>
      <c r="E2399" s="489"/>
      <c r="F2399" s="542" t="str">
        <f ca="1">"$/"&amp;G2332</f>
        <v>$/0</v>
      </c>
      <c r="G2399" s="490">
        <f>ROUND(G2398*Coeficiente_Paso,2)</f>
        <v>0</v>
      </c>
    </row>
    <row r="2400" spans="1:7" ht="19.899999999999999" customHeight="1" x14ac:dyDescent="0.2">
      <c r="A2400" s="139"/>
      <c r="B2400" s="139"/>
      <c r="C2400" s="139"/>
      <c r="D2400" s="139"/>
      <c r="E2400" s="139"/>
      <c r="F2400" s="139"/>
      <c r="G2400" s="139"/>
    </row>
    <row r="2401" spans="1:7" ht="19.899999999999999" customHeight="1" x14ac:dyDescent="0.2">
      <c r="A2401" s="730" t="s">
        <v>31</v>
      </c>
      <c r="B2401" s="731"/>
      <c r="C2401" s="731"/>
      <c r="D2401" s="731"/>
      <c r="E2401" s="731"/>
      <c r="F2401" s="731"/>
      <c r="G2401" s="732"/>
    </row>
    <row r="2402" spans="1:7" ht="19.899999999999999" customHeight="1" x14ac:dyDescent="0.2">
      <c r="A2402" s="469" t="s">
        <v>711</v>
      </c>
      <c r="B2402" s="420" t="str">
        <f>Comitente</f>
        <v>DEPARTAMENTO DE HIDRAULICA</v>
      </c>
      <c r="C2402" s="421"/>
      <c r="D2402" s="422"/>
      <c r="E2402" s="422"/>
      <c r="F2402" s="423"/>
      <c r="G2402" s="470"/>
    </row>
    <row r="2403" spans="1:7" ht="19.899999999999999" customHeight="1" x14ac:dyDescent="0.2">
      <c r="A2403" s="469" t="s">
        <v>712</v>
      </c>
      <c r="B2403" s="420">
        <f>Contratista</f>
        <v>0</v>
      </c>
      <c r="C2403" s="424"/>
      <c r="D2403" s="424"/>
      <c r="E2403" s="424"/>
      <c r="F2403" s="420"/>
      <c r="G2403" s="471"/>
    </row>
    <row r="2404" spans="1:7" ht="19.899999999999999" customHeight="1" x14ac:dyDescent="0.2">
      <c r="A2404" s="469" t="s">
        <v>21</v>
      </c>
      <c r="B2404" s="420" t="str">
        <f>Obra</f>
        <v>Encamisado Parcial del Canal de Calle América</v>
      </c>
      <c r="C2404" s="424"/>
      <c r="D2404" s="424"/>
      <c r="E2404" s="424"/>
      <c r="F2404" s="420" t="s">
        <v>32</v>
      </c>
      <c r="G2404" s="471" t="str">
        <f>Fecha_Base</f>
        <v>X/X/2023</v>
      </c>
    </row>
    <row r="2405" spans="1:7" ht="19.899999999999999" customHeight="1" x14ac:dyDescent="0.2">
      <c r="A2405" s="472" t="s">
        <v>710</v>
      </c>
      <c r="B2405" s="425" t="str">
        <f>Ubicación</f>
        <v>Departamento Rawson</v>
      </c>
      <c r="C2405" s="425"/>
      <c r="D2405" s="426"/>
      <c r="E2405" s="427"/>
      <c r="F2405" s="428"/>
      <c r="G2405" s="473"/>
    </row>
    <row r="2406" spans="1:7" ht="19.899999999999999" customHeight="1" x14ac:dyDescent="0.2">
      <c r="A2406" s="472" t="s">
        <v>33</v>
      </c>
      <c r="B2406" s="429" t="str">
        <f>IFERROR(VALUE(LEFT(B2407,FIND(".",B2407)-1)),"")</f>
        <v/>
      </c>
      <c r="C2406" s="139">
        <f ca="1">IFERROR(VLOOKUP(B2406,T_Computo_Presupuesto,2,FALSE),0)</f>
        <v>0</v>
      </c>
      <c r="D2406" s="139"/>
      <c r="E2406" s="427"/>
      <c r="F2406" s="428"/>
      <c r="G2406" s="473"/>
    </row>
    <row r="2407" spans="1:7" ht="19.899999999999999" customHeight="1" x14ac:dyDescent="0.2">
      <c r="A2407" s="472" t="s">
        <v>22</v>
      </c>
      <c r="B2407" s="430" t="str">
        <f>IFERROR(VLOOKUP(COUNTIF($A$1:A2407,"ANALISIS DE PRECIOS"),T_NumeroItem,2,FALSE),"")</f>
        <v/>
      </c>
      <c r="C2407" s="733">
        <f ca="1">IFERROR(VLOOKUP(B2407,T_Computo_Presupuesto,2,FALSE),0)</f>
        <v>0</v>
      </c>
      <c r="D2407" s="733"/>
      <c r="E2407" s="733"/>
      <c r="F2407" s="425" t="s">
        <v>23</v>
      </c>
      <c r="G2407" s="474">
        <f ca="1">IFERROR(VLOOKUP(B2407,T_Computo_Presupuesto,4,FALSE),0)</f>
        <v>0</v>
      </c>
    </row>
    <row r="2408" spans="1:7" ht="19.899999999999999" customHeight="1" x14ac:dyDescent="0.2">
      <c r="A2408" s="472"/>
      <c r="B2408" s="425"/>
      <c r="C2408" s="139"/>
      <c r="D2408" s="426"/>
      <c r="E2408" s="427"/>
      <c r="F2408" s="139"/>
      <c r="G2408" s="475"/>
    </row>
    <row r="2409" spans="1:7" ht="19.899999999999999" customHeight="1" x14ac:dyDescent="0.2">
      <c r="A2409" s="476"/>
      <c r="B2409" s="431"/>
      <c r="C2409" s="432" t="s">
        <v>967</v>
      </c>
      <c r="D2409" s="431"/>
      <c r="E2409" s="431"/>
      <c r="F2409" s="431"/>
      <c r="G2409" s="477"/>
    </row>
    <row r="2410" spans="1:7" ht="19.899999999999999" customHeight="1" x14ac:dyDescent="0.2">
      <c r="A2410" s="472"/>
      <c r="B2410" s="433"/>
      <c r="C2410" s="139"/>
      <c r="D2410" s="426"/>
      <c r="E2410" s="427"/>
      <c r="F2410" s="425"/>
      <c r="G2410" s="474"/>
    </row>
    <row r="2411" spans="1:7" ht="19.899999999999999" customHeight="1" x14ac:dyDescent="0.2">
      <c r="A2411" s="472"/>
      <c r="B2411" s="433"/>
      <c r="C2411" s="434" t="s">
        <v>968</v>
      </c>
      <c r="D2411" s="435" t="s">
        <v>24</v>
      </c>
      <c r="E2411" s="435" t="s">
        <v>969</v>
      </c>
      <c r="F2411" s="435" t="s">
        <v>970</v>
      </c>
      <c r="G2411" s="434" t="s">
        <v>971</v>
      </c>
    </row>
    <row r="2412" spans="1:7" ht="19.899999999999999" customHeight="1" x14ac:dyDescent="0.2">
      <c r="A2412" s="472"/>
      <c r="B2412" s="433"/>
      <c r="C2412" s="436">
        <f>+C2187</f>
        <v>0</v>
      </c>
      <c r="D2412" s="436">
        <f>+D2187</f>
        <v>0</v>
      </c>
      <c r="E2412" s="438">
        <f t="shared" ref="E2412:E2421" si="810">IFERROR(VLOOKUP(C2412,T_Equipos,4,FALSE),0)</f>
        <v>0</v>
      </c>
      <c r="F2412" s="439">
        <f t="shared" ref="F2412:F2421" si="811">IFERROR(VLOOKUP(C2412,T_Equipos,5,FALSE),0)</f>
        <v>0</v>
      </c>
      <c r="G2412" s="439">
        <f>ROUND(D2412*F2412,2)</f>
        <v>0</v>
      </c>
    </row>
    <row r="2413" spans="1:7" ht="19.899999999999999" customHeight="1" x14ac:dyDescent="0.2">
      <c r="A2413" s="472"/>
      <c r="B2413" s="433"/>
      <c r="C2413" s="436">
        <f t="shared" ref="C2413:D2413" si="812">+C2188</f>
        <v>0</v>
      </c>
      <c r="D2413" s="436">
        <f t="shared" si="812"/>
        <v>0</v>
      </c>
      <c r="E2413" s="438">
        <f t="shared" si="810"/>
        <v>0</v>
      </c>
      <c r="F2413" s="439">
        <f t="shared" si="811"/>
        <v>0</v>
      </c>
      <c r="G2413" s="439">
        <f>ROUND(D2413*F2413,2)</f>
        <v>0</v>
      </c>
    </row>
    <row r="2414" spans="1:7" ht="19.899999999999999" customHeight="1" x14ac:dyDescent="0.2">
      <c r="A2414" s="472"/>
      <c r="B2414" s="433"/>
      <c r="C2414" s="436">
        <f t="shared" ref="C2414" si="813">+C2189</f>
        <v>0</v>
      </c>
      <c r="D2414" s="436"/>
      <c r="E2414" s="438">
        <f t="shared" si="810"/>
        <v>0</v>
      </c>
      <c r="F2414" s="439">
        <f t="shared" si="811"/>
        <v>0</v>
      </c>
      <c r="G2414" s="439">
        <f>ROUND(D2414*F2414,2)</f>
        <v>0</v>
      </c>
    </row>
    <row r="2415" spans="1:7" ht="19.899999999999999" customHeight="1" x14ac:dyDescent="0.2">
      <c r="A2415" s="472"/>
      <c r="B2415" s="433"/>
      <c r="C2415" s="436">
        <f t="shared" ref="C2415" si="814">+C2190</f>
        <v>0</v>
      </c>
      <c r="D2415" s="436"/>
      <c r="E2415" s="438">
        <f t="shared" si="810"/>
        <v>0</v>
      </c>
      <c r="F2415" s="439">
        <f t="shared" si="811"/>
        <v>0</v>
      </c>
      <c r="G2415" s="439">
        <f>ROUND(D2415*F2415,2)</f>
        <v>0</v>
      </c>
    </row>
    <row r="2416" spans="1:7" ht="19.899999999999999" customHeight="1" x14ac:dyDescent="0.2">
      <c r="A2416" s="472"/>
      <c r="B2416" s="433"/>
      <c r="C2416" s="436">
        <f t="shared" ref="C2416" si="815">+C2191</f>
        <v>0</v>
      </c>
      <c r="D2416" s="436"/>
      <c r="E2416" s="438">
        <f t="shared" si="810"/>
        <v>0</v>
      </c>
      <c r="F2416" s="439">
        <f t="shared" si="811"/>
        <v>0</v>
      </c>
      <c r="G2416" s="439">
        <f t="shared" ref="G2416:G2421" si="816">ROUND(D2416*F2416,2)</f>
        <v>0</v>
      </c>
    </row>
    <row r="2417" spans="1:7" ht="19.899999999999999" customHeight="1" x14ac:dyDescent="0.2">
      <c r="A2417" s="472"/>
      <c r="B2417" s="433"/>
      <c r="C2417" s="436">
        <f t="shared" ref="C2417" si="817">+C2192</f>
        <v>0</v>
      </c>
      <c r="D2417" s="436"/>
      <c r="E2417" s="438">
        <f t="shared" si="810"/>
        <v>0</v>
      </c>
      <c r="F2417" s="439">
        <f t="shared" si="811"/>
        <v>0</v>
      </c>
      <c r="G2417" s="439">
        <f t="shared" si="816"/>
        <v>0</v>
      </c>
    </row>
    <row r="2418" spans="1:7" ht="19.899999999999999" customHeight="1" x14ac:dyDescent="0.2">
      <c r="A2418" s="472"/>
      <c r="B2418" s="433"/>
      <c r="C2418" s="436">
        <f t="shared" ref="C2418:D2418" si="818">+C2193</f>
        <v>0</v>
      </c>
      <c r="D2418" s="436">
        <f t="shared" si="818"/>
        <v>0</v>
      </c>
      <c r="E2418" s="438">
        <f t="shared" si="810"/>
        <v>0</v>
      </c>
      <c r="F2418" s="439">
        <f t="shared" si="811"/>
        <v>0</v>
      </c>
      <c r="G2418" s="439">
        <f t="shared" si="816"/>
        <v>0</v>
      </c>
    </row>
    <row r="2419" spans="1:7" ht="19.899999999999999" customHeight="1" x14ac:dyDescent="0.2">
      <c r="A2419" s="472"/>
      <c r="B2419" s="433"/>
      <c r="C2419" s="436">
        <f t="shared" ref="C2419:D2419" si="819">+C2194</f>
        <v>0</v>
      </c>
      <c r="D2419" s="436">
        <f t="shared" si="819"/>
        <v>0</v>
      </c>
      <c r="E2419" s="438">
        <f t="shared" si="810"/>
        <v>0</v>
      </c>
      <c r="F2419" s="439">
        <f t="shared" si="811"/>
        <v>0</v>
      </c>
      <c r="G2419" s="439">
        <f t="shared" si="816"/>
        <v>0</v>
      </c>
    </row>
    <row r="2420" spans="1:7" ht="19.899999999999999" customHeight="1" x14ac:dyDescent="0.2">
      <c r="A2420" s="472"/>
      <c r="B2420" s="433"/>
      <c r="C2420" s="436"/>
      <c r="D2420" s="437"/>
      <c r="E2420" s="438">
        <f t="shared" si="810"/>
        <v>0</v>
      </c>
      <c r="F2420" s="439">
        <f t="shared" si="811"/>
        <v>0</v>
      </c>
      <c r="G2420" s="439">
        <f t="shared" si="816"/>
        <v>0</v>
      </c>
    </row>
    <row r="2421" spans="1:7" ht="19.899999999999999" customHeight="1" x14ac:dyDescent="0.2">
      <c r="A2421" s="472"/>
      <c r="B2421" s="433"/>
      <c r="C2421" s="436"/>
      <c r="D2421" s="437"/>
      <c r="E2421" s="438">
        <f t="shared" si="810"/>
        <v>0</v>
      </c>
      <c r="F2421" s="439">
        <f t="shared" si="811"/>
        <v>0</v>
      </c>
      <c r="G2421" s="439">
        <f t="shared" si="816"/>
        <v>0</v>
      </c>
    </row>
    <row r="2422" spans="1:7" ht="19.899999999999999" customHeight="1" x14ac:dyDescent="0.2">
      <c r="A2422" s="472"/>
      <c r="B2422" s="433"/>
      <c r="C2422" s="139"/>
      <c r="D2422" s="139"/>
      <c r="E2422" s="440"/>
      <c r="F2422" s="425"/>
      <c r="G2422" s="474"/>
    </row>
    <row r="2423" spans="1:7" ht="19.899999999999999" customHeight="1" x14ac:dyDescent="0.2">
      <c r="A2423" s="472"/>
      <c r="B2423" s="139"/>
      <c r="C2423" s="422" t="s">
        <v>972</v>
      </c>
      <c r="D2423" s="425" t="s">
        <v>969</v>
      </c>
      <c r="E2423" s="491">
        <f>SUMPRODUCT(D2412:D2421,E2412:E2421)</f>
        <v>0</v>
      </c>
      <c r="F2423" s="425" t="s">
        <v>973</v>
      </c>
      <c r="G2423" s="492">
        <f>SUM(G2412:G2421)</f>
        <v>0</v>
      </c>
    </row>
    <row r="2424" spans="1:7" ht="19.899999999999999" customHeight="1" x14ac:dyDescent="0.2">
      <c r="A2424" s="472"/>
      <c r="B2424" s="433"/>
      <c r="C2424" s="441"/>
      <c r="D2424" s="440"/>
      <c r="E2424" s="427"/>
      <c r="F2424" s="425"/>
      <c r="G2424" s="478"/>
    </row>
    <row r="2425" spans="1:7" ht="19.899999999999999" customHeight="1" x14ac:dyDescent="0.2">
      <c r="A2425" s="479"/>
      <c r="B2425" s="433"/>
      <c r="C2425" s="425" t="s">
        <v>974</v>
      </c>
      <c r="D2425" s="442">
        <f>IFERROR(VLOOKUP(COUNTIF($A$1:A2425,"ANALISIS DE PRECIOS"),T_Rendimiento_Equipo,5,FALSE),0)</f>
        <v>0</v>
      </c>
      <c r="E2425" s="443" t="str">
        <f ca="1">G2407&amp;"/día"</f>
        <v>0/día</v>
      </c>
      <c r="F2425" s="419"/>
      <c r="G2425" s="474"/>
    </row>
    <row r="2426" spans="1:7" ht="19.899999999999999" customHeight="1" x14ac:dyDescent="0.2">
      <c r="A2426" s="472"/>
      <c r="B2426" s="433"/>
      <c r="C2426" s="139"/>
      <c r="D2426" s="426"/>
      <c r="E2426" s="427"/>
      <c r="F2426" s="425"/>
      <c r="G2426" s="474"/>
    </row>
    <row r="2427" spans="1:7" ht="19.899999999999999" customHeight="1" x14ac:dyDescent="0.2">
      <c r="A2427" s="720" t="s">
        <v>576</v>
      </c>
      <c r="B2427" s="721"/>
      <c r="C2427" s="722" t="s">
        <v>0</v>
      </c>
      <c r="D2427" s="734" t="s">
        <v>1724</v>
      </c>
      <c r="E2427" s="734" t="s">
        <v>1723</v>
      </c>
      <c r="F2427" s="726" t="s">
        <v>975</v>
      </c>
      <c r="G2427" s="728" t="s">
        <v>26</v>
      </c>
    </row>
    <row r="2428" spans="1:7" ht="19.899999999999999" customHeight="1" x14ac:dyDescent="0.2">
      <c r="A2428" s="444" t="s">
        <v>577</v>
      </c>
      <c r="B2428" s="444" t="s">
        <v>578</v>
      </c>
      <c r="C2428" s="723"/>
      <c r="D2428" s="735"/>
      <c r="E2428" s="725"/>
      <c r="F2428" s="727"/>
      <c r="G2428" s="729"/>
    </row>
    <row r="2429" spans="1:7" ht="19.899999999999999" customHeight="1" x14ac:dyDescent="0.2">
      <c r="A2429" s="480"/>
      <c r="B2429" s="139"/>
      <c r="C2429" s="422" t="s">
        <v>976</v>
      </c>
      <c r="D2429" s="427"/>
      <c r="E2429" s="427"/>
      <c r="F2429" s="139"/>
      <c r="G2429" s="481"/>
    </row>
    <row r="2430" spans="1:7" ht="19.899999999999999" customHeight="1" x14ac:dyDescent="0.2">
      <c r="A2430" s="482">
        <f t="shared" ref="A2430:A2438" si="820">IFERROR(VLOOKUP(C2430,T_Insumos,4,FALSE),0)</f>
        <v>0</v>
      </c>
      <c r="B2430" s="445">
        <f t="shared" ref="B2430:B2438" si="821">IFERROR(VLOOKUP(C2430,T_Insumos,5,FALSE),0)</f>
        <v>0</v>
      </c>
      <c r="C2430" s="436">
        <f>+C2130</f>
        <v>0</v>
      </c>
      <c r="D2430" s="446">
        <f t="shared" ref="D2430:D2438" si="822">IFERROR(VLOOKUP(C2430,T_Insumos,3,FALSE),0)</f>
        <v>0</v>
      </c>
      <c r="E2430" s="439">
        <f>D2430*$G$323</f>
        <v>0</v>
      </c>
      <c r="F2430" s="442">
        <f>IF(C2430="",0,IFERROR(VLOOKUP(COUNTIF($A$1:A2430,"ANALISIS DE PRECIOS"),T_Rendimiento_Equipo,5,FALSE),0))</f>
        <v>0</v>
      </c>
      <c r="G2430" s="439">
        <f>IFERROR(ROUND(E2430/F2430,2),0)</f>
        <v>0</v>
      </c>
    </row>
    <row r="2431" spans="1:7" ht="19.899999999999999" customHeight="1" x14ac:dyDescent="0.2">
      <c r="A2431" s="482">
        <f t="shared" si="820"/>
        <v>0</v>
      </c>
      <c r="B2431" s="445">
        <f t="shared" si="821"/>
        <v>0</v>
      </c>
      <c r="C2431" s="436">
        <f t="shared" ref="C2431:C2433" si="823">+C2131</f>
        <v>0</v>
      </c>
      <c r="D2431" s="446">
        <f t="shared" si="822"/>
        <v>0</v>
      </c>
      <c r="E2431" s="439">
        <f t="shared" ref="E2431:E2432" si="824">D2431*$G$323</f>
        <v>0</v>
      </c>
      <c r="F2431" s="442">
        <f>IF(C2431="",0,IFERROR(VLOOKUP(COUNTIF($A$1:A2431,"ANALISIS DE PRECIOS"),T_Rendimiento_Equipo,5,FALSE),0))</f>
        <v>0</v>
      </c>
      <c r="G2431" s="439">
        <f t="shared" ref="G2431:G2438" si="825">IFERROR(ROUND(E2431/F2431,2),0)</f>
        <v>0</v>
      </c>
    </row>
    <row r="2432" spans="1:7" ht="19.899999999999999" customHeight="1" x14ac:dyDescent="0.2">
      <c r="A2432" s="482">
        <f t="shared" si="820"/>
        <v>0</v>
      </c>
      <c r="B2432" s="445">
        <f t="shared" si="821"/>
        <v>0</v>
      </c>
      <c r="C2432" s="436">
        <f t="shared" si="823"/>
        <v>0</v>
      </c>
      <c r="D2432" s="446">
        <f t="shared" si="822"/>
        <v>0</v>
      </c>
      <c r="E2432" s="439">
        <f t="shared" si="824"/>
        <v>0</v>
      </c>
      <c r="F2432" s="442">
        <f>IF(C2432="",0,IFERROR(VLOOKUP(COUNTIF($A$1:A2432,"ANALISIS DE PRECIOS"),T_Rendimiento_Equipo,5,FALSE),0))</f>
        <v>0</v>
      </c>
      <c r="G2432" s="439">
        <f t="shared" si="825"/>
        <v>0</v>
      </c>
    </row>
    <row r="2433" spans="1:7" ht="19.899999999999999" customHeight="1" x14ac:dyDescent="0.2">
      <c r="A2433" s="482">
        <f t="shared" si="820"/>
        <v>0</v>
      </c>
      <c r="B2433" s="445">
        <f t="shared" si="821"/>
        <v>0</v>
      </c>
      <c r="C2433" s="436">
        <f t="shared" si="823"/>
        <v>0</v>
      </c>
      <c r="D2433" s="446">
        <f t="shared" si="822"/>
        <v>0</v>
      </c>
      <c r="E2433" s="439">
        <f>D2433*$E$323</f>
        <v>0</v>
      </c>
      <c r="F2433" s="442">
        <f>IF(C2433="",0,IFERROR(VLOOKUP(COUNTIF($A$1:A2433,"ANALISIS DE PRECIOS"),T_Rendimiento_Equipo,5,FALSE),0))</f>
        <v>0</v>
      </c>
      <c r="G2433" s="439">
        <f t="shared" si="825"/>
        <v>0</v>
      </c>
    </row>
    <row r="2434" spans="1:7" ht="19.899999999999999" customHeight="1" x14ac:dyDescent="0.2">
      <c r="A2434" s="482">
        <f t="shared" si="820"/>
        <v>0</v>
      </c>
      <c r="B2434" s="445">
        <f t="shared" si="821"/>
        <v>0</v>
      </c>
      <c r="C2434" s="447"/>
      <c r="D2434" s="446">
        <f t="shared" si="822"/>
        <v>0</v>
      </c>
      <c r="E2434" s="439"/>
      <c r="F2434" s="442">
        <f>IF(C2434="",0,IFERROR(VLOOKUP(COUNTIF($A$1:A2434,"ANALISIS DE PRECIOS"),T_Rendimiento_Equipo,5,FALSE),0))</f>
        <v>0</v>
      </c>
      <c r="G2434" s="439">
        <f t="shared" si="825"/>
        <v>0</v>
      </c>
    </row>
    <row r="2435" spans="1:7" ht="19.899999999999999" customHeight="1" x14ac:dyDescent="0.2">
      <c r="A2435" s="482">
        <f t="shared" si="820"/>
        <v>0</v>
      </c>
      <c r="B2435" s="445">
        <f t="shared" si="821"/>
        <v>0</v>
      </c>
      <c r="C2435" s="447"/>
      <c r="D2435" s="446">
        <f t="shared" si="822"/>
        <v>0</v>
      </c>
      <c r="E2435" s="439"/>
      <c r="F2435" s="442">
        <f>IF(C2435="",0,IFERROR(VLOOKUP(COUNTIF($A$1:A2435,"ANALISIS DE PRECIOS"),T_Rendimiento_Equipo,5,FALSE),0))</f>
        <v>0</v>
      </c>
      <c r="G2435" s="439">
        <f t="shared" si="825"/>
        <v>0</v>
      </c>
    </row>
    <row r="2436" spans="1:7" ht="19.899999999999999" customHeight="1" x14ac:dyDescent="0.2">
      <c r="A2436" s="482">
        <f t="shared" si="820"/>
        <v>0</v>
      </c>
      <c r="B2436" s="445">
        <f t="shared" si="821"/>
        <v>0</v>
      </c>
      <c r="C2436" s="447"/>
      <c r="D2436" s="446">
        <f t="shared" si="822"/>
        <v>0</v>
      </c>
      <c r="E2436" s="439"/>
      <c r="F2436" s="442">
        <f>IF(C2436="",0,IFERROR(VLOOKUP(COUNTIF($A$1:A2436,"ANALISIS DE PRECIOS"),T_Rendimiento_Equipo,5,FALSE),0))</f>
        <v>0</v>
      </c>
      <c r="G2436" s="439">
        <f t="shared" si="825"/>
        <v>0</v>
      </c>
    </row>
    <row r="2437" spans="1:7" ht="19.899999999999999" customHeight="1" x14ac:dyDescent="0.2">
      <c r="A2437" s="482">
        <f t="shared" si="820"/>
        <v>0</v>
      </c>
      <c r="B2437" s="445">
        <f t="shared" si="821"/>
        <v>0</v>
      </c>
      <c r="C2437" s="447"/>
      <c r="D2437" s="446">
        <f t="shared" si="822"/>
        <v>0</v>
      </c>
      <c r="E2437" s="439"/>
      <c r="F2437" s="442">
        <f>IF(C2437="",0,IFERROR(VLOOKUP(COUNTIF($A$1:A2437,"ANALISIS DE PRECIOS"),T_Rendimiento_Equipo,5,FALSE),0))</f>
        <v>0</v>
      </c>
      <c r="G2437" s="439">
        <f t="shared" si="825"/>
        <v>0</v>
      </c>
    </row>
    <row r="2438" spans="1:7" ht="19.899999999999999" customHeight="1" x14ac:dyDescent="0.2">
      <c r="A2438" s="482">
        <f t="shared" si="820"/>
        <v>0</v>
      </c>
      <c r="B2438" s="445">
        <f t="shared" si="821"/>
        <v>0</v>
      </c>
      <c r="C2438" s="436"/>
      <c r="D2438" s="446">
        <f t="shared" si="822"/>
        <v>0</v>
      </c>
      <c r="E2438" s="439"/>
      <c r="F2438" s="442">
        <f>IF(C2438="",0,IFERROR(VLOOKUP(COUNTIF($A$1:A2438,"ANALISIS DE PRECIOS"),T_Rendimiento_Equipo,5,FALSE),0))</f>
        <v>0</v>
      </c>
      <c r="G2438" s="439">
        <f t="shared" si="825"/>
        <v>0</v>
      </c>
    </row>
    <row r="2439" spans="1:7" ht="19.899999999999999" customHeight="1" x14ac:dyDescent="0.2">
      <c r="A2439" s="483"/>
      <c r="B2439" s="426"/>
      <c r="C2439" s="139"/>
      <c r="D2439" s="426"/>
      <c r="E2439" s="427"/>
      <c r="F2439" s="448" t="s">
        <v>27</v>
      </c>
      <c r="G2439" s="484">
        <f>SUBTOTAL(9,G2430:G2438)</f>
        <v>0</v>
      </c>
    </row>
    <row r="2440" spans="1:7" ht="19.899999999999999" customHeight="1" x14ac:dyDescent="0.2">
      <c r="A2440" s="480"/>
      <c r="B2440" s="139"/>
      <c r="C2440" s="422" t="s">
        <v>713</v>
      </c>
      <c r="D2440" s="426"/>
      <c r="E2440" s="427"/>
      <c r="F2440" s="428"/>
      <c r="G2440" s="481"/>
    </row>
    <row r="2441" spans="1:7" ht="19.899999999999999" customHeight="1" x14ac:dyDescent="0.2">
      <c r="A2441" s="720" t="s">
        <v>576</v>
      </c>
      <c r="B2441" s="721"/>
      <c r="C2441" s="722" t="s">
        <v>0</v>
      </c>
      <c r="D2441" s="724" t="s">
        <v>24</v>
      </c>
      <c r="E2441" s="724" t="s">
        <v>1964</v>
      </c>
      <c r="F2441" s="726" t="s">
        <v>975</v>
      </c>
      <c r="G2441" s="728" t="s">
        <v>26</v>
      </c>
    </row>
    <row r="2442" spans="1:7" ht="19.899999999999999" customHeight="1" x14ac:dyDescent="0.2">
      <c r="A2442" s="444" t="s">
        <v>577</v>
      </c>
      <c r="B2442" s="444" t="s">
        <v>578</v>
      </c>
      <c r="C2442" s="723"/>
      <c r="D2442" s="725"/>
      <c r="E2442" s="725"/>
      <c r="F2442" s="727"/>
      <c r="G2442" s="729"/>
    </row>
    <row r="2443" spans="1:7" ht="19.899999999999999" customHeight="1" x14ac:dyDescent="0.2">
      <c r="A2443" s="482">
        <f t="shared" ref="A2443:A2449" si="826">IFERROR(VLOOKUP(C2443,T_Insumos,4,FALSE),0)</f>
        <v>0</v>
      </c>
      <c r="B2443" s="445">
        <f t="shared" ref="B2443:B2449" si="827">IFERROR(VLOOKUP(C2443,T_Insumos,5,FALSE),0)</f>
        <v>0</v>
      </c>
      <c r="C2443" s="436">
        <f t="shared" ref="C2443:C2446" si="828">+C2218</f>
        <v>0</v>
      </c>
      <c r="D2443" s="442"/>
      <c r="E2443" s="439">
        <f t="shared" ref="E2443:E2449" si="829">IFERROR(VLOOKUP(C2443,T_Insumos,3,FALSE),0)</f>
        <v>0</v>
      </c>
      <c r="F2443" s="442">
        <f>IF(C2443="",0,IFERROR(VLOOKUP(COUNTIF($A$1:A2443,"ANALISIS DE PRECIOS"),T_Rendimiento_Equipo,5,FALSE),0))</f>
        <v>0</v>
      </c>
      <c r="G2443" s="439">
        <f>IFERROR(ROUND(D2443*E2443/F2443,2),0)</f>
        <v>0</v>
      </c>
    </row>
    <row r="2444" spans="1:7" ht="19.899999999999999" customHeight="1" x14ac:dyDescent="0.2">
      <c r="A2444" s="482">
        <f t="shared" si="826"/>
        <v>0</v>
      </c>
      <c r="B2444" s="445">
        <f t="shared" si="827"/>
        <v>0</v>
      </c>
      <c r="C2444" s="436">
        <f t="shared" si="828"/>
        <v>0</v>
      </c>
      <c r="D2444" s="442">
        <v>1</v>
      </c>
      <c r="E2444" s="439">
        <f t="shared" si="829"/>
        <v>0</v>
      </c>
      <c r="F2444" s="442">
        <f>IF(C2444="",0,IFERROR(VLOOKUP(COUNTIF($A$1:A2444,"ANALISIS DE PRECIOS"),T_Rendimiento_Equipo,5,FALSE),0))</f>
        <v>0</v>
      </c>
      <c r="G2444" s="439">
        <f>IFERROR(ROUND(D2444*E2444/F2444,2),0)</f>
        <v>0</v>
      </c>
    </row>
    <row r="2445" spans="1:7" ht="19.899999999999999" customHeight="1" x14ac:dyDescent="0.2">
      <c r="A2445" s="482">
        <f t="shared" si="826"/>
        <v>0</v>
      </c>
      <c r="B2445" s="445">
        <f t="shared" si="827"/>
        <v>0</v>
      </c>
      <c r="C2445" s="436">
        <f t="shared" si="828"/>
        <v>0</v>
      </c>
      <c r="D2445" s="442"/>
      <c r="E2445" s="439">
        <f t="shared" si="829"/>
        <v>0</v>
      </c>
      <c r="F2445" s="442">
        <f>IF(C2445="",0,IFERROR(VLOOKUP(COUNTIF($A$1:A2445,"ANALISIS DE PRECIOS"),T_Rendimiento_Equipo,5,FALSE),0))</f>
        <v>0</v>
      </c>
      <c r="G2445" s="439">
        <f t="shared" ref="G2445:G2449" si="830">IFERROR(ROUND(D2445*E2445/F2445,2),0)</f>
        <v>0</v>
      </c>
    </row>
    <row r="2446" spans="1:7" ht="19.899999999999999" customHeight="1" x14ac:dyDescent="0.2">
      <c r="A2446" s="482">
        <f t="shared" si="826"/>
        <v>0</v>
      </c>
      <c r="B2446" s="445">
        <f t="shared" si="827"/>
        <v>0</v>
      </c>
      <c r="C2446" s="436">
        <f t="shared" si="828"/>
        <v>0</v>
      </c>
      <c r="D2446" s="442">
        <v>2</v>
      </c>
      <c r="E2446" s="439">
        <f t="shared" si="829"/>
        <v>0</v>
      </c>
      <c r="F2446" s="442">
        <f>IF(C2446="",0,IFERROR(VLOOKUP(COUNTIF($A$1:A2446,"ANALISIS DE PRECIOS"),T_Rendimiento_Equipo,5,FALSE),0))</f>
        <v>0</v>
      </c>
      <c r="G2446" s="439">
        <f t="shared" si="830"/>
        <v>0</v>
      </c>
    </row>
    <row r="2447" spans="1:7" ht="19.899999999999999" customHeight="1" x14ac:dyDescent="0.2">
      <c r="A2447" s="482">
        <f t="shared" si="826"/>
        <v>0</v>
      </c>
      <c r="B2447" s="445">
        <f t="shared" si="827"/>
        <v>0</v>
      </c>
      <c r="C2447" s="436"/>
      <c r="D2447" s="442"/>
      <c r="E2447" s="439">
        <f t="shared" si="829"/>
        <v>0</v>
      </c>
      <c r="F2447" s="442">
        <f>IF(C2447="",0,IFERROR(VLOOKUP(COUNTIF($A$1:A2447,"ANALISIS DE PRECIOS"),T_Rendimiento_Equipo,5,FALSE),0))</f>
        <v>0</v>
      </c>
      <c r="G2447" s="439">
        <f t="shared" si="830"/>
        <v>0</v>
      </c>
    </row>
    <row r="2448" spans="1:7" ht="19.899999999999999" customHeight="1" x14ac:dyDescent="0.2">
      <c r="A2448" s="482">
        <f t="shared" si="826"/>
        <v>0</v>
      </c>
      <c r="B2448" s="445">
        <f t="shared" si="827"/>
        <v>0</v>
      </c>
      <c r="C2448" s="436"/>
      <c r="D2448" s="450"/>
      <c r="E2448" s="439">
        <f t="shared" si="829"/>
        <v>0</v>
      </c>
      <c r="F2448" s="442">
        <f>IF(C2448="",0,IFERROR(VLOOKUP(COUNTIF($A$1:A2448,"ANALISIS DE PRECIOS"),T_Rendimiento_Equipo,5,FALSE),0))</f>
        <v>0</v>
      </c>
      <c r="G2448" s="439">
        <f t="shared" si="830"/>
        <v>0</v>
      </c>
    </row>
    <row r="2449" spans="1:7" ht="19.899999999999999" customHeight="1" x14ac:dyDescent="0.2">
      <c r="A2449" s="482">
        <f t="shared" si="826"/>
        <v>0</v>
      </c>
      <c r="B2449" s="445">
        <f t="shared" si="827"/>
        <v>0</v>
      </c>
      <c r="C2449" s="445"/>
      <c r="D2449" s="451"/>
      <c r="E2449" s="439">
        <f t="shared" si="829"/>
        <v>0</v>
      </c>
      <c r="F2449" s="442">
        <f>IF(C2449="",0,IFERROR(VLOOKUP(COUNTIF($A$1:A2449,"ANALISIS DE PRECIOS"),T_Rendimiento_Equipo,5,FALSE),0))</f>
        <v>0</v>
      </c>
      <c r="G2449" s="439">
        <f t="shared" si="830"/>
        <v>0</v>
      </c>
    </row>
    <row r="2450" spans="1:7" ht="19.899999999999999" customHeight="1" x14ac:dyDescent="0.2">
      <c r="A2450" s="483"/>
      <c r="B2450" s="426"/>
      <c r="C2450" s="139"/>
      <c r="D2450" s="426"/>
      <c r="E2450" s="427"/>
      <c r="F2450" s="448" t="s">
        <v>28</v>
      </c>
      <c r="G2450" s="485">
        <f>SUBTOTAL(9,G2443:G2449)</f>
        <v>0</v>
      </c>
    </row>
    <row r="2451" spans="1:7" ht="19.899999999999999" customHeight="1" x14ac:dyDescent="0.2">
      <c r="A2451" s="480"/>
      <c r="B2451" s="139"/>
      <c r="C2451" s="422" t="s">
        <v>982</v>
      </c>
      <c r="D2451" s="426"/>
      <c r="E2451" s="427"/>
      <c r="F2451" s="428"/>
      <c r="G2451" s="481"/>
    </row>
    <row r="2452" spans="1:7" ht="19.899999999999999" customHeight="1" x14ac:dyDescent="0.2">
      <c r="A2452" s="720" t="s">
        <v>576</v>
      </c>
      <c r="B2452" s="721"/>
      <c r="C2452" s="722" t="s">
        <v>0</v>
      </c>
      <c r="D2452" s="722" t="s">
        <v>1725</v>
      </c>
      <c r="E2452" s="724" t="s">
        <v>24</v>
      </c>
      <c r="F2452" s="726" t="s">
        <v>25</v>
      </c>
      <c r="G2452" s="728" t="s">
        <v>26</v>
      </c>
    </row>
    <row r="2453" spans="1:7" ht="19.899999999999999" customHeight="1" x14ac:dyDescent="0.2">
      <c r="A2453" s="444" t="s">
        <v>577</v>
      </c>
      <c r="B2453" s="444" t="s">
        <v>578</v>
      </c>
      <c r="C2453" s="723"/>
      <c r="D2453" s="723"/>
      <c r="E2453" s="725"/>
      <c r="F2453" s="727"/>
      <c r="G2453" s="729"/>
    </row>
    <row r="2454" spans="1:7" ht="19.899999999999999" customHeight="1" x14ac:dyDescent="0.2">
      <c r="A2454" s="482">
        <f t="shared" ref="A2454:A2464" si="831">IFERROR(VLOOKUP(C2454,T_Insumos,4,FALSE),0)</f>
        <v>0</v>
      </c>
      <c r="B2454" s="445">
        <f t="shared" ref="B2454:B2464" si="832">IFERROR(VLOOKUP(C2454,T_Insumos,5,FALSE),0)</f>
        <v>0</v>
      </c>
      <c r="C2454" s="436">
        <f t="shared" ref="C2454:C2464" si="833">+C2229</f>
        <v>0</v>
      </c>
      <c r="D2454" s="493">
        <f t="shared" ref="D2454:D2464" si="834">IFERROR(VLOOKUP(C2454,T_Insumos,2,FALSE),0)</f>
        <v>0</v>
      </c>
      <c r="E2454" s="437"/>
      <c r="F2454" s="439">
        <f t="shared" ref="F2454:F2464" si="835">IFERROR(VLOOKUP(C2454,T_Insumos,3,FALSE),0)</f>
        <v>0</v>
      </c>
      <c r="G2454" s="439">
        <f>ROUND(E2454*F2454,2)</f>
        <v>0</v>
      </c>
    </row>
    <row r="2455" spans="1:7" ht="19.899999999999999" customHeight="1" x14ac:dyDescent="0.2">
      <c r="A2455" s="482">
        <f t="shared" si="831"/>
        <v>0</v>
      </c>
      <c r="B2455" s="445">
        <f t="shared" si="832"/>
        <v>0</v>
      </c>
      <c r="C2455" s="436">
        <f t="shared" si="833"/>
        <v>0</v>
      </c>
      <c r="D2455" s="493">
        <f t="shared" si="834"/>
        <v>0</v>
      </c>
      <c r="E2455" s="437"/>
      <c r="F2455" s="439">
        <f t="shared" si="835"/>
        <v>0</v>
      </c>
      <c r="G2455" s="439">
        <f t="shared" ref="G2455:G2464" si="836">ROUND(E2455*F2455,2)</f>
        <v>0</v>
      </c>
    </row>
    <row r="2456" spans="1:7" ht="19.899999999999999" customHeight="1" x14ac:dyDescent="0.2">
      <c r="A2456" s="482">
        <f t="shared" si="831"/>
        <v>0</v>
      </c>
      <c r="B2456" s="445">
        <f t="shared" si="832"/>
        <v>0</v>
      </c>
      <c r="C2456" s="436">
        <f t="shared" si="833"/>
        <v>0</v>
      </c>
      <c r="D2456" s="493">
        <f t="shared" si="834"/>
        <v>0</v>
      </c>
      <c r="E2456" s="437"/>
      <c r="F2456" s="439">
        <f t="shared" si="835"/>
        <v>0</v>
      </c>
      <c r="G2456" s="439">
        <f t="shared" si="836"/>
        <v>0</v>
      </c>
    </row>
    <row r="2457" spans="1:7" ht="19.899999999999999" customHeight="1" x14ac:dyDescent="0.2">
      <c r="A2457" s="482">
        <f t="shared" si="831"/>
        <v>0</v>
      </c>
      <c r="B2457" s="445">
        <f t="shared" si="832"/>
        <v>0</v>
      </c>
      <c r="C2457" s="436">
        <f t="shared" si="833"/>
        <v>0</v>
      </c>
      <c r="D2457" s="493">
        <f t="shared" si="834"/>
        <v>0</v>
      </c>
      <c r="E2457" s="437"/>
      <c r="F2457" s="439">
        <f t="shared" si="835"/>
        <v>0</v>
      </c>
      <c r="G2457" s="439">
        <f t="shared" si="836"/>
        <v>0</v>
      </c>
    </row>
    <row r="2458" spans="1:7" ht="19.899999999999999" customHeight="1" x14ac:dyDescent="0.2">
      <c r="A2458" s="482">
        <f t="shared" si="831"/>
        <v>0</v>
      </c>
      <c r="B2458" s="445">
        <f t="shared" si="832"/>
        <v>0</v>
      </c>
      <c r="C2458" s="436">
        <f t="shared" si="833"/>
        <v>0</v>
      </c>
      <c r="D2458" s="493">
        <f t="shared" si="834"/>
        <v>0</v>
      </c>
      <c r="E2458" s="437"/>
      <c r="F2458" s="439">
        <f t="shared" si="835"/>
        <v>0</v>
      </c>
      <c r="G2458" s="439">
        <f t="shared" si="836"/>
        <v>0</v>
      </c>
    </row>
    <row r="2459" spans="1:7" ht="19.899999999999999" customHeight="1" x14ac:dyDescent="0.2">
      <c r="A2459" s="482">
        <f t="shared" si="831"/>
        <v>0</v>
      </c>
      <c r="B2459" s="445">
        <f t="shared" si="832"/>
        <v>0</v>
      </c>
      <c r="C2459" s="436">
        <f t="shared" si="833"/>
        <v>0</v>
      </c>
      <c r="D2459" s="493">
        <f t="shared" si="834"/>
        <v>0</v>
      </c>
      <c r="E2459" s="437"/>
      <c r="F2459" s="439">
        <f t="shared" si="835"/>
        <v>0</v>
      </c>
      <c r="G2459" s="439">
        <f t="shared" si="836"/>
        <v>0</v>
      </c>
    </row>
    <row r="2460" spans="1:7" ht="19.899999999999999" customHeight="1" x14ac:dyDescent="0.2">
      <c r="A2460" s="482">
        <f t="shared" si="831"/>
        <v>0</v>
      </c>
      <c r="B2460" s="445">
        <f t="shared" si="832"/>
        <v>0</v>
      </c>
      <c r="C2460" s="436">
        <f t="shared" si="833"/>
        <v>0</v>
      </c>
      <c r="D2460" s="493">
        <f t="shared" si="834"/>
        <v>0</v>
      </c>
      <c r="E2460" s="437"/>
      <c r="F2460" s="439">
        <f t="shared" si="835"/>
        <v>0</v>
      </c>
      <c r="G2460" s="439">
        <f t="shared" si="836"/>
        <v>0</v>
      </c>
    </row>
    <row r="2461" spans="1:7" ht="19.899999999999999" customHeight="1" x14ac:dyDescent="0.2">
      <c r="A2461" s="482">
        <f t="shared" si="831"/>
        <v>0</v>
      </c>
      <c r="B2461" s="445">
        <f t="shared" si="832"/>
        <v>0</v>
      </c>
      <c r="C2461" s="436">
        <f t="shared" si="833"/>
        <v>0</v>
      </c>
      <c r="D2461" s="493">
        <f t="shared" si="834"/>
        <v>0</v>
      </c>
      <c r="E2461" s="437"/>
      <c r="F2461" s="439">
        <f t="shared" si="835"/>
        <v>0</v>
      </c>
      <c r="G2461" s="439">
        <f t="shared" si="836"/>
        <v>0</v>
      </c>
    </row>
    <row r="2462" spans="1:7" ht="19.899999999999999" customHeight="1" x14ac:dyDescent="0.2">
      <c r="A2462" s="482">
        <f t="shared" si="831"/>
        <v>0</v>
      </c>
      <c r="B2462" s="445">
        <f t="shared" si="832"/>
        <v>0</v>
      </c>
      <c r="C2462" s="436">
        <f t="shared" si="833"/>
        <v>0</v>
      </c>
      <c r="D2462" s="493">
        <f t="shared" si="834"/>
        <v>0</v>
      </c>
      <c r="E2462" s="437"/>
      <c r="F2462" s="439">
        <f t="shared" si="835"/>
        <v>0</v>
      </c>
      <c r="G2462" s="439">
        <f t="shared" si="836"/>
        <v>0</v>
      </c>
    </row>
    <row r="2463" spans="1:7" ht="19.899999999999999" customHeight="1" x14ac:dyDescent="0.2">
      <c r="A2463" s="482">
        <f t="shared" si="831"/>
        <v>0</v>
      </c>
      <c r="B2463" s="445">
        <f t="shared" si="832"/>
        <v>0</v>
      </c>
      <c r="C2463" s="436">
        <f t="shared" si="833"/>
        <v>0</v>
      </c>
      <c r="D2463" s="493">
        <f t="shared" si="834"/>
        <v>0</v>
      </c>
      <c r="E2463" s="437"/>
      <c r="F2463" s="439">
        <f t="shared" si="835"/>
        <v>0</v>
      </c>
      <c r="G2463" s="439">
        <f t="shared" si="836"/>
        <v>0</v>
      </c>
    </row>
    <row r="2464" spans="1:7" ht="19.899999999999999" customHeight="1" x14ac:dyDescent="0.2">
      <c r="A2464" s="482">
        <f t="shared" si="831"/>
        <v>0</v>
      </c>
      <c r="B2464" s="445">
        <f t="shared" si="832"/>
        <v>0</v>
      </c>
      <c r="C2464" s="436">
        <f t="shared" si="833"/>
        <v>0</v>
      </c>
      <c r="D2464" s="493">
        <f t="shared" si="834"/>
        <v>0</v>
      </c>
      <c r="E2464" s="437"/>
      <c r="F2464" s="439">
        <f t="shared" si="835"/>
        <v>0</v>
      </c>
      <c r="G2464" s="439">
        <f t="shared" si="836"/>
        <v>0</v>
      </c>
    </row>
    <row r="2465" spans="1:7" ht="19.899999999999999" customHeight="1" x14ac:dyDescent="0.2">
      <c r="A2465" s="480"/>
      <c r="B2465" s="139"/>
      <c r="C2465" s="139"/>
      <c r="D2465" s="426"/>
      <c r="E2465" s="427"/>
      <c r="F2465" s="448" t="s">
        <v>29</v>
      </c>
      <c r="G2465" s="485">
        <f>SUBTOTAL(9,G2454:G2464)</f>
        <v>0</v>
      </c>
    </row>
    <row r="2466" spans="1:7" ht="19.899999999999999" customHeight="1" x14ac:dyDescent="0.2">
      <c r="A2466" s="480"/>
      <c r="B2466" s="139"/>
      <c r="C2466" s="422" t="s">
        <v>983</v>
      </c>
      <c r="D2466" s="426"/>
      <c r="E2466" s="427"/>
      <c r="F2466" s="428"/>
      <c r="G2466" s="481"/>
    </row>
    <row r="2467" spans="1:7" ht="19.899999999999999" customHeight="1" x14ac:dyDescent="0.2">
      <c r="A2467" s="720" t="s">
        <v>576</v>
      </c>
      <c r="B2467" s="721"/>
      <c r="C2467" s="722" t="s">
        <v>0</v>
      </c>
      <c r="D2467" s="722" t="s">
        <v>1725</v>
      </c>
      <c r="E2467" s="724" t="s">
        <v>24</v>
      </c>
      <c r="F2467" s="726" t="s">
        <v>25</v>
      </c>
      <c r="G2467" s="728" t="s">
        <v>26</v>
      </c>
    </row>
    <row r="2468" spans="1:7" ht="19.899999999999999" customHeight="1" x14ac:dyDescent="0.2">
      <c r="A2468" s="444" t="s">
        <v>577</v>
      </c>
      <c r="B2468" s="444" t="s">
        <v>578</v>
      </c>
      <c r="C2468" s="723"/>
      <c r="D2468" s="723"/>
      <c r="E2468" s="725"/>
      <c r="F2468" s="727"/>
      <c r="G2468" s="729"/>
    </row>
    <row r="2469" spans="1:7" ht="19.899999999999999" customHeight="1" x14ac:dyDescent="0.2">
      <c r="A2469" s="482">
        <f>IFERROR(VLOOKUP(C2469,T_Insumos,4,FALSE),0)</f>
        <v>0</v>
      </c>
      <c r="B2469" s="445">
        <f>IFERROR(VLOOKUP(C2469,T_Insumos,5,FALSE),0)</f>
        <v>0</v>
      </c>
      <c r="C2469" s="436"/>
      <c r="D2469" s="493">
        <f>IF(C2469=0,0,"$/tnkm")</f>
        <v>0</v>
      </c>
      <c r="E2469" s="437"/>
      <c r="F2469" s="439">
        <f>IFERROR(VLOOKUP(C2469,T_Insumos,3,FALSE),0)</f>
        <v>0</v>
      </c>
      <c r="G2469" s="439">
        <f>ROUND(E2469*F2469,2)</f>
        <v>0</v>
      </c>
    </row>
    <row r="2470" spans="1:7" ht="19.899999999999999" customHeight="1" x14ac:dyDescent="0.2">
      <c r="A2470" s="482">
        <f>IFERROR(VLOOKUP(C2470,T_Insumos,4,FALSE),0)</f>
        <v>0</v>
      </c>
      <c r="B2470" s="445">
        <f>IFERROR(VLOOKUP(C2470,T_Insumos,5,FALSE),0)</f>
        <v>0</v>
      </c>
      <c r="C2470" s="436"/>
      <c r="D2470" s="493">
        <f>IF(C2470=0,0,"$/tnkm")</f>
        <v>0</v>
      </c>
      <c r="E2470" s="453"/>
      <c r="F2470" s="439">
        <f>IFERROR(VLOOKUP(C2470,T_Insumos,3,FALSE),0)</f>
        <v>0</v>
      </c>
      <c r="G2470" s="439">
        <f t="shared" ref="G2470" si="837">ROUND(E2470*F2470,2)</f>
        <v>0</v>
      </c>
    </row>
    <row r="2471" spans="1:7" ht="19.899999999999999" customHeight="1" x14ac:dyDescent="0.2">
      <c r="A2471" s="480"/>
      <c r="B2471" s="139"/>
      <c r="C2471" s="139"/>
      <c r="D2471" s="426"/>
      <c r="E2471" s="427"/>
      <c r="F2471" s="448" t="s">
        <v>984</v>
      </c>
      <c r="G2471" s="485">
        <f>SUBTOTAL(9,G2469:G2470)</f>
        <v>0</v>
      </c>
    </row>
    <row r="2472" spans="1:7" ht="19.899999999999999" customHeight="1" x14ac:dyDescent="0.2">
      <c r="A2472" s="483"/>
      <c r="B2472" s="426"/>
      <c r="C2472" s="139"/>
      <c r="D2472" s="426"/>
      <c r="E2472" s="427"/>
      <c r="F2472" s="428"/>
      <c r="G2472" s="481"/>
    </row>
    <row r="2473" spans="1:7" ht="19.899999999999999" customHeight="1" x14ac:dyDescent="0.2">
      <c r="A2473" s="541" t="str">
        <f>B2407</f>
        <v/>
      </c>
      <c r="B2473" s="538">
        <f ca="1">C2407</f>
        <v>0</v>
      </c>
      <c r="C2473" s="426"/>
      <c r="D2473" s="426" t="s">
        <v>1704</v>
      </c>
      <c r="E2473" s="539"/>
      <c r="F2473" s="540" t="str">
        <f ca="1">"$/"&amp;G2407</f>
        <v>$/0</v>
      </c>
      <c r="G2473" s="490">
        <f>SUBTOTAL(9,G2430:G2472)</f>
        <v>0</v>
      </c>
    </row>
    <row r="2474" spans="1:7" ht="19.899999999999999" customHeight="1" x14ac:dyDescent="0.2">
      <c r="A2474" s="486"/>
      <c r="B2474" s="487"/>
      <c r="C2474" s="488"/>
      <c r="D2474" s="488" t="s">
        <v>1900</v>
      </c>
      <c r="E2474" s="489"/>
      <c r="F2474" s="542" t="str">
        <f ca="1">"$/"&amp;G2407</f>
        <v>$/0</v>
      </c>
      <c r="G2474" s="490">
        <f>ROUND(G2473*Coeficiente_Paso,2)</f>
        <v>0</v>
      </c>
    </row>
    <row r="2475" spans="1:7" ht="19.899999999999999" customHeight="1" x14ac:dyDescent="0.2">
      <c r="A2475" s="139"/>
      <c r="B2475" s="139"/>
      <c r="C2475" s="139"/>
      <c r="D2475" s="139"/>
      <c r="E2475" s="139"/>
      <c r="F2475" s="139"/>
      <c r="G2475" s="139"/>
    </row>
    <row r="2476" spans="1:7" ht="19.899999999999999" customHeight="1" x14ac:dyDescent="0.2">
      <c r="A2476" s="730" t="s">
        <v>31</v>
      </c>
      <c r="B2476" s="731"/>
      <c r="C2476" s="731"/>
      <c r="D2476" s="731"/>
      <c r="E2476" s="731"/>
      <c r="F2476" s="731"/>
      <c r="G2476" s="732"/>
    </row>
    <row r="2477" spans="1:7" ht="19.899999999999999" customHeight="1" x14ac:dyDescent="0.2">
      <c r="A2477" s="469" t="s">
        <v>711</v>
      </c>
      <c r="B2477" s="420" t="str">
        <f>Comitente</f>
        <v>DEPARTAMENTO DE HIDRAULICA</v>
      </c>
      <c r="C2477" s="421"/>
      <c r="D2477" s="422"/>
      <c r="E2477" s="422"/>
      <c r="F2477" s="423"/>
      <c r="G2477" s="470"/>
    </row>
    <row r="2478" spans="1:7" ht="19.899999999999999" customHeight="1" x14ac:dyDescent="0.2">
      <c r="A2478" s="469" t="s">
        <v>712</v>
      </c>
      <c r="B2478" s="420">
        <f>Contratista</f>
        <v>0</v>
      </c>
      <c r="C2478" s="424"/>
      <c r="D2478" s="424"/>
      <c r="E2478" s="424"/>
      <c r="F2478" s="420"/>
      <c r="G2478" s="471"/>
    </row>
    <row r="2479" spans="1:7" ht="19.899999999999999" customHeight="1" x14ac:dyDescent="0.2">
      <c r="A2479" s="469" t="s">
        <v>21</v>
      </c>
      <c r="B2479" s="420" t="str">
        <f>Obra</f>
        <v>Encamisado Parcial del Canal de Calle América</v>
      </c>
      <c r="C2479" s="424"/>
      <c r="D2479" s="424"/>
      <c r="E2479" s="424"/>
      <c r="F2479" s="420" t="s">
        <v>32</v>
      </c>
      <c r="G2479" s="471" t="str">
        <f>Fecha_Base</f>
        <v>X/X/2023</v>
      </c>
    </row>
    <row r="2480" spans="1:7" ht="19.899999999999999" customHeight="1" x14ac:dyDescent="0.2">
      <c r="A2480" s="472" t="s">
        <v>710</v>
      </c>
      <c r="B2480" s="425" t="str">
        <f>Ubicación</f>
        <v>Departamento Rawson</v>
      </c>
      <c r="C2480" s="425"/>
      <c r="D2480" s="426"/>
      <c r="E2480" s="427"/>
      <c r="F2480" s="428"/>
      <c r="G2480" s="473"/>
    </row>
    <row r="2481" spans="1:7" ht="19.899999999999999" customHeight="1" x14ac:dyDescent="0.2">
      <c r="A2481" s="472" t="s">
        <v>33</v>
      </c>
      <c r="B2481" s="429" t="str">
        <f>IFERROR(VALUE(LEFT(B2482,FIND(".",B2482)-1)),"")</f>
        <v/>
      </c>
      <c r="C2481" s="139">
        <f ca="1">IFERROR(VLOOKUP(B2481,T_Computo_Presupuesto,2,FALSE),0)</f>
        <v>0</v>
      </c>
      <c r="D2481" s="139"/>
      <c r="E2481" s="427"/>
      <c r="F2481" s="428"/>
      <c r="G2481" s="473"/>
    </row>
    <row r="2482" spans="1:7" ht="19.899999999999999" customHeight="1" x14ac:dyDescent="0.2">
      <c r="A2482" s="472" t="s">
        <v>22</v>
      </c>
      <c r="B2482" s="430" t="str">
        <f>IFERROR(VLOOKUP(COUNTIF($A$1:A2482,"ANALISIS DE PRECIOS"),T_NumeroItem,2,FALSE),"")</f>
        <v/>
      </c>
      <c r="C2482" s="733">
        <f ca="1">IFERROR(VLOOKUP(B2482,T_Computo_Presupuesto,2,FALSE),0)</f>
        <v>0</v>
      </c>
      <c r="D2482" s="733"/>
      <c r="E2482" s="733"/>
      <c r="F2482" s="425" t="s">
        <v>23</v>
      </c>
      <c r="G2482" s="474">
        <f ca="1">IFERROR(VLOOKUP(B2482,T_Computo_Presupuesto,4,FALSE),0)</f>
        <v>0</v>
      </c>
    </row>
    <row r="2483" spans="1:7" ht="19.899999999999999" customHeight="1" x14ac:dyDescent="0.2">
      <c r="A2483" s="472"/>
      <c r="B2483" s="425"/>
      <c r="C2483" s="139"/>
      <c r="D2483" s="426"/>
      <c r="E2483" s="427"/>
      <c r="F2483" s="139"/>
      <c r="G2483" s="475"/>
    </row>
    <row r="2484" spans="1:7" ht="19.899999999999999" customHeight="1" x14ac:dyDescent="0.2">
      <c r="A2484" s="476"/>
      <c r="B2484" s="431"/>
      <c r="C2484" s="432" t="s">
        <v>967</v>
      </c>
      <c r="D2484" s="431"/>
      <c r="E2484" s="431"/>
      <c r="F2484" s="431"/>
      <c r="G2484" s="477"/>
    </row>
    <row r="2485" spans="1:7" ht="19.899999999999999" customHeight="1" x14ac:dyDescent="0.2">
      <c r="A2485" s="472"/>
      <c r="B2485" s="433"/>
      <c r="C2485" s="139"/>
      <c r="D2485" s="426"/>
      <c r="E2485" s="427"/>
      <c r="F2485" s="425"/>
      <c r="G2485" s="474"/>
    </row>
    <row r="2486" spans="1:7" ht="19.899999999999999" customHeight="1" x14ac:dyDescent="0.2">
      <c r="A2486" s="472"/>
      <c r="B2486" s="433"/>
      <c r="C2486" s="434" t="s">
        <v>968</v>
      </c>
      <c r="D2486" s="435" t="s">
        <v>24</v>
      </c>
      <c r="E2486" s="435" t="s">
        <v>969</v>
      </c>
      <c r="F2486" s="435" t="s">
        <v>970</v>
      </c>
      <c r="G2486" s="434" t="s">
        <v>971</v>
      </c>
    </row>
    <row r="2487" spans="1:7" ht="19.899999999999999" customHeight="1" x14ac:dyDescent="0.2">
      <c r="A2487" s="472"/>
      <c r="B2487" s="433"/>
      <c r="C2487" s="436">
        <f>+C2262</f>
        <v>0</v>
      </c>
      <c r="D2487" s="436">
        <f>+D2262</f>
        <v>0</v>
      </c>
      <c r="E2487" s="438">
        <f t="shared" ref="E2487:E2496" si="838">IFERROR(VLOOKUP(C2487,T_Equipos,4,FALSE),0)</f>
        <v>0</v>
      </c>
      <c r="F2487" s="439">
        <f t="shared" ref="F2487:F2496" si="839">IFERROR(VLOOKUP(C2487,T_Equipos,5,FALSE),0)</f>
        <v>0</v>
      </c>
      <c r="G2487" s="439">
        <f>ROUND(D2487*F2487,2)</f>
        <v>0</v>
      </c>
    </row>
    <row r="2488" spans="1:7" ht="19.899999999999999" customHeight="1" x14ac:dyDescent="0.2">
      <c r="A2488" s="472"/>
      <c r="B2488" s="433"/>
      <c r="C2488" s="436">
        <f t="shared" ref="C2488:D2488" si="840">+C2263</f>
        <v>0</v>
      </c>
      <c r="D2488" s="436">
        <f t="shared" si="840"/>
        <v>0</v>
      </c>
      <c r="E2488" s="438">
        <f t="shared" si="838"/>
        <v>0</v>
      </c>
      <c r="F2488" s="439">
        <f t="shared" si="839"/>
        <v>0</v>
      </c>
      <c r="G2488" s="439">
        <f>ROUND(D2488*F2488,2)</f>
        <v>0</v>
      </c>
    </row>
    <row r="2489" spans="1:7" ht="19.899999999999999" customHeight="1" x14ac:dyDescent="0.2">
      <c r="A2489" s="472"/>
      <c r="B2489" s="433"/>
      <c r="C2489" s="436">
        <f t="shared" ref="C2489" si="841">+C2264</f>
        <v>0</v>
      </c>
      <c r="D2489" s="436"/>
      <c r="E2489" s="438">
        <f t="shared" si="838"/>
        <v>0</v>
      </c>
      <c r="F2489" s="439">
        <f t="shared" si="839"/>
        <v>0</v>
      </c>
      <c r="G2489" s="439">
        <f>ROUND(D2489*F2489,2)</f>
        <v>0</v>
      </c>
    </row>
    <row r="2490" spans="1:7" ht="19.899999999999999" customHeight="1" x14ac:dyDescent="0.2">
      <c r="A2490" s="472"/>
      <c r="B2490" s="433"/>
      <c r="C2490" s="436">
        <f t="shared" ref="C2490" si="842">+C2265</f>
        <v>0</v>
      </c>
      <c r="D2490" s="436"/>
      <c r="E2490" s="438">
        <f t="shared" si="838"/>
        <v>0</v>
      </c>
      <c r="F2490" s="439">
        <f t="shared" si="839"/>
        <v>0</v>
      </c>
      <c r="G2490" s="439">
        <f>ROUND(D2490*F2490,2)</f>
        <v>0</v>
      </c>
    </row>
    <row r="2491" spans="1:7" ht="19.899999999999999" customHeight="1" x14ac:dyDescent="0.2">
      <c r="A2491" s="472"/>
      <c r="B2491" s="433"/>
      <c r="C2491" s="436">
        <f t="shared" ref="C2491" si="843">+C2266</f>
        <v>0</v>
      </c>
      <c r="D2491" s="436"/>
      <c r="E2491" s="438">
        <f t="shared" si="838"/>
        <v>0</v>
      </c>
      <c r="F2491" s="439">
        <f t="shared" si="839"/>
        <v>0</v>
      </c>
      <c r="G2491" s="439">
        <f t="shared" ref="G2491:G2496" si="844">ROUND(D2491*F2491,2)</f>
        <v>0</v>
      </c>
    </row>
    <row r="2492" spans="1:7" ht="19.899999999999999" customHeight="1" x14ac:dyDescent="0.2">
      <c r="A2492" s="472"/>
      <c r="B2492" s="433"/>
      <c r="C2492" s="436">
        <f t="shared" ref="C2492" si="845">+C2267</f>
        <v>0</v>
      </c>
      <c r="D2492" s="436"/>
      <c r="E2492" s="438">
        <f t="shared" si="838"/>
        <v>0</v>
      </c>
      <c r="F2492" s="439">
        <f t="shared" si="839"/>
        <v>0</v>
      </c>
      <c r="G2492" s="439">
        <f t="shared" si="844"/>
        <v>0</v>
      </c>
    </row>
    <row r="2493" spans="1:7" ht="19.899999999999999" customHeight="1" x14ac:dyDescent="0.2">
      <c r="A2493" s="472"/>
      <c r="B2493" s="433"/>
      <c r="C2493" s="436">
        <f t="shared" ref="C2493:D2493" si="846">+C2268</f>
        <v>0</v>
      </c>
      <c r="D2493" s="436">
        <f t="shared" si="846"/>
        <v>0</v>
      </c>
      <c r="E2493" s="438">
        <f t="shared" si="838"/>
        <v>0</v>
      </c>
      <c r="F2493" s="439">
        <f t="shared" si="839"/>
        <v>0</v>
      </c>
      <c r="G2493" s="439">
        <f t="shared" si="844"/>
        <v>0</v>
      </c>
    </row>
    <row r="2494" spans="1:7" ht="19.899999999999999" customHeight="1" x14ac:dyDescent="0.2">
      <c r="A2494" s="472"/>
      <c r="B2494" s="433"/>
      <c r="C2494" s="436">
        <f t="shared" ref="C2494:D2494" si="847">+C2269</f>
        <v>0</v>
      </c>
      <c r="D2494" s="436">
        <f t="shared" si="847"/>
        <v>0</v>
      </c>
      <c r="E2494" s="438">
        <f t="shared" si="838"/>
        <v>0</v>
      </c>
      <c r="F2494" s="439">
        <f t="shared" si="839"/>
        <v>0</v>
      </c>
      <c r="G2494" s="439">
        <f t="shared" si="844"/>
        <v>0</v>
      </c>
    </row>
    <row r="2495" spans="1:7" ht="19.899999999999999" customHeight="1" x14ac:dyDescent="0.2">
      <c r="A2495" s="472"/>
      <c r="B2495" s="433"/>
      <c r="C2495" s="436"/>
      <c r="D2495" s="437"/>
      <c r="E2495" s="438">
        <f t="shared" si="838"/>
        <v>0</v>
      </c>
      <c r="F2495" s="439">
        <f t="shared" si="839"/>
        <v>0</v>
      </c>
      <c r="G2495" s="439">
        <f t="shared" si="844"/>
        <v>0</v>
      </c>
    </row>
    <row r="2496" spans="1:7" ht="19.899999999999999" customHeight="1" x14ac:dyDescent="0.2">
      <c r="A2496" s="472"/>
      <c r="B2496" s="433"/>
      <c r="C2496" s="436"/>
      <c r="D2496" s="437"/>
      <c r="E2496" s="438">
        <f t="shared" si="838"/>
        <v>0</v>
      </c>
      <c r="F2496" s="439">
        <f t="shared" si="839"/>
        <v>0</v>
      </c>
      <c r="G2496" s="439">
        <f t="shared" si="844"/>
        <v>0</v>
      </c>
    </row>
    <row r="2497" spans="1:7" ht="19.899999999999999" customHeight="1" x14ac:dyDescent="0.2">
      <c r="A2497" s="472"/>
      <c r="B2497" s="433"/>
      <c r="C2497" s="139"/>
      <c r="D2497" s="139"/>
      <c r="E2497" s="440"/>
      <c r="F2497" s="425"/>
      <c r="G2497" s="474"/>
    </row>
    <row r="2498" spans="1:7" ht="19.899999999999999" customHeight="1" x14ac:dyDescent="0.2">
      <c r="A2498" s="472"/>
      <c r="B2498" s="139"/>
      <c r="C2498" s="422" t="s">
        <v>972</v>
      </c>
      <c r="D2498" s="425" t="s">
        <v>969</v>
      </c>
      <c r="E2498" s="491">
        <f>SUMPRODUCT(D2487:D2496,E2487:E2496)</f>
        <v>0</v>
      </c>
      <c r="F2498" s="425" t="s">
        <v>973</v>
      </c>
      <c r="G2498" s="492">
        <f>SUM(G2487:G2496)</f>
        <v>0</v>
      </c>
    </row>
    <row r="2499" spans="1:7" ht="19.899999999999999" customHeight="1" x14ac:dyDescent="0.2">
      <c r="A2499" s="472"/>
      <c r="B2499" s="433"/>
      <c r="C2499" s="441"/>
      <c r="D2499" s="440"/>
      <c r="E2499" s="427"/>
      <c r="F2499" s="425"/>
      <c r="G2499" s="478"/>
    </row>
    <row r="2500" spans="1:7" ht="19.899999999999999" customHeight="1" x14ac:dyDescent="0.2">
      <c r="A2500" s="479"/>
      <c r="B2500" s="433"/>
      <c r="C2500" s="425" t="s">
        <v>974</v>
      </c>
      <c r="D2500" s="442">
        <f>IFERROR(VLOOKUP(COUNTIF($A$1:A2500,"ANALISIS DE PRECIOS"),T_Rendimiento_Equipo,5,FALSE),0)</f>
        <v>0</v>
      </c>
      <c r="E2500" s="443" t="str">
        <f ca="1">G2482&amp;"/día"</f>
        <v>0/día</v>
      </c>
      <c r="F2500" s="419"/>
      <c r="G2500" s="474"/>
    </row>
    <row r="2501" spans="1:7" ht="19.899999999999999" customHeight="1" x14ac:dyDescent="0.2">
      <c r="A2501" s="472"/>
      <c r="B2501" s="433"/>
      <c r="C2501" s="139"/>
      <c r="D2501" s="426"/>
      <c r="E2501" s="427"/>
      <c r="F2501" s="425"/>
      <c r="G2501" s="474"/>
    </row>
    <row r="2502" spans="1:7" ht="19.899999999999999" customHeight="1" x14ac:dyDescent="0.2">
      <c r="A2502" s="720" t="s">
        <v>576</v>
      </c>
      <c r="B2502" s="721"/>
      <c r="C2502" s="722" t="s">
        <v>0</v>
      </c>
      <c r="D2502" s="734" t="s">
        <v>1724</v>
      </c>
      <c r="E2502" s="734" t="s">
        <v>1723</v>
      </c>
      <c r="F2502" s="726" t="s">
        <v>975</v>
      </c>
      <c r="G2502" s="728" t="s">
        <v>26</v>
      </c>
    </row>
    <row r="2503" spans="1:7" ht="19.899999999999999" customHeight="1" x14ac:dyDescent="0.2">
      <c r="A2503" s="444" t="s">
        <v>577</v>
      </c>
      <c r="B2503" s="444" t="s">
        <v>578</v>
      </c>
      <c r="C2503" s="723"/>
      <c r="D2503" s="735"/>
      <c r="E2503" s="725"/>
      <c r="F2503" s="727"/>
      <c r="G2503" s="729"/>
    </row>
    <row r="2504" spans="1:7" ht="19.899999999999999" customHeight="1" x14ac:dyDescent="0.2">
      <c r="A2504" s="480"/>
      <c r="B2504" s="139"/>
      <c r="C2504" s="422" t="s">
        <v>976</v>
      </c>
      <c r="D2504" s="427"/>
      <c r="E2504" s="427"/>
      <c r="F2504" s="139"/>
      <c r="G2504" s="481"/>
    </row>
    <row r="2505" spans="1:7" ht="19.899999999999999" customHeight="1" x14ac:dyDescent="0.2">
      <c r="A2505" s="482">
        <f t="shared" ref="A2505:A2513" si="848">IFERROR(VLOOKUP(C2505,T_Insumos,4,FALSE),0)</f>
        <v>0</v>
      </c>
      <c r="B2505" s="445">
        <f t="shared" ref="B2505:B2513" si="849">IFERROR(VLOOKUP(C2505,T_Insumos,5,FALSE),0)</f>
        <v>0</v>
      </c>
      <c r="C2505" s="436">
        <f>+C2205</f>
        <v>0</v>
      </c>
      <c r="D2505" s="446">
        <f t="shared" ref="D2505:D2513" si="850">IFERROR(VLOOKUP(C2505,T_Insumos,3,FALSE),0)</f>
        <v>0</v>
      </c>
      <c r="E2505" s="439">
        <f>D2505*$G$323</f>
        <v>0</v>
      </c>
      <c r="F2505" s="442">
        <f>IF(C2505="",0,IFERROR(VLOOKUP(COUNTIF($A$1:A2505,"ANALISIS DE PRECIOS"),T_Rendimiento_Equipo,5,FALSE),0))</f>
        <v>0</v>
      </c>
      <c r="G2505" s="439">
        <f>IFERROR(ROUND(E2505/F2505,2),0)</f>
        <v>0</v>
      </c>
    </row>
    <row r="2506" spans="1:7" ht="19.899999999999999" customHeight="1" x14ac:dyDescent="0.2">
      <c r="A2506" s="482">
        <f t="shared" si="848"/>
        <v>0</v>
      </c>
      <c r="B2506" s="445">
        <f t="shared" si="849"/>
        <v>0</v>
      </c>
      <c r="C2506" s="436">
        <f t="shared" ref="C2506:C2508" si="851">+C2206</f>
        <v>0</v>
      </c>
      <c r="D2506" s="446">
        <f t="shared" si="850"/>
        <v>0</v>
      </c>
      <c r="E2506" s="439">
        <f t="shared" ref="E2506:E2507" si="852">D2506*$G$323</f>
        <v>0</v>
      </c>
      <c r="F2506" s="442">
        <f>IF(C2506="",0,IFERROR(VLOOKUP(COUNTIF($A$1:A2506,"ANALISIS DE PRECIOS"),T_Rendimiento_Equipo,5,FALSE),0))</f>
        <v>0</v>
      </c>
      <c r="G2506" s="439">
        <f t="shared" ref="G2506:G2513" si="853">IFERROR(ROUND(E2506/F2506,2),0)</f>
        <v>0</v>
      </c>
    </row>
    <row r="2507" spans="1:7" ht="19.899999999999999" customHeight="1" x14ac:dyDescent="0.2">
      <c r="A2507" s="482">
        <f t="shared" si="848"/>
        <v>0</v>
      </c>
      <c r="B2507" s="445">
        <f t="shared" si="849"/>
        <v>0</v>
      </c>
      <c r="C2507" s="436">
        <f t="shared" si="851"/>
        <v>0</v>
      </c>
      <c r="D2507" s="446">
        <f t="shared" si="850"/>
        <v>0</v>
      </c>
      <c r="E2507" s="439">
        <f t="shared" si="852"/>
        <v>0</v>
      </c>
      <c r="F2507" s="442">
        <f>IF(C2507="",0,IFERROR(VLOOKUP(COUNTIF($A$1:A2507,"ANALISIS DE PRECIOS"),T_Rendimiento_Equipo,5,FALSE),0))</f>
        <v>0</v>
      </c>
      <c r="G2507" s="439">
        <f t="shared" si="853"/>
        <v>0</v>
      </c>
    </row>
    <row r="2508" spans="1:7" ht="19.899999999999999" customHeight="1" x14ac:dyDescent="0.2">
      <c r="A2508" s="482">
        <f t="shared" si="848"/>
        <v>0</v>
      </c>
      <c r="B2508" s="445">
        <f t="shared" si="849"/>
        <v>0</v>
      </c>
      <c r="C2508" s="436">
        <f t="shared" si="851"/>
        <v>0</v>
      </c>
      <c r="D2508" s="446">
        <f t="shared" si="850"/>
        <v>0</v>
      </c>
      <c r="E2508" s="439">
        <f>D2508*$E$323</f>
        <v>0</v>
      </c>
      <c r="F2508" s="442">
        <f>IF(C2508="",0,IFERROR(VLOOKUP(COUNTIF($A$1:A2508,"ANALISIS DE PRECIOS"),T_Rendimiento_Equipo,5,FALSE),0))</f>
        <v>0</v>
      </c>
      <c r="G2508" s="439">
        <f t="shared" si="853"/>
        <v>0</v>
      </c>
    </row>
    <row r="2509" spans="1:7" ht="19.899999999999999" customHeight="1" x14ac:dyDescent="0.2">
      <c r="A2509" s="482">
        <f t="shared" si="848"/>
        <v>0</v>
      </c>
      <c r="B2509" s="445">
        <f t="shared" si="849"/>
        <v>0</v>
      </c>
      <c r="C2509" s="447"/>
      <c r="D2509" s="446">
        <f t="shared" si="850"/>
        <v>0</v>
      </c>
      <c r="E2509" s="439"/>
      <c r="F2509" s="442">
        <f>IF(C2509="",0,IFERROR(VLOOKUP(COUNTIF($A$1:A2509,"ANALISIS DE PRECIOS"),T_Rendimiento_Equipo,5,FALSE),0))</f>
        <v>0</v>
      </c>
      <c r="G2509" s="439">
        <f t="shared" si="853"/>
        <v>0</v>
      </c>
    </row>
    <row r="2510" spans="1:7" ht="19.899999999999999" customHeight="1" x14ac:dyDescent="0.2">
      <c r="A2510" s="482">
        <f t="shared" si="848"/>
        <v>0</v>
      </c>
      <c r="B2510" s="445">
        <f t="shared" si="849"/>
        <v>0</v>
      </c>
      <c r="C2510" s="447"/>
      <c r="D2510" s="446">
        <f t="shared" si="850"/>
        <v>0</v>
      </c>
      <c r="E2510" s="439"/>
      <c r="F2510" s="442">
        <f>IF(C2510="",0,IFERROR(VLOOKUP(COUNTIF($A$1:A2510,"ANALISIS DE PRECIOS"),T_Rendimiento_Equipo,5,FALSE),0))</f>
        <v>0</v>
      </c>
      <c r="G2510" s="439">
        <f t="shared" si="853"/>
        <v>0</v>
      </c>
    </row>
    <row r="2511" spans="1:7" ht="19.899999999999999" customHeight="1" x14ac:dyDescent="0.2">
      <c r="A2511" s="482">
        <f t="shared" si="848"/>
        <v>0</v>
      </c>
      <c r="B2511" s="445">
        <f t="shared" si="849"/>
        <v>0</v>
      </c>
      <c r="C2511" s="447"/>
      <c r="D2511" s="446">
        <f t="shared" si="850"/>
        <v>0</v>
      </c>
      <c r="E2511" s="439"/>
      <c r="F2511" s="442">
        <f>IF(C2511="",0,IFERROR(VLOOKUP(COUNTIF($A$1:A2511,"ANALISIS DE PRECIOS"),T_Rendimiento_Equipo,5,FALSE),0))</f>
        <v>0</v>
      </c>
      <c r="G2511" s="439">
        <f t="shared" si="853"/>
        <v>0</v>
      </c>
    </row>
    <row r="2512" spans="1:7" ht="19.899999999999999" customHeight="1" x14ac:dyDescent="0.2">
      <c r="A2512" s="482">
        <f t="shared" si="848"/>
        <v>0</v>
      </c>
      <c r="B2512" s="445">
        <f t="shared" si="849"/>
        <v>0</v>
      </c>
      <c r="C2512" s="447"/>
      <c r="D2512" s="446">
        <f t="shared" si="850"/>
        <v>0</v>
      </c>
      <c r="E2512" s="439"/>
      <c r="F2512" s="442">
        <f>IF(C2512="",0,IFERROR(VLOOKUP(COUNTIF($A$1:A2512,"ANALISIS DE PRECIOS"),T_Rendimiento_Equipo,5,FALSE),0))</f>
        <v>0</v>
      </c>
      <c r="G2512" s="439">
        <f t="shared" si="853"/>
        <v>0</v>
      </c>
    </row>
    <row r="2513" spans="1:7" ht="19.899999999999999" customHeight="1" x14ac:dyDescent="0.2">
      <c r="A2513" s="482">
        <f t="shared" si="848"/>
        <v>0</v>
      </c>
      <c r="B2513" s="445">
        <f t="shared" si="849"/>
        <v>0</v>
      </c>
      <c r="C2513" s="436"/>
      <c r="D2513" s="446">
        <f t="shared" si="850"/>
        <v>0</v>
      </c>
      <c r="E2513" s="439"/>
      <c r="F2513" s="442">
        <f>IF(C2513="",0,IFERROR(VLOOKUP(COUNTIF($A$1:A2513,"ANALISIS DE PRECIOS"),T_Rendimiento_Equipo,5,FALSE),0))</f>
        <v>0</v>
      </c>
      <c r="G2513" s="439">
        <f t="shared" si="853"/>
        <v>0</v>
      </c>
    </row>
    <row r="2514" spans="1:7" ht="19.899999999999999" customHeight="1" x14ac:dyDescent="0.2">
      <c r="A2514" s="483"/>
      <c r="B2514" s="426"/>
      <c r="C2514" s="139"/>
      <c r="D2514" s="426"/>
      <c r="E2514" s="427"/>
      <c r="F2514" s="448" t="s">
        <v>27</v>
      </c>
      <c r="G2514" s="484">
        <f>SUBTOTAL(9,G2505:G2513)</f>
        <v>0</v>
      </c>
    </row>
    <row r="2515" spans="1:7" ht="19.899999999999999" customHeight="1" x14ac:dyDescent="0.2">
      <c r="A2515" s="480"/>
      <c r="B2515" s="139"/>
      <c r="C2515" s="422" t="s">
        <v>713</v>
      </c>
      <c r="D2515" s="426"/>
      <c r="E2515" s="427"/>
      <c r="F2515" s="428"/>
      <c r="G2515" s="481"/>
    </row>
    <row r="2516" spans="1:7" ht="19.899999999999999" customHeight="1" x14ac:dyDescent="0.2">
      <c r="A2516" s="720" t="s">
        <v>576</v>
      </c>
      <c r="B2516" s="721"/>
      <c r="C2516" s="722" t="s">
        <v>0</v>
      </c>
      <c r="D2516" s="724" t="s">
        <v>24</v>
      </c>
      <c r="E2516" s="724" t="s">
        <v>1964</v>
      </c>
      <c r="F2516" s="726" t="s">
        <v>975</v>
      </c>
      <c r="G2516" s="728" t="s">
        <v>26</v>
      </c>
    </row>
    <row r="2517" spans="1:7" ht="19.899999999999999" customHeight="1" x14ac:dyDescent="0.2">
      <c r="A2517" s="444" t="s">
        <v>577</v>
      </c>
      <c r="B2517" s="444" t="s">
        <v>578</v>
      </c>
      <c r="C2517" s="723"/>
      <c r="D2517" s="725"/>
      <c r="E2517" s="725"/>
      <c r="F2517" s="727"/>
      <c r="G2517" s="729"/>
    </row>
    <row r="2518" spans="1:7" ht="19.899999999999999" customHeight="1" x14ac:dyDescent="0.2">
      <c r="A2518" s="482">
        <f t="shared" ref="A2518:A2524" si="854">IFERROR(VLOOKUP(C2518,T_Insumos,4,FALSE),0)</f>
        <v>0</v>
      </c>
      <c r="B2518" s="445">
        <f t="shared" ref="B2518:B2524" si="855">IFERROR(VLOOKUP(C2518,T_Insumos,5,FALSE),0)</f>
        <v>0</v>
      </c>
      <c r="C2518" s="436">
        <f t="shared" ref="C2518:C2521" si="856">+C2293</f>
        <v>0</v>
      </c>
      <c r="D2518" s="442"/>
      <c r="E2518" s="439">
        <f t="shared" ref="E2518:E2524" si="857">IFERROR(VLOOKUP(C2518,T_Insumos,3,FALSE),0)</f>
        <v>0</v>
      </c>
      <c r="F2518" s="442">
        <f>IF(C2518="",0,IFERROR(VLOOKUP(COUNTIF($A$1:A2518,"ANALISIS DE PRECIOS"),T_Rendimiento_Equipo,5,FALSE),0))</f>
        <v>0</v>
      </c>
      <c r="G2518" s="439">
        <f>IFERROR(ROUND(D2518*E2518/F2518,2),0)</f>
        <v>0</v>
      </c>
    </row>
    <row r="2519" spans="1:7" ht="19.899999999999999" customHeight="1" x14ac:dyDescent="0.2">
      <c r="A2519" s="482">
        <f t="shared" si="854"/>
        <v>0</v>
      </c>
      <c r="B2519" s="445">
        <f t="shared" si="855"/>
        <v>0</v>
      </c>
      <c r="C2519" s="436">
        <f t="shared" si="856"/>
        <v>0</v>
      </c>
      <c r="D2519" s="442">
        <v>1</v>
      </c>
      <c r="E2519" s="439">
        <f t="shared" si="857"/>
        <v>0</v>
      </c>
      <c r="F2519" s="442">
        <f>IF(C2519="",0,IFERROR(VLOOKUP(COUNTIF($A$1:A2519,"ANALISIS DE PRECIOS"),T_Rendimiento_Equipo,5,FALSE),0))</f>
        <v>0</v>
      </c>
      <c r="G2519" s="439">
        <f>IFERROR(ROUND(D2519*E2519/F2519,2),0)</f>
        <v>0</v>
      </c>
    </row>
    <row r="2520" spans="1:7" ht="19.899999999999999" customHeight="1" x14ac:dyDescent="0.2">
      <c r="A2520" s="482">
        <f t="shared" si="854"/>
        <v>0</v>
      </c>
      <c r="B2520" s="445">
        <f t="shared" si="855"/>
        <v>0</v>
      </c>
      <c r="C2520" s="436">
        <f t="shared" si="856"/>
        <v>0</v>
      </c>
      <c r="D2520" s="442"/>
      <c r="E2520" s="439">
        <f t="shared" si="857"/>
        <v>0</v>
      </c>
      <c r="F2520" s="442">
        <f>IF(C2520="",0,IFERROR(VLOOKUP(COUNTIF($A$1:A2520,"ANALISIS DE PRECIOS"),T_Rendimiento_Equipo,5,FALSE),0))</f>
        <v>0</v>
      </c>
      <c r="G2520" s="439">
        <f t="shared" ref="G2520:G2524" si="858">IFERROR(ROUND(D2520*E2520/F2520,2),0)</f>
        <v>0</v>
      </c>
    </row>
    <row r="2521" spans="1:7" ht="19.899999999999999" customHeight="1" x14ac:dyDescent="0.2">
      <c r="A2521" s="482">
        <f t="shared" si="854"/>
        <v>0</v>
      </c>
      <c r="B2521" s="445">
        <f t="shared" si="855"/>
        <v>0</v>
      </c>
      <c r="C2521" s="436">
        <f t="shared" si="856"/>
        <v>0</v>
      </c>
      <c r="D2521" s="442">
        <v>2</v>
      </c>
      <c r="E2521" s="439">
        <f t="shared" si="857"/>
        <v>0</v>
      </c>
      <c r="F2521" s="442">
        <f>IF(C2521="",0,IFERROR(VLOOKUP(COUNTIF($A$1:A2521,"ANALISIS DE PRECIOS"),T_Rendimiento_Equipo,5,FALSE),0))</f>
        <v>0</v>
      </c>
      <c r="G2521" s="439">
        <f t="shared" si="858"/>
        <v>0</v>
      </c>
    </row>
    <row r="2522" spans="1:7" ht="19.899999999999999" customHeight="1" x14ac:dyDescent="0.2">
      <c r="A2522" s="482">
        <f t="shared" si="854"/>
        <v>0</v>
      </c>
      <c r="B2522" s="445">
        <f t="shared" si="855"/>
        <v>0</v>
      </c>
      <c r="C2522" s="436"/>
      <c r="D2522" s="442"/>
      <c r="E2522" s="439">
        <f t="shared" si="857"/>
        <v>0</v>
      </c>
      <c r="F2522" s="442">
        <f>IF(C2522="",0,IFERROR(VLOOKUP(COUNTIF($A$1:A2522,"ANALISIS DE PRECIOS"),T_Rendimiento_Equipo,5,FALSE),0))</f>
        <v>0</v>
      </c>
      <c r="G2522" s="439">
        <f t="shared" si="858"/>
        <v>0</v>
      </c>
    </row>
    <row r="2523" spans="1:7" ht="19.899999999999999" customHeight="1" x14ac:dyDescent="0.2">
      <c r="A2523" s="482">
        <f t="shared" si="854"/>
        <v>0</v>
      </c>
      <c r="B2523" s="445">
        <f t="shared" si="855"/>
        <v>0</v>
      </c>
      <c r="C2523" s="436"/>
      <c r="D2523" s="450"/>
      <c r="E2523" s="439">
        <f t="shared" si="857"/>
        <v>0</v>
      </c>
      <c r="F2523" s="442">
        <f>IF(C2523="",0,IFERROR(VLOOKUP(COUNTIF($A$1:A2523,"ANALISIS DE PRECIOS"),T_Rendimiento_Equipo,5,FALSE),0))</f>
        <v>0</v>
      </c>
      <c r="G2523" s="439">
        <f t="shared" si="858"/>
        <v>0</v>
      </c>
    </row>
    <row r="2524" spans="1:7" ht="19.899999999999999" customHeight="1" x14ac:dyDescent="0.2">
      <c r="A2524" s="482">
        <f t="shared" si="854"/>
        <v>0</v>
      </c>
      <c r="B2524" s="445">
        <f t="shared" si="855"/>
        <v>0</v>
      </c>
      <c r="C2524" s="445"/>
      <c r="D2524" s="451"/>
      <c r="E2524" s="439">
        <f t="shared" si="857"/>
        <v>0</v>
      </c>
      <c r="F2524" s="442">
        <f>IF(C2524="",0,IFERROR(VLOOKUP(COUNTIF($A$1:A2524,"ANALISIS DE PRECIOS"),T_Rendimiento_Equipo,5,FALSE),0))</f>
        <v>0</v>
      </c>
      <c r="G2524" s="439">
        <f t="shared" si="858"/>
        <v>0</v>
      </c>
    </row>
    <row r="2525" spans="1:7" ht="19.899999999999999" customHeight="1" x14ac:dyDescent="0.2">
      <c r="A2525" s="483"/>
      <c r="B2525" s="426"/>
      <c r="C2525" s="139"/>
      <c r="D2525" s="426"/>
      <c r="E2525" s="427"/>
      <c r="F2525" s="448" t="s">
        <v>28</v>
      </c>
      <c r="G2525" s="485">
        <f>SUBTOTAL(9,G2518:G2524)</f>
        <v>0</v>
      </c>
    </row>
    <row r="2526" spans="1:7" ht="19.899999999999999" customHeight="1" x14ac:dyDescent="0.2">
      <c r="A2526" s="480"/>
      <c r="B2526" s="139"/>
      <c r="C2526" s="422" t="s">
        <v>982</v>
      </c>
      <c r="D2526" s="426"/>
      <c r="E2526" s="427"/>
      <c r="F2526" s="428"/>
      <c r="G2526" s="481"/>
    </row>
    <row r="2527" spans="1:7" ht="19.899999999999999" customHeight="1" x14ac:dyDescent="0.2">
      <c r="A2527" s="720" t="s">
        <v>576</v>
      </c>
      <c r="B2527" s="721"/>
      <c r="C2527" s="722" t="s">
        <v>0</v>
      </c>
      <c r="D2527" s="722" t="s">
        <v>1725</v>
      </c>
      <c r="E2527" s="724" t="s">
        <v>24</v>
      </c>
      <c r="F2527" s="726" t="s">
        <v>25</v>
      </c>
      <c r="G2527" s="728" t="s">
        <v>26</v>
      </c>
    </row>
    <row r="2528" spans="1:7" ht="19.899999999999999" customHeight="1" x14ac:dyDescent="0.2">
      <c r="A2528" s="444" t="s">
        <v>577</v>
      </c>
      <c r="B2528" s="444" t="s">
        <v>578</v>
      </c>
      <c r="C2528" s="723"/>
      <c r="D2528" s="723"/>
      <c r="E2528" s="725"/>
      <c r="F2528" s="727"/>
      <c r="G2528" s="729"/>
    </row>
    <row r="2529" spans="1:7" ht="19.899999999999999" customHeight="1" x14ac:dyDescent="0.2">
      <c r="A2529" s="482">
        <f t="shared" ref="A2529:A2539" si="859">IFERROR(VLOOKUP(C2529,T_Insumos,4,FALSE),0)</f>
        <v>0</v>
      </c>
      <c r="B2529" s="445">
        <f t="shared" ref="B2529:B2539" si="860">IFERROR(VLOOKUP(C2529,T_Insumos,5,FALSE),0)</f>
        <v>0</v>
      </c>
      <c r="C2529" s="436">
        <f t="shared" ref="C2529:C2539" si="861">+C2304</f>
        <v>0</v>
      </c>
      <c r="D2529" s="493">
        <f t="shared" ref="D2529:D2539" si="862">IFERROR(VLOOKUP(C2529,T_Insumos,2,FALSE),0)</f>
        <v>0</v>
      </c>
      <c r="E2529" s="437"/>
      <c r="F2529" s="439">
        <f t="shared" ref="F2529:F2539" si="863">IFERROR(VLOOKUP(C2529,T_Insumos,3,FALSE),0)</f>
        <v>0</v>
      </c>
      <c r="G2529" s="439">
        <f>ROUND(E2529*F2529,2)</f>
        <v>0</v>
      </c>
    </row>
    <row r="2530" spans="1:7" ht="19.899999999999999" customHeight="1" x14ac:dyDescent="0.2">
      <c r="A2530" s="482">
        <f t="shared" si="859"/>
        <v>0</v>
      </c>
      <c r="B2530" s="445">
        <f t="shared" si="860"/>
        <v>0</v>
      </c>
      <c r="C2530" s="436">
        <f t="shared" si="861"/>
        <v>0</v>
      </c>
      <c r="D2530" s="493">
        <f t="shared" si="862"/>
        <v>0</v>
      </c>
      <c r="E2530" s="437"/>
      <c r="F2530" s="439">
        <f t="shared" si="863"/>
        <v>0</v>
      </c>
      <c r="G2530" s="439">
        <f t="shared" ref="G2530:G2539" si="864">ROUND(E2530*F2530,2)</f>
        <v>0</v>
      </c>
    </row>
    <row r="2531" spans="1:7" ht="19.899999999999999" customHeight="1" x14ac:dyDescent="0.2">
      <c r="A2531" s="482">
        <f t="shared" si="859"/>
        <v>0</v>
      </c>
      <c r="B2531" s="445">
        <f t="shared" si="860"/>
        <v>0</v>
      </c>
      <c r="C2531" s="436">
        <f t="shared" si="861"/>
        <v>0</v>
      </c>
      <c r="D2531" s="493">
        <f t="shared" si="862"/>
        <v>0</v>
      </c>
      <c r="E2531" s="437"/>
      <c r="F2531" s="439">
        <f t="shared" si="863"/>
        <v>0</v>
      </c>
      <c r="G2531" s="439">
        <f t="shared" si="864"/>
        <v>0</v>
      </c>
    </row>
    <row r="2532" spans="1:7" ht="19.899999999999999" customHeight="1" x14ac:dyDescent="0.2">
      <c r="A2532" s="482">
        <f t="shared" si="859"/>
        <v>0</v>
      </c>
      <c r="B2532" s="445">
        <f t="shared" si="860"/>
        <v>0</v>
      </c>
      <c r="C2532" s="436">
        <f t="shared" si="861"/>
        <v>0</v>
      </c>
      <c r="D2532" s="493">
        <f t="shared" si="862"/>
        <v>0</v>
      </c>
      <c r="E2532" s="437"/>
      <c r="F2532" s="439">
        <f t="shared" si="863"/>
        <v>0</v>
      </c>
      <c r="G2532" s="439">
        <f t="shared" si="864"/>
        <v>0</v>
      </c>
    </row>
    <row r="2533" spans="1:7" ht="19.899999999999999" customHeight="1" x14ac:dyDescent="0.2">
      <c r="A2533" s="482">
        <f t="shared" si="859"/>
        <v>0</v>
      </c>
      <c r="B2533" s="445">
        <f t="shared" si="860"/>
        <v>0</v>
      </c>
      <c r="C2533" s="436">
        <f t="shared" si="861"/>
        <v>0</v>
      </c>
      <c r="D2533" s="493">
        <f t="shared" si="862"/>
        <v>0</v>
      </c>
      <c r="E2533" s="437"/>
      <c r="F2533" s="439">
        <f t="shared" si="863"/>
        <v>0</v>
      </c>
      <c r="G2533" s="439">
        <f t="shared" si="864"/>
        <v>0</v>
      </c>
    </row>
    <row r="2534" spans="1:7" ht="19.899999999999999" customHeight="1" x14ac:dyDescent="0.2">
      <c r="A2534" s="482">
        <f t="shared" si="859"/>
        <v>0</v>
      </c>
      <c r="B2534" s="445">
        <f t="shared" si="860"/>
        <v>0</v>
      </c>
      <c r="C2534" s="436">
        <f t="shared" si="861"/>
        <v>0</v>
      </c>
      <c r="D2534" s="493">
        <f t="shared" si="862"/>
        <v>0</v>
      </c>
      <c r="E2534" s="437"/>
      <c r="F2534" s="439">
        <f t="shared" si="863"/>
        <v>0</v>
      </c>
      <c r="G2534" s="439">
        <f t="shared" si="864"/>
        <v>0</v>
      </c>
    </row>
    <row r="2535" spans="1:7" ht="19.899999999999999" customHeight="1" x14ac:dyDescent="0.2">
      <c r="A2535" s="482">
        <f t="shared" si="859"/>
        <v>0</v>
      </c>
      <c r="B2535" s="445">
        <f t="shared" si="860"/>
        <v>0</v>
      </c>
      <c r="C2535" s="436">
        <f t="shared" si="861"/>
        <v>0</v>
      </c>
      <c r="D2535" s="493">
        <f t="shared" si="862"/>
        <v>0</v>
      </c>
      <c r="E2535" s="437"/>
      <c r="F2535" s="439">
        <f t="shared" si="863"/>
        <v>0</v>
      </c>
      <c r="G2535" s="439">
        <f t="shared" si="864"/>
        <v>0</v>
      </c>
    </row>
    <row r="2536" spans="1:7" ht="19.899999999999999" customHeight="1" x14ac:dyDescent="0.2">
      <c r="A2536" s="482">
        <f t="shared" si="859"/>
        <v>0</v>
      </c>
      <c r="B2536" s="445">
        <f t="shared" si="860"/>
        <v>0</v>
      </c>
      <c r="C2536" s="436">
        <f t="shared" si="861"/>
        <v>0</v>
      </c>
      <c r="D2536" s="493">
        <f t="shared" si="862"/>
        <v>0</v>
      </c>
      <c r="E2536" s="437"/>
      <c r="F2536" s="439">
        <f t="shared" si="863"/>
        <v>0</v>
      </c>
      <c r="G2536" s="439">
        <f t="shared" si="864"/>
        <v>0</v>
      </c>
    </row>
    <row r="2537" spans="1:7" ht="19.899999999999999" customHeight="1" x14ac:dyDescent="0.2">
      <c r="A2537" s="482">
        <f t="shared" si="859"/>
        <v>0</v>
      </c>
      <c r="B2537" s="445">
        <f t="shared" si="860"/>
        <v>0</v>
      </c>
      <c r="C2537" s="436">
        <f t="shared" si="861"/>
        <v>0</v>
      </c>
      <c r="D2537" s="493">
        <f t="shared" si="862"/>
        <v>0</v>
      </c>
      <c r="E2537" s="437"/>
      <c r="F2537" s="439">
        <f t="shared" si="863"/>
        <v>0</v>
      </c>
      <c r="G2537" s="439">
        <f t="shared" si="864"/>
        <v>0</v>
      </c>
    </row>
    <row r="2538" spans="1:7" ht="19.899999999999999" customHeight="1" x14ac:dyDescent="0.2">
      <c r="A2538" s="482">
        <f t="shared" si="859"/>
        <v>0</v>
      </c>
      <c r="B2538" s="445">
        <f t="shared" si="860"/>
        <v>0</v>
      </c>
      <c r="C2538" s="436">
        <f t="shared" si="861"/>
        <v>0</v>
      </c>
      <c r="D2538" s="493">
        <f t="shared" si="862"/>
        <v>0</v>
      </c>
      <c r="E2538" s="437"/>
      <c r="F2538" s="439">
        <f t="shared" si="863"/>
        <v>0</v>
      </c>
      <c r="G2538" s="439">
        <f t="shared" si="864"/>
        <v>0</v>
      </c>
    </row>
    <row r="2539" spans="1:7" ht="19.899999999999999" customHeight="1" x14ac:dyDescent="0.2">
      <c r="A2539" s="482">
        <f t="shared" si="859"/>
        <v>0</v>
      </c>
      <c r="B2539" s="445">
        <f t="shared" si="860"/>
        <v>0</v>
      </c>
      <c r="C2539" s="436">
        <f t="shared" si="861"/>
        <v>0</v>
      </c>
      <c r="D2539" s="493">
        <f t="shared" si="862"/>
        <v>0</v>
      </c>
      <c r="E2539" s="437"/>
      <c r="F2539" s="439">
        <f t="shared" si="863"/>
        <v>0</v>
      </c>
      <c r="G2539" s="439">
        <f t="shared" si="864"/>
        <v>0</v>
      </c>
    </row>
    <row r="2540" spans="1:7" ht="19.899999999999999" customHeight="1" x14ac:dyDescent="0.2">
      <c r="A2540" s="480"/>
      <c r="B2540" s="139"/>
      <c r="C2540" s="139"/>
      <c r="D2540" s="426"/>
      <c r="E2540" s="427"/>
      <c r="F2540" s="448" t="s">
        <v>29</v>
      </c>
      <c r="G2540" s="485">
        <f>SUBTOTAL(9,G2529:G2539)</f>
        <v>0</v>
      </c>
    </row>
    <row r="2541" spans="1:7" ht="19.899999999999999" customHeight="1" x14ac:dyDescent="0.2">
      <c r="A2541" s="480"/>
      <c r="B2541" s="139"/>
      <c r="C2541" s="422" t="s">
        <v>983</v>
      </c>
      <c r="D2541" s="426"/>
      <c r="E2541" s="427"/>
      <c r="F2541" s="428"/>
      <c r="G2541" s="481"/>
    </row>
    <row r="2542" spans="1:7" ht="19.899999999999999" customHeight="1" x14ac:dyDescent="0.2">
      <c r="A2542" s="720" t="s">
        <v>576</v>
      </c>
      <c r="B2542" s="721"/>
      <c r="C2542" s="722" t="s">
        <v>0</v>
      </c>
      <c r="D2542" s="722" t="s">
        <v>1725</v>
      </c>
      <c r="E2542" s="724" t="s">
        <v>24</v>
      </c>
      <c r="F2542" s="726" t="s">
        <v>25</v>
      </c>
      <c r="G2542" s="728" t="s">
        <v>26</v>
      </c>
    </row>
    <row r="2543" spans="1:7" ht="19.899999999999999" customHeight="1" x14ac:dyDescent="0.2">
      <c r="A2543" s="444" t="s">
        <v>577</v>
      </c>
      <c r="B2543" s="444" t="s">
        <v>578</v>
      </c>
      <c r="C2543" s="723"/>
      <c r="D2543" s="723"/>
      <c r="E2543" s="725"/>
      <c r="F2543" s="727"/>
      <c r="G2543" s="729"/>
    </row>
    <row r="2544" spans="1:7" ht="19.899999999999999" customHeight="1" x14ac:dyDescent="0.2">
      <c r="A2544" s="482">
        <f>IFERROR(VLOOKUP(C2544,T_Insumos,4,FALSE),0)</f>
        <v>0</v>
      </c>
      <c r="B2544" s="445">
        <f>IFERROR(VLOOKUP(C2544,T_Insumos,5,FALSE),0)</f>
        <v>0</v>
      </c>
      <c r="C2544" s="436"/>
      <c r="D2544" s="493">
        <f>IF(C2544=0,0,"$/tnkm")</f>
        <v>0</v>
      </c>
      <c r="E2544" s="437"/>
      <c r="F2544" s="439">
        <f>IFERROR(VLOOKUP(C2544,T_Insumos,3,FALSE),0)</f>
        <v>0</v>
      </c>
      <c r="G2544" s="439">
        <f>ROUND(E2544*F2544,2)</f>
        <v>0</v>
      </c>
    </row>
    <row r="2545" spans="1:7" ht="19.899999999999999" customHeight="1" x14ac:dyDescent="0.2">
      <c r="A2545" s="482">
        <f>IFERROR(VLOOKUP(C2545,T_Insumos,4,FALSE),0)</f>
        <v>0</v>
      </c>
      <c r="B2545" s="445">
        <f>IFERROR(VLOOKUP(C2545,T_Insumos,5,FALSE),0)</f>
        <v>0</v>
      </c>
      <c r="C2545" s="436"/>
      <c r="D2545" s="493">
        <f>IF(C2545=0,0,"$/tnkm")</f>
        <v>0</v>
      </c>
      <c r="E2545" s="453"/>
      <c r="F2545" s="439">
        <f>IFERROR(VLOOKUP(C2545,T_Insumos,3,FALSE),0)</f>
        <v>0</v>
      </c>
      <c r="G2545" s="439">
        <f t="shared" ref="G2545" si="865">ROUND(E2545*F2545,2)</f>
        <v>0</v>
      </c>
    </row>
    <row r="2546" spans="1:7" ht="19.899999999999999" customHeight="1" x14ac:dyDescent="0.2">
      <c r="A2546" s="480"/>
      <c r="B2546" s="139"/>
      <c r="C2546" s="139"/>
      <c r="D2546" s="426"/>
      <c r="E2546" s="427"/>
      <c r="F2546" s="448" t="s">
        <v>984</v>
      </c>
      <c r="G2546" s="485">
        <f>SUBTOTAL(9,G2544:G2545)</f>
        <v>0</v>
      </c>
    </row>
    <row r="2547" spans="1:7" ht="19.899999999999999" customHeight="1" x14ac:dyDescent="0.2">
      <c r="A2547" s="483"/>
      <c r="B2547" s="426"/>
      <c r="C2547" s="139"/>
      <c r="D2547" s="426"/>
      <c r="E2547" s="427"/>
      <c r="F2547" s="428"/>
      <c r="G2547" s="481"/>
    </row>
    <row r="2548" spans="1:7" ht="19.899999999999999" customHeight="1" x14ac:dyDescent="0.2">
      <c r="A2548" s="541" t="str">
        <f>B2482</f>
        <v/>
      </c>
      <c r="B2548" s="538">
        <f ca="1">C2482</f>
        <v>0</v>
      </c>
      <c r="C2548" s="426"/>
      <c r="D2548" s="426" t="s">
        <v>1704</v>
      </c>
      <c r="E2548" s="539"/>
      <c r="F2548" s="540" t="str">
        <f ca="1">"$/"&amp;G2482</f>
        <v>$/0</v>
      </c>
      <c r="G2548" s="490">
        <f>SUBTOTAL(9,G2505:G2547)</f>
        <v>0</v>
      </c>
    </row>
    <row r="2549" spans="1:7" ht="19.899999999999999" customHeight="1" x14ac:dyDescent="0.2">
      <c r="A2549" s="486"/>
      <c r="B2549" s="487"/>
      <c r="C2549" s="488"/>
      <c r="D2549" s="488" t="s">
        <v>1900</v>
      </c>
      <c r="E2549" s="489"/>
      <c r="F2549" s="542" t="str">
        <f ca="1">"$/"&amp;G2482</f>
        <v>$/0</v>
      </c>
      <c r="G2549" s="490">
        <f>ROUND(G2548*Coeficiente_Paso,2)</f>
        <v>0</v>
      </c>
    </row>
    <row r="2550" spans="1:7" ht="19.899999999999999" customHeight="1" x14ac:dyDescent="0.2">
      <c r="A2550" s="139"/>
      <c r="B2550" s="139"/>
      <c r="C2550" s="139"/>
      <c r="D2550" s="139"/>
      <c r="E2550" s="139"/>
      <c r="F2550" s="139"/>
      <c r="G2550" s="139"/>
    </row>
    <row r="2551" spans="1:7" ht="19.899999999999999" customHeight="1" x14ac:dyDescent="0.2">
      <c r="A2551" s="730" t="s">
        <v>31</v>
      </c>
      <c r="B2551" s="731"/>
      <c r="C2551" s="731"/>
      <c r="D2551" s="731"/>
      <c r="E2551" s="731"/>
      <c r="F2551" s="731"/>
      <c r="G2551" s="732"/>
    </row>
    <row r="2552" spans="1:7" ht="19.899999999999999" customHeight="1" x14ac:dyDescent="0.2">
      <c r="A2552" s="469" t="s">
        <v>711</v>
      </c>
      <c r="B2552" s="420" t="str">
        <f>Comitente</f>
        <v>DEPARTAMENTO DE HIDRAULICA</v>
      </c>
      <c r="C2552" s="421"/>
      <c r="D2552" s="422"/>
      <c r="E2552" s="422"/>
      <c r="F2552" s="423"/>
      <c r="G2552" s="470"/>
    </row>
    <row r="2553" spans="1:7" ht="19.899999999999999" customHeight="1" x14ac:dyDescent="0.2">
      <c r="A2553" s="469" t="s">
        <v>712</v>
      </c>
      <c r="B2553" s="420">
        <f>Contratista</f>
        <v>0</v>
      </c>
      <c r="C2553" s="424"/>
      <c r="D2553" s="424"/>
      <c r="E2553" s="424"/>
      <c r="F2553" s="420"/>
      <c r="G2553" s="471"/>
    </row>
    <row r="2554" spans="1:7" ht="19.899999999999999" customHeight="1" x14ac:dyDescent="0.2">
      <c r="A2554" s="469" t="s">
        <v>21</v>
      </c>
      <c r="B2554" s="420" t="str">
        <f>Obra</f>
        <v>Encamisado Parcial del Canal de Calle América</v>
      </c>
      <c r="C2554" s="424"/>
      <c r="D2554" s="424"/>
      <c r="E2554" s="424"/>
      <c r="F2554" s="420" t="s">
        <v>32</v>
      </c>
      <c r="G2554" s="471" t="str">
        <f>Fecha_Base</f>
        <v>X/X/2023</v>
      </c>
    </row>
    <row r="2555" spans="1:7" ht="19.899999999999999" customHeight="1" x14ac:dyDescent="0.2">
      <c r="A2555" s="472" t="s">
        <v>710</v>
      </c>
      <c r="B2555" s="425" t="str">
        <f>Ubicación</f>
        <v>Departamento Rawson</v>
      </c>
      <c r="C2555" s="425"/>
      <c r="D2555" s="426"/>
      <c r="E2555" s="427"/>
      <c r="F2555" s="428"/>
      <c r="G2555" s="473"/>
    </row>
    <row r="2556" spans="1:7" ht="19.899999999999999" customHeight="1" x14ac:dyDescent="0.2">
      <c r="A2556" s="472" t="s">
        <v>33</v>
      </c>
      <c r="B2556" s="429" t="str">
        <f>IFERROR(VALUE(LEFT(B2557,FIND(".",B2557)-1)),"")</f>
        <v/>
      </c>
      <c r="C2556" s="139">
        <f ca="1">IFERROR(VLOOKUP(B2556,T_Computo_Presupuesto,2,FALSE),0)</f>
        <v>0</v>
      </c>
      <c r="D2556" s="139"/>
      <c r="E2556" s="427"/>
      <c r="F2556" s="428"/>
      <c r="G2556" s="473"/>
    </row>
    <row r="2557" spans="1:7" ht="19.899999999999999" customHeight="1" x14ac:dyDescent="0.2">
      <c r="A2557" s="472" t="s">
        <v>22</v>
      </c>
      <c r="B2557" s="430" t="str">
        <f>IFERROR(VLOOKUP(COUNTIF($A$1:A2557,"ANALISIS DE PRECIOS"),T_NumeroItem,2,FALSE),"")</f>
        <v/>
      </c>
      <c r="C2557" s="733">
        <f ca="1">IFERROR(VLOOKUP(B2557,T_Computo_Presupuesto,2,FALSE),0)</f>
        <v>0</v>
      </c>
      <c r="D2557" s="733"/>
      <c r="E2557" s="733"/>
      <c r="F2557" s="425" t="s">
        <v>23</v>
      </c>
      <c r="G2557" s="474">
        <f ca="1">IFERROR(VLOOKUP(B2557,T_Computo_Presupuesto,4,FALSE),0)</f>
        <v>0</v>
      </c>
    </row>
    <row r="2558" spans="1:7" ht="19.899999999999999" customHeight="1" x14ac:dyDescent="0.2">
      <c r="A2558" s="472"/>
      <c r="B2558" s="425"/>
      <c r="C2558" s="139"/>
      <c r="D2558" s="426"/>
      <c r="E2558" s="427"/>
      <c r="F2558" s="139"/>
      <c r="G2558" s="475"/>
    </row>
    <row r="2559" spans="1:7" ht="19.899999999999999" customHeight="1" x14ac:dyDescent="0.2">
      <c r="A2559" s="476"/>
      <c r="B2559" s="431"/>
      <c r="C2559" s="432" t="s">
        <v>967</v>
      </c>
      <c r="D2559" s="431"/>
      <c r="E2559" s="431"/>
      <c r="F2559" s="431"/>
      <c r="G2559" s="477"/>
    </row>
    <row r="2560" spans="1:7" ht="19.899999999999999" customHeight="1" x14ac:dyDescent="0.2">
      <c r="A2560" s="472"/>
      <c r="B2560" s="433"/>
      <c r="C2560" s="139"/>
      <c r="D2560" s="426"/>
      <c r="E2560" s="427"/>
      <c r="F2560" s="425"/>
      <c r="G2560" s="474"/>
    </row>
    <row r="2561" spans="1:7" ht="19.899999999999999" customHeight="1" x14ac:dyDescent="0.2">
      <c r="A2561" s="472"/>
      <c r="B2561" s="433"/>
      <c r="C2561" s="434" t="s">
        <v>968</v>
      </c>
      <c r="D2561" s="435" t="s">
        <v>24</v>
      </c>
      <c r="E2561" s="435" t="s">
        <v>969</v>
      </c>
      <c r="F2561" s="435" t="s">
        <v>970</v>
      </c>
      <c r="G2561" s="434" t="s">
        <v>971</v>
      </c>
    </row>
    <row r="2562" spans="1:7" ht="19.899999999999999" customHeight="1" x14ac:dyDescent="0.2">
      <c r="A2562" s="472"/>
      <c r="B2562" s="433"/>
      <c r="C2562" s="436">
        <f>+C2337</f>
        <v>0</v>
      </c>
      <c r="D2562" s="436">
        <f>+D2337</f>
        <v>0</v>
      </c>
      <c r="E2562" s="438">
        <f t="shared" ref="E2562:E2571" si="866">IFERROR(VLOOKUP(C2562,T_Equipos,4,FALSE),0)</f>
        <v>0</v>
      </c>
      <c r="F2562" s="439">
        <f t="shared" ref="F2562:F2571" si="867">IFERROR(VLOOKUP(C2562,T_Equipos,5,FALSE),0)</f>
        <v>0</v>
      </c>
      <c r="G2562" s="439">
        <f>ROUND(D2562*F2562,2)</f>
        <v>0</v>
      </c>
    </row>
    <row r="2563" spans="1:7" ht="19.899999999999999" customHeight="1" x14ac:dyDescent="0.2">
      <c r="A2563" s="472"/>
      <c r="B2563" s="433"/>
      <c r="C2563" s="436">
        <f t="shared" ref="C2563:D2563" si="868">+C2338</f>
        <v>0</v>
      </c>
      <c r="D2563" s="436">
        <f t="shared" si="868"/>
        <v>0</v>
      </c>
      <c r="E2563" s="438">
        <f t="shared" si="866"/>
        <v>0</v>
      </c>
      <c r="F2563" s="439">
        <f t="shared" si="867"/>
        <v>0</v>
      </c>
      <c r="G2563" s="439">
        <f>ROUND(D2563*F2563,2)</f>
        <v>0</v>
      </c>
    </row>
    <row r="2564" spans="1:7" ht="19.899999999999999" customHeight="1" x14ac:dyDescent="0.2">
      <c r="A2564" s="472"/>
      <c r="B2564" s="433"/>
      <c r="C2564" s="436">
        <f t="shared" ref="C2564" si="869">+C2339</f>
        <v>0</v>
      </c>
      <c r="D2564" s="436"/>
      <c r="E2564" s="438">
        <f t="shared" si="866"/>
        <v>0</v>
      </c>
      <c r="F2564" s="439">
        <f t="shared" si="867"/>
        <v>0</v>
      </c>
      <c r="G2564" s="439">
        <f>ROUND(D2564*F2564,2)</f>
        <v>0</v>
      </c>
    </row>
    <row r="2565" spans="1:7" ht="19.899999999999999" customHeight="1" x14ac:dyDescent="0.2">
      <c r="A2565" s="472"/>
      <c r="B2565" s="433"/>
      <c r="C2565" s="436">
        <f t="shared" ref="C2565" si="870">+C2340</f>
        <v>0</v>
      </c>
      <c r="D2565" s="436"/>
      <c r="E2565" s="438">
        <f t="shared" si="866"/>
        <v>0</v>
      </c>
      <c r="F2565" s="439">
        <f t="shared" si="867"/>
        <v>0</v>
      </c>
      <c r="G2565" s="439">
        <f>ROUND(D2565*F2565,2)</f>
        <v>0</v>
      </c>
    </row>
    <row r="2566" spans="1:7" ht="19.899999999999999" customHeight="1" x14ac:dyDescent="0.2">
      <c r="A2566" s="472"/>
      <c r="B2566" s="433"/>
      <c r="C2566" s="436">
        <f t="shared" ref="C2566" si="871">+C2341</f>
        <v>0</v>
      </c>
      <c r="D2566" s="436"/>
      <c r="E2566" s="438">
        <f t="shared" si="866"/>
        <v>0</v>
      </c>
      <c r="F2566" s="439">
        <f t="shared" si="867"/>
        <v>0</v>
      </c>
      <c r="G2566" s="439">
        <f t="shared" ref="G2566:G2571" si="872">ROUND(D2566*F2566,2)</f>
        <v>0</v>
      </c>
    </row>
    <row r="2567" spans="1:7" ht="19.899999999999999" customHeight="1" x14ac:dyDescent="0.2">
      <c r="A2567" s="472"/>
      <c r="B2567" s="433"/>
      <c r="C2567" s="436">
        <f t="shared" ref="C2567" si="873">+C2342</f>
        <v>0</v>
      </c>
      <c r="D2567" s="436"/>
      <c r="E2567" s="438">
        <f t="shared" si="866"/>
        <v>0</v>
      </c>
      <c r="F2567" s="439">
        <f t="shared" si="867"/>
        <v>0</v>
      </c>
      <c r="G2567" s="439">
        <f t="shared" si="872"/>
        <v>0</v>
      </c>
    </row>
    <row r="2568" spans="1:7" ht="19.899999999999999" customHeight="1" x14ac:dyDescent="0.2">
      <c r="A2568" s="472"/>
      <c r="B2568" s="433"/>
      <c r="C2568" s="436">
        <f t="shared" ref="C2568:D2568" si="874">+C2343</f>
        <v>0</v>
      </c>
      <c r="D2568" s="436">
        <f t="shared" si="874"/>
        <v>0</v>
      </c>
      <c r="E2568" s="438">
        <f t="shared" si="866"/>
        <v>0</v>
      </c>
      <c r="F2568" s="439">
        <f t="shared" si="867"/>
        <v>0</v>
      </c>
      <c r="G2568" s="439">
        <f t="shared" si="872"/>
        <v>0</v>
      </c>
    </row>
    <row r="2569" spans="1:7" ht="19.899999999999999" customHeight="1" x14ac:dyDescent="0.2">
      <c r="A2569" s="472"/>
      <c r="B2569" s="433"/>
      <c r="C2569" s="436">
        <f t="shared" ref="C2569:D2569" si="875">+C2344</f>
        <v>0</v>
      </c>
      <c r="D2569" s="436">
        <f t="shared" si="875"/>
        <v>0</v>
      </c>
      <c r="E2569" s="438">
        <f t="shared" si="866"/>
        <v>0</v>
      </c>
      <c r="F2569" s="439">
        <f t="shared" si="867"/>
        <v>0</v>
      </c>
      <c r="G2569" s="439">
        <f t="shared" si="872"/>
        <v>0</v>
      </c>
    </row>
    <row r="2570" spans="1:7" ht="19.899999999999999" customHeight="1" x14ac:dyDescent="0.2">
      <c r="A2570" s="472"/>
      <c r="B2570" s="433"/>
      <c r="C2570" s="436"/>
      <c r="D2570" s="437"/>
      <c r="E2570" s="438">
        <f t="shared" si="866"/>
        <v>0</v>
      </c>
      <c r="F2570" s="439">
        <f t="shared" si="867"/>
        <v>0</v>
      </c>
      <c r="G2570" s="439">
        <f t="shared" si="872"/>
        <v>0</v>
      </c>
    </row>
    <row r="2571" spans="1:7" ht="19.899999999999999" customHeight="1" x14ac:dyDescent="0.2">
      <c r="A2571" s="472"/>
      <c r="B2571" s="433"/>
      <c r="C2571" s="436"/>
      <c r="D2571" s="437"/>
      <c r="E2571" s="438">
        <f t="shared" si="866"/>
        <v>0</v>
      </c>
      <c r="F2571" s="439">
        <f t="shared" si="867"/>
        <v>0</v>
      </c>
      <c r="G2571" s="439">
        <f t="shared" si="872"/>
        <v>0</v>
      </c>
    </row>
    <row r="2572" spans="1:7" ht="19.899999999999999" customHeight="1" x14ac:dyDescent="0.2">
      <c r="A2572" s="472"/>
      <c r="B2572" s="433"/>
      <c r="C2572" s="139"/>
      <c r="D2572" s="139"/>
      <c r="E2572" s="440"/>
      <c r="F2572" s="425"/>
      <c r="G2572" s="474"/>
    </row>
    <row r="2573" spans="1:7" ht="19.899999999999999" customHeight="1" x14ac:dyDescent="0.2">
      <c r="A2573" s="472"/>
      <c r="B2573" s="139"/>
      <c r="C2573" s="422" t="s">
        <v>972</v>
      </c>
      <c r="D2573" s="425" t="s">
        <v>969</v>
      </c>
      <c r="E2573" s="491">
        <f>SUMPRODUCT(D2562:D2571,E2562:E2571)</f>
        <v>0</v>
      </c>
      <c r="F2573" s="425" t="s">
        <v>973</v>
      </c>
      <c r="G2573" s="492">
        <f>SUM(G2562:G2571)</f>
        <v>0</v>
      </c>
    </row>
    <row r="2574" spans="1:7" ht="19.899999999999999" customHeight="1" x14ac:dyDescent="0.2">
      <c r="A2574" s="472"/>
      <c r="B2574" s="433"/>
      <c r="C2574" s="441"/>
      <c r="D2574" s="440"/>
      <c r="E2574" s="427"/>
      <c r="F2574" s="425"/>
      <c r="G2574" s="478"/>
    </row>
    <row r="2575" spans="1:7" ht="19.899999999999999" customHeight="1" x14ac:dyDescent="0.2">
      <c r="A2575" s="479"/>
      <c r="B2575" s="433"/>
      <c r="C2575" s="425" t="s">
        <v>974</v>
      </c>
      <c r="D2575" s="442">
        <f>IFERROR(VLOOKUP(COUNTIF($A$1:A2575,"ANALISIS DE PRECIOS"),T_Rendimiento_Equipo,5,FALSE),0)</f>
        <v>0</v>
      </c>
      <c r="E2575" s="443" t="str">
        <f ca="1">G2557&amp;"/día"</f>
        <v>0/día</v>
      </c>
      <c r="F2575" s="419"/>
      <c r="G2575" s="474"/>
    </row>
    <row r="2576" spans="1:7" ht="19.899999999999999" customHeight="1" x14ac:dyDescent="0.2">
      <c r="A2576" s="472"/>
      <c r="B2576" s="433"/>
      <c r="C2576" s="139"/>
      <c r="D2576" s="426"/>
      <c r="E2576" s="427"/>
      <c r="F2576" s="425"/>
      <c r="G2576" s="474"/>
    </row>
    <row r="2577" spans="1:7" ht="19.899999999999999" customHeight="1" x14ac:dyDescent="0.2">
      <c r="A2577" s="720" t="s">
        <v>576</v>
      </c>
      <c r="B2577" s="721"/>
      <c r="C2577" s="722" t="s">
        <v>0</v>
      </c>
      <c r="D2577" s="734" t="s">
        <v>1724</v>
      </c>
      <c r="E2577" s="734" t="s">
        <v>1723</v>
      </c>
      <c r="F2577" s="726" t="s">
        <v>975</v>
      </c>
      <c r="G2577" s="728" t="s">
        <v>26</v>
      </c>
    </row>
    <row r="2578" spans="1:7" ht="19.899999999999999" customHeight="1" x14ac:dyDescent="0.2">
      <c r="A2578" s="444" t="s">
        <v>577</v>
      </c>
      <c r="B2578" s="444" t="s">
        <v>578</v>
      </c>
      <c r="C2578" s="723"/>
      <c r="D2578" s="735"/>
      <c r="E2578" s="725"/>
      <c r="F2578" s="727"/>
      <c r="G2578" s="729"/>
    </row>
    <row r="2579" spans="1:7" ht="19.899999999999999" customHeight="1" x14ac:dyDescent="0.2">
      <c r="A2579" s="480"/>
      <c r="B2579" s="139"/>
      <c r="C2579" s="422" t="s">
        <v>976</v>
      </c>
      <c r="D2579" s="427"/>
      <c r="E2579" s="427"/>
      <c r="F2579" s="139"/>
      <c r="G2579" s="481"/>
    </row>
    <row r="2580" spans="1:7" ht="19.899999999999999" customHeight="1" x14ac:dyDescent="0.2">
      <c r="A2580" s="482">
        <f t="shared" ref="A2580:A2588" si="876">IFERROR(VLOOKUP(C2580,T_Insumos,4,FALSE),0)</f>
        <v>0</v>
      </c>
      <c r="B2580" s="445">
        <f t="shared" ref="B2580:B2588" si="877">IFERROR(VLOOKUP(C2580,T_Insumos,5,FALSE),0)</f>
        <v>0</v>
      </c>
      <c r="C2580" s="436">
        <f>+C2280</f>
        <v>0</v>
      </c>
      <c r="D2580" s="446">
        <f t="shared" ref="D2580:D2588" si="878">IFERROR(VLOOKUP(C2580,T_Insumos,3,FALSE),0)</f>
        <v>0</v>
      </c>
      <c r="E2580" s="439">
        <f>D2580*$G$323</f>
        <v>0</v>
      </c>
      <c r="F2580" s="442">
        <f>IF(C2580="",0,IFERROR(VLOOKUP(COUNTIF($A$1:A2580,"ANALISIS DE PRECIOS"),T_Rendimiento_Equipo,5,FALSE),0))</f>
        <v>0</v>
      </c>
      <c r="G2580" s="439">
        <f>IFERROR(ROUND(E2580/F2580,2),0)</f>
        <v>0</v>
      </c>
    </row>
    <row r="2581" spans="1:7" ht="19.899999999999999" customHeight="1" x14ac:dyDescent="0.2">
      <c r="A2581" s="482">
        <f t="shared" si="876"/>
        <v>0</v>
      </c>
      <c r="B2581" s="445">
        <f t="shared" si="877"/>
        <v>0</v>
      </c>
      <c r="C2581" s="436">
        <f t="shared" ref="C2581:C2583" si="879">+C2281</f>
        <v>0</v>
      </c>
      <c r="D2581" s="446">
        <f t="shared" si="878"/>
        <v>0</v>
      </c>
      <c r="E2581" s="439">
        <f t="shared" ref="E2581:E2582" si="880">D2581*$G$323</f>
        <v>0</v>
      </c>
      <c r="F2581" s="442">
        <f>IF(C2581="",0,IFERROR(VLOOKUP(COUNTIF($A$1:A2581,"ANALISIS DE PRECIOS"),T_Rendimiento_Equipo,5,FALSE),0))</f>
        <v>0</v>
      </c>
      <c r="G2581" s="439">
        <f t="shared" ref="G2581:G2588" si="881">IFERROR(ROUND(E2581/F2581,2),0)</f>
        <v>0</v>
      </c>
    </row>
    <row r="2582" spans="1:7" ht="19.899999999999999" customHeight="1" x14ac:dyDescent="0.2">
      <c r="A2582" s="482">
        <f t="shared" si="876"/>
        <v>0</v>
      </c>
      <c r="B2582" s="445">
        <f t="shared" si="877"/>
        <v>0</v>
      </c>
      <c r="C2582" s="436">
        <f t="shared" si="879"/>
        <v>0</v>
      </c>
      <c r="D2582" s="446">
        <f t="shared" si="878"/>
        <v>0</v>
      </c>
      <c r="E2582" s="439">
        <f t="shared" si="880"/>
        <v>0</v>
      </c>
      <c r="F2582" s="442">
        <f>IF(C2582="",0,IFERROR(VLOOKUP(COUNTIF($A$1:A2582,"ANALISIS DE PRECIOS"),T_Rendimiento_Equipo,5,FALSE),0))</f>
        <v>0</v>
      </c>
      <c r="G2582" s="439">
        <f t="shared" si="881"/>
        <v>0</v>
      </c>
    </row>
    <row r="2583" spans="1:7" ht="19.899999999999999" customHeight="1" x14ac:dyDescent="0.2">
      <c r="A2583" s="482">
        <f t="shared" si="876"/>
        <v>0</v>
      </c>
      <c r="B2583" s="445">
        <f t="shared" si="877"/>
        <v>0</v>
      </c>
      <c r="C2583" s="436">
        <f t="shared" si="879"/>
        <v>0</v>
      </c>
      <c r="D2583" s="446">
        <f t="shared" si="878"/>
        <v>0</v>
      </c>
      <c r="E2583" s="439">
        <f>D2583*$E$323</f>
        <v>0</v>
      </c>
      <c r="F2583" s="442">
        <f>IF(C2583="",0,IFERROR(VLOOKUP(COUNTIF($A$1:A2583,"ANALISIS DE PRECIOS"),T_Rendimiento_Equipo,5,FALSE),0))</f>
        <v>0</v>
      </c>
      <c r="G2583" s="439">
        <f t="shared" si="881"/>
        <v>0</v>
      </c>
    </row>
    <row r="2584" spans="1:7" ht="19.899999999999999" customHeight="1" x14ac:dyDescent="0.2">
      <c r="A2584" s="482">
        <f t="shared" si="876"/>
        <v>0</v>
      </c>
      <c r="B2584" s="445">
        <f t="shared" si="877"/>
        <v>0</v>
      </c>
      <c r="C2584" s="447"/>
      <c r="D2584" s="446">
        <f t="shared" si="878"/>
        <v>0</v>
      </c>
      <c r="E2584" s="439"/>
      <c r="F2584" s="442">
        <f>IF(C2584="",0,IFERROR(VLOOKUP(COUNTIF($A$1:A2584,"ANALISIS DE PRECIOS"),T_Rendimiento_Equipo,5,FALSE),0))</f>
        <v>0</v>
      </c>
      <c r="G2584" s="439">
        <f t="shared" si="881"/>
        <v>0</v>
      </c>
    </row>
    <row r="2585" spans="1:7" ht="19.899999999999999" customHeight="1" x14ac:dyDescent="0.2">
      <c r="A2585" s="482">
        <f t="shared" si="876"/>
        <v>0</v>
      </c>
      <c r="B2585" s="445">
        <f t="shared" si="877"/>
        <v>0</v>
      </c>
      <c r="C2585" s="447"/>
      <c r="D2585" s="446">
        <f t="shared" si="878"/>
        <v>0</v>
      </c>
      <c r="E2585" s="439"/>
      <c r="F2585" s="442">
        <f>IF(C2585="",0,IFERROR(VLOOKUP(COUNTIF($A$1:A2585,"ANALISIS DE PRECIOS"),T_Rendimiento_Equipo,5,FALSE),0))</f>
        <v>0</v>
      </c>
      <c r="G2585" s="439">
        <f t="shared" si="881"/>
        <v>0</v>
      </c>
    </row>
    <row r="2586" spans="1:7" ht="19.899999999999999" customHeight="1" x14ac:dyDescent="0.2">
      <c r="A2586" s="482">
        <f t="shared" si="876"/>
        <v>0</v>
      </c>
      <c r="B2586" s="445">
        <f t="shared" si="877"/>
        <v>0</v>
      </c>
      <c r="C2586" s="447"/>
      <c r="D2586" s="446">
        <f t="shared" si="878"/>
        <v>0</v>
      </c>
      <c r="E2586" s="439"/>
      <c r="F2586" s="442">
        <f>IF(C2586="",0,IFERROR(VLOOKUP(COUNTIF($A$1:A2586,"ANALISIS DE PRECIOS"),T_Rendimiento_Equipo,5,FALSE),0))</f>
        <v>0</v>
      </c>
      <c r="G2586" s="439">
        <f t="shared" si="881"/>
        <v>0</v>
      </c>
    </row>
    <row r="2587" spans="1:7" ht="19.899999999999999" customHeight="1" x14ac:dyDescent="0.2">
      <c r="A2587" s="482">
        <f t="shared" si="876"/>
        <v>0</v>
      </c>
      <c r="B2587" s="445">
        <f t="shared" si="877"/>
        <v>0</v>
      </c>
      <c r="C2587" s="447"/>
      <c r="D2587" s="446">
        <f t="shared" si="878"/>
        <v>0</v>
      </c>
      <c r="E2587" s="439"/>
      <c r="F2587" s="442">
        <f>IF(C2587="",0,IFERROR(VLOOKUP(COUNTIF($A$1:A2587,"ANALISIS DE PRECIOS"),T_Rendimiento_Equipo,5,FALSE),0))</f>
        <v>0</v>
      </c>
      <c r="G2587" s="439">
        <f t="shared" si="881"/>
        <v>0</v>
      </c>
    </row>
    <row r="2588" spans="1:7" ht="19.899999999999999" customHeight="1" x14ac:dyDescent="0.2">
      <c r="A2588" s="482">
        <f t="shared" si="876"/>
        <v>0</v>
      </c>
      <c r="B2588" s="445">
        <f t="shared" si="877"/>
        <v>0</v>
      </c>
      <c r="C2588" s="436"/>
      <c r="D2588" s="446">
        <f t="shared" si="878"/>
        <v>0</v>
      </c>
      <c r="E2588" s="439"/>
      <c r="F2588" s="442">
        <f>IF(C2588="",0,IFERROR(VLOOKUP(COUNTIF($A$1:A2588,"ANALISIS DE PRECIOS"),T_Rendimiento_Equipo,5,FALSE),0))</f>
        <v>0</v>
      </c>
      <c r="G2588" s="439">
        <f t="shared" si="881"/>
        <v>0</v>
      </c>
    </row>
    <row r="2589" spans="1:7" ht="19.899999999999999" customHeight="1" x14ac:dyDescent="0.2">
      <c r="A2589" s="483"/>
      <c r="B2589" s="426"/>
      <c r="C2589" s="139"/>
      <c r="D2589" s="426"/>
      <c r="E2589" s="427"/>
      <c r="F2589" s="448" t="s">
        <v>27</v>
      </c>
      <c r="G2589" s="484">
        <f>SUBTOTAL(9,G2580:G2588)</f>
        <v>0</v>
      </c>
    </row>
    <row r="2590" spans="1:7" ht="19.899999999999999" customHeight="1" x14ac:dyDescent="0.2">
      <c r="A2590" s="480"/>
      <c r="B2590" s="139"/>
      <c r="C2590" s="422" t="s">
        <v>713</v>
      </c>
      <c r="D2590" s="426"/>
      <c r="E2590" s="427"/>
      <c r="F2590" s="428"/>
      <c r="G2590" s="481"/>
    </row>
    <row r="2591" spans="1:7" ht="19.899999999999999" customHeight="1" x14ac:dyDescent="0.2">
      <c r="A2591" s="720" t="s">
        <v>576</v>
      </c>
      <c r="B2591" s="721"/>
      <c r="C2591" s="722" t="s">
        <v>0</v>
      </c>
      <c r="D2591" s="724" t="s">
        <v>24</v>
      </c>
      <c r="E2591" s="724" t="s">
        <v>1964</v>
      </c>
      <c r="F2591" s="726" t="s">
        <v>975</v>
      </c>
      <c r="G2591" s="728" t="s">
        <v>26</v>
      </c>
    </row>
    <row r="2592" spans="1:7" ht="19.899999999999999" customHeight="1" x14ac:dyDescent="0.2">
      <c r="A2592" s="444" t="s">
        <v>577</v>
      </c>
      <c r="B2592" s="444" t="s">
        <v>578</v>
      </c>
      <c r="C2592" s="723"/>
      <c r="D2592" s="725"/>
      <c r="E2592" s="725"/>
      <c r="F2592" s="727"/>
      <c r="G2592" s="729"/>
    </row>
    <row r="2593" spans="1:7" ht="19.899999999999999" customHeight="1" x14ac:dyDescent="0.2">
      <c r="A2593" s="482">
        <f t="shared" ref="A2593:A2599" si="882">IFERROR(VLOOKUP(C2593,T_Insumos,4,FALSE),0)</f>
        <v>0</v>
      </c>
      <c r="B2593" s="445">
        <f t="shared" ref="B2593:B2599" si="883">IFERROR(VLOOKUP(C2593,T_Insumos,5,FALSE),0)</f>
        <v>0</v>
      </c>
      <c r="C2593" s="436">
        <f t="shared" ref="C2593:C2596" si="884">+C2368</f>
        <v>0</v>
      </c>
      <c r="D2593" s="442"/>
      <c r="E2593" s="439">
        <f t="shared" ref="E2593:E2599" si="885">IFERROR(VLOOKUP(C2593,T_Insumos,3,FALSE),0)</f>
        <v>0</v>
      </c>
      <c r="F2593" s="442">
        <f>IF(C2593="",0,IFERROR(VLOOKUP(COUNTIF($A$1:A2593,"ANALISIS DE PRECIOS"),T_Rendimiento_Equipo,5,FALSE),0))</f>
        <v>0</v>
      </c>
      <c r="G2593" s="439">
        <f>IFERROR(ROUND(D2593*E2593/F2593,2),0)</f>
        <v>0</v>
      </c>
    </row>
    <row r="2594" spans="1:7" ht="19.899999999999999" customHeight="1" x14ac:dyDescent="0.2">
      <c r="A2594" s="482">
        <f t="shared" si="882"/>
        <v>0</v>
      </c>
      <c r="B2594" s="445">
        <f t="shared" si="883"/>
        <v>0</v>
      </c>
      <c r="C2594" s="436">
        <f t="shared" si="884"/>
        <v>0</v>
      </c>
      <c r="D2594" s="442">
        <v>1</v>
      </c>
      <c r="E2594" s="439">
        <f t="shared" si="885"/>
        <v>0</v>
      </c>
      <c r="F2594" s="442">
        <f>IF(C2594="",0,IFERROR(VLOOKUP(COUNTIF($A$1:A2594,"ANALISIS DE PRECIOS"),T_Rendimiento_Equipo,5,FALSE),0))</f>
        <v>0</v>
      </c>
      <c r="G2594" s="439">
        <f>IFERROR(ROUND(D2594*E2594/F2594,2),0)</f>
        <v>0</v>
      </c>
    </row>
    <row r="2595" spans="1:7" ht="19.899999999999999" customHeight="1" x14ac:dyDescent="0.2">
      <c r="A2595" s="482">
        <f t="shared" si="882"/>
        <v>0</v>
      </c>
      <c r="B2595" s="445">
        <f t="shared" si="883"/>
        <v>0</v>
      </c>
      <c r="C2595" s="436">
        <f t="shared" si="884"/>
        <v>0</v>
      </c>
      <c r="D2595" s="442"/>
      <c r="E2595" s="439">
        <f t="shared" si="885"/>
        <v>0</v>
      </c>
      <c r="F2595" s="442">
        <f>IF(C2595="",0,IFERROR(VLOOKUP(COUNTIF($A$1:A2595,"ANALISIS DE PRECIOS"),T_Rendimiento_Equipo,5,FALSE),0))</f>
        <v>0</v>
      </c>
      <c r="G2595" s="439">
        <f t="shared" ref="G2595:G2599" si="886">IFERROR(ROUND(D2595*E2595/F2595,2),0)</f>
        <v>0</v>
      </c>
    </row>
    <row r="2596" spans="1:7" ht="19.899999999999999" customHeight="1" x14ac:dyDescent="0.2">
      <c r="A2596" s="482">
        <f t="shared" si="882"/>
        <v>0</v>
      </c>
      <c r="B2596" s="445">
        <f t="shared" si="883"/>
        <v>0</v>
      </c>
      <c r="C2596" s="436">
        <f t="shared" si="884"/>
        <v>0</v>
      </c>
      <c r="D2596" s="442">
        <v>2</v>
      </c>
      <c r="E2596" s="439">
        <f t="shared" si="885"/>
        <v>0</v>
      </c>
      <c r="F2596" s="442">
        <f>IF(C2596="",0,IFERROR(VLOOKUP(COUNTIF($A$1:A2596,"ANALISIS DE PRECIOS"),T_Rendimiento_Equipo,5,FALSE),0))</f>
        <v>0</v>
      </c>
      <c r="G2596" s="439">
        <f t="shared" si="886"/>
        <v>0</v>
      </c>
    </row>
    <row r="2597" spans="1:7" ht="19.899999999999999" customHeight="1" x14ac:dyDescent="0.2">
      <c r="A2597" s="482">
        <f t="shared" si="882"/>
        <v>0</v>
      </c>
      <c r="B2597" s="445">
        <f t="shared" si="883"/>
        <v>0</v>
      </c>
      <c r="C2597" s="436"/>
      <c r="D2597" s="442"/>
      <c r="E2597" s="439">
        <f t="shared" si="885"/>
        <v>0</v>
      </c>
      <c r="F2597" s="442">
        <f>IF(C2597="",0,IFERROR(VLOOKUP(COUNTIF($A$1:A2597,"ANALISIS DE PRECIOS"),T_Rendimiento_Equipo,5,FALSE),0))</f>
        <v>0</v>
      </c>
      <c r="G2597" s="439">
        <f t="shared" si="886"/>
        <v>0</v>
      </c>
    </row>
    <row r="2598" spans="1:7" ht="19.899999999999999" customHeight="1" x14ac:dyDescent="0.2">
      <c r="A2598" s="482">
        <f t="shared" si="882"/>
        <v>0</v>
      </c>
      <c r="B2598" s="445">
        <f t="shared" si="883"/>
        <v>0</v>
      </c>
      <c r="C2598" s="436"/>
      <c r="D2598" s="450"/>
      <c r="E2598" s="439">
        <f t="shared" si="885"/>
        <v>0</v>
      </c>
      <c r="F2598" s="442">
        <f>IF(C2598="",0,IFERROR(VLOOKUP(COUNTIF($A$1:A2598,"ANALISIS DE PRECIOS"),T_Rendimiento_Equipo,5,FALSE),0))</f>
        <v>0</v>
      </c>
      <c r="G2598" s="439">
        <f t="shared" si="886"/>
        <v>0</v>
      </c>
    </row>
    <row r="2599" spans="1:7" ht="19.899999999999999" customHeight="1" x14ac:dyDescent="0.2">
      <c r="A2599" s="482">
        <f t="shared" si="882"/>
        <v>0</v>
      </c>
      <c r="B2599" s="445">
        <f t="shared" si="883"/>
        <v>0</v>
      </c>
      <c r="C2599" s="445"/>
      <c r="D2599" s="451"/>
      <c r="E2599" s="439">
        <f t="shared" si="885"/>
        <v>0</v>
      </c>
      <c r="F2599" s="442">
        <f>IF(C2599="",0,IFERROR(VLOOKUP(COUNTIF($A$1:A2599,"ANALISIS DE PRECIOS"),T_Rendimiento_Equipo,5,FALSE),0))</f>
        <v>0</v>
      </c>
      <c r="G2599" s="439">
        <f t="shared" si="886"/>
        <v>0</v>
      </c>
    </row>
    <row r="2600" spans="1:7" ht="19.899999999999999" customHeight="1" x14ac:dyDescent="0.2">
      <c r="A2600" s="483"/>
      <c r="B2600" s="426"/>
      <c r="C2600" s="139"/>
      <c r="D2600" s="426"/>
      <c r="E2600" s="427"/>
      <c r="F2600" s="448" t="s">
        <v>28</v>
      </c>
      <c r="G2600" s="485">
        <f>SUBTOTAL(9,G2593:G2599)</f>
        <v>0</v>
      </c>
    </row>
    <row r="2601" spans="1:7" ht="19.899999999999999" customHeight="1" x14ac:dyDescent="0.2">
      <c r="A2601" s="480"/>
      <c r="B2601" s="139"/>
      <c r="C2601" s="422" t="s">
        <v>982</v>
      </c>
      <c r="D2601" s="426"/>
      <c r="E2601" s="427"/>
      <c r="F2601" s="428"/>
      <c r="G2601" s="481"/>
    </row>
    <row r="2602" spans="1:7" ht="19.899999999999999" customHeight="1" x14ac:dyDescent="0.2">
      <c r="A2602" s="720" t="s">
        <v>576</v>
      </c>
      <c r="B2602" s="721"/>
      <c r="C2602" s="722" t="s">
        <v>0</v>
      </c>
      <c r="D2602" s="722" t="s">
        <v>1725</v>
      </c>
      <c r="E2602" s="724" t="s">
        <v>24</v>
      </c>
      <c r="F2602" s="726" t="s">
        <v>25</v>
      </c>
      <c r="G2602" s="728" t="s">
        <v>26</v>
      </c>
    </row>
    <row r="2603" spans="1:7" ht="19.899999999999999" customHeight="1" x14ac:dyDescent="0.2">
      <c r="A2603" s="444" t="s">
        <v>577</v>
      </c>
      <c r="B2603" s="444" t="s">
        <v>578</v>
      </c>
      <c r="C2603" s="723"/>
      <c r="D2603" s="723"/>
      <c r="E2603" s="725"/>
      <c r="F2603" s="727"/>
      <c r="G2603" s="729"/>
    </row>
    <row r="2604" spans="1:7" ht="19.899999999999999" customHeight="1" x14ac:dyDescent="0.2">
      <c r="A2604" s="482">
        <f t="shared" ref="A2604:A2614" si="887">IFERROR(VLOOKUP(C2604,T_Insumos,4,FALSE),0)</f>
        <v>0</v>
      </c>
      <c r="B2604" s="445">
        <f t="shared" ref="B2604:B2614" si="888">IFERROR(VLOOKUP(C2604,T_Insumos,5,FALSE),0)</f>
        <v>0</v>
      </c>
      <c r="C2604" s="436">
        <f t="shared" ref="C2604:C2614" si="889">+C2379</f>
        <v>0</v>
      </c>
      <c r="D2604" s="493">
        <f t="shared" ref="D2604:D2614" si="890">IFERROR(VLOOKUP(C2604,T_Insumos,2,FALSE),0)</f>
        <v>0</v>
      </c>
      <c r="E2604" s="437"/>
      <c r="F2604" s="439">
        <f t="shared" ref="F2604:F2614" si="891">IFERROR(VLOOKUP(C2604,T_Insumos,3,FALSE),0)</f>
        <v>0</v>
      </c>
      <c r="G2604" s="439">
        <f>ROUND(E2604*F2604,2)</f>
        <v>0</v>
      </c>
    </row>
    <row r="2605" spans="1:7" ht="19.899999999999999" customHeight="1" x14ac:dyDescent="0.2">
      <c r="A2605" s="482">
        <f t="shared" si="887"/>
        <v>0</v>
      </c>
      <c r="B2605" s="445">
        <f t="shared" si="888"/>
        <v>0</v>
      </c>
      <c r="C2605" s="436">
        <f t="shared" si="889"/>
        <v>0</v>
      </c>
      <c r="D2605" s="493">
        <f t="shared" si="890"/>
        <v>0</v>
      </c>
      <c r="E2605" s="437"/>
      <c r="F2605" s="439">
        <f t="shared" si="891"/>
        <v>0</v>
      </c>
      <c r="G2605" s="439">
        <f t="shared" ref="G2605:G2614" si="892">ROUND(E2605*F2605,2)</f>
        <v>0</v>
      </c>
    </row>
    <row r="2606" spans="1:7" ht="19.899999999999999" customHeight="1" x14ac:dyDescent="0.2">
      <c r="A2606" s="482">
        <f t="shared" si="887"/>
        <v>0</v>
      </c>
      <c r="B2606" s="445">
        <f t="shared" si="888"/>
        <v>0</v>
      </c>
      <c r="C2606" s="436">
        <f t="shared" si="889"/>
        <v>0</v>
      </c>
      <c r="D2606" s="493">
        <f t="shared" si="890"/>
        <v>0</v>
      </c>
      <c r="E2606" s="437"/>
      <c r="F2606" s="439">
        <f t="shared" si="891"/>
        <v>0</v>
      </c>
      <c r="G2606" s="439">
        <f t="shared" si="892"/>
        <v>0</v>
      </c>
    </row>
    <row r="2607" spans="1:7" ht="19.899999999999999" customHeight="1" x14ac:dyDescent="0.2">
      <c r="A2607" s="482">
        <f t="shared" si="887"/>
        <v>0</v>
      </c>
      <c r="B2607" s="445">
        <f t="shared" si="888"/>
        <v>0</v>
      </c>
      <c r="C2607" s="436">
        <f t="shared" si="889"/>
        <v>0</v>
      </c>
      <c r="D2607" s="493">
        <f t="shared" si="890"/>
        <v>0</v>
      </c>
      <c r="E2607" s="437"/>
      <c r="F2607" s="439">
        <f t="shared" si="891"/>
        <v>0</v>
      </c>
      <c r="G2607" s="439">
        <f t="shared" si="892"/>
        <v>0</v>
      </c>
    </row>
    <row r="2608" spans="1:7" ht="19.899999999999999" customHeight="1" x14ac:dyDescent="0.2">
      <c r="A2608" s="482">
        <f t="shared" si="887"/>
        <v>0</v>
      </c>
      <c r="B2608" s="445">
        <f t="shared" si="888"/>
        <v>0</v>
      </c>
      <c r="C2608" s="436">
        <f t="shared" si="889"/>
        <v>0</v>
      </c>
      <c r="D2608" s="493">
        <f t="shared" si="890"/>
        <v>0</v>
      </c>
      <c r="E2608" s="437"/>
      <c r="F2608" s="439">
        <f t="shared" si="891"/>
        <v>0</v>
      </c>
      <c r="G2608" s="439">
        <f t="shared" si="892"/>
        <v>0</v>
      </c>
    </row>
    <row r="2609" spans="1:7" ht="19.899999999999999" customHeight="1" x14ac:dyDescent="0.2">
      <c r="A2609" s="482">
        <f t="shared" si="887"/>
        <v>0</v>
      </c>
      <c r="B2609" s="445">
        <f t="shared" si="888"/>
        <v>0</v>
      </c>
      <c r="C2609" s="436">
        <f t="shared" si="889"/>
        <v>0</v>
      </c>
      <c r="D2609" s="493">
        <f t="shared" si="890"/>
        <v>0</v>
      </c>
      <c r="E2609" s="437"/>
      <c r="F2609" s="439">
        <f t="shared" si="891"/>
        <v>0</v>
      </c>
      <c r="G2609" s="439">
        <f t="shared" si="892"/>
        <v>0</v>
      </c>
    </row>
    <row r="2610" spans="1:7" ht="19.899999999999999" customHeight="1" x14ac:dyDescent="0.2">
      <c r="A2610" s="482">
        <f t="shared" si="887"/>
        <v>0</v>
      </c>
      <c r="B2610" s="445">
        <f t="shared" si="888"/>
        <v>0</v>
      </c>
      <c r="C2610" s="436">
        <f t="shared" si="889"/>
        <v>0</v>
      </c>
      <c r="D2610" s="493">
        <f t="shared" si="890"/>
        <v>0</v>
      </c>
      <c r="E2610" s="437"/>
      <c r="F2610" s="439">
        <f t="shared" si="891"/>
        <v>0</v>
      </c>
      <c r="G2610" s="439">
        <f t="shared" si="892"/>
        <v>0</v>
      </c>
    </row>
    <row r="2611" spans="1:7" ht="19.899999999999999" customHeight="1" x14ac:dyDescent="0.2">
      <c r="A2611" s="482">
        <f t="shared" si="887"/>
        <v>0</v>
      </c>
      <c r="B2611" s="445">
        <f t="shared" si="888"/>
        <v>0</v>
      </c>
      <c r="C2611" s="436">
        <f t="shared" si="889"/>
        <v>0</v>
      </c>
      <c r="D2611" s="493">
        <f t="shared" si="890"/>
        <v>0</v>
      </c>
      <c r="E2611" s="437"/>
      <c r="F2611" s="439">
        <f t="shared" si="891"/>
        <v>0</v>
      </c>
      <c r="G2611" s="439">
        <f t="shared" si="892"/>
        <v>0</v>
      </c>
    </row>
    <row r="2612" spans="1:7" ht="19.899999999999999" customHeight="1" x14ac:dyDescent="0.2">
      <c r="A2612" s="482">
        <f t="shared" si="887"/>
        <v>0</v>
      </c>
      <c r="B2612" s="445">
        <f t="shared" si="888"/>
        <v>0</v>
      </c>
      <c r="C2612" s="436">
        <f t="shared" si="889"/>
        <v>0</v>
      </c>
      <c r="D2612" s="493">
        <f t="shared" si="890"/>
        <v>0</v>
      </c>
      <c r="E2612" s="437"/>
      <c r="F2612" s="439">
        <f t="shared" si="891"/>
        <v>0</v>
      </c>
      <c r="G2612" s="439">
        <f t="shared" si="892"/>
        <v>0</v>
      </c>
    </row>
    <row r="2613" spans="1:7" ht="19.899999999999999" customHeight="1" x14ac:dyDescent="0.2">
      <c r="A2613" s="482">
        <f t="shared" si="887"/>
        <v>0</v>
      </c>
      <c r="B2613" s="445">
        <f t="shared" si="888"/>
        <v>0</v>
      </c>
      <c r="C2613" s="436">
        <f t="shared" si="889"/>
        <v>0</v>
      </c>
      <c r="D2613" s="493">
        <f t="shared" si="890"/>
        <v>0</v>
      </c>
      <c r="E2613" s="437"/>
      <c r="F2613" s="439">
        <f t="shared" si="891"/>
        <v>0</v>
      </c>
      <c r="G2613" s="439">
        <f t="shared" si="892"/>
        <v>0</v>
      </c>
    </row>
    <row r="2614" spans="1:7" ht="19.899999999999999" customHeight="1" x14ac:dyDescent="0.2">
      <c r="A2614" s="482">
        <f t="shared" si="887"/>
        <v>0</v>
      </c>
      <c r="B2614" s="445">
        <f t="shared" si="888"/>
        <v>0</v>
      </c>
      <c r="C2614" s="436">
        <f t="shared" si="889"/>
        <v>0</v>
      </c>
      <c r="D2614" s="493">
        <f t="shared" si="890"/>
        <v>0</v>
      </c>
      <c r="E2614" s="437"/>
      <c r="F2614" s="439">
        <f t="shared" si="891"/>
        <v>0</v>
      </c>
      <c r="G2614" s="439">
        <f t="shared" si="892"/>
        <v>0</v>
      </c>
    </row>
    <row r="2615" spans="1:7" ht="19.899999999999999" customHeight="1" x14ac:dyDescent="0.2">
      <c r="A2615" s="480"/>
      <c r="B2615" s="139"/>
      <c r="C2615" s="139"/>
      <c r="D2615" s="426"/>
      <c r="E2615" s="427"/>
      <c r="F2615" s="448" t="s">
        <v>29</v>
      </c>
      <c r="G2615" s="485">
        <f>SUBTOTAL(9,G2604:G2614)</f>
        <v>0</v>
      </c>
    </row>
    <row r="2616" spans="1:7" ht="19.899999999999999" customHeight="1" x14ac:dyDescent="0.2">
      <c r="A2616" s="480"/>
      <c r="B2616" s="139"/>
      <c r="C2616" s="422" t="s">
        <v>983</v>
      </c>
      <c r="D2616" s="426"/>
      <c r="E2616" s="427"/>
      <c r="F2616" s="428"/>
      <c r="G2616" s="481"/>
    </row>
    <row r="2617" spans="1:7" ht="19.899999999999999" customHeight="1" x14ac:dyDescent="0.2">
      <c r="A2617" s="720" t="s">
        <v>576</v>
      </c>
      <c r="B2617" s="721"/>
      <c r="C2617" s="722" t="s">
        <v>0</v>
      </c>
      <c r="D2617" s="722" t="s">
        <v>1725</v>
      </c>
      <c r="E2617" s="724" t="s">
        <v>24</v>
      </c>
      <c r="F2617" s="726" t="s">
        <v>25</v>
      </c>
      <c r="G2617" s="728" t="s">
        <v>26</v>
      </c>
    </row>
    <row r="2618" spans="1:7" ht="19.899999999999999" customHeight="1" x14ac:dyDescent="0.2">
      <c r="A2618" s="444" t="s">
        <v>577</v>
      </c>
      <c r="B2618" s="444" t="s">
        <v>578</v>
      </c>
      <c r="C2618" s="723"/>
      <c r="D2618" s="723"/>
      <c r="E2618" s="725"/>
      <c r="F2618" s="727"/>
      <c r="G2618" s="729"/>
    </row>
    <row r="2619" spans="1:7" ht="19.899999999999999" customHeight="1" x14ac:dyDescent="0.2">
      <c r="A2619" s="482">
        <f>IFERROR(VLOOKUP(C2619,T_Insumos,4,FALSE),0)</f>
        <v>0</v>
      </c>
      <c r="B2619" s="445">
        <f>IFERROR(VLOOKUP(C2619,T_Insumos,5,FALSE),0)</f>
        <v>0</v>
      </c>
      <c r="C2619" s="436"/>
      <c r="D2619" s="493">
        <f>IF(C2619=0,0,"$/tnkm")</f>
        <v>0</v>
      </c>
      <c r="E2619" s="437"/>
      <c r="F2619" s="439">
        <f>IFERROR(VLOOKUP(C2619,T_Insumos,3,FALSE),0)</f>
        <v>0</v>
      </c>
      <c r="G2619" s="439">
        <f>ROUND(E2619*F2619,2)</f>
        <v>0</v>
      </c>
    </row>
    <row r="2620" spans="1:7" ht="19.899999999999999" customHeight="1" x14ac:dyDescent="0.2">
      <c r="A2620" s="482">
        <f>IFERROR(VLOOKUP(C2620,T_Insumos,4,FALSE),0)</f>
        <v>0</v>
      </c>
      <c r="B2620" s="445">
        <f>IFERROR(VLOOKUP(C2620,T_Insumos,5,FALSE),0)</f>
        <v>0</v>
      </c>
      <c r="C2620" s="436"/>
      <c r="D2620" s="493">
        <f>IF(C2620=0,0,"$/tnkm")</f>
        <v>0</v>
      </c>
      <c r="E2620" s="453"/>
      <c r="F2620" s="439">
        <f>IFERROR(VLOOKUP(C2620,T_Insumos,3,FALSE),0)</f>
        <v>0</v>
      </c>
      <c r="G2620" s="439">
        <f t="shared" ref="G2620" si="893">ROUND(E2620*F2620,2)</f>
        <v>0</v>
      </c>
    </row>
    <row r="2621" spans="1:7" ht="19.899999999999999" customHeight="1" x14ac:dyDescent="0.2">
      <c r="A2621" s="480"/>
      <c r="B2621" s="139"/>
      <c r="C2621" s="139"/>
      <c r="D2621" s="426"/>
      <c r="E2621" s="427"/>
      <c r="F2621" s="448" t="s">
        <v>984</v>
      </c>
      <c r="G2621" s="485">
        <f>SUBTOTAL(9,G2619:G2620)</f>
        <v>0</v>
      </c>
    </row>
    <row r="2622" spans="1:7" ht="19.899999999999999" customHeight="1" x14ac:dyDescent="0.2">
      <c r="A2622" s="483"/>
      <c r="B2622" s="426"/>
      <c r="C2622" s="139"/>
      <c r="D2622" s="426"/>
      <c r="E2622" s="427"/>
      <c r="F2622" s="428"/>
      <c r="G2622" s="481"/>
    </row>
    <row r="2623" spans="1:7" ht="19.899999999999999" customHeight="1" x14ac:dyDescent="0.2">
      <c r="A2623" s="541" t="str">
        <f>B2557</f>
        <v/>
      </c>
      <c r="B2623" s="538">
        <f ca="1">C2557</f>
        <v>0</v>
      </c>
      <c r="C2623" s="426"/>
      <c r="D2623" s="426" t="s">
        <v>1704</v>
      </c>
      <c r="E2623" s="539"/>
      <c r="F2623" s="540" t="str">
        <f ca="1">"$/"&amp;G2557</f>
        <v>$/0</v>
      </c>
      <c r="G2623" s="490">
        <f>SUBTOTAL(9,G2580:G2622)</f>
        <v>0</v>
      </c>
    </row>
    <row r="2624" spans="1:7" ht="19.899999999999999" customHeight="1" x14ac:dyDescent="0.2">
      <c r="A2624" s="486"/>
      <c r="B2624" s="487"/>
      <c r="C2624" s="488"/>
      <c r="D2624" s="488" t="s">
        <v>1900</v>
      </c>
      <c r="E2624" s="489"/>
      <c r="F2624" s="542" t="str">
        <f ca="1">"$/"&amp;G2557</f>
        <v>$/0</v>
      </c>
      <c r="G2624" s="490">
        <f>ROUND(G2623*Coeficiente_Paso,2)</f>
        <v>0</v>
      </c>
    </row>
    <row r="2625" spans="1:7" ht="19.899999999999999" customHeight="1" x14ac:dyDescent="0.2">
      <c r="A2625" s="139"/>
      <c r="B2625" s="139"/>
      <c r="C2625" s="139"/>
      <c r="D2625" s="139"/>
      <c r="E2625" s="139"/>
      <c r="F2625" s="139"/>
      <c r="G2625" s="139"/>
    </row>
    <row r="2626" spans="1:7" ht="19.899999999999999" customHeight="1" x14ac:dyDescent="0.2">
      <c r="A2626" s="730" t="s">
        <v>31</v>
      </c>
      <c r="B2626" s="731"/>
      <c r="C2626" s="731"/>
      <c r="D2626" s="731"/>
      <c r="E2626" s="731"/>
      <c r="F2626" s="731"/>
      <c r="G2626" s="732"/>
    </row>
    <row r="2627" spans="1:7" ht="19.899999999999999" customHeight="1" x14ac:dyDescent="0.2">
      <c r="A2627" s="469" t="s">
        <v>711</v>
      </c>
      <c r="B2627" s="420" t="str">
        <f>Comitente</f>
        <v>DEPARTAMENTO DE HIDRAULICA</v>
      </c>
      <c r="C2627" s="421"/>
      <c r="D2627" s="422"/>
      <c r="E2627" s="422"/>
      <c r="F2627" s="423"/>
      <c r="G2627" s="470"/>
    </row>
    <row r="2628" spans="1:7" ht="19.899999999999999" customHeight="1" x14ac:dyDescent="0.2">
      <c r="A2628" s="469" t="s">
        <v>712</v>
      </c>
      <c r="B2628" s="420">
        <f>Contratista</f>
        <v>0</v>
      </c>
      <c r="C2628" s="424"/>
      <c r="D2628" s="424"/>
      <c r="E2628" s="424"/>
      <c r="F2628" s="420"/>
      <c r="G2628" s="471"/>
    </row>
    <row r="2629" spans="1:7" ht="19.899999999999999" customHeight="1" x14ac:dyDescent="0.2">
      <c r="A2629" s="469" t="s">
        <v>21</v>
      </c>
      <c r="B2629" s="420" t="str">
        <f>Obra</f>
        <v>Encamisado Parcial del Canal de Calle América</v>
      </c>
      <c r="C2629" s="424"/>
      <c r="D2629" s="424"/>
      <c r="E2629" s="424"/>
      <c r="F2629" s="420" t="s">
        <v>32</v>
      </c>
      <c r="G2629" s="471" t="str">
        <f>Fecha_Base</f>
        <v>X/X/2023</v>
      </c>
    </row>
    <row r="2630" spans="1:7" ht="19.899999999999999" customHeight="1" x14ac:dyDescent="0.2">
      <c r="A2630" s="472" t="s">
        <v>710</v>
      </c>
      <c r="B2630" s="425" t="str">
        <f>Ubicación</f>
        <v>Departamento Rawson</v>
      </c>
      <c r="C2630" s="425"/>
      <c r="D2630" s="426"/>
      <c r="E2630" s="427"/>
      <c r="F2630" s="428"/>
      <c r="G2630" s="473"/>
    </row>
    <row r="2631" spans="1:7" ht="19.899999999999999" customHeight="1" x14ac:dyDescent="0.2">
      <c r="A2631" s="472" t="s">
        <v>33</v>
      </c>
      <c r="B2631" s="429" t="str">
        <f>IFERROR(VALUE(LEFT(B2632,FIND(".",B2632)-1)),"")</f>
        <v/>
      </c>
      <c r="C2631" s="139">
        <f ca="1">IFERROR(VLOOKUP(B2631,T_Computo_Presupuesto,2,FALSE),0)</f>
        <v>0</v>
      </c>
      <c r="D2631" s="139"/>
      <c r="E2631" s="427"/>
      <c r="F2631" s="428"/>
      <c r="G2631" s="473"/>
    </row>
    <row r="2632" spans="1:7" ht="19.899999999999999" customHeight="1" x14ac:dyDescent="0.2">
      <c r="A2632" s="472" t="s">
        <v>22</v>
      </c>
      <c r="B2632" s="430" t="str">
        <f>IFERROR(VLOOKUP(COUNTIF($A$1:A2632,"ANALISIS DE PRECIOS"),T_NumeroItem,2,FALSE),"")</f>
        <v/>
      </c>
      <c r="C2632" s="733">
        <f ca="1">IFERROR(VLOOKUP(B2632,T_Computo_Presupuesto,2,FALSE),0)</f>
        <v>0</v>
      </c>
      <c r="D2632" s="733"/>
      <c r="E2632" s="733"/>
      <c r="F2632" s="425" t="s">
        <v>23</v>
      </c>
      <c r="G2632" s="474">
        <f ca="1">IFERROR(VLOOKUP(B2632,T_Computo_Presupuesto,4,FALSE),0)</f>
        <v>0</v>
      </c>
    </row>
    <row r="2633" spans="1:7" ht="19.899999999999999" customHeight="1" x14ac:dyDescent="0.2">
      <c r="A2633" s="472"/>
      <c r="B2633" s="425"/>
      <c r="C2633" s="139"/>
      <c r="D2633" s="426"/>
      <c r="E2633" s="427"/>
      <c r="F2633" s="139"/>
      <c r="G2633" s="475"/>
    </row>
    <row r="2634" spans="1:7" ht="19.899999999999999" customHeight="1" x14ac:dyDescent="0.2">
      <c r="A2634" s="476"/>
      <c r="B2634" s="431"/>
      <c r="C2634" s="432" t="s">
        <v>967</v>
      </c>
      <c r="D2634" s="431"/>
      <c r="E2634" s="431"/>
      <c r="F2634" s="431"/>
      <c r="G2634" s="477"/>
    </row>
    <row r="2635" spans="1:7" ht="19.899999999999999" customHeight="1" x14ac:dyDescent="0.2">
      <c r="A2635" s="472"/>
      <c r="B2635" s="433"/>
      <c r="C2635" s="139"/>
      <c r="D2635" s="426"/>
      <c r="E2635" s="427"/>
      <c r="F2635" s="425"/>
      <c r="G2635" s="474"/>
    </row>
    <row r="2636" spans="1:7" ht="19.899999999999999" customHeight="1" x14ac:dyDescent="0.2">
      <c r="A2636" s="472"/>
      <c r="B2636" s="433"/>
      <c r="C2636" s="434" t="s">
        <v>968</v>
      </c>
      <c r="D2636" s="435" t="s">
        <v>24</v>
      </c>
      <c r="E2636" s="435" t="s">
        <v>969</v>
      </c>
      <c r="F2636" s="435" t="s">
        <v>970</v>
      </c>
      <c r="G2636" s="434" t="s">
        <v>971</v>
      </c>
    </row>
    <row r="2637" spans="1:7" ht="19.899999999999999" customHeight="1" x14ac:dyDescent="0.2">
      <c r="A2637" s="472"/>
      <c r="B2637" s="433"/>
      <c r="C2637" s="436">
        <f>+C2412</f>
        <v>0</v>
      </c>
      <c r="D2637" s="436">
        <f>+D2412</f>
        <v>0</v>
      </c>
      <c r="E2637" s="438">
        <f t="shared" ref="E2637:E2646" si="894">IFERROR(VLOOKUP(C2637,T_Equipos,4,FALSE),0)</f>
        <v>0</v>
      </c>
      <c r="F2637" s="439">
        <f t="shared" ref="F2637:F2646" si="895">IFERROR(VLOOKUP(C2637,T_Equipos,5,FALSE),0)</f>
        <v>0</v>
      </c>
      <c r="G2637" s="439">
        <f>ROUND(D2637*F2637,2)</f>
        <v>0</v>
      </c>
    </row>
    <row r="2638" spans="1:7" ht="19.899999999999999" customHeight="1" x14ac:dyDescent="0.2">
      <c r="A2638" s="472"/>
      <c r="B2638" s="433"/>
      <c r="C2638" s="436">
        <f t="shared" ref="C2638:D2638" si="896">+C2413</f>
        <v>0</v>
      </c>
      <c r="D2638" s="436">
        <f t="shared" si="896"/>
        <v>0</v>
      </c>
      <c r="E2638" s="438">
        <f t="shared" si="894"/>
        <v>0</v>
      </c>
      <c r="F2638" s="439">
        <f t="shared" si="895"/>
        <v>0</v>
      </c>
      <c r="G2638" s="439">
        <f>ROUND(D2638*F2638,2)</f>
        <v>0</v>
      </c>
    </row>
    <row r="2639" spans="1:7" ht="19.899999999999999" customHeight="1" x14ac:dyDescent="0.2">
      <c r="A2639" s="472"/>
      <c r="B2639" s="433"/>
      <c r="C2639" s="436">
        <f t="shared" ref="C2639" si="897">+C2414</f>
        <v>0</v>
      </c>
      <c r="D2639" s="436"/>
      <c r="E2639" s="438">
        <f t="shared" si="894"/>
        <v>0</v>
      </c>
      <c r="F2639" s="439">
        <f t="shared" si="895"/>
        <v>0</v>
      </c>
      <c r="G2639" s="439">
        <f>ROUND(D2639*F2639,2)</f>
        <v>0</v>
      </c>
    </row>
    <row r="2640" spans="1:7" ht="19.899999999999999" customHeight="1" x14ac:dyDescent="0.2">
      <c r="A2640" s="472"/>
      <c r="B2640" s="433"/>
      <c r="C2640" s="436">
        <f t="shared" ref="C2640" si="898">+C2415</f>
        <v>0</v>
      </c>
      <c r="D2640" s="436"/>
      <c r="E2640" s="438">
        <f t="shared" si="894"/>
        <v>0</v>
      </c>
      <c r="F2640" s="439">
        <f t="shared" si="895"/>
        <v>0</v>
      </c>
      <c r="G2640" s="439">
        <f>ROUND(D2640*F2640,2)</f>
        <v>0</v>
      </c>
    </row>
    <row r="2641" spans="1:7" ht="19.899999999999999" customHeight="1" x14ac:dyDescent="0.2">
      <c r="A2641" s="472"/>
      <c r="B2641" s="433"/>
      <c r="C2641" s="436">
        <f t="shared" ref="C2641" si="899">+C2416</f>
        <v>0</v>
      </c>
      <c r="D2641" s="436"/>
      <c r="E2641" s="438">
        <f t="shared" si="894"/>
        <v>0</v>
      </c>
      <c r="F2641" s="439">
        <f t="shared" si="895"/>
        <v>0</v>
      </c>
      <c r="G2641" s="439">
        <f t="shared" ref="G2641:G2646" si="900">ROUND(D2641*F2641,2)</f>
        <v>0</v>
      </c>
    </row>
    <row r="2642" spans="1:7" ht="19.899999999999999" customHeight="1" x14ac:dyDescent="0.2">
      <c r="A2642" s="472"/>
      <c r="B2642" s="433"/>
      <c r="C2642" s="436">
        <f t="shared" ref="C2642" si="901">+C2417</f>
        <v>0</v>
      </c>
      <c r="D2642" s="436"/>
      <c r="E2642" s="438">
        <f t="shared" si="894"/>
        <v>0</v>
      </c>
      <c r="F2642" s="439">
        <f t="shared" si="895"/>
        <v>0</v>
      </c>
      <c r="G2642" s="439">
        <f t="shared" si="900"/>
        <v>0</v>
      </c>
    </row>
    <row r="2643" spans="1:7" ht="19.899999999999999" customHeight="1" x14ac:dyDescent="0.2">
      <c r="A2643" s="472"/>
      <c r="B2643" s="433"/>
      <c r="C2643" s="436">
        <f t="shared" ref="C2643:D2643" si="902">+C2418</f>
        <v>0</v>
      </c>
      <c r="D2643" s="436">
        <f t="shared" si="902"/>
        <v>0</v>
      </c>
      <c r="E2643" s="438">
        <f t="shared" si="894"/>
        <v>0</v>
      </c>
      <c r="F2643" s="439">
        <f t="shared" si="895"/>
        <v>0</v>
      </c>
      <c r="G2643" s="439">
        <f t="shared" si="900"/>
        <v>0</v>
      </c>
    </row>
    <row r="2644" spans="1:7" ht="19.899999999999999" customHeight="1" x14ac:dyDescent="0.2">
      <c r="A2644" s="472"/>
      <c r="B2644" s="433"/>
      <c r="C2644" s="436">
        <f t="shared" ref="C2644:D2644" si="903">+C2419</f>
        <v>0</v>
      </c>
      <c r="D2644" s="436">
        <f t="shared" si="903"/>
        <v>0</v>
      </c>
      <c r="E2644" s="438">
        <f t="shared" si="894"/>
        <v>0</v>
      </c>
      <c r="F2644" s="439">
        <f t="shared" si="895"/>
        <v>0</v>
      </c>
      <c r="G2644" s="439">
        <f t="shared" si="900"/>
        <v>0</v>
      </c>
    </row>
    <row r="2645" spans="1:7" ht="19.899999999999999" customHeight="1" x14ac:dyDescent="0.2">
      <c r="A2645" s="472"/>
      <c r="B2645" s="433"/>
      <c r="C2645" s="436"/>
      <c r="D2645" s="437"/>
      <c r="E2645" s="438">
        <f t="shared" si="894"/>
        <v>0</v>
      </c>
      <c r="F2645" s="439">
        <f t="shared" si="895"/>
        <v>0</v>
      </c>
      <c r="G2645" s="439">
        <f t="shared" si="900"/>
        <v>0</v>
      </c>
    </row>
    <row r="2646" spans="1:7" ht="19.899999999999999" customHeight="1" x14ac:dyDescent="0.2">
      <c r="A2646" s="472"/>
      <c r="B2646" s="433"/>
      <c r="C2646" s="436"/>
      <c r="D2646" s="437"/>
      <c r="E2646" s="438">
        <f t="shared" si="894"/>
        <v>0</v>
      </c>
      <c r="F2646" s="439">
        <f t="shared" si="895"/>
        <v>0</v>
      </c>
      <c r="G2646" s="439">
        <f t="shared" si="900"/>
        <v>0</v>
      </c>
    </row>
    <row r="2647" spans="1:7" ht="19.899999999999999" customHeight="1" x14ac:dyDescent="0.2">
      <c r="A2647" s="472"/>
      <c r="B2647" s="433"/>
      <c r="C2647" s="139"/>
      <c r="D2647" s="139"/>
      <c r="E2647" s="440"/>
      <c r="F2647" s="425"/>
      <c r="G2647" s="474"/>
    </row>
    <row r="2648" spans="1:7" ht="19.899999999999999" customHeight="1" x14ac:dyDescent="0.2">
      <c r="A2648" s="472"/>
      <c r="B2648" s="139"/>
      <c r="C2648" s="422" t="s">
        <v>972</v>
      </c>
      <c r="D2648" s="425" t="s">
        <v>969</v>
      </c>
      <c r="E2648" s="491">
        <f>SUMPRODUCT(D2637:D2646,E2637:E2646)</f>
        <v>0</v>
      </c>
      <c r="F2648" s="425" t="s">
        <v>973</v>
      </c>
      <c r="G2648" s="492">
        <f>SUM(G2637:G2646)</f>
        <v>0</v>
      </c>
    </row>
    <row r="2649" spans="1:7" ht="19.899999999999999" customHeight="1" x14ac:dyDescent="0.2">
      <c r="A2649" s="472"/>
      <c r="B2649" s="433"/>
      <c r="C2649" s="441"/>
      <c r="D2649" s="440"/>
      <c r="E2649" s="427"/>
      <c r="F2649" s="425"/>
      <c r="G2649" s="478"/>
    </row>
    <row r="2650" spans="1:7" ht="19.899999999999999" customHeight="1" x14ac:dyDescent="0.2">
      <c r="A2650" s="479"/>
      <c r="B2650" s="433"/>
      <c r="C2650" s="425" t="s">
        <v>974</v>
      </c>
      <c r="D2650" s="442">
        <f>IFERROR(VLOOKUP(COUNTIF($A$1:A2650,"ANALISIS DE PRECIOS"),T_Rendimiento_Equipo,5,FALSE),0)</f>
        <v>0</v>
      </c>
      <c r="E2650" s="443" t="str">
        <f ca="1">G2632&amp;"/día"</f>
        <v>0/día</v>
      </c>
      <c r="F2650" s="419"/>
      <c r="G2650" s="474"/>
    </row>
    <row r="2651" spans="1:7" ht="19.899999999999999" customHeight="1" x14ac:dyDescent="0.2">
      <c r="A2651" s="472"/>
      <c r="B2651" s="433"/>
      <c r="C2651" s="139"/>
      <c r="D2651" s="426"/>
      <c r="E2651" s="427"/>
      <c r="F2651" s="425"/>
      <c r="G2651" s="474"/>
    </row>
    <row r="2652" spans="1:7" ht="19.899999999999999" customHeight="1" x14ac:dyDescent="0.2">
      <c r="A2652" s="720" t="s">
        <v>576</v>
      </c>
      <c r="B2652" s="721"/>
      <c r="C2652" s="722" t="s">
        <v>0</v>
      </c>
      <c r="D2652" s="734" t="s">
        <v>1724</v>
      </c>
      <c r="E2652" s="734" t="s">
        <v>1723</v>
      </c>
      <c r="F2652" s="726" t="s">
        <v>975</v>
      </c>
      <c r="G2652" s="728" t="s">
        <v>26</v>
      </c>
    </row>
    <row r="2653" spans="1:7" ht="19.899999999999999" customHeight="1" x14ac:dyDescent="0.2">
      <c r="A2653" s="444" t="s">
        <v>577</v>
      </c>
      <c r="B2653" s="444" t="s">
        <v>578</v>
      </c>
      <c r="C2653" s="723"/>
      <c r="D2653" s="735"/>
      <c r="E2653" s="725"/>
      <c r="F2653" s="727"/>
      <c r="G2653" s="729"/>
    </row>
    <row r="2654" spans="1:7" ht="19.899999999999999" customHeight="1" x14ac:dyDescent="0.2">
      <c r="A2654" s="480"/>
      <c r="B2654" s="139"/>
      <c r="C2654" s="422" t="s">
        <v>976</v>
      </c>
      <c r="D2654" s="427"/>
      <c r="E2654" s="427"/>
      <c r="F2654" s="139"/>
      <c r="G2654" s="481"/>
    </row>
    <row r="2655" spans="1:7" ht="19.899999999999999" customHeight="1" x14ac:dyDescent="0.2">
      <c r="A2655" s="482">
        <f t="shared" ref="A2655:A2663" si="904">IFERROR(VLOOKUP(C2655,T_Insumos,4,FALSE),0)</f>
        <v>0</v>
      </c>
      <c r="B2655" s="445">
        <f t="shared" ref="B2655:B2663" si="905">IFERROR(VLOOKUP(C2655,T_Insumos,5,FALSE),0)</f>
        <v>0</v>
      </c>
      <c r="C2655" s="436">
        <f>+C2355</f>
        <v>0</v>
      </c>
      <c r="D2655" s="446">
        <f t="shared" ref="D2655:D2663" si="906">IFERROR(VLOOKUP(C2655,T_Insumos,3,FALSE),0)</f>
        <v>0</v>
      </c>
      <c r="E2655" s="439">
        <f>D2655*$G$323</f>
        <v>0</v>
      </c>
      <c r="F2655" s="442">
        <f>IF(C2655="",0,IFERROR(VLOOKUP(COUNTIF($A$1:A2655,"ANALISIS DE PRECIOS"),T_Rendimiento_Equipo,5,FALSE),0))</f>
        <v>0</v>
      </c>
      <c r="G2655" s="439">
        <f>IFERROR(ROUND(E2655/F2655,2),0)</f>
        <v>0</v>
      </c>
    </row>
    <row r="2656" spans="1:7" ht="19.899999999999999" customHeight="1" x14ac:dyDescent="0.2">
      <c r="A2656" s="482">
        <f t="shared" si="904"/>
        <v>0</v>
      </c>
      <c r="B2656" s="445">
        <f t="shared" si="905"/>
        <v>0</v>
      </c>
      <c r="C2656" s="436">
        <f t="shared" ref="C2656:C2658" si="907">+C2356</f>
        <v>0</v>
      </c>
      <c r="D2656" s="446">
        <f t="shared" si="906"/>
        <v>0</v>
      </c>
      <c r="E2656" s="439">
        <f t="shared" ref="E2656:E2657" si="908">D2656*$G$323</f>
        <v>0</v>
      </c>
      <c r="F2656" s="442">
        <f>IF(C2656="",0,IFERROR(VLOOKUP(COUNTIF($A$1:A2656,"ANALISIS DE PRECIOS"),T_Rendimiento_Equipo,5,FALSE),0))</f>
        <v>0</v>
      </c>
      <c r="G2656" s="439">
        <f t="shared" ref="G2656:G2663" si="909">IFERROR(ROUND(E2656/F2656,2),0)</f>
        <v>0</v>
      </c>
    </row>
    <row r="2657" spans="1:7" ht="19.899999999999999" customHeight="1" x14ac:dyDescent="0.2">
      <c r="A2657" s="482">
        <f t="shared" si="904"/>
        <v>0</v>
      </c>
      <c r="B2657" s="445">
        <f t="shared" si="905"/>
        <v>0</v>
      </c>
      <c r="C2657" s="436">
        <f t="shared" si="907"/>
        <v>0</v>
      </c>
      <c r="D2657" s="446">
        <f t="shared" si="906"/>
        <v>0</v>
      </c>
      <c r="E2657" s="439">
        <f t="shared" si="908"/>
        <v>0</v>
      </c>
      <c r="F2657" s="442">
        <f>IF(C2657="",0,IFERROR(VLOOKUP(COUNTIF($A$1:A2657,"ANALISIS DE PRECIOS"),T_Rendimiento_Equipo,5,FALSE),0))</f>
        <v>0</v>
      </c>
      <c r="G2657" s="439">
        <f t="shared" si="909"/>
        <v>0</v>
      </c>
    </row>
    <row r="2658" spans="1:7" ht="19.899999999999999" customHeight="1" x14ac:dyDescent="0.2">
      <c r="A2658" s="482">
        <f t="shared" si="904"/>
        <v>0</v>
      </c>
      <c r="B2658" s="445">
        <f t="shared" si="905"/>
        <v>0</v>
      </c>
      <c r="C2658" s="436">
        <f t="shared" si="907"/>
        <v>0</v>
      </c>
      <c r="D2658" s="446">
        <f t="shared" si="906"/>
        <v>0</v>
      </c>
      <c r="E2658" s="439">
        <f>D2658*$E$323</f>
        <v>0</v>
      </c>
      <c r="F2658" s="442">
        <f>IF(C2658="",0,IFERROR(VLOOKUP(COUNTIF($A$1:A2658,"ANALISIS DE PRECIOS"),T_Rendimiento_Equipo,5,FALSE),0))</f>
        <v>0</v>
      </c>
      <c r="G2658" s="439">
        <f t="shared" si="909"/>
        <v>0</v>
      </c>
    </row>
    <row r="2659" spans="1:7" ht="19.899999999999999" customHeight="1" x14ac:dyDescent="0.2">
      <c r="A2659" s="482">
        <f t="shared" si="904"/>
        <v>0</v>
      </c>
      <c r="B2659" s="445">
        <f t="shared" si="905"/>
        <v>0</v>
      </c>
      <c r="C2659" s="447"/>
      <c r="D2659" s="446">
        <f t="shared" si="906"/>
        <v>0</v>
      </c>
      <c r="E2659" s="439"/>
      <c r="F2659" s="442">
        <f>IF(C2659="",0,IFERROR(VLOOKUP(COUNTIF($A$1:A2659,"ANALISIS DE PRECIOS"),T_Rendimiento_Equipo,5,FALSE),0))</f>
        <v>0</v>
      </c>
      <c r="G2659" s="439">
        <f t="shared" si="909"/>
        <v>0</v>
      </c>
    </row>
    <row r="2660" spans="1:7" ht="19.899999999999999" customHeight="1" x14ac:dyDescent="0.2">
      <c r="A2660" s="482">
        <f t="shared" si="904"/>
        <v>0</v>
      </c>
      <c r="B2660" s="445">
        <f t="shared" si="905"/>
        <v>0</v>
      </c>
      <c r="C2660" s="447"/>
      <c r="D2660" s="446">
        <f t="shared" si="906"/>
        <v>0</v>
      </c>
      <c r="E2660" s="439"/>
      <c r="F2660" s="442">
        <f>IF(C2660="",0,IFERROR(VLOOKUP(COUNTIF($A$1:A2660,"ANALISIS DE PRECIOS"),T_Rendimiento_Equipo,5,FALSE),0))</f>
        <v>0</v>
      </c>
      <c r="G2660" s="439">
        <f t="shared" si="909"/>
        <v>0</v>
      </c>
    </row>
    <row r="2661" spans="1:7" ht="19.899999999999999" customHeight="1" x14ac:dyDescent="0.2">
      <c r="A2661" s="482">
        <f t="shared" si="904"/>
        <v>0</v>
      </c>
      <c r="B2661" s="445">
        <f t="shared" si="905"/>
        <v>0</v>
      </c>
      <c r="C2661" s="447"/>
      <c r="D2661" s="446">
        <f t="shared" si="906"/>
        <v>0</v>
      </c>
      <c r="E2661" s="439"/>
      <c r="F2661" s="442">
        <f>IF(C2661="",0,IFERROR(VLOOKUP(COUNTIF($A$1:A2661,"ANALISIS DE PRECIOS"),T_Rendimiento_Equipo,5,FALSE),0))</f>
        <v>0</v>
      </c>
      <c r="G2661" s="439">
        <f t="shared" si="909"/>
        <v>0</v>
      </c>
    </row>
    <row r="2662" spans="1:7" ht="19.899999999999999" customHeight="1" x14ac:dyDescent="0.2">
      <c r="A2662" s="482">
        <f t="shared" si="904"/>
        <v>0</v>
      </c>
      <c r="B2662" s="445">
        <f t="shared" si="905"/>
        <v>0</v>
      </c>
      <c r="C2662" s="447"/>
      <c r="D2662" s="446">
        <f t="shared" si="906"/>
        <v>0</v>
      </c>
      <c r="E2662" s="439"/>
      <c r="F2662" s="442">
        <f>IF(C2662="",0,IFERROR(VLOOKUP(COUNTIF($A$1:A2662,"ANALISIS DE PRECIOS"),T_Rendimiento_Equipo,5,FALSE),0))</f>
        <v>0</v>
      </c>
      <c r="G2662" s="439">
        <f t="shared" si="909"/>
        <v>0</v>
      </c>
    </row>
    <row r="2663" spans="1:7" ht="19.899999999999999" customHeight="1" x14ac:dyDescent="0.2">
      <c r="A2663" s="482">
        <f t="shared" si="904"/>
        <v>0</v>
      </c>
      <c r="B2663" s="445">
        <f t="shared" si="905"/>
        <v>0</v>
      </c>
      <c r="C2663" s="436"/>
      <c r="D2663" s="446">
        <f t="shared" si="906"/>
        <v>0</v>
      </c>
      <c r="E2663" s="439"/>
      <c r="F2663" s="442">
        <f>IF(C2663="",0,IFERROR(VLOOKUP(COUNTIF($A$1:A2663,"ANALISIS DE PRECIOS"),T_Rendimiento_Equipo,5,FALSE),0))</f>
        <v>0</v>
      </c>
      <c r="G2663" s="439">
        <f t="shared" si="909"/>
        <v>0</v>
      </c>
    </row>
    <row r="2664" spans="1:7" ht="19.899999999999999" customHeight="1" x14ac:dyDescent="0.2">
      <c r="A2664" s="483"/>
      <c r="B2664" s="426"/>
      <c r="C2664" s="139"/>
      <c r="D2664" s="426"/>
      <c r="E2664" s="427"/>
      <c r="F2664" s="448" t="s">
        <v>27</v>
      </c>
      <c r="G2664" s="484">
        <f>SUBTOTAL(9,G2655:G2663)</f>
        <v>0</v>
      </c>
    </row>
    <row r="2665" spans="1:7" ht="19.899999999999999" customHeight="1" x14ac:dyDescent="0.2">
      <c r="A2665" s="480"/>
      <c r="B2665" s="139"/>
      <c r="C2665" s="422" t="s">
        <v>713</v>
      </c>
      <c r="D2665" s="426"/>
      <c r="E2665" s="427"/>
      <c r="F2665" s="428"/>
      <c r="G2665" s="481"/>
    </row>
    <row r="2666" spans="1:7" ht="19.899999999999999" customHeight="1" x14ac:dyDescent="0.2">
      <c r="A2666" s="720" t="s">
        <v>576</v>
      </c>
      <c r="B2666" s="721"/>
      <c r="C2666" s="722" t="s">
        <v>0</v>
      </c>
      <c r="D2666" s="724" t="s">
        <v>24</v>
      </c>
      <c r="E2666" s="724" t="s">
        <v>1964</v>
      </c>
      <c r="F2666" s="726" t="s">
        <v>975</v>
      </c>
      <c r="G2666" s="728" t="s">
        <v>26</v>
      </c>
    </row>
    <row r="2667" spans="1:7" ht="19.899999999999999" customHeight="1" x14ac:dyDescent="0.2">
      <c r="A2667" s="444" t="s">
        <v>577</v>
      </c>
      <c r="B2667" s="444" t="s">
        <v>578</v>
      </c>
      <c r="C2667" s="723"/>
      <c r="D2667" s="725"/>
      <c r="E2667" s="725"/>
      <c r="F2667" s="727"/>
      <c r="G2667" s="729"/>
    </row>
    <row r="2668" spans="1:7" ht="19.899999999999999" customHeight="1" x14ac:dyDescent="0.2">
      <c r="A2668" s="482">
        <f t="shared" ref="A2668:A2674" si="910">IFERROR(VLOOKUP(C2668,T_Insumos,4,FALSE),0)</f>
        <v>0</v>
      </c>
      <c r="B2668" s="445">
        <f t="shared" ref="B2668:B2674" si="911">IFERROR(VLOOKUP(C2668,T_Insumos,5,FALSE),0)</f>
        <v>0</v>
      </c>
      <c r="C2668" s="436">
        <f t="shared" ref="C2668:C2671" si="912">+C2443</f>
        <v>0</v>
      </c>
      <c r="D2668" s="442"/>
      <c r="E2668" s="439">
        <f t="shared" ref="E2668:E2674" si="913">IFERROR(VLOOKUP(C2668,T_Insumos,3,FALSE),0)</f>
        <v>0</v>
      </c>
      <c r="F2668" s="442">
        <f>IF(C2668="",0,IFERROR(VLOOKUP(COUNTIF($A$1:A2668,"ANALISIS DE PRECIOS"),T_Rendimiento_Equipo,5,FALSE),0))</f>
        <v>0</v>
      </c>
      <c r="G2668" s="439">
        <f>IFERROR(ROUND(D2668*E2668/F2668,2),0)</f>
        <v>0</v>
      </c>
    </row>
    <row r="2669" spans="1:7" ht="19.899999999999999" customHeight="1" x14ac:dyDescent="0.2">
      <c r="A2669" s="482">
        <f t="shared" si="910"/>
        <v>0</v>
      </c>
      <c r="B2669" s="445">
        <f t="shared" si="911"/>
        <v>0</v>
      </c>
      <c r="C2669" s="436">
        <f t="shared" si="912"/>
        <v>0</v>
      </c>
      <c r="D2669" s="442">
        <v>1</v>
      </c>
      <c r="E2669" s="439">
        <f t="shared" si="913"/>
        <v>0</v>
      </c>
      <c r="F2669" s="442">
        <f>IF(C2669="",0,IFERROR(VLOOKUP(COUNTIF($A$1:A2669,"ANALISIS DE PRECIOS"),T_Rendimiento_Equipo,5,FALSE),0))</f>
        <v>0</v>
      </c>
      <c r="G2669" s="439">
        <f>IFERROR(ROUND(D2669*E2669/F2669,2),0)</f>
        <v>0</v>
      </c>
    </row>
    <row r="2670" spans="1:7" ht="19.899999999999999" customHeight="1" x14ac:dyDescent="0.2">
      <c r="A2670" s="482">
        <f t="shared" si="910"/>
        <v>0</v>
      </c>
      <c r="B2670" s="445">
        <f t="shared" si="911"/>
        <v>0</v>
      </c>
      <c r="C2670" s="436">
        <f t="shared" si="912"/>
        <v>0</v>
      </c>
      <c r="D2670" s="442"/>
      <c r="E2670" s="439">
        <f t="shared" si="913"/>
        <v>0</v>
      </c>
      <c r="F2670" s="442">
        <f>IF(C2670="",0,IFERROR(VLOOKUP(COUNTIF($A$1:A2670,"ANALISIS DE PRECIOS"),T_Rendimiento_Equipo,5,FALSE),0))</f>
        <v>0</v>
      </c>
      <c r="G2670" s="439">
        <f t="shared" ref="G2670:G2674" si="914">IFERROR(ROUND(D2670*E2670/F2670,2),0)</f>
        <v>0</v>
      </c>
    </row>
    <row r="2671" spans="1:7" ht="19.899999999999999" customHeight="1" x14ac:dyDescent="0.2">
      <c r="A2671" s="482">
        <f t="shared" si="910"/>
        <v>0</v>
      </c>
      <c r="B2671" s="445">
        <f t="shared" si="911"/>
        <v>0</v>
      </c>
      <c r="C2671" s="436">
        <f t="shared" si="912"/>
        <v>0</v>
      </c>
      <c r="D2671" s="442">
        <v>2</v>
      </c>
      <c r="E2671" s="439">
        <f t="shared" si="913"/>
        <v>0</v>
      </c>
      <c r="F2671" s="442">
        <f>IF(C2671="",0,IFERROR(VLOOKUP(COUNTIF($A$1:A2671,"ANALISIS DE PRECIOS"),T_Rendimiento_Equipo,5,FALSE),0))</f>
        <v>0</v>
      </c>
      <c r="G2671" s="439">
        <f t="shared" si="914"/>
        <v>0</v>
      </c>
    </row>
    <row r="2672" spans="1:7" ht="19.899999999999999" customHeight="1" x14ac:dyDescent="0.2">
      <c r="A2672" s="482">
        <f t="shared" si="910"/>
        <v>0</v>
      </c>
      <c r="B2672" s="445">
        <f t="shared" si="911"/>
        <v>0</v>
      </c>
      <c r="C2672" s="436"/>
      <c r="D2672" s="442"/>
      <c r="E2672" s="439">
        <f t="shared" si="913"/>
        <v>0</v>
      </c>
      <c r="F2672" s="442">
        <f>IF(C2672="",0,IFERROR(VLOOKUP(COUNTIF($A$1:A2672,"ANALISIS DE PRECIOS"),T_Rendimiento_Equipo,5,FALSE),0))</f>
        <v>0</v>
      </c>
      <c r="G2672" s="439">
        <f t="shared" si="914"/>
        <v>0</v>
      </c>
    </row>
    <row r="2673" spans="1:7" ht="19.899999999999999" customHeight="1" x14ac:dyDescent="0.2">
      <c r="A2673" s="482">
        <f t="shared" si="910"/>
        <v>0</v>
      </c>
      <c r="B2673" s="445">
        <f t="shared" si="911"/>
        <v>0</v>
      </c>
      <c r="C2673" s="436"/>
      <c r="D2673" s="450"/>
      <c r="E2673" s="439">
        <f t="shared" si="913"/>
        <v>0</v>
      </c>
      <c r="F2673" s="442">
        <f>IF(C2673="",0,IFERROR(VLOOKUP(COUNTIF($A$1:A2673,"ANALISIS DE PRECIOS"),T_Rendimiento_Equipo,5,FALSE),0))</f>
        <v>0</v>
      </c>
      <c r="G2673" s="439">
        <f t="shared" si="914"/>
        <v>0</v>
      </c>
    </row>
    <row r="2674" spans="1:7" ht="19.899999999999999" customHeight="1" x14ac:dyDescent="0.2">
      <c r="A2674" s="482">
        <f t="shared" si="910"/>
        <v>0</v>
      </c>
      <c r="B2674" s="445">
        <f t="shared" si="911"/>
        <v>0</v>
      </c>
      <c r="C2674" s="445"/>
      <c r="D2674" s="451"/>
      <c r="E2674" s="439">
        <f t="shared" si="913"/>
        <v>0</v>
      </c>
      <c r="F2674" s="442">
        <f>IF(C2674="",0,IFERROR(VLOOKUP(COUNTIF($A$1:A2674,"ANALISIS DE PRECIOS"),T_Rendimiento_Equipo,5,FALSE),0))</f>
        <v>0</v>
      </c>
      <c r="G2674" s="439">
        <f t="shared" si="914"/>
        <v>0</v>
      </c>
    </row>
    <row r="2675" spans="1:7" ht="19.899999999999999" customHeight="1" x14ac:dyDescent="0.2">
      <c r="A2675" s="483"/>
      <c r="B2675" s="426"/>
      <c r="C2675" s="139"/>
      <c r="D2675" s="426"/>
      <c r="E2675" s="427"/>
      <c r="F2675" s="448" t="s">
        <v>28</v>
      </c>
      <c r="G2675" s="485">
        <f>SUBTOTAL(9,G2668:G2674)</f>
        <v>0</v>
      </c>
    </row>
    <row r="2676" spans="1:7" ht="19.899999999999999" customHeight="1" x14ac:dyDescent="0.2">
      <c r="A2676" s="480"/>
      <c r="B2676" s="139"/>
      <c r="C2676" s="422" t="s">
        <v>982</v>
      </c>
      <c r="D2676" s="426"/>
      <c r="E2676" s="427"/>
      <c r="F2676" s="428"/>
      <c r="G2676" s="481"/>
    </row>
    <row r="2677" spans="1:7" ht="19.899999999999999" customHeight="1" x14ac:dyDescent="0.2">
      <c r="A2677" s="720" t="s">
        <v>576</v>
      </c>
      <c r="B2677" s="721"/>
      <c r="C2677" s="722" t="s">
        <v>0</v>
      </c>
      <c r="D2677" s="722" t="s">
        <v>1725</v>
      </c>
      <c r="E2677" s="724" t="s">
        <v>24</v>
      </c>
      <c r="F2677" s="726" t="s">
        <v>25</v>
      </c>
      <c r="G2677" s="728" t="s">
        <v>26</v>
      </c>
    </row>
    <row r="2678" spans="1:7" ht="19.899999999999999" customHeight="1" x14ac:dyDescent="0.2">
      <c r="A2678" s="444" t="s">
        <v>577</v>
      </c>
      <c r="B2678" s="444" t="s">
        <v>578</v>
      </c>
      <c r="C2678" s="723"/>
      <c r="D2678" s="723"/>
      <c r="E2678" s="725"/>
      <c r="F2678" s="727"/>
      <c r="G2678" s="729"/>
    </row>
    <row r="2679" spans="1:7" ht="19.899999999999999" customHeight="1" x14ac:dyDescent="0.2">
      <c r="A2679" s="482">
        <f t="shared" ref="A2679:A2689" si="915">IFERROR(VLOOKUP(C2679,T_Insumos,4,FALSE),0)</f>
        <v>0</v>
      </c>
      <c r="B2679" s="445">
        <f t="shared" ref="B2679:B2689" si="916">IFERROR(VLOOKUP(C2679,T_Insumos,5,FALSE),0)</f>
        <v>0</v>
      </c>
      <c r="C2679" s="436">
        <f t="shared" ref="C2679:C2689" si="917">+C2454</f>
        <v>0</v>
      </c>
      <c r="D2679" s="493">
        <f t="shared" ref="D2679:D2689" si="918">IFERROR(VLOOKUP(C2679,T_Insumos,2,FALSE),0)</f>
        <v>0</v>
      </c>
      <c r="E2679" s="437"/>
      <c r="F2679" s="439">
        <f t="shared" ref="F2679:F2689" si="919">IFERROR(VLOOKUP(C2679,T_Insumos,3,FALSE),0)</f>
        <v>0</v>
      </c>
      <c r="G2679" s="439">
        <f>ROUND(E2679*F2679,2)</f>
        <v>0</v>
      </c>
    </row>
    <row r="2680" spans="1:7" ht="19.899999999999999" customHeight="1" x14ac:dyDescent="0.2">
      <c r="A2680" s="482">
        <f t="shared" si="915"/>
        <v>0</v>
      </c>
      <c r="B2680" s="445">
        <f t="shared" si="916"/>
        <v>0</v>
      </c>
      <c r="C2680" s="436">
        <f t="shared" si="917"/>
        <v>0</v>
      </c>
      <c r="D2680" s="493">
        <f t="shared" si="918"/>
        <v>0</v>
      </c>
      <c r="E2680" s="437"/>
      <c r="F2680" s="439">
        <f t="shared" si="919"/>
        <v>0</v>
      </c>
      <c r="G2680" s="439">
        <f t="shared" ref="G2680:G2689" si="920">ROUND(E2680*F2680,2)</f>
        <v>0</v>
      </c>
    </row>
    <row r="2681" spans="1:7" ht="19.899999999999999" customHeight="1" x14ac:dyDescent="0.2">
      <c r="A2681" s="482">
        <f t="shared" si="915"/>
        <v>0</v>
      </c>
      <c r="B2681" s="445">
        <f t="shared" si="916"/>
        <v>0</v>
      </c>
      <c r="C2681" s="436">
        <f t="shared" si="917"/>
        <v>0</v>
      </c>
      <c r="D2681" s="493">
        <f t="shared" si="918"/>
        <v>0</v>
      </c>
      <c r="E2681" s="437"/>
      <c r="F2681" s="439">
        <f t="shared" si="919"/>
        <v>0</v>
      </c>
      <c r="G2681" s="439">
        <f t="shared" si="920"/>
        <v>0</v>
      </c>
    </row>
    <row r="2682" spans="1:7" ht="19.899999999999999" customHeight="1" x14ac:dyDescent="0.2">
      <c r="A2682" s="482">
        <f t="shared" si="915"/>
        <v>0</v>
      </c>
      <c r="B2682" s="445">
        <f t="shared" si="916"/>
        <v>0</v>
      </c>
      <c r="C2682" s="436">
        <f t="shared" si="917"/>
        <v>0</v>
      </c>
      <c r="D2682" s="493">
        <f t="shared" si="918"/>
        <v>0</v>
      </c>
      <c r="E2682" s="437"/>
      <c r="F2682" s="439">
        <f t="shared" si="919"/>
        <v>0</v>
      </c>
      <c r="G2682" s="439">
        <f t="shared" si="920"/>
        <v>0</v>
      </c>
    </row>
    <row r="2683" spans="1:7" ht="19.899999999999999" customHeight="1" x14ac:dyDescent="0.2">
      <c r="A2683" s="482">
        <f t="shared" si="915"/>
        <v>0</v>
      </c>
      <c r="B2683" s="445">
        <f t="shared" si="916"/>
        <v>0</v>
      </c>
      <c r="C2683" s="436">
        <f t="shared" si="917"/>
        <v>0</v>
      </c>
      <c r="D2683" s="493">
        <f t="shared" si="918"/>
        <v>0</v>
      </c>
      <c r="E2683" s="437"/>
      <c r="F2683" s="439">
        <f t="shared" si="919"/>
        <v>0</v>
      </c>
      <c r="G2683" s="439">
        <f t="shared" si="920"/>
        <v>0</v>
      </c>
    </row>
    <row r="2684" spans="1:7" ht="19.899999999999999" customHeight="1" x14ac:dyDescent="0.2">
      <c r="A2684" s="482">
        <f t="shared" si="915"/>
        <v>0</v>
      </c>
      <c r="B2684" s="445">
        <f t="shared" si="916"/>
        <v>0</v>
      </c>
      <c r="C2684" s="436">
        <f t="shared" si="917"/>
        <v>0</v>
      </c>
      <c r="D2684" s="493">
        <f t="shared" si="918"/>
        <v>0</v>
      </c>
      <c r="E2684" s="437"/>
      <c r="F2684" s="439">
        <f t="shared" si="919"/>
        <v>0</v>
      </c>
      <c r="G2684" s="439">
        <f t="shared" si="920"/>
        <v>0</v>
      </c>
    </row>
    <row r="2685" spans="1:7" ht="19.899999999999999" customHeight="1" x14ac:dyDescent="0.2">
      <c r="A2685" s="482">
        <f t="shared" si="915"/>
        <v>0</v>
      </c>
      <c r="B2685" s="445">
        <f t="shared" si="916"/>
        <v>0</v>
      </c>
      <c r="C2685" s="436">
        <f t="shared" si="917"/>
        <v>0</v>
      </c>
      <c r="D2685" s="493">
        <f t="shared" si="918"/>
        <v>0</v>
      </c>
      <c r="E2685" s="437"/>
      <c r="F2685" s="439">
        <f t="shared" si="919"/>
        <v>0</v>
      </c>
      <c r="G2685" s="439">
        <f t="shared" si="920"/>
        <v>0</v>
      </c>
    </row>
    <row r="2686" spans="1:7" ht="19.899999999999999" customHeight="1" x14ac:dyDescent="0.2">
      <c r="A2686" s="482">
        <f t="shared" si="915"/>
        <v>0</v>
      </c>
      <c r="B2686" s="445">
        <f t="shared" si="916"/>
        <v>0</v>
      </c>
      <c r="C2686" s="436">
        <f t="shared" si="917"/>
        <v>0</v>
      </c>
      <c r="D2686" s="493">
        <f t="shared" si="918"/>
        <v>0</v>
      </c>
      <c r="E2686" s="437"/>
      <c r="F2686" s="439">
        <f t="shared" si="919"/>
        <v>0</v>
      </c>
      <c r="G2686" s="439">
        <f t="shared" si="920"/>
        <v>0</v>
      </c>
    </row>
    <row r="2687" spans="1:7" ht="19.899999999999999" customHeight="1" x14ac:dyDescent="0.2">
      <c r="A2687" s="482">
        <f t="shared" si="915"/>
        <v>0</v>
      </c>
      <c r="B2687" s="445">
        <f t="shared" si="916"/>
        <v>0</v>
      </c>
      <c r="C2687" s="436">
        <f t="shared" si="917"/>
        <v>0</v>
      </c>
      <c r="D2687" s="493">
        <f t="shared" si="918"/>
        <v>0</v>
      </c>
      <c r="E2687" s="437"/>
      <c r="F2687" s="439">
        <f t="shared" si="919"/>
        <v>0</v>
      </c>
      <c r="G2687" s="439">
        <f t="shared" si="920"/>
        <v>0</v>
      </c>
    </row>
    <row r="2688" spans="1:7" ht="19.899999999999999" customHeight="1" x14ac:dyDescent="0.2">
      <c r="A2688" s="482">
        <f t="shared" si="915"/>
        <v>0</v>
      </c>
      <c r="B2688" s="445">
        <f t="shared" si="916"/>
        <v>0</v>
      </c>
      <c r="C2688" s="436">
        <f t="shared" si="917"/>
        <v>0</v>
      </c>
      <c r="D2688" s="493">
        <f t="shared" si="918"/>
        <v>0</v>
      </c>
      <c r="E2688" s="437"/>
      <c r="F2688" s="439">
        <f t="shared" si="919"/>
        <v>0</v>
      </c>
      <c r="G2688" s="439">
        <f t="shared" si="920"/>
        <v>0</v>
      </c>
    </row>
    <row r="2689" spans="1:7" ht="19.899999999999999" customHeight="1" x14ac:dyDescent="0.2">
      <c r="A2689" s="482">
        <f t="shared" si="915"/>
        <v>0</v>
      </c>
      <c r="B2689" s="445">
        <f t="shared" si="916"/>
        <v>0</v>
      </c>
      <c r="C2689" s="436">
        <f t="shared" si="917"/>
        <v>0</v>
      </c>
      <c r="D2689" s="493">
        <f t="shared" si="918"/>
        <v>0</v>
      </c>
      <c r="E2689" s="437"/>
      <c r="F2689" s="439">
        <f t="shared" si="919"/>
        <v>0</v>
      </c>
      <c r="G2689" s="439">
        <f t="shared" si="920"/>
        <v>0</v>
      </c>
    </row>
    <row r="2690" spans="1:7" ht="19.899999999999999" customHeight="1" x14ac:dyDescent="0.2">
      <c r="A2690" s="480"/>
      <c r="B2690" s="139"/>
      <c r="C2690" s="139"/>
      <c r="D2690" s="426"/>
      <c r="E2690" s="427"/>
      <c r="F2690" s="448" t="s">
        <v>29</v>
      </c>
      <c r="G2690" s="485">
        <f>SUBTOTAL(9,G2679:G2689)</f>
        <v>0</v>
      </c>
    </row>
    <row r="2691" spans="1:7" ht="19.899999999999999" customHeight="1" x14ac:dyDescent="0.2">
      <c r="A2691" s="480"/>
      <c r="B2691" s="139"/>
      <c r="C2691" s="422" t="s">
        <v>983</v>
      </c>
      <c r="D2691" s="426"/>
      <c r="E2691" s="427"/>
      <c r="F2691" s="428"/>
      <c r="G2691" s="481"/>
    </row>
    <row r="2692" spans="1:7" ht="19.899999999999999" customHeight="1" x14ac:dyDescent="0.2">
      <c r="A2692" s="720" t="s">
        <v>576</v>
      </c>
      <c r="B2692" s="721"/>
      <c r="C2692" s="722" t="s">
        <v>0</v>
      </c>
      <c r="D2692" s="722" t="s">
        <v>1725</v>
      </c>
      <c r="E2692" s="724" t="s">
        <v>24</v>
      </c>
      <c r="F2692" s="726" t="s">
        <v>25</v>
      </c>
      <c r="G2692" s="728" t="s">
        <v>26</v>
      </c>
    </row>
    <row r="2693" spans="1:7" ht="19.899999999999999" customHeight="1" x14ac:dyDescent="0.2">
      <c r="A2693" s="444" t="s">
        <v>577</v>
      </c>
      <c r="B2693" s="444" t="s">
        <v>578</v>
      </c>
      <c r="C2693" s="723"/>
      <c r="D2693" s="723"/>
      <c r="E2693" s="725"/>
      <c r="F2693" s="727"/>
      <c r="G2693" s="729"/>
    </row>
    <row r="2694" spans="1:7" ht="19.899999999999999" customHeight="1" x14ac:dyDescent="0.2">
      <c r="A2694" s="482">
        <f>IFERROR(VLOOKUP(C2694,T_Insumos,4,FALSE),0)</f>
        <v>0</v>
      </c>
      <c r="B2694" s="445">
        <f>IFERROR(VLOOKUP(C2694,T_Insumos,5,FALSE),0)</f>
        <v>0</v>
      </c>
      <c r="C2694" s="436"/>
      <c r="D2694" s="493">
        <f>IF(C2694=0,0,"$/tnkm")</f>
        <v>0</v>
      </c>
      <c r="E2694" s="437"/>
      <c r="F2694" s="439">
        <f>IFERROR(VLOOKUP(C2694,T_Insumos,3,FALSE),0)</f>
        <v>0</v>
      </c>
      <c r="G2694" s="439">
        <f>ROUND(E2694*F2694,2)</f>
        <v>0</v>
      </c>
    </row>
    <row r="2695" spans="1:7" ht="19.899999999999999" customHeight="1" x14ac:dyDescent="0.2">
      <c r="A2695" s="482">
        <f>IFERROR(VLOOKUP(C2695,T_Insumos,4,FALSE),0)</f>
        <v>0</v>
      </c>
      <c r="B2695" s="445">
        <f>IFERROR(VLOOKUP(C2695,T_Insumos,5,FALSE),0)</f>
        <v>0</v>
      </c>
      <c r="C2695" s="436"/>
      <c r="D2695" s="493">
        <f>IF(C2695=0,0,"$/tnkm")</f>
        <v>0</v>
      </c>
      <c r="E2695" s="453"/>
      <c r="F2695" s="439">
        <f>IFERROR(VLOOKUP(C2695,T_Insumos,3,FALSE),0)</f>
        <v>0</v>
      </c>
      <c r="G2695" s="439">
        <f t="shared" ref="G2695" si="921">ROUND(E2695*F2695,2)</f>
        <v>0</v>
      </c>
    </row>
    <row r="2696" spans="1:7" ht="19.899999999999999" customHeight="1" x14ac:dyDescent="0.2">
      <c r="A2696" s="480"/>
      <c r="B2696" s="139"/>
      <c r="C2696" s="139"/>
      <c r="D2696" s="426"/>
      <c r="E2696" s="427"/>
      <c r="F2696" s="448" t="s">
        <v>984</v>
      </c>
      <c r="G2696" s="485">
        <f>SUBTOTAL(9,G2694:G2695)</f>
        <v>0</v>
      </c>
    </row>
    <row r="2697" spans="1:7" ht="19.899999999999999" customHeight="1" x14ac:dyDescent="0.2">
      <c r="A2697" s="483"/>
      <c r="B2697" s="426"/>
      <c r="C2697" s="139"/>
      <c r="D2697" s="426"/>
      <c r="E2697" s="427"/>
      <c r="F2697" s="428"/>
      <c r="G2697" s="481"/>
    </row>
    <row r="2698" spans="1:7" ht="19.899999999999999" customHeight="1" x14ac:dyDescent="0.2">
      <c r="A2698" s="541" t="str">
        <f>B2632</f>
        <v/>
      </c>
      <c r="B2698" s="538">
        <f ca="1">C2632</f>
        <v>0</v>
      </c>
      <c r="C2698" s="426"/>
      <c r="D2698" s="426" t="s">
        <v>1704</v>
      </c>
      <c r="E2698" s="539"/>
      <c r="F2698" s="540" t="str">
        <f ca="1">"$/"&amp;G2632</f>
        <v>$/0</v>
      </c>
      <c r="G2698" s="490">
        <f>SUBTOTAL(9,G2655:G2697)</f>
        <v>0</v>
      </c>
    </row>
    <row r="2699" spans="1:7" ht="19.899999999999999" customHeight="1" x14ac:dyDescent="0.2">
      <c r="A2699" s="486"/>
      <c r="B2699" s="487"/>
      <c r="C2699" s="488"/>
      <c r="D2699" s="488" t="s">
        <v>1900</v>
      </c>
      <c r="E2699" s="489"/>
      <c r="F2699" s="542" t="str">
        <f ca="1">"$/"&amp;G2632</f>
        <v>$/0</v>
      </c>
      <c r="G2699" s="490">
        <f>ROUND(G2698*Coeficiente_Paso,2)</f>
        <v>0</v>
      </c>
    </row>
    <row r="2700" spans="1:7" ht="19.899999999999999" customHeight="1" x14ac:dyDescent="0.2">
      <c r="A2700" s="139"/>
      <c r="B2700" s="139"/>
      <c r="C2700" s="139"/>
      <c r="D2700" s="139"/>
      <c r="E2700" s="139"/>
      <c r="F2700" s="139"/>
      <c r="G2700" s="139"/>
    </row>
    <row r="2701" spans="1:7" ht="19.899999999999999" customHeight="1" x14ac:dyDescent="0.2">
      <c r="A2701" s="730" t="s">
        <v>31</v>
      </c>
      <c r="B2701" s="731"/>
      <c r="C2701" s="731"/>
      <c r="D2701" s="731"/>
      <c r="E2701" s="731"/>
      <c r="F2701" s="731"/>
      <c r="G2701" s="732"/>
    </row>
    <row r="2702" spans="1:7" ht="19.899999999999999" customHeight="1" x14ac:dyDescent="0.2">
      <c r="A2702" s="469" t="s">
        <v>711</v>
      </c>
      <c r="B2702" s="420" t="str">
        <f>Comitente</f>
        <v>DEPARTAMENTO DE HIDRAULICA</v>
      </c>
      <c r="C2702" s="421"/>
      <c r="D2702" s="422"/>
      <c r="E2702" s="422"/>
      <c r="F2702" s="423"/>
      <c r="G2702" s="470"/>
    </row>
    <row r="2703" spans="1:7" ht="19.899999999999999" customHeight="1" x14ac:dyDescent="0.2">
      <c r="A2703" s="469" t="s">
        <v>712</v>
      </c>
      <c r="B2703" s="420">
        <f>Contratista</f>
        <v>0</v>
      </c>
      <c r="C2703" s="424"/>
      <c r="D2703" s="424"/>
      <c r="E2703" s="424"/>
      <c r="F2703" s="420"/>
      <c r="G2703" s="471"/>
    </row>
    <row r="2704" spans="1:7" ht="19.899999999999999" customHeight="1" x14ac:dyDescent="0.2">
      <c r="A2704" s="469" t="s">
        <v>21</v>
      </c>
      <c r="B2704" s="420" t="str">
        <f>Obra</f>
        <v>Encamisado Parcial del Canal de Calle América</v>
      </c>
      <c r="C2704" s="424"/>
      <c r="D2704" s="424"/>
      <c r="E2704" s="424"/>
      <c r="F2704" s="420" t="s">
        <v>32</v>
      </c>
      <c r="G2704" s="471" t="str">
        <f>Fecha_Base</f>
        <v>X/X/2023</v>
      </c>
    </row>
    <row r="2705" spans="1:7" ht="19.899999999999999" customHeight="1" x14ac:dyDescent="0.2">
      <c r="A2705" s="472" t="s">
        <v>710</v>
      </c>
      <c r="B2705" s="425" t="str">
        <f>Ubicación</f>
        <v>Departamento Rawson</v>
      </c>
      <c r="C2705" s="425"/>
      <c r="D2705" s="426"/>
      <c r="E2705" s="427"/>
      <c r="F2705" s="428"/>
      <c r="G2705" s="473"/>
    </row>
    <row r="2706" spans="1:7" ht="19.899999999999999" customHeight="1" x14ac:dyDescent="0.2">
      <c r="A2706" s="472" t="s">
        <v>33</v>
      </c>
      <c r="B2706" s="429" t="str">
        <f>IFERROR(VALUE(LEFT(B2707,FIND(".",B2707)-1)),"")</f>
        <v/>
      </c>
      <c r="C2706" s="139">
        <f ca="1">IFERROR(VLOOKUP(B2706,T_Computo_Presupuesto,2,FALSE),0)</f>
        <v>0</v>
      </c>
      <c r="D2706" s="139"/>
      <c r="E2706" s="427"/>
      <c r="F2706" s="428"/>
      <c r="G2706" s="473"/>
    </row>
    <row r="2707" spans="1:7" ht="19.899999999999999" customHeight="1" x14ac:dyDescent="0.2">
      <c r="A2707" s="472" t="s">
        <v>22</v>
      </c>
      <c r="B2707" s="430" t="str">
        <f>IFERROR(VLOOKUP(COUNTIF($A$1:A2707,"ANALISIS DE PRECIOS"),T_NumeroItem,2,FALSE),"")</f>
        <v/>
      </c>
      <c r="C2707" s="733">
        <f ca="1">IFERROR(VLOOKUP(B2707,T_Computo_Presupuesto,2,FALSE),0)</f>
        <v>0</v>
      </c>
      <c r="D2707" s="733"/>
      <c r="E2707" s="733"/>
      <c r="F2707" s="425" t="s">
        <v>23</v>
      </c>
      <c r="G2707" s="474">
        <f ca="1">IFERROR(VLOOKUP(B2707,T_Computo_Presupuesto,4,FALSE),0)</f>
        <v>0</v>
      </c>
    </row>
    <row r="2708" spans="1:7" ht="19.899999999999999" customHeight="1" x14ac:dyDescent="0.2">
      <c r="A2708" s="472"/>
      <c r="B2708" s="425"/>
      <c r="C2708" s="139"/>
      <c r="D2708" s="426"/>
      <c r="E2708" s="427"/>
      <c r="F2708" s="139"/>
      <c r="G2708" s="475"/>
    </row>
    <row r="2709" spans="1:7" ht="19.899999999999999" customHeight="1" x14ac:dyDescent="0.2">
      <c r="A2709" s="476"/>
      <c r="B2709" s="431"/>
      <c r="C2709" s="432" t="s">
        <v>967</v>
      </c>
      <c r="D2709" s="431"/>
      <c r="E2709" s="431"/>
      <c r="F2709" s="431"/>
      <c r="G2709" s="477"/>
    </row>
    <row r="2710" spans="1:7" ht="19.899999999999999" customHeight="1" x14ac:dyDescent="0.2">
      <c r="A2710" s="472"/>
      <c r="B2710" s="433"/>
      <c r="C2710" s="139"/>
      <c r="D2710" s="426"/>
      <c r="E2710" s="427"/>
      <c r="F2710" s="425"/>
      <c r="G2710" s="474"/>
    </row>
    <row r="2711" spans="1:7" ht="19.899999999999999" customHeight="1" x14ac:dyDescent="0.2">
      <c r="A2711" s="472"/>
      <c r="B2711" s="433"/>
      <c r="C2711" s="434" t="s">
        <v>968</v>
      </c>
      <c r="D2711" s="435" t="s">
        <v>24</v>
      </c>
      <c r="E2711" s="435" t="s">
        <v>969</v>
      </c>
      <c r="F2711" s="435" t="s">
        <v>970</v>
      </c>
      <c r="G2711" s="434" t="s">
        <v>971</v>
      </c>
    </row>
    <row r="2712" spans="1:7" ht="19.899999999999999" customHeight="1" x14ac:dyDescent="0.2">
      <c r="A2712" s="472"/>
      <c r="B2712" s="433"/>
      <c r="C2712" s="436">
        <f>+C2487</f>
        <v>0</v>
      </c>
      <c r="D2712" s="436">
        <f>+D2487</f>
        <v>0</v>
      </c>
      <c r="E2712" s="438">
        <f t="shared" ref="E2712:E2721" si="922">IFERROR(VLOOKUP(C2712,T_Equipos,4,FALSE),0)</f>
        <v>0</v>
      </c>
      <c r="F2712" s="439">
        <f t="shared" ref="F2712:F2721" si="923">IFERROR(VLOOKUP(C2712,T_Equipos,5,FALSE),0)</f>
        <v>0</v>
      </c>
      <c r="G2712" s="439">
        <f>ROUND(D2712*F2712,2)</f>
        <v>0</v>
      </c>
    </row>
    <row r="2713" spans="1:7" ht="19.899999999999999" customHeight="1" x14ac:dyDescent="0.2">
      <c r="A2713" s="472"/>
      <c r="B2713" s="433"/>
      <c r="C2713" s="436">
        <f t="shared" ref="C2713:D2713" si="924">+C2488</f>
        <v>0</v>
      </c>
      <c r="D2713" s="436">
        <f t="shared" si="924"/>
        <v>0</v>
      </c>
      <c r="E2713" s="438">
        <f t="shared" si="922"/>
        <v>0</v>
      </c>
      <c r="F2713" s="439">
        <f t="shared" si="923"/>
        <v>0</v>
      </c>
      <c r="G2713" s="439">
        <f>ROUND(D2713*F2713,2)</f>
        <v>0</v>
      </c>
    </row>
    <row r="2714" spans="1:7" ht="19.899999999999999" customHeight="1" x14ac:dyDescent="0.2">
      <c r="A2714" s="472"/>
      <c r="B2714" s="433"/>
      <c r="C2714" s="436">
        <f t="shared" ref="C2714" si="925">+C2489</f>
        <v>0</v>
      </c>
      <c r="D2714" s="436"/>
      <c r="E2714" s="438">
        <f t="shared" si="922"/>
        <v>0</v>
      </c>
      <c r="F2714" s="439">
        <f t="shared" si="923"/>
        <v>0</v>
      </c>
      <c r="G2714" s="439">
        <f>ROUND(D2714*F2714,2)</f>
        <v>0</v>
      </c>
    </row>
    <row r="2715" spans="1:7" ht="19.899999999999999" customHeight="1" x14ac:dyDescent="0.2">
      <c r="A2715" s="472"/>
      <c r="B2715" s="433"/>
      <c r="C2715" s="436">
        <f t="shared" ref="C2715" si="926">+C2490</f>
        <v>0</v>
      </c>
      <c r="D2715" s="436"/>
      <c r="E2715" s="438">
        <f t="shared" si="922"/>
        <v>0</v>
      </c>
      <c r="F2715" s="439">
        <f t="shared" si="923"/>
        <v>0</v>
      </c>
      <c r="G2715" s="439">
        <f>ROUND(D2715*F2715,2)</f>
        <v>0</v>
      </c>
    </row>
    <row r="2716" spans="1:7" ht="19.899999999999999" customHeight="1" x14ac:dyDescent="0.2">
      <c r="A2716" s="472"/>
      <c r="B2716" s="433"/>
      <c r="C2716" s="436">
        <f t="shared" ref="C2716" si="927">+C2491</f>
        <v>0</v>
      </c>
      <c r="D2716" s="436"/>
      <c r="E2716" s="438">
        <f t="shared" si="922"/>
        <v>0</v>
      </c>
      <c r="F2716" s="439">
        <f t="shared" si="923"/>
        <v>0</v>
      </c>
      <c r="G2716" s="439">
        <f t="shared" ref="G2716:G2721" si="928">ROUND(D2716*F2716,2)</f>
        <v>0</v>
      </c>
    </row>
    <row r="2717" spans="1:7" ht="19.899999999999999" customHeight="1" x14ac:dyDescent="0.2">
      <c r="A2717" s="472"/>
      <c r="B2717" s="433"/>
      <c r="C2717" s="436">
        <f t="shared" ref="C2717" si="929">+C2492</f>
        <v>0</v>
      </c>
      <c r="D2717" s="436"/>
      <c r="E2717" s="438">
        <f t="shared" si="922"/>
        <v>0</v>
      </c>
      <c r="F2717" s="439">
        <f t="shared" si="923"/>
        <v>0</v>
      </c>
      <c r="G2717" s="439">
        <f t="shared" si="928"/>
        <v>0</v>
      </c>
    </row>
    <row r="2718" spans="1:7" ht="19.899999999999999" customHeight="1" x14ac:dyDescent="0.2">
      <c r="A2718" s="472"/>
      <c r="B2718" s="433"/>
      <c r="C2718" s="436">
        <f t="shared" ref="C2718:D2718" si="930">+C2493</f>
        <v>0</v>
      </c>
      <c r="D2718" s="436">
        <f t="shared" si="930"/>
        <v>0</v>
      </c>
      <c r="E2718" s="438">
        <f t="shared" si="922"/>
        <v>0</v>
      </c>
      <c r="F2718" s="439">
        <f t="shared" si="923"/>
        <v>0</v>
      </c>
      <c r="G2718" s="439">
        <f t="shared" si="928"/>
        <v>0</v>
      </c>
    </row>
    <row r="2719" spans="1:7" ht="19.899999999999999" customHeight="1" x14ac:dyDescent="0.2">
      <c r="A2719" s="472"/>
      <c r="B2719" s="433"/>
      <c r="C2719" s="436">
        <f t="shared" ref="C2719:D2719" si="931">+C2494</f>
        <v>0</v>
      </c>
      <c r="D2719" s="436">
        <f t="shared" si="931"/>
        <v>0</v>
      </c>
      <c r="E2719" s="438">
        <f t="shared" si="922"/>
        <v>0</v>
      </c>
      <c r="F2719" s="439">
        <f t="shared" si="923"/>
        <v>0</v>
      </c>
      <c r="G2719" s="439">
        <f t="shared" si="928"/>
        <v>0</v>
      </c>
    </row>
    <row r="2720" spans="1:7" ht="19.899999999999999" customHeight="1" x14ac:dyDescent="0.2">
      <c r="A2720" s="472"/>
      <c r="B2720" s="433"/>
      <c r="C2720" s="436"/>
      <c r="D2720" s="437"/>
      <c r="E2720" s="438">
        <f t="shared" si="922"/>
        <v>0</v>
      </c>
      <c r="F2720" s="439">
        <f t="shared" si="923"/>
        <v>0</v>
      </c>
      <c r="G2720" s="439">
        <f t="shared" si="928"/>
        <v>0</v>
      </c>
    </row>
    <row r="2721" spans="1:7" ht="19.899999999999999" customHeight="1" x14ac:dyDescent="0.2">
      <c r="A2721" s="472"/>
      <c r="B2721" s="433"/>
      <c r="C2721" s="436"/>
      <c r="D2721" s="437"/>
      <c r="E2721" s="438">
        <f t="shared" si="922"/>
        <v>0</v>
      </c>
      <c r="F2721" s="439">
        <f t="shared" si="923"/>
        <v>0</v>
      </c>
      <c r="G2721" s="439">
        <f t="shared" si="928"/>
        <v>0</v>
      </c>
    </row>
    <row r="2722" spans="1:7" ht="19.899999999999999" customHeight="1" x14ac:dyDescent="0.2">
      <c r="A2722" s="472"/>
      <c r="B2722" s="433"/>
      <c r="C2722" s="139"/>
      <c r="D2722" s="139"/>
      <c r="E2722" s="440"/>
      <c r="F2722" s="425"/>
      <c r="G2722" s="474"/>
    </row>
    <row r="2723" spans="1:7" ht="19.899999999999999" customHeight="1" x14ac:dyDescent="0.2">
      <c r="A2723" s="472"/>
      <c r="B2723" s="139"/>
      <c r="C2723" s="422" t="s">
        <v>972</v>
      </c>
      <c r="D2723" s="425" t="s">
        <v>969</v>
      </c>
      <c r="E2723" s="491">
        <f>SUMPRODUCT(D2712:D2721,E2712:E2721)</f>
        <v>0</v>
      </c>
      <c r="F2723" s="425" t="s">
        <v>973</v>
      </c>
      <c r="G2723" s="492">
        <f>SUM(G2712:G2721)</f>
        <v>0</v>
      </c>
    </row>
    <row r="2724" spans="1:7" ht="19.899999999999999" customHeight="1" x14ac:dyDescent="0.2">
      <c r="A2724" s="472"/>
      <c r="B2724" s="433"/>
      <c r="C2724" s="441"/>
      <c r="D2724" s="440"/>
      <c r="E2724" s="427"/>
      <c r="F2724" s="425"/>
      <c r="G2724" s="478"/>
    </row>
    <row r="2725" spans="1:7" ht="19.899999999999999" customHeight="1" x14ac:dyDescent="0.2">
      <c r="A2725" s="479"/>
      <c r="B2725" s="433"/>
      <c r="C2725" s="425" t="s">
        <v>974</v>
      </c>
      <c r="D2725" s="442">
        <f>IFERROR(VLOOKUP(COUNTIF($A$1:A2725,"ANALISIS DE PRECIOS"),T_Rendimiento_Equipo,5,FALSE),0)</f>
        <v>0</v>
      </c>
      <c r="E2725" s="443" t="str">
        <f ca="1">G2707&amp;"/día"</f>
        <v>0/día</v>
      </c>
      <c r="F2725" s="419"/>
      <c r="G2725" s="474"/>
    </row>
    <row r="2726" spans="1:7" ht="19.899999999999999" customHeight="1" x14ac:dyDescent="0.2">
      <c r="A2726" s="472"/>
      <c r="B2726" s="433"/>
      <c r="C2726" s="139"/>
      <c r="D2726" s="426"/>
      <c r="E2726" s="427"/>
      <c r="F2726" s="425"/>
      <c r="G2726" s="474"/>
    </row>
    <row r="2727" spans="1:7" ht="19.899999999999999" customHeight="1" x14ac:dyDescent="0.2">
      <c r="A2727" s="720" t="s">
        <v>576</v>
      </c>
      <c r="B2727" s="721"/>
      <c r="C2727" s="722" t="s">
        <v>0</v>
      </c>
      <c r="D2727" s="734" t="s">
        <v>1724</v>
      </c>
      <c r="E2727" s="734" t="s">
        <v>1723</v>
      </c>
      <c r="F2727" s="726" t="s">
        <v>975</v>
      </c>
      <c r="G2727" s="728" t="s">
        <v>26</v>
      </c>
    </row>
    <row r="2728" spans="1:7" ht="19.899999999999999" customHeight="1" x14ac:dyDescent="0.2">
      <c r="A2728" s="444" t="s">
        <v>577</v>
      </c>
      <c r="B2728" s="444" t="s">
        <v>578</v>
      </c>
      <c r="C2728" s="723"/>
      <c r="D2728" s="735"/>
      <c r="E2728" s="725"/>
      <c r="F2728" s="727"/>
      <c r="G2728" s="729"/>
    </row>
    <row r="2729" spans="1:7" ht="19.899999999999999" customHeight="1" x14ac:dyDescent="0.2">
      <c r="A2729" s="480"/>
      <c r="B2729" s="139"/>
      <c r="C2729" s="422" t="s">
        <v>976</v>
      </c>
      <c r="D2729" s="427"/>
      <c r="E2729" s="427"/>
      <c r="F2729" s="139"/>
      <c r="G2729" s="481"/>
    </row>
    <row r="2730" spans="1:7" ht="19.899999999999999" customHeight="1" x14ac:dyDescent="0.2">
      <c r="A2730" s="482">
        <f t="shared" ref="A2730:A2738" si="932">IFERROR(VLOOKUP(C2730,T_Insumos,4,FALSE),0)</f>
        <v>0</v>
      </c>
      <c r="B2730" s="445">
        <f t="shared" ref="B2730:B2738" si="933">IFERROR(VLOOKUP(C2730,T_Insumos,5,FALSE),0)</f>
        <v>0</v>
      </c>
      <c r="C2730" s="436">
        <f>+C2430</f>
        <v>0</v>
      </c>
      <c r="D2730" s="446">
        <f t="shared" ref="D2730:D2738" si="934">IFERROR(VLOOKUP(C2730,T_Insumos,3,FALSE),0)</f>
        <v>0</v>
      </c>
      <c r="E2730" s="439">
        <f>D2730*$G$323</f>
        <v>0</v>
      </c>
      <c r="F2730" s="442">
        <f>IF(C2730="",0,IFERROR(VLOOKUP(COUNTIF($A$1:A2730,"ANALISIS DE PRECIOS"),T_Rendimiento_Equipo,5,FALSE),0))</f>
        <v>0</v>
      </c>
      <c r="G2730" s="439">
        <f>IFERROR(ROUND(E2730/F2730,2),0)</f>
        <v>0</v>
      </c>
    </row>
    <row r="2731" spans="1:7" ht="19.899999999999999" customHeight="1" x14ac:dyDescent="0.2">
      <c r="A2731" s="482">
        <f t="shared" si="932"/>
        <v>0</v>
      </c>
      <c r="B2731" s="445">
        <f t="shared" si="933"/>
        <v>0</v>
      </c>
      <c r="C2731" s="436">
        <f t="shared" ref="C2731:C2733" si="935">+C2431</f>
        <v>0</v>
      </c>
      <c r="D2731" s="446">
        <f t="shared" si="934"/>
        <v>0</v>
      </c>
      <c r="E2731" s="439">
        <f t="shared" ref="E2731:E2732" si="936">D2731*$G$323</f>
        <v>0</v>
      </c>
      <c r="F2731" s="442">
        <f>IF(C2731="",0,IFERROR(VLOOKUP(COUNTIF($A$1:A2731,"ANALISIS DE PRECIOS"),T_Rendimiento_Equipo,5,FALSE),0))</f>
        <v>0</v>
      </c>
      <c r="G2731" s="439">
        <f t="shared" ref="G2731:G2738" si="937">IFERROR(ROUND(E2731/F2731,2),0)</f>
        <v>0</v>
      </c>
    </row>
    <row r="2732" spans="1:7" ht="19.899999999999999" customHeight="1" x14ac:dyDescent="0.2">
      <c r="A2732" s="482">
        <f t="shared" si="932"/>
        <v>0</v>
      </c>
      <c r="B2732" s="445">
        <f t="shared" si="933"/>
        <v>0</v>
      </c>
      <c r="C2732" s="436">
        <f t="shared" si="935"/>
        <v>0</v>
      </c>
      <c r="D2732" s="446">
        <f t="shared" si="934"/>
        <v>0</v>
      </c>
      <c r="E2732" s="439">
        <f t="shared" si="936"/>
        <v>0</v>
      </c>
      <c r="F2732" s="442">
        <f>IF(C2732="",0,IFERROR(VLOOKUP(COUNTIF($A$1:A2732,"ANALISIS DE PRECIOS"),T_Rendimiento_Equipo,5,FALSE),0))</f>
        <v>0</v>
      </c>
      <c r="G2732" s="439">
        <f t="shared" si="937"/>
        <v>0</v>
      </c>
    </row>
    <row r="2733" spans="1:7" ht="19.899999999999999" customHeight="1" x14ac:dyDescent="0.2">
      <c r="A2733" s="482">
        <f t="shared" si="932"/>
        <v>0</v>
      </c>
      <c r="B2733" s="445">
        <f t="shared" si="933"/>
        <v>0</v>
      </c>
      <c r="C2733" s="436">
        <f t="shared" si="935"/>
        <v>0</v>
      </c>
      <c r="D2733" s="446">
        <f t="shared" si="934"/>
        <v>0</v>
      </c>
      <c r="E2733" s="439">
        <f>D2733*$E$323</f>
        <v>0</v>
      </c>
      <c r="F2733" s="442">
        <f>IF(C2733="",0,IFERROR(VLOOKUP(COUNTIF($A$1:A2733,"ANALISIS DE PRECIOS"),T_Rendimiento_Equipo,5,FALSE),0))</f>
        <v>0</v>
      </c>
      <c r="G2733" s="439">
        <f t="shared" si="937"/>
        <v>0</v>
      </c>
    </row>
    <row r="2734" spans="1:7" ht="19.899999999999999" customHeight="1" x14ac:dyDescent="0.2">
      <c r="A2734" s="482">
        <f t="shared" si="932"/>
        <v>0</v>
      </c>
      <c r="B2734" s="445">
        <f t="shared" si="933"/>
        <v>0</v>
      </c>
      <c r="C2734" s="447"/>
      <c r="D2734" s="446">
        <f t="shared" si="934"/>
        <v>0</v>
      </c>
      <c r="E2734" s="439"/>
      <c r="F2734" s="442">
        <f>IF(C2734="",0,IFERROR(VLOOKUP(COUNTIF($A$1:A2734,"ANALISIS DE PRECIOS"),T_Rendimiento_Equipo,5,FALSE),0))</f>
        <v>0</v>
      </c>
      <c r="G2734" s="439">
        <f t="shared" si="937"/>
        <v>0</v>
      </c>
    </row>
    <row r="2735" spans="1:7" ht="19.899999999999999" customHeight="1" x14ac:dyDescent="0.2">
      <c r="A2735" s="482">
        <f t="shared" si="932"/>
        <v>0</v>
      </c>
      <c r="B2735" s="445">
        <f t="shared" si="933"/>
        <v>0</v>
      </c>
      <c r="C2735" s="447"/>
      <c r="D2735" s="446">
        <f t="shared" si="934"/>
        <v>0</v>
      </c>
      <c r="E2735" s="439"/>
      <c r="F2735" s="442">
        <f>IF(C2735="",0,IFERROR(VLOOKUP(COUNTIF($A$1:A2735,"ANALISIS DE PRECIOS"),T_Rendimiento_Equipo,5,FALSE),0))</f>
        <v>0</v>
      </c>
      <c r="G2735" s="439">
        <f t="shared" si="937"/>
        <v>0</v>
      </c>
    </row>
    <row r="2736" spans="1:7" ht="19.899999999999999" customHeight="1" x14ac:dyDescent="0.2">
      <c r="A2736" s="482">
        <f t="shared" si="932"/>
        <v>0</v>
      </c>
      <c r="B2736" s="445">
        <f t="shared" si="933"/>
        <v>0</v>
      </c>
      <c r="C2736" s="447"/>
      <c r="D2736" s="446">
        <f t="shared" si="934"/>
        <v>0</v>
      </c>
      <c r="E2736" s="439"/>
      <c r="F2736" s="442">
        <f>IF(C2736="",0,IFERROR(VLOOKUP(COUNTIF($A$1:A2736,"ANALISIS DE PRECIOS"),T_Rendimiento_Equipo,5,FALSE),0))</f>
        <v>0</v>
      </c>
      <c r="G2736" s="439">
        <f t="shared" si="937"/>
        <v>0</v>
      </c>
    </row>
    <row r="2737" spans="1:7" ht="19.899999999999999" customHeight="1" x14ac:dyDescent="0.2">
      <c r="A2737" s="482">
        <f t="shared" si="932"/>
        <v>0</v>
      </c>
      <c r="B2737" s="445">
        <f t="shared" si="933"/>
        <v>0</v>
      </c>
      <c r="C2737" s="447"/>
      <c r="D2737" s="446">
        <f t="shared" si="934"/>
        <v>0</v>
      </c>
      <c r="E2737" s="439"/>
      <c r="F2737" s="442">
        <f>IF(C2737="",0,IFERROR(VLOOKUP(COUNTIF($A$1:A2737,"ANALISIS DE PRECIOS"),T_Rendimiento_Equipo,5,FALSE),0))</f>
        <v>0</v>
      </c>
      <c r="G2737" s="439">
        <f t="shared" si="937"/>
        <v>0</v>
      </c>
    </row>
    <row r="2738" spans="1:7" ht="19.899999999999999" customHeight="1" x14ac:dyDescent="0.2">
      <c r="A2738" s="482">
        <f t="shared" si="932"/>
        <v>0</v>
      </c>
      <c r="B2738" s="445">
        <f t="shared" si="933"/>
        <v>0</v>
      </c>
      <c r="C2738" s="436"/>
      <c r="D2738" s="446">
        <f t="shared" si="934"/>
        <v>0</v>
      </c>
      <c r="E2738" s="439"/>
      <c r="F2738" s="442">
        <f>IF(C2738="",0,IFERROR(VLOOKUP(COUNTIF($A$1:A2738,"ANALISIS DE PRECIOS"),T_Rendimiento_Equipo,5,FALSE),0))</f>
        <v>0</v>
      </c>
      <c r="G2738" s="439">
        <f t="shared" si="937"/>
        <v>0</v>
      </c>
    </row>
    <row r="2739" spans="1:7" ht="19.899999999999999" customHeight="1" x14ac:dyDescent="0.2">
      <c r="A2739" s="483"/>
      <c r="B2739" s="426"/>
      <c r="C2739" s="139"/>
      <c r="D2739" s="426"/>
      <c r="E2739" s="427"/>
      <c r="F2739" s="448" t="s">
        <v>27</v>
      </c>
      <c r="G2739" s="484">
        <f>SUBTOTAL(9,G2730:G2738)</f>
        <v>0</v>
      </c>
    </row>
    <row r="2740" spans="1:7" ht="19.899999999999999" customHeight="1" x14ac:dyDescent="0.2">
      <c r="A2740" s="480"/>
      <c r="B2740" s="139"/>
      <c r="C2740" s="422" t="s">
        <v>713</v>
      </c>
      <c r="D2740" s="426"/>
      <c r="E2740" s="427"/>
      <c r="F2740" s="428"/>
      <c r="G2740" s="481"/>
    </row>
    <row r="2741" spans="1:7" ht="19.899999999999999" customHeight="1" x14ac:dyDescent="0.2">
      <c r="A2741" s="720" t="s">
        <v>576</v>
      </c>
      <c r="B2741" s="721"/>
      <c r="C2741" s="722" t="s">
        <v>0</v>
      </c>
      <c r="D2741" s="724" t="s">
        <v>24</v>
      </c>
      <c r="E2741" s="724" t="s">
        <v>1964</v>
      </c>
      <c r="F2741" s="726" t="s">
        <v>975</v>
      </c>
      <c r="G2741" s="728" t="s">
        <v>26</v>
      </c>
    </row>
    <row r="2742" spans="1:7" ht="19.899999999999999" customHeight="1" x14ac:dyDescent="0.2">
      <c r="A2742" s="444" t="s">
        <v>577</v>
      </c>
      <c r="B2742" s="444" t="s">
        <v>578</v>
      </c>
      <c r="C2742" s="723"/>
      <c r="D2742" s="725"/>
      <c r="E2742" s="725"/>
      <c r="F2742" s="727"/>
      <c r="G2742" s="729"/>
    </row>
    <row r="2743" spans="1:7" ht="19.899999999999999" customHeight="1" x14ac:dyDescent="0.2">
      <c r="A2743" s="482">
        <f t="shared" ref="A2743:A2749" si="938">IFERROR(VLOOKUP(C2743,T_Insumos,4,FALSE),0)</f>
        <v>0</v>
      </c>
      <c r="B2743" s="445">
        <f t="shared" ref="B2743:B2749" si="939">IFERROR(VLOOKUP(C2743,T_Insumos,5,FALSE),0)</f>
        <v>0</v>
      </c>
      <c r="C2743" s="436">
        <f t="shared" ref="C2743:C2746" si="940">+C2518</f>
        <v>0</v>
      </c>
      <c r="D2743" s="442"/>
      <c r="E2743" s="439">
        <f t="shared" ref="E2743:E2749" si="941">IFERROR(VLOOKUP(C2743,T_Insumos,3,FALSE),0)</f>
        <v>0</v>
      </c>
      <c r="F2743" s="442">
        <f>IF(C2743="",0,IFERROR(VLOOKUP(COUNTIF($A$1:A2743,"ANALISIS DE PRECIOS"),T_Rendimiento_Equipo,5,FALSE),0))</f>
        <v>0</v>
      </c>
      <c r="G2743" s="439">
        <f>IFERROR(ROUND(D2743*E2743/F2743,2),0)</f>
        <v>0</v>
      </c>
    </row>
    <row r="2744" spans="1:7" ht="19.899999999999999" customHeight="1" x14ac:dyDescent="0.2">
      <c r="A2744" s="482">
        <f t="shared" si="938"/>
        <v>0</v>
      </c>
      <c r="B2744" s="445">
        <f t="shared" si="939"/>
        <v>0</v>
      </c>
      <c r="C2744" s="436">
        <f t="shared" si="940"/>
        <v>0</v>
      </c>
      <c r="D2744" s="442">
        <v>1</v>
      </c>
      <c r="E2744" s="439">
        <f t="shared" si="941"/>
        <v>0</v>
      </c>
      <c r="F2744" s="442">
        <f>IF(C2744="",0,IFERROR(VLOOKUP(COUNTIF($A$1:A2744,"ANALISIS DE PRECIOS"),T_Rendimiento_Equipo,5,FALSE),0))</f>
        <v>0</v>
      </c>
      <c r="G2744" s="439">
        <f>IFERROR(ROUND(D2744*E2744/F2744,2),0)</f>
        <v>0</v>
      </c>
    </row>
    <row r="2745" spans="1:7" ht="19.899999999999999" customHeight="1" x14ac:dyDescent="0.2">
      <c r="A2745" s="482">
        <f t="shared" si="938"/>
        <v>0</v>
      </c>
      <c r="B2745" s="445">
        <f t="shared" si="939"/>
        <v>0</v>
      </c>
      <c r="C2745" s="436">
        <f t="shared" si="940"/>
        <v>0</v>
      </c>
      <c r="D2745" s="442"/>
      <c r="E2745" s="439">
        <f t="shared" si="941"/>
        <v>0</v>
      </c>
      <c r="F2745" s="442">
        <f>IF(C2745="",0,IFERROR(VLOOKUP(COUNTIF($A$1:A2745,"ANALISIS DE PRECIOS"),T_Rendimiento_Equipo,5,FALSE),0))</f>
        <v>0</v>
      </c>
      <c r="G2745" s="439">
        <f t="shared" ref="G2745:G2749" si="942">IFERROR(ROUND(D2745*E2745/F2745,2),0)</f>
        <v>0</v>
      </c>
    </row>
    <row r="2746" spans="1:7" ht="19.899999999999999" customHeight="1" x14ac:dyDescent="0.2">
      <c r="A2746" s="482">
        <f t="shared" si="938"/>
        <v>0</v>
      </c>
      <c r="B2746" s="445">
        <f t="shared" si="939"/>
        <v>0</v>
      </c>
      <c r="C2746" s="436">
        <f t="shared" si="940"/>
        <v>0</v>
      </c>
      <c r="D2746" s="442">
        <v>2</v>
      </c>
      <c r="E2746" s="439">
        <f t="shared" si="941"/>
        <v>0</v>
      </c>
      <c r="F2746" s="442">
        <f>IF(C2746="",0,IFERROR(VLOOKUP(COUNTIF($A$1:A2746,"ANALISIS DE PRECIOS"),T_Rendimiento_Equipo,5,FALSE),0))</f>
        <v>0</v>
      </c>
      <c r="G2746" s="439">
        <f t="shared" si="942"/>
        <v>0</v>
      </c>
    </row>
    <row r="2747" spans="1:7" ht="19.899999999999999" customHeight="1" x14ac:dyDescent="0.2">
      <c r="A2747" s="482">
        <f t="shared" si="938"/>
        <v>0</v>
      </c>
      <c r="B2747" s="445">
        <f t="shared" si="939"/>
        <v>0</v>
      </c>
      <c r="C2747" s="436"/>
      <c r="D2747" s="442"/>
      <c r="E2747" s="439">
        <f t="shared" si="941"/>
        <v>0</v>
      </c>
      <c r="F2747" s="442">
        <f>IF(C2747="",0,IFERROR(VLOOKUP(COUNTIF($A$1:A2747,"ANALISIS DE PRECIOS"),T_Rendimiento_Equipo,5,FALSE),0))</f>
        <v>0</v>
      </c>
      <c r="G2747" s="439">
        <f t="shared" si="942"/>
        <v>0</v>
      </c>
    </row>
    <row r="2748" spans="1:7" ht="19.899999999999999" customHeight="1" x14ac:dyDescent="0.2">
      <c r="A2748" s="482">
        <f t="shared" si="938"/>
        <v>0</v>
      </c>
      <c r="B2748" s="445">
        <f t="shared" si="939"/>
        <v>0</v>
      </c>
      <c r="C2748" s="436"/>
      <c r="D2748" s="450"/>
      <c r="E2748" s="439">
        <f t="shared" si="941"/>
        <v>0</v>
      </c>
      <c r="F2748" s="442">
        <f>IF(C2748="",0,IFERROR(VLOOKUP(COUNTIF($A$1:A2748,"ANALISIS DE PRECIOS"),T_Rendimiento_Equipo,5,FALSE),0))</f>
        <v>0</v>
      </c>
      <c r="G2748" s="439">
        <f t="shared" si="942"/>
        <v>0</v>
      </c>
    </row>
    <row r="2749" spans="1:7" ht="19.899999999999999" customHeight="1" x14ac:dyDescent="0.2">
      <c r="A2749" s="482">
        <f t="shared" si="938"/>
        <v>0</v>
      </c>
      <c r="B2749" s="445">
        <f t="shared" si="939"/>
        <v>0</v>
      </c>
      <c r="C2749" s="445"/>
      <c r="D2749" s="451"/>
      <c r="E2749" s="439">
        <f t="shared" si="941"/>
        <v>0</v>
      </c>
      <c r="F2749" s="442">
        <f>IF(C2749="",0,IFERROR(VLOOKUP(COUNTIF($A$1:A2749,"ANALISIS DE PRECIOS"),T_Rendimiento_Equipo,5,FALSE),0))</f>
        <v>0</v>
      </c>
      <c r="G2749" s="439">
        <f t="shared" si="942"/>
        <v>0</v>
      </c>
    </row>
    <row r="2750" spans="1:7" ht="19.899999999999999" customHeight="1" x14ac:dyDescent="0.2">
      <c r="A2750" s="483"/>
      <c r="B2750" s="426"/>
      <c r="C2750" s="139"/>
      <c r="D2750" s="426"/>
      <c r="E2750" s="427"/>
      <c r="F2750" s="448" t="s">
        <v>28</v>
      </c>
      <c r="G2750" s="485">
        <f>SUBTOTAL(9,G2743:G2749)</f>
        <v>0</v>
      </c>
    </row>
    <row r="2751" spans="1:7" ht="19.899999999999999" customHeight="1" x14ac:dyDescent="0.2">
      <c r="A2751" s="480"/>
      <c r="B2751" s="139"/>
      <c r="C2751" s="422" t="s">
        <v>982</v>
      </c>
      <c r="D2751" s="426"/>
      <c r="E2751" s="427"/>
      <c r="F2751" s="428"/>
      <c r="G2751" s="481"/>
    </row>
    <row r="2752" spans="1:7" ht="19.899999999999999" customHeight="1" x14ac:dyDescent="0.2">
      <c r="A2752" s="720" t="s">
        <v>576</v>
      </c>
      <c r="B2752" s="721"/>
      <c r="C2752" s="722" t="s">
        <v>0</v>
      </c>
      <c r="D2752" s="722" t="s">
        <v>1725</v>
      </c>
      <c r="E2752" s="724" t="s">
        <v>24</v>
      </c>
      <c r="F2752" s="726" t="s">
        <v>25</v>
      </c>
      <c r="G2752" s="728" t="s">
        <v>26</v>
      </c>
    </row>
    <row r="2753" spans="1:7" ht="19.899999999999999" customHeight="1" x14ac:dyDescent="0.2">
      <c r="A2753" s="444" t="s">
        <v>577</v>
      </c>
      <c r="B2753" s="444" t="s">
        <v>578</v>
      </c>
      <c r="C2753" s="723"/>
      <c r="D2753" s="723"/>
      <c r="E2753" s="725"/>
      <c r="F2753" s="727"/>
      <c r="G2753" s="729"/>
    </row>
    <row r="2754" spans="1:7" ht="19.899999999999999" customHeight="1" x14ac:dyDescent="0.2">
      <c r="A2754" s="482">
        <f t="shared" ref="A2754:A2764" si="943">IFERROR(VLOOKUP(C2754,T_Insumos,4,FALSE),0)</f>
        <v>0</v>
      </c>
      <c r="B2754" s="445">
        <f t="shared" ref="B2754:B2764" si="944">IFERROR(VLOOKUP(C2754,T_Insumos,5,FALSE),0)</f>
        <v>0</v>
      </c>
      <c r="C2754" s="436">
        <f t="shared" ref="C2754:C2764" si="945">+C2529</f>
        <v>0</v>
      </c>
      <c r="D2754" s="493">
        <f t="shared" ref="D2754:D2764" si="946">IFERROR(VLOOKUP(C2754,T_Insumos,2,FALSE),0)</f>
        <v>0</v>
      </c>
      <c r="E2754" s="437"/>
      <c r="F2754" s="439">
        <f t="shared" ref="F2754:F2764" si="947">IFERROR(VLOOKUP(C2754,T_Insumos,3,FALSE),0)</f>
        <v>0</v>
      </c>
      <c r="G2754" s="439">
        <f>ROUND(E2754*F2754,2)</f>
        <v>0</v>
      </c>
    </row>
    <row r="2755" spans="1:7" ht="19.899999999999999" customHeight="1" x14ac:dyDescent="0.2">
      <c r="A2755" s="482">
        <f t="shared" si="943"/>
        <v>0</v>
      </c>
      <c r="B2755" s="445">
        <f t="shared" si="944"/>
        <v>0</v>
      </c>
      <c r="C2755" s="436">
        <f t="shared" si="945"/>
        <v>0</v>
      </c>
      <c r="D2755" s="493">
        <f t="shared" si="946"/>
        <v>0</v>
      </c>
      <c r="E2755" s="437"/>
      <c r="F2755" s="439">
        <f t="shared" si="947"/>
        <v>0</v>
      </c>
      <c r="G2755" s="439">
        <f t="shared" ref="G2755:G2764" si="948">ROUND(E2755*F2755,2)</f>
        <v>0</v>
      </c>
    </row>
    <row r="2756" spans="1:7" ht="19.899999999999999" customHeight="1" x14ac:dyDescent="0.2">
      <c r="A2756" s="482">
        <f t="shared" si="943"/>
        <v>0</v>
      </c>
      <c r="B2756" s="445">
        <f t="shared" si="944"/>
        <v>0</v>
      </c>
      <c r="C2756" s="436">
        <f t="shared" si="945"/>
        <v>0</v>
      </c>
      <c r="D2756" s="493">
        <f t="shared" si="946"/>
        <v>0</v>
      </c>
      <c r="E2756" s="437"/>
      <c r="F2756" s="439">
        <f t="shared" si="947"/>
        <v>0</v>
      </c>
      <c r="G2756" s="439">
        <f t="shared" si="948"/>
        <v>0</v>
      </c>
    </row>
    <row r="2757" spans="1:7" ht="19.899999999999999" customHeight="1" x14ac:dyDescent="0.2">
      <c r="A2757" s="482">
        <f t="shared" si="943"/>
        <v>0</v>
      </c>
      <c r="B2757" s="445">
        <f t="shared" si="944"/>
        <v>0</v>
      </c>
      <c r="C2757" s="436">
        <f t="shared" si="945"/>
        <v>0</v>
      </c>
      <c r="D2757" s="493">
        <f t="shared" si="946"/>
        <v>0</v>
      </c>
      <c r="E2757" s="437"/>
      <c r="F2757" s="439">
        <f t="shared" si="947"/>
        <v>0</v>
      </c>
      <c r="G2757" s="439">
        <f t="shared" si="948"/>
        <v>0</v>
      </c>
    </row>
    <row r="2758" spans="1:7" ht="19.899999999999999" customHeight="1" x14ac:dyDescent="0.2">
      <c r="A2758" s="482">
        <f t="shared" si="943"/>
        <v>0</v>
      </c>
      <c r="B2758" s="445">
        <f t="shared" si="944"/>
        <v>0</v>
      </c>
      <c r="C2758" s="436">
        <f t="shared" si="945"/>
        <v>0</v>
      </c>
      <c r="D2758" s="493">
        <f t="shared" si="946"/>
        <v>0</v>
      </c>
      <c r="E2758" s="437"/>
      <c r="F2758" s="439">
        <f t="shared" si="947"/>
        <v>0</v>
      </c>
      <c r="G2758" s="439">
        <f t="shared" si="948"/>
        <v>0</v>
      </c>
    </row>
    <row r="2759" spans="1:7" ht="19.899999999999999" customHeight="1" x14ac:dyDescent="0.2">
      <c r="A2759" s="482">
        <f t="shared" si="943"/>
        <v>0</v>
      </c>
      <c r="B2759" s="445">
        <f t="shared" si="944"/>
        <v>0</v>
      </c>
      <c r="C2759" s="436">
        <f t="shared" si="945"/>
        <v>0</v>
      </c>
      <c r="D2759" s="493">
        <f t="shared" si="946"/>
        <v>0</v>
      </c>
      <c r="E2759" s="437"/>
      <c r="F2759" s="439">
        <f t="shared" si="947"/>
        <v>0</v>
      </c>
      <c r="G2759" s="439">
        <f t="shared" si="948"/>
        <v>0</v>
      </c>
    </row>
    <row r="2760" spans="1:7" ht="19.899999999999999" customHeight="1" x14ac:dyDescent="0.2">
      <c r="A2760" s="482">
        <f t="shared" si="943"/>
        <v>0</v>
      </c>
      <c r="B2760" s="445">
        <f t="shared" si="944"/>
        <v>0</v>
      </c>
      <c r="C2760" s="436">
        <f t="shared" si="945"/>
        <v>0</v>
      </c>
      <c r="D2760" s="493">
        <f t="shared" si="946"/>
        <v>0</v>
      </c>
      <c r="E2760" s="437"/>
      <c r="F2760" s="439">
        <f t="shared" si="947"/>
        <v>0</v>
      </c>
      <c r="G2760" s="439">
        <f t="shared" si="948"/>
        <v>0</v>
      </c>
    </row>
    <row r="2761" spans="1:7" ht="19.899999999999999" customHeight="1" x14ac:dyDescent="0.2">
      <c r="A2761" s="482">
        <f t="shared" si="943"/>
        <v>0</v>
      </c>
      <c r="B2761" s="445">
        <f t="shared" si="944"/>
        <v>0</v>
      </c>
      <c r="C2761" s="436">
        <f t="shared" si="945"/>
        <v>0</v>
      </c>
      <c r="D2761" s="493">
        <f t="shared" si="946"/>
        <v>0</v>
      </c>
      <c r="E2761" s="437"/>
      <c r="F2761" s="439">
        <f t="shared" si="947"/>
        <v>0</v>
      </c>
      <c r="G2761" s="439">
        <f t="shared" si="948"/>
        <v>0</v>
      </c>
    </row>
    <row r="2762" spans="1:7" ht="19.899999999999999" customHeight="1" x14ac:dyDescent="0.2">
      <c r="A2762" s="482">
        <f t="shared" si="943"/>
        <v>0</v>
      </c>
      <c r="B2762" s="445">
        <f t="shared" si="944"/>
        <v>0</v>
      </c>
      <c r="C2762" s="436">
        <f t="shared" si="945"/>
        <v>0</v>
      </c>
      <c r="D2762" s="493">
        <f t="shared" si="946"/>
        <v>0</v>
      </c>
      <c r="E2762" s="437"/>
      <c r="F2762" s="439">
        <f t="shared" si="947"/>
        <v>0</v>
      </c>
      <c r="G2762" s="439">
        <f t="shared" si="948"/>
        <v>0</v>
      </c>
    </row>
    <row r="2763" spans="1:7" ht="19.899999999999999" customHeight="1" x14ac:dyDescent="0.2">
      <c r="A2763" s="482">
        <f t="shared" si="943"/>
        <v>0</v>
      </c>
      <c r="B2763" s="445">
        <f t="shared" si="944"/>
        <v>0</v>
      </c>
      <c r="C2763" s="436">
        <f t="shared" si="945"/>
        <v>0</v>
      </c>
      <c r="D2763" s="493">
        <f t="shared" si="946"/>
        <v>0</v>
      </c>
      <c r="E2763" s="437"/>
      <c r="F2763" s="439">
        <f t="shared" si="947"/>
        <v>0</v>
      </c>
      <c r="G2763" s="439">
        <f t="shared" si="948"/>
        <v>0</v>
      </c>
    </row>
    <row r="2764" spans="1:7" ht="19.899999999999999" customHeight="1" x14ac:dyDescent="0.2">
      <c r="A2764" s="482">
        <f t="shared" si="943"/>
        <v>0</v>
      </c>
      <c r="B2764" s="445">
        <f t="shared" si="944"/>
        <v>0</v>
      </c>
      <c r="C2764" s="436">
        <f t="shared" si="945"/>
        <v>0</v>
      </c>
      <c r="D2764" s="493">
        <f t="shared" si="946"/>
        <v>0</v>
      </c>
      <c r="E2764" s="437"/>
      <c r="F2764" s="439">
        <f t="shared" si="947"/>
        <v>0</v>
      </c>
      <c r="G2764" s="439">
        <f t="shared" si="948"/>
        <v>0</v>
      </c>
    </row>
    <row r="2765" spans="1:7" ht="19.899999999999999" customHeight="1" x14ac:dyDescent="0.2">
      <c r="A2765" s="480"/>
      <c r="B2765" s="139"/>
      <c r="C2765" s="139"/>
      <c r="D2765" s="426"/>
      <c r="E2765" s="427"/>
      <c r="F2765" s="448" t="s">
        <v>29</v>
      </c>
      <c r="G2765" s="485">
        <f>SUBTOTAL(9,G2754:G2764)</f>
        <v>0</v>
      </c>
    </row>
    <row r="2766" spans="1:7" ht="19.899999999999999" customHeight="1" x14ac:dyDescent="0.2">
      <c r="A2766" s="480"/>
      <c r="B2766" s="139"/>
      <c r="C2766" s="422" t="s">
        <v>983</v>
      </c>
      <c r="D2766" s="426"/>
      <c r="E2766" s="427"/>
      <c r="F2766" s="428"/>
      <c r="G2766" s="481"/>
    </row>
    <row r="2767" spans="1:7" ht="19.899999999999999" customHeight="1" x14ac:dyDescent="0.2">
      <c r="A2767" s="720" t="s">
        <v>576</v>
      </c>
      <c r="B2767" s="721"/>
      <c r="C2767" s="722" t="s">
        <v>0</v>
      </c>
      <c r="D2767" s="722" t="s">
        <v>1725</v>
      </c>
      <c r="E2767" s="724" t="s">
        <v>24</v>
      </c>
      <c r="F2767" s="726" t="s">
        <v>25</v>
      </c>
      <c r="G2767" s="728" t="s">
        <v>26</v>
      </c>
    </row>
    <row r="2768" spans="1:7" ht="19.899999999999999" customHeight="1" x14ac:dyDescent="0.2">
      <c r="A2768" s="444" t="s">
        <v>577</v>
      </c>
      <c r="B2768" s="444" t="s">
        <v>578</v>
      </c>
      <c r="C2768" s="723"/>
      <c r="D2768" s="723"/>
      <c r="E2768" s="725"/>
      <c r="F2768" s="727"/>
      <c r="G2768" s="729"/>
    </row>
    <row r="2769" spans="1:7" ht="19.899999999999999" customHeight="1" x14ac:dyDescent="0.2">
      <c r="A2769" s="482">
        <f>IFERROR(VLOOKUP(C2769,T_Insumos,4,FALSE),0)</f>
        <v>0</v>
      </c>
      <c r="B2769" s="445">
        <f>IFERROR(VLOOKUP(C2769,T_Insumos,5,FALSE),0)</f>
        <v>0</v>
      </c>
      <c r="C2769" s="436"/>
      <c r="D2769" s="493">
        <f>IF(C2769=0,0,"$/tnkm")</f>
        <v>0</v>
      </c>
      <c r="E2769" s="437"/>
      <c r="F2769" s="439">
        <f>IFERROR(VLOOKUP(C2769,T_Insumos,3,FALSE),0)</f>
        <v>0</v>
      </c>
      <c r="G2769" s="439">
        <f>ROUND(E2769*F2769,2)</f>
        <v>0</v>
      </c>
    </row>
    <row r="2770" spans="1:7" ht="19.899999999999999" customHeight="1" x14ac:dyDescent="0.2">
      <c r="A2770" s="482">
        <f>IFERROR(VLOOKUP(C2770,T_Insumos,4,FALSE),0)</f>
        <v>0</v>
      </c>
      <c r="B2770" s="445">
        <f>IFERROR(VLOOKUP(C2770,T_Insumos,5,FALSE),0)</f>
        <v>0</v>
      </c>
      <c r="C2770" s="436"/>
      <c r="D2770" s="493">
        <f>IF(C2770=0,0,"$/tnkm")</f>
        <v>0</v>
      </c>
      <c r="E2770" s="453"/>
      <c r="F2770" s="439">
        <f>IFERROR(VLOOKUP(C2770,T_Insumos,3,FALSE),0)</f>
        <v>0</v>
      </c>
      <c r="G2770" s="439">
        <f t="shared" ref="G2770" si="949">ROUND(E2770*F2770,2)</f>
        <v>0</v>
      </c>
    </row>
    <row r="2771" spans="1:7" ht="19.899999999999999" customHeight="1" x14ac:dyDescent="0.2">
      <c r="A2771" s="480"/>
      <c r="B2771" s="139"/>
      <c r="C2771" s="139"/>
      <c r="D2771" s="426"/>
      <c r="E2771" s="427"/>
      <c r="F2771" s="448" t="s">
        <v>984</v>
      </c>
      <c r="G2771" s="485">
        <f>SUBTOTAL(9,G2769:G2770)</f>
        <v>0</v>
      </c>
    </row>
    <row r="2772" spans="1:7" ht="19.899999999999999" customHeight="1" x14ac:dyDescent="0.2">
      <c r="A2772" s="483"/>
      <c r="B2772" s="426"/>
      <c r="C2772" s="139"/>
      <c r="D2772" s="426"/>
      <c r="E2772" s="427"/>
      <c r="F2772" s="428"/>
      <c r="G2772" s="481"/>
    </row>
    <row r="2773" spans="1:7" ht="19.899999999999999" customHeight="1" x14ac:dyDescent="0.2">
      <c r="A2773" s="541" t="str">
        <f>B2707</f>
        <v/>
      </c>
      <c r="B2773" s="538">
        <f ca="1">C2707</f>
        <v>0</v>
      </c>
      <c r="C2773" s="426"/>
      <c r="D2773" s="426" t="s">
        <v>1704</v>
      </c>
      <c r="E2773" s="539"/>
      <c r="F2773" s="540" t="str">
        <f ca="1">"$/"&amp;G2707</f>
        <v>$/0</v>
      </c>
      <c r="G2773" s="490">
        <f>SUBTOTAL(9,G2730:G2772)</f>
        <v>0</v>
      </c>
    </row>
    <row r="2774" spans="1:7" ht="19.899999999999999" customHeight="1" x14ac:dyDescent="0.2">
      <c r="A2774" s="486"/>
      <c r="B2774" s="487"/>
      <c r="C2774" s="488"/>
      <c r="D2774" s="488" t="s">
        <v>1900</v>
      </c>
      <c r="E2774" s="489"/>
      <c r="F2774" s="542" t="str">
        <f ca="1">"$/"&amp;G2707</f>
        <v>$/0</v>
      </c>
      <c r="G2774" s="490">
        <f>ROUND(G2773*Coeficiente_Paso,2)</f>
        <v>0</v>
      </c>
    </row>
    <row r="2775" spans="1:7" ht="19.899999999999999" customHeight="1" x14ac:dyDescent="0.2">
      <c r="A2775" s="139"/>
      <c r="B2775" s="139"/>
      <c r="C2775" s="139"/>
      <c r="D2775" s="139"/>
      <c r="E2775" s="139"/>
      <c r="F2775" s="139"/>
      <c r="G2775" s="139"/>
    </row>
    <row r="2776" spans="1:7" ht="19.899999999999999" customHeight="1" x14ac:dyDescent="0.2">
      <c r="A2776" s="730" t="s">
        <v>31</v>
      </c>
      <c r="B2776" s="731"/>
      <c r="C2776" s="731"/>
      <c r="D2776" s="731"/>
      <c r="E2776" s="731"/>
      <c r="F2776" s="731"/>
      <c r="G2776" s="732"/>
    </row>
    <row r="2777" spans="1:7" ht="19.899999999999999" customHeight="1" x14ac:dyDescent="0.2">
      <c r="A2777" s="469" t="s">
        <v>711</v>
      </c>
      <c r="B2777" s="420" t="str">
        <f>Comitente</f>
        <v>DEPARTAMENTO DE HIDRAULICA</v>
      </c>
      <c r="C2777" s="421"/>
      <c r="D2777" s="422"/>
      <c r="E2777" s="422"/>
      <c r="F2777" s="423"/>
      <c r="G2777" s="470"/>
    </row>
    <row r="2778" spans="1:7" ht="19.899999999999999" customHeight="1" x14ac:dyDescent="0.2">
      <c r="A2778" s="469" t="s">
        <v>712</v>
      </c>
      <c r="B2778" s="420">
        <f>Contratista</f>
        <v>0</v>
      </c>
      <c r="C2778" s="424"/>
      <c r="D2778" s="424"/>
      <c r="E2778" s="424"/>
      <c r="F2778" s="420"/>
      <c r="G2778" s="471"/>
    </row>
    <row r="2779" spans="1:7" ht="19.899999999999999" customHeight="1" x14ac:dyDescent="0.2">
      <c r="A2779" s="469" t="s">
        <v>21</v>
      </c>
      <c r="B2779" s="420" t="str">
        <f>Obra</f>
        <v>Encamisado Parcial del Canal de Calle América</v>
      </c>
      <c r="C2779" s="424"/>
      <c r="D2779" s="424"/>
      <c r="E2779" s="424"/>
      <c r="F2779" s="420" t="s">
        <v>32</v>
      </c>
      <c r="G2779" s="471" t="str">
        <f>Fecha_Base</f>
        <v>X/X/2023</v>
      </c>
    </row>
    <row r="2780" spans="1:7" ht="19.899999999999999" customHeight="1" x14ac:dyDescent="0.2">
      <c r="A2780" s="472" t="s">
        <v>710</v>
      </c>
      <c r="B2780" s="425" t="str">
        <f>Ubicación</f>
        <v>Departamento Rawson</v>
      </c>
      <c r="C2780" s="425"/>
      <c r="D2780" s="426"/>
      <c r="E2780" s="427"/>
      <c r="F2780" s="428"/>
      <c r="G2780" s="473"/>
    </row>
    <row r="2781" spans="1:7" ht="19.899999999999999" customHeight="1" x14ac:dyDescent="0.2">
      <c r="A2781" s="472" t="s">
        <v>33</v>
      </c>
      <c r="B2781" s="429" t="str">
        <f>IFERROR(VALUE(LEFT(B2782,FIND(".",B2782)-1)),"")</f>
        <v/>
      </c>
      <c r="C2781" s="139">
        <f ca="1">IFERROR(VLOOKUP(B2781,T_Computo_Presupuesto,2,FALSE),0)</f>
        <v>0</v>
      </c>
      <c r="D2781" s="139"/>
      <c r="E2781" s="427"/>
      <c r="F2781" s="428"/>
      <c r="G2781" s="473"/>
    </row>
    <row r="2782" spans="1:7" ht="19.899999999999999" customHeight="1" x14ac:dyDescent="0.2">
      <c r="A2782" s="472" t="s">
        <v>22</v>
      </c>
      <c r="B2782" s="430" t="str">
        <f>IFERROR(VLOOKUP(COUNTIF($A$1:A2782,"ANALISIS DE PRECIOS"),T_NumeroItem,2,FALSE),"")</f>
        <v/>
      </c>
      <c r="C2782" s="733">
        <f ca="1">IFERROR(VLOOKUP(B2782,T_Computo_Presupuesto,2,FALSE),0)</f>
        <v>0</v>
      </c>
      <c r="D2782" s="733"/>
      <c r="E2782" s="733"/>
      <c r="F2782" s="425" t="s">
        <v>23</v>
      </c>
      <c r="G2782" s="474">
        <f ca="1">IFERROR(VLOOKUP(B2782,T_Computo_Presupuesto,4,FALSE),0)</f>
        <v>0</v>
      </c>
    </row>
    <row r="2783" spans="1:7" ht="19.899999999999999" customHeight="1" x14ac:dyDescent="0.2">
      <c r="A2783" s="472"/>
      <c r="B2783" s="425"/>
      <c r="C2783" s="139"/>
      <c r="D2783" s="426"/>
      <c r="E2783" s="427"/>
      <c r="F2783" s="139"/>
      <c r="G2783" s="475"/>
    </row>
    <row r="2784" spans="1:7" ht="19.899999999999999" customHeight="1" x14ac:dyDescent="0.2">
      <c r="A2784" s="476"/>
      <c r="B2784" s="431"/>
      <c r="C2784" s="432" t="s">
        <v>967</v>
      </c>
      <c r="D2784" s="431"/>
      <c r="E2784" s="431"/>
      <c r="F2784" s="431"/>
      <c r="G2784" s="477"/>
    </row>
    <row r="2785" spans="1:7" ht="19.899999999999999" customHeight="1" x14ac:dyDescent="0.2">
      <c r="A2785" s="472"/>
      <c r="B2785" s="433"/>
      <c r="C2785" s="139"/>
      <c r="D2785" s="426"/>
      <c r="E2785" s="427"/>
      <c r="F2785" s="425"/>
      <c r="G2785" s="474"/>
    </row>
    <row r="2786" spans="1:7" ht="19.899999999999999" customHeight="1" x14ac:dyDescent="0.2">
      <c r="A2786" s="472"/>
      <c r="B2786" s="433"/>
      <c r="C2786" s="434" t="s">
        <v>968</v>
      </c>
      <c r="D2786" s="435" t="s">
        <v>24</v>
      </c>
      <c r="E2786" s="435" t="s">
        <v>969</v>
      </c>
      <c r="F2786" s="435" t="s">
        <v>970</v>
      </c>
      <c r="G2786" s="434" t="s">
        <v>971</v>
      </c>
    </row>
    <row r="2787" spans="1:7" ht="19.899999999999999" customHeight="1" x14ac:dyDescent="0.2">
      <c r="A2787" s="472"/>
      <c r="B2787" s="433"/>
      <c r="C2787" s="436">
        <f>+C2562</f>
        <v>0</v>
      </c>
      <c r="D2787" s="436">
        <f>+D2562</f>
        <v>0</v>
      </c>
      <c r="E2787" s="438">
        <f t="shared" ref="E2787:E2796" si="950">IFERROR(VLOOKUP(C2787,T_Equipos,4,FALSE),0)</f>
        <v>0</v>
      </c>
      <c r="F2787" s="439">
        <f t="shared" ref="F2787:F2796" si="951">IFERROR(VLOOKUP(C2787,T_Equipos,5,FALSE),0)</f>
        <v>0</v>
      </c>
      <c r="G2787" s="439">
        <f>ROUND(D2787*F2787,2)</f>
        <v>0</v>
      </c>
    </row>
    <row r="2788" spans="1:7" ht="19.899999999999999" customHeight="1" x14ac:dyDescent="0.2">
      <c r="A2788" s="472"/>
      <c r="B2788" s="433"/>
      <c r="C2788" s="436">
        <f t="shared" ref="C2788:D2788" si="952">+C2563</f>
        <v>0</v>
      </c>
      <c r="D2788" s="436">
        <f t="shared" si="952"/>
        <v>0</v>
      </c>
      <c r="E2788" s="438">
        <f t="shared" si="950"/>
        <v>0</v>
      </c>
      <c r="F2788" s="439">
        <f t="shared" si="951"/>
        <v>0</v>
      </c>
      <c r="G2788" s="439">
        <f>ROUND(D2788*F2788,2)</f>
        <v>0</v>
      </c>
    </row>
    <row r="2789" spans="1:7" ht="19.899999999999999" customHeight="1" x14ac:dyDescent="0.2">
      <c r="A2789" s="472"/>
      <c r="B2789" s="433"/>
      <c r="C2789" s="436">
        <f t="shared" ref="C2789" si="953">+C2564</f>
        <v>0</v>
      </c>
      <c r="D2789" s="436"/>
      <c r="E2789" s="438">
        <f t="shared" si="950"/>
        <v>0</v>
      </c>
      <c r="F2789" s="439">
        <f t="shared" si="951"/>
        <v>0</v>
      </c>
      <c r="G2789" s="439">
        <f>ROUND(D2789*F2789,2)</f>
        <v>0</v>
      </c>
    </row>
    <row r="2790" spans="1:7" ht="19.899999999999999" customHeight="1" x14ac:dyDescent="0.2">
      <c r="A2790" s="472"/>
      <c r="B2790" s="433"/>
      <c r="C2790" s="436">
        <f t="shared" ref="C2790" si="954">+C2565</f>
        <v>0</v>
      </c>
      <c r="D2790" s="436"/>
      <c r="E2790" s="438">
        <f t="shared" si="950"/>
        <v>0</v>
      </c>
      <c r="F2790" s="439">
        <f t="shared" si="951"/>
        <v>0</v>
      </c>
      <c r="G2790" s="439">
        <f>ROUND(D2790*F2790,2)</f>
        <v>0</v>
      </c>
    </row>
    <row r="2791" spans="1:7" ht="19.899999999999999" customHeight="1" x14ac:dyDescent="0.2">
      <c r="A2791" s="472"/>
      <c r="B2791" s="433"/>
      <c r="C2791" s="436">
        <f t="shared" ref="C2791" si="955">+C2566</f>
        <v>0</v>
      </c>
      <c r="D2791" s="436"/>
      <c r="E2791" s="438">
        <f t="shared" si="950"/>
        <v>0</v>
      </c>
      <c r="F2791" s="439">
        <f t="shared" si="951"/>
        <v>0</v>
      </c>
      <c r="G2791" s="439">
        <f t="shared" ref="G2791:G2796" si="956">ROUND(D2791*F2791,2)</f>
        <v>0</v>
      </c>
    </row>
    <row r="2792" spans="1:7" ht="19.899999999999999" customHeight="1" x14ac:dyDescent="0.2">
      <c r="A2792" s="472"/>
      <c r="B2792" s="433"/>
      <c r="C2792" s="436">
        <f t="shared" ref="C2792" si="957">+C2567</f>
        <v>0</v>
      </c>
      <c r="D2792" s="436"/>
      <c r="E2792" s="438">
        <f t="shared" si="950"/>
        <v>0</v>
      </c>
      <c r="F2792" s="439">
        <f t="shared" si="951"/>
        <v>0</v>
      </c>
      <c r="G2792" s="439">
        <f t="shared" si="956"/>
        <v>0</v>
      </c>
    </row>
    <row r="2793" spans="1:7" ht="19.899999999999999" customHeight="1" x14ac:dyDescent="0.2">
      <c r="A2793" s="472"/>
      <c r="B2793" s="433"/>
      <c r="C2793" s="436">
        <f t="shared" ref="C2793:D2793" si="958">+C2568</f>
        <v>0</v>
      </c>
      <c r="D2793" s="436">
        <f t="shared" si="958"/>
        <v>0</v>
      </c>
      <c r="E2793" s="438">
        <f t="shared" si="950"/>
        <v>0</v>
      </c>
      <c r="F2793" s="439">
        <f t="shared" si="951"/>
        <v>0</v>
      </c>
      <c r="G2793" s="439">
        <f t="shared" si="956"/>
        <v>0</v>
      </c>
    </row>
    <row r="2794" spans="1:7" ht="19.899999999999999" customHeight="1" x14ac:dyDescent="0.2">
      <c r="A2794" s="472"/>
      <c r="B2794" s="433"/>
      <c r="C2794" s="436">
        <f t="shared" ref="C2794:D2794" si="959">+C2569</f>
        <v>0</v>
      </c>
      <c r="D2794" s="436">
        <f t="shared" si="959"/>
        <v>0</v>
      </c>
      <c r="E2794" s="438">
        <f t="shared" si="950"/>
        <v>0</v>
      </c>
      <c r="F2794" s="439">
        <f t="shared" si="951"/>
        <v>0</v>
      </c>
      <c r="G2794" s="439">
        <f t="shared" si="956"/>
        <v>0</v>
      </c>
    </row>
    <row r="2795" spans="1:7" ht="19.899999999999999" customHeight="1" x14ac:dyDescent="0.2">
      <c r="A2795" s="472"/>
      <c r="B2795" s="433"/>
      <c r="C2795" s="436"/>
      <c r="D2795" s="437"/>
      <c r="E2795" s="438">
        <f t="shared" si="950"/>
        <v>0</v>
      </c>
      <c r="F2795" s="439">
        <f t="shared" si="951"/>
        <v>0</v>
      </c>
      <c r="G2795" s="439">
        <f t="shared" si="956"/>
        <v>0</v>
      </c>
    </row>
    <row r="2796" spans="1:7" ht="19.899999999999999" customHeight="1" x14ac:dyDescent="0.2">
      <c r="A2796" s="472"/>
      <c r="B2796" s="433"/>
      <c r="C2796" s="436"/>
      <c r="D2796" s="437"/>
      <c r="E2796" s="438">
        <f t="shared" si="950"/>
        <v>0</v>
      </c>
      <c r="F2796" s="439">
        <f t="shared" si="951"/>
        <v>0</v>
      </c>
      <c r="G2796" s="439">
        <f t="shared" si="956"/>
        <v>0</v>
      </c>
    </row>
    <row r="2797" spans="1:7" ht="19.899999999999999" customHeight="1" x14ac:dyDescent="0.2">
      <c r="A2797" s="472"/>
      <c r="B2797" s="433"/>
      <c r="C2797" s="139"/>
      <c r="D2797" s="139"/>
      <c r="E2797" s="440"/>
      <c r="F2797" s="425"/>
      <c r="G2797" s="474"/>
    </row>
    <row r="2798" spans="1:7" ht="19.899999999999999" customHeight="1" x14ac:dyDescent="0.2">
      <c r="A2798" s="472"/>
      <c r="B2798" s="139"/>
      <c r="C2798" s="422" t="s">
        <v>972</v>
      </c>
      <c r="D2798" s="425" t="s">
        <v>969</v>
      </c>
      <c r="E2798" s="491">
        <f>SUMPRODUCT(D2787:D2796,E2787:E2796)</f>
        <v>0</v>
      </c>
      <c r="F2798" s="425" t="s">
        <v>973</v>
      </c>
      <c r="G2798" s="492">
        <f>SUM(G2787:G2796)</f>
        <v>0</v>
      </c>
    </row>
    <row r="2799" spans="1:7" ht="19.899999999999999" customHeight="1" x14ac:dyDescent="0.2">
      <c r="A2799" s="472"/>
      <c r="B2799" s="433"/>
      <c r="C2799" s="441"/>
      <c r="D2799" s="440"/>
      <c r="E2799" s="427"/>
      <c r="F2799" s="425"/>
      <c r="G2799" s="478"/>
    </row>
    <row r="2800" spans="1:7" ht="19.899999999999999" customHeight="1" x14ac:dyDescent="0.2">
      <c r="A2800" s="479"/>
      <c r="B2800" s="433"/>
      <c r="C2800" s="425" t="s">
        <v>974</v>
      </c>
      <c r="D2800" s="442">
        <f>IFERROR(VLOOKUP(COUNTIF($A$1:A2800,"ANALISIS DE PRECIOS"),T_Rendimiento_Equipo,5,FALSE),0)</f>
        <v>0</v>
      </c>
      <c r="E2800" s="443" t="str">
        <f ca="1">G2782&amp;"/día"</f>
        <v>0/día</v>
      </c>
      <c r="F2800" s="419"/>
      <c r="G2800" s="474"/>
    </row>
    <row r="2801" spans="1:7" ht="19.899999999999999" customHeight="1" x14ac:dyDescent="0.2">
      <c r="A2801" s="472"/>
      <c r="B2801" s="433"/>
      <c r="C2801" s="139"/>
      <c r="D2801" s="426"/>
      <c r="E2801" s="427"/>
      <c r="F2801" s="425"/>
      <c r="G2801" s="474"/>
    </row>
    <row r="2802" spans="1:7" ht="19.899999999999999" customHeight="1" x14ac:dyDescent="0.2">
      <c r="A2802" s="720" t="s">
        <v>576</v>
      </c>
      <c r="B2802" s="721"/>
      <c r="C2802" s="722" t="s">
        <v>0</v>
      </c>
      <c r="D2802" s="734" t="s">
        <v>1724</v>
      </c>
      <c r="E2802" s="734" t="s">
        <v>1723</v>
      </c>
      <c r="F2802" s="726" t="s">
        <v>975</v>
      </c>
      <c r="G2802" s="728" t="s">
        <v>26</v>
      </c>
    </row>
    <row r="2803" spans="1:7" ht="19.899999999999999" customHeight="1" x14ac:dyDescent="0.2">
      <c r="A2803" s="444" t="s">
        <v>577</v>
      </c>
      <c r="B2803" s="444" t="s">
        <v>578</v>
      </c>
      <c r="C2803" s="723"/>
      <c r="D2803" s="735"/>
      <c r="E2803" s="725"/>
      <c r="F2803" s="727"/>
      <c r="G2803" s="729"/>
    </row>
    <row r="2804" spans="1:7" ht="19.899999999999999" customHeight="1" x14ac:dyDescent="0.2">
      <c r="A2804" s="480"/>
      <c r="B2804" s="139"/>
      <c r="C2804" s="422" t="s">
        <v>976</v>
      </c>
      <c r="D2804" s="427"/>
      <c r="E2804" s="427"/>
      <c r="F2804" s="139"/>
      <c r="G2804" s="481"/>
    </row>
    <row r="2805" spans="1:7" ht="19.899999999999999" customHeight="1" x14ac:dyDescent="0.2">
      <c r="A2805" s="482">
        <f t="shared" ref="A2805:A2813" si="960">IFERROR(VLOOKUP(C2805,T_Insumos,4,FALSE),0)</f>
        <v>0</v>
      </c>
      <c r="B2805" s="445">
        <f t="shared" ref="B2805:B2813" si="961">IFERROR(VLOOKUP(C2805,T_Insumos,5,FALSE),0)</f>
        <v>0</v>
      </c>
      <c r="C2805" s="436">
        <f>+C2505</f>
        <v>0</v>
      </c>
      <c r="D2805" s="446">
        <f t="shared" ref="D2805:D2813" si="962">IFERROR(VLOOKUP(C2805,T_Insumos,3,FALSE),0)</f>
        <v>0</v>
      </c>
      <c r="E2805" s="439">
        <f>D2805*$G$323</f>
        <v>0</v>
      </c>
      <c r="F2805" s="442">
        <f>IF(C2805="",0,IFERROR(VLOOKUP(COUNTIF($A$1:A2805,"ANALISIS DE PRECIOS"),T_Rendimiento_Equipo,5,FALSE),0))</f>
        <v>0</v>
      </c>
      <c r="G2805" s="439">
        <f>IFERROR(ROUND(E2805/F2805,2),0)</f>
        <v>0</v>
      </c>
    </row>
    <row r="2806" spans="1:7" ht="19.899999999999999" customHeight="1" x14ac:dyDescent="0.2">
      <c r="A2806" s="482">
        <f t="shared" si="960"/>
        <v>0</v>
      </c>
      <c r="B2806" s="445">
        <f t="shared" si="961"/>
        <v>0</v>
      </c>
      <c r="C2806" s="436">
        <f t="shared" ref="C2806:C2808" si="963">+C2506</f>
        <v>0</v>
      </c>
      <c r="D2806" s="446">
        <f t="shared" si="962"/>
        <v>0</v>
      </c>
      <c r="E2806" s="439">
        <f t="shared" ref="E2806:E2807" si="964">D2806*$G$323</f>
        <v>0</v>
      </c>
      <c r="F2806" s="442">
        <f>IF(C2806="",0,IFERROR(VLOOKUP(COUNTIF($A$1:A2806,"ANALISIS DE PRECIOS"),T_Rendimiento_Equipo,5,FALSE),0))</f>
        <v>0</v>
      </c>
      <c r="G2806" s="439">
        <f t="shared" ref="G2806:G2813" si="965">IFERROR(ROUND(E2806/F2806,2),0)</f>
        <v>0</v>
      </c>
    </row>
    <row r="2807" spans="1:7" ht="19.899999999999999" customHeight="1" x14ac:dyDescent="0.2">
      <c r="A2807" s="482">
        <f t="shared" si="960"/>
        <v>0</v>
      </c>
      <c r="B2807" s="445">
        <f t="shared" si="961"/>
        <v>0</v>
      </c>
      <c r="C2807" s="436">
        <f t="shared" si="963"/>
        <v>0</v>
      </c>
      <c r="D2807" s="446">
        <f t="shared" si="962"/>
        <v>0</v>
      </c>
      <c r="E2807" s="439">
        <f t="shared" si="964"/>
        <v>0</v>
      </c>
      <c r="F2807" s="442">
        <f>IF(C2807="",0,IFERROR(VLOOKUP(COUNTIF($A$1:A2807,"ANALISIS DE PRECIOS"),T_Rendimiento_Equipo,5,FALSE),0))</f>
        <v>0</v>
      </c>
      <c r="G2807" s="439">
        <f t="shared" si="965"/>
        <v>0</v>
      </c>
    </row>
    <row r="2808" spans="1:7" ht="19.899999999999999" customHeight="1" x14ac:dyDescent="0.2">
      <c r="A2808" s="482">
        <f t="shared" si="960"/>
        <v>0</v>
      </c>
      <c r="B2808" s="445">
        <f t="shared" si="961"/>
        <v>0</v>
      </c>
      <c r="C2808" s="436">
        <f t="shared" si="963"/>
        <v>0</v>
      </c>
      <c r="D2808" s="446">
        <f t="shared" si="962"/>
        <v>0</v>
      </c>
      <c r="E2808" s="439">
        <f>D2808*$E$323</f>
        <v>0</v>
      </c>
      <c r="F2808" s="442">
        <f>IF(C2808="",0,IFERROR(VLOOKUP(COUNTIF($A$1:A2808,"ANALISIS DE PRECIOS"),T_Rendimiento_Equipo,5,FALSE),0))</f>
        <v>0</v>
      </c>
      <c r="G2808" s="439">
        <f t="shared" si="965"/>
        <v>0</v>
      </c>
    </row>
    <row r="2809" spans="1:7" ht="19.899999999999999" customHeight="1" x14ac:dyDescent="0.2">
      <c r="A2809" s="482">
        <f t="shared" si="960"/>
        <v>0</v>
      </c>
      <c r="B2809" s="445">
        <f t="shared" si="961"/>
        <v>0</v>
      </c>
      <c r="C2809" s="447"/>
      <c r="D2809" s="446">
        <f t="shared" si="962"/>
        <v>0</v>
      </c>
      <c r="E2809" s="439"/>
      <c r="F2809" s="442">
        <f>IF(C2809="",0,IFERROR(VLOOKUP(COUNTIF($A$1:A2809,"ANALISIS DE PRECIOS"),T_Rendimiento_Equipo,5,FALSE),0))</f>
        <v>0</v>
      </c>
      <c r="G2809" s="439">
        <f t="shared" si="965"/>
        <v>0</v>
      </c>
    </row>
    <row r="2810" spans="1:7" ht="19.899999999999999" customHeight="1" x14ac:dyDescent="0.2">
      <c r="A2810" s="482">
        <f t="shared" si="960"/>
        <v>0</v>
      </c>
      <c r="B2810" s="445">
        <f t="shared" si="961"/>
        <v>0</v>
      </c>
      <c r="C2810" s="447"/>
      <c r="D2810" s="446">
        <f t="shared" si="962"/>
        <v>0</v>
      </c>
      <c r="E2810" s="439"/>
      <c r="F2810" s="442">
        <f>IF(C2810="",0,IFERROR(VLOOKUP(COUNTIF($A$1:A2810,"ANALISIS DE PRECIOS"),T_Rendimiento_Equipo,5,FALSE),0))</f>
        <v>0</v>
      </c>
      <c r="G2810" s="439">
        <f t="shared" si="965"/>
        <v>0</v>
      </c>
    </row>
    <row r="2811" spans="1:7" ht="19.899999999999999" customHeight="1" x14ac:dyDescent="0.2">
      <c r="A2811" s="482">
        <f t="shared" si="960"/>
        <v>0</v>
      </c>
      <c r="B2811" s="445">
        <f t="shared" si="961"/>
        <v>0</v>
      </c>
      <c r="C2811" s="447"/>
      <c r="D2811" s="446">
        <f t="shared" si="962"/>
        <v>0</v>
      </c>
      <c r="E2811" s="439"/>
      <c r="F2811" s="442">
        <f>IF(C2811="",0,IFERROR(VLOOKUP(COUNTIF($A$1:A2811,"ANALISIS DE PRECIOS"),T_Rendimiento_Equipo,5,FALSE),0))</f>
        <v>0</v>
      </c>
      <c r="G2811" s="439">
        <f t="shared" si="965"/>
        <v>0</v>
      </c>
    </row>
    <row r="2812" spans="1:7" ht="19.899999999999999" customHeight="1" x14ac:dyDescent="0.2">
      <c r="A2812" s="482">
        <f t="shared" si="960"/>
        <v>0</v>
      </c>
      <c r="B2812" s="445">
        <f t="shared" si="961"/>
        <v>0</v>
      </c>
      <c r="C2812" s="447"/>
      <c r="D2812" s="446">
        <f t="shared" si="962"/>
        <v>0</v>
      </c>
      <c r="E2812" s="439"/>
      <c r="F2812" s="442">
        <f>IF(C2812="",0,IFERROR(VLOOKUP(COUNTIF($A$1:A2812,"ANALISIS DE PRECIOS"),T_Rendimiento_Equipo,5,FALSE),0))</f>
        <v>0</v>
      </c>
      <c r="G2812" s="439">
        <f t="shared" si="965"/>
        <v>0</v>
      </c>
    </row>
    <row r="2813" spans="1:7" ht="19.899999999999999" customHeight="1" x14ac:dyDescent="0.2">
      <c r="A2813" s="482">
        <f t="shared" si="960"/>
        <v>0</v>
      </c>
      <c r="B2813" s="445">
        <f t="shared" si="961"/>
        <v>0</v>
      </c>
      <c r="C2813" s="436"/>
      <c r="D2813" s="446">
        <f t="shared" si="962"/>
        <v>0</v>
      </c>
      <c r="E2813" s="439"/>
      <c r="F2813" s="442">
        <f>IF(C2813="",0,IFERROR(VLOOKUP(COUNTIF($A$1:A2813,"ANALISIS DE PRECIOS"),T_Rendimiento_Equipo,5,FALSE),0))</f>
        <v>0</v>
      </c>
      <c r="G2813" s="439">
        <f t="shared" si="965"/>
        <v>0</v>
      </c>
    </row>
    <row r="2814" spans="1:7" ht="19.899999999999999" customHeight="1" x14ac:dyDescent="0.2">
      <c r="A2814" s="483"/>
      <c r="B2814" s="426"/>
      <c r="C2814" s="139"/>
      <c r="D2814" s="426"/>
      <c r="E2814" s="427"/>
      <c r="F2814" s="448" t="s">
        <v>27</v>
      </c>
      <c r="G2814" s="484">
        <f>SUBTOTAL(9,G2805:G2813)</f>
        <v>0</v>
      </c>
    </row>
    <row r="2815" spans="1:7" ht="19.899999999999999" customHeight="1" x14ac:dyDescent="0.2">
      <c r="A2815" s="480"/>
      <c r="B2815" s="139"/>
      <c r="C2815" s="422" t="s">
        <v>713</v>
      </c>
      <c r="D2815" s="426"/>
      <c r="E2815" s="427"/>
      <c r="F2815" s="428"/>
      <c r="G2815" s="481"/>
    </row>
    <row r="2816" spans="1:7" ht="19.899999999999999" customHeight="1" x14ac:dyDescent="0.2">
      <c r="A2816" s="720" t="s">
        <v>576</v>
      </c>
      <c r="B2816" s="721"/>
      <c r="C2816" s="722" t="s">
        <v>0</v>
      </c>
      <c r="D2816" s="724" t="s">
        <v>24</v>
      </c>
      <c r="E2816" s="724" t="s">
        <v>1964</v>
      </c>
      <c r="F2816" s="726" t="s">
        <v>975</v>
      </c>
      <c r="G2816" s="728" t="s">
        <v>26</v>
      </c>
    </row>
    <row r="2817" spans="1:7" ht="19.899999999999999" customHeight="1" x14ac:dyDescent="0.2">
      <c r="A2817" s="444" t="s">
        <v>577</v>
      </c>
      <c r="B2817" s="444" t="s">
        <v>578</v>
      </c>
      <c r="C2817" s="723"/>
      <c r="D2817" s="725"/>
      <c r="E2817" s="725"/>
      <c r="F2817" s="727"/>
      <c r="G2817" s="729"/>
    </row>
    <row r="2818" spans="1:7" ht="19.899999999999999" customHeight="1" x14ac:dyDescent="0.2">
      <c r="A2818" s="482">
        <f t="shared" ref="A2818:A2824" si="966">IFERROR(VLOOKUP(C2818,T_Insumos,4,FALSE),0)</f>
        <v>0</v>
      </c>
      <c r="B2818" s="445">
        <f t="shared" ref="B2818:B2824" si="967">IFERROR(VLOOKUP(C2818,T_Insumos,5,FALSE),0)</f>
        <v>0</v>
      </c>
      <c r="C2818" s="436">
        <f t="shared" ref="C2818:C2821" si="968">+C2593</f>
        <v>0</v>
      </c>
      <c r="D2818" s="442"/>
      <c r="E2818" s="439">
        <f t="shared" ref="E2818:E2824" si="969">IFERROR(VLOOKUP(C2818,T_Insumos,3,FALSE),0)</f>
        <v>0</v>
      </c>
      <c r="F2818" s="442">
        <f>IF(C2818="",0,IFERROR(VLOOKUP(COUNTIF($A$1:A2818,"ANALISIS DE PRECIOS"),T_Rendimiento_Equipo,5,FALSE),0))</f>
        <v>0</v>
      </c>
      <c r="G2818" s="439">
        <f>IFERROR(ROUND(D2818*E2818/F2818,2),0)</f>
        <v>0</v>
      </c>
    </row>
    <row r="2819" spans="1:7" ht="19.899999999999999" customHeight="1" x14ac:dyDescent="0.2">
      <c r="A2819" s="482">
        <f t="shared" si="966"/>
        <v>0</v>
      </c>
      <c r="B2819" s="445">
        <f t="shared" si="967"/>
        <v>0</v>
      </c>
      <c r="C2819" s="436">
        <f t="shared" si="968"/>
        <v>0</v>
      </c>
      <c r="D2819" s="442">
        <v>1</v>
      </c>
      <c r="E2819" s="439">
        <f t="shared" si="969"/>
        <v>0</v>
      </c>
      <c r="F2819" s="442">
        <f>IF(C2819="",0,IFERROR(VLOOKUP(COUNTIF($A$1:A2819,"ANALISIS DE PRECIOS"),T_Rendimiento_Equipo,5,FALSE),0))</f>
        <v>0</v>
      </c>
      <c r="G2819" s="439">
        <f>IFERROR(ROUND(D2819*E2819/F2819,2),0)</f>
        <v>0</v>
      </c>
    </row>
    <row r="2820" spans="1:7" ht="19.899999999999999" customHeight="1" x14ac:dyDescent="0.2">
      <c r="A2820" s="482">
        <f t="shared" si="966"/>
        <v>0</v>
      </c>
      <c r="B2820" s="445">
        <f t="shared" si="967"/>
        <v>0</v>
      </c>
      <c r="C2820" s="436">
        <f t="shared" si="968"/>
        <v>0</v>
      </c>
      <c r="D2820" s="442"/>
      <c r="E2820" s="439">
        <f t="shared" si="969"/>
        <v>0</v>
      </c>
      <c r="F2820" s="442">
        <f>IF(C2820="",0,IFERROR(VLOOKUP(COUNTIF($A$1:A2820,"ANALISIS DE PRECIOS"),T_Rendimiento_Equipo,5,FALSE),0))</f>
        <v>0</v>
      </c>
      <c r="G2820" s="439">
        <f t="shared" ref="G2820:G2824" si="970">IFERROR(ROUND(D2820*E2820/F2820,2),0)</f>
        <v>0</v>
      </c>
    </row>
    <row r="2821" spans="1:7" ht="19.899999999999999" customHeight="1" x14ac:dyDescent="0.2">
      <c r="A2821" s="482">
        <f t="shared" si="966"/>
        <v>0</v>
      </c>
      <c r="B2821" s="445">
        <f t="shared" si="967"/>
        <v>0</v>
      </c>
      <c r="C2821" s="436">
        <f t="shared" si="968"/>
        <v>0</v>
      </c>
      <c r="D2821" s="442">
        <v>2</v>
      </c>
      <c r="E2821" s="439">
        <f t="shared" si="969"/>
        <v>0</v>
      </c>
      <c r="F2821" s="442">
        <f>IF(C2821="",0,IFERROR(VLOOKUP(COUNTIF($A$1:A2821,"ANALISIS DE PRECIOS"),T_Rendimiento_Equipo,5,FALSE),0))</f>
        <v>0</v>
      </c>
      <c r="G2821" s="439">
        <f t="shared" si="970"/>
        <v>0</v>
      </c>
    </row>
    <row r="2822" spans="1:7" ht="19.899999999999999" customHeight="1" x14ac:dyDescent="0.2">
      <c r="A2822" s="482">
        <f t="shared" si="966"/>
        <v>0</v>
      </c>
      <c r="B2822" s="445">
        <f t="shared" si="967"/>
        <v>0</v>
      </c>
      <c r="C2822" s="436"/>
      <c r="D2822" s="442"/>
      <c r="E2822" s="439">
        <f t="shared" si="969"/>
        <v>0</v>
      </c>
      <c r="F2822" s="442">
        <f>IF(C2822="",0,IFERROR(VLOOKUP(COUNTIF($A$1:A2822,"ANALISIS DE PRECIOS"),T_Rendimiento_Equipo,5,FALSE),0))</f>
        <v>0</v>
      </c>
      <c r="G2822" s="439">
        <f t="shared" si="970"/>
        <v>0</v>
      </c>
    </row>
    <row r="2823" spans="1:7" ht="19.899999999999999" customHeight="1" x14ac:dyDescent="0.2">
      <c r="A2823" s="482">
        <f t="shared" si="966"/>
        <v>0</v>
      </c>
      <c r="B2823" s="445">
        <f t="shared" si="967"/>
        <v>0</v>
      </c>
      <c r="C2823" s="436"/>
      <c r="D2823" s="450"/>
      <c r="E2823" s="439">
        <f t="shared" si="969"/>
        <v>0</v>
      </c>
      <c r="F2823" s="442">
        <f>IF(C2823="",0,IFERROR(VLOOKUP(COUNTIF($A$1:A2823,"ANALISIS DE PRECIOS"),T_Rendimiento_Equipo,5,FALSE),0))</f>
        <v>0</v>
      </c>
      <c r="G2823" s="439">
        <f t="shared" si="970"/>
        <v>0</v>
      </c>
    </row>
    <row r="2824" spans="1:7" ht="19.899999999999999" customHeight="1" x14ac:dyDescent="0.2">
      <c r="A2824" s="482">
        <f t="shared" si="966"/>
        <v>0</v>
      </c>
      <c r="B2824" s="445">
        <f t="shared" si="967"/>
        <v>0</v>
      </c>
      <c r="C2824" s="445"/>
      <c r="D2824" s="451"/>
      <c r="E2824" s="439">
        <f t="shared" si="969"/>
        <v>0</v>
      </c>
      <c r="F2824" s="442">
        <f>IF(C2824="",0,IFERROR(VLOOKUP(COUNTIF($A$1:A2824,"ANALISIS DE PRECIOS"),T_Rendimiento_Equipo,5,FALSE),0))</f>
        <v>0</v>
      </c>
      <c r="G2824" s="439">
        <f t="shared" si="970"/>
        <v>0</v>
      </c>
    </row>
    <row r="2825" spans="1:7" ht="19.899999999999999" customHeight="1" x14ac:dyDescent="0.2">
      <c r="A2825" s="483"/>
      <c r="B2825" s="426"/>
      <c r="C2825" s="139"/>
      <c r="D2825" s="426"/>
      <c r="E2825" s="427"/>
      <c r="F2825" s="448" t="s">
        <v>28</v>
      </c>
      <c r="G2825" s="485">
        <f>SUBTOTAL(9,G2818:G2824)</f>
        <v>0</v>
      </c>
    </row>
    <row r="2826" spans="1:7" ht="19.899999999999999" customHeight="1" x14ac:dyDescent="0.2">
      <c r="A2826" s="480"/>
      <c r="B2826" s="139"/>
      <c r="C2826" s="422" t="s">
        <v>982</v>
      </c>
      <c r="D2826" s="426"/>
      <c r="E2826" s="427"/>
      <c r="F2826" s="428"/>
      <c r="G2826" s="481"/>
    </row>
    <row r="2827" spans="1:7" ht="19.899999999999999" customHeight="1" x14ac:dyDescent="0.2">
      <c r="A2827" s="720" t="s">
        <v>576</v>
      </c>
      <c r="B2827" s="721"/>
      <c r="C2827" s="722" t="s">
        <v>0</v>
      </c>
      <c r="D2827" s="722" t="s">
        <v>1725</v>
      </c>
      <c r="E2827" s="724" t="s">
        <v>24</v>
      </c>
      <c r="F2827" s="726" t="s">
        <v>25</v>
      </c>
      <c r="G2827" s="728" t="s">
        <v>26</v>
      </c>
    </row>
    <row r="2828" spans="1:7" ht="19.899999999999999" customHeight="1" x14ac:dyDescent="0.2">
      <c r="A2828" s="444" t="s">
        <v>577</v>
      </c>
      <c r="B2828" s="444" t="s">
        <v>578</v>
      </c>
      <c r="C2828" s="723"/>
      <c r="D2828" s="723"/>
      <c r="E2828" s="725"/>
      <c r="F2828" s="727"/>
      <c r="G2828" s="729"/>
    </row>
    <row r="2829" spans="1:7" ht="19.899999999999999" customHeight="1" x14ac:dyDescent="0.2">
      <c r="A2829" s="482">
        <f t="shared" ref="A2829:A2839" si="971">IFERROR(VLOOKUP(C2829,T_Insumos,4,FALSE),0)</f>
        <v>0</v>
      </c>
      <c r="B2829" s="445">
        <f t="shared" ref="B2829:B2839" si="972">IFERROR(VLOOKUP(C2829,T_Insumos,5,FALSE),0)</f>
        <v>0</v>
      </c>
      <c r="C2829" s="436">
        <f t="shared" ref="C2829:C2839" si="973">+C2604</f>
        <v>0</v>
      </c>
      <c r="D2829" s="493">
        <f t="shared" ref="D2829:D2839" si="974">IFERROR(VLOOKUP(C2829,T_Insumos,2,FALSE),0)</f>
        <v>0</v>
      </c>
      <c r="E2829" s="437"/>
      <c r="F2829" s="439">
        <f t="shared" ref="F2829:F2839" si="975">IFERROR(VLOOKUP(C2829,T_Insumos,3,FALSE),0)</f>
        <v>0</v>
      </c>
      <c r="G2829" s="439">
        <f>ROUND(E2829*F2829,2)</f>
        <v>0</v>
      </c>
    </row>
    <row r="2830" spans="1:7" ht="19.899999999999999" customHeight="1" x14ac:dyDescent="0.2">
      <c r="A2830" s="482">
        <f t="shared" si="971"/>
        <v>0</v>
      </c>
      <c r="B2830" s="445">
        <f t="shared" si="972"/>
        <v>0</v>
      </c>
      <c r="C2830" s="436">
        <f t="shared" si="973"/>
        <v>0</v>
      </c>
      <c r="D2830" s="493">
        <f t="shared" si="974"/>
        <v>0</v>
      </c>
      <c r="E2830" s="437"/>
      <c r="F2830" s="439">
        <f t="shared" si="975"/>
        <v>0</v>
      </c>
      <c r="G2830" s="439">
        <f t="shared" ref="G2830:G2839" si="976">ROUND(E2830*F2830,2)</f>
        <v>0</v>
      </c>
    </row>
    <row r="2831" spans="1:7" ht="19.899999999999999" customHeight="1" x14ac:dyDescent="0.2">
      <c r="A2831" s="482">
        <f t="shared" si="971"/>
        <v>0</v>
      </c>
      <c r="B2831" s="445">
        <f t="shared" si="972"/>
        <v>0</v>
      </c>
      <c r="C2831" s="436">
        <f t="shared" si="973"/>
        <v>0</v>
      </c>
      <c r="D2831" s="493">
        <f t="shared" si="974"/>
        <v>0</v>
      </c>
      <c r="E2831" s="437"/>
      <c r="F2831" s="439">
        <f t="shared" si="975"/>
        <v>0</v>
      </c>
      <c r="G2831" s="439">
        <f t="shared" si="976"/>
        <v>0</v>
      </c>
    </row>
    <row r="2832" spans="1:7" ht="19.899999999999999" customHeight="1" x14ac:dyDescent="0.2">
      <c r="A2832" s="482">
        <f t="shared" si="971"/>
        <v>0</v>
      </c>
      <c r="B2832" s="445">
        <f t="shared" si="972"/>
        <v>0</v>
      </c>
      <c r="C2832" s="436">
        <f t="shared" si="973"/>
        <v>0</v>
      </c>
      <c r="D2832" s="493">
        <f t="shared" si="974"/>
        <v>0</v>
      </c>
      <c r="E2832" s="437"/>
      <c r="F2832" s="439">
        <f t="shared" si="975"/>
        <v>0</v>
      </c>
      <c r="G2832" s="439">
        <f t="shared" si="976"/>
        <v>0</v>
      </c>
    </row>
    <row r="2833" spans="1:7" ht="19.899999999999999" customHeight="1" x14ac:dyDescent="0.2">
      <c r="A2833" s="482">
        <f t="shared" si="971"/>
        <v>0</v>
      </c>
      <c r="B2833" s="445">
        <f t="shared" si="972"/>
        <v>0</v>
      </c>
      <c r="C2833" s="436">
        <f t="shared" si="973"/>
        <v>0</v>
      </c>
      <c r="D2833" s="493">
        <f t="shared" si="974"/>
        <v>0</v>
      </c>
      <c r="E2833" s="437"/>
      <c r="F2833" s="439">
        <f t="shared" si="975"/>
        <v>0</v>
      </c>
      <c r="G2833" s="439">
        <f t="shared" si="976"/>
        <v>0</v>
      </c>
    </row>
    <row r="2834" spans="1:7" ht="19.899999999999999" customHeight="1" x14ac:dyDescent="0.2">
      <c r="A2834" s="482">
        <f t="shared" si="971"/>
        <v>0</v>
      </c>
      <c r="B2834" s="445">
        <f t="shared" si="972"/>
        <v>0</v>
      </c>
      <c r="C2834" s="436">
        <f t="shared" si="973"/>
        <v>0</v>
      </c>
      <c r="D2834" s="493">
        <f t="shared" si="974"/>
        <v>0</v>
      </c>
      <c r="E2834" s="437"/>
      <c r="F2834" s="439">
        <f t="shared" si="975"/>
        <v>0</v>
      </c>
      <c r="G2834" s="439">
        <f t="shared" si="976"/>
        <v>0</v>
      </c>
    </row>
    <row r="2835" spans="1:7" ht="19.899999999999999" customHeight="1" x14ac:dyDescent="0.2">
      <c r="A2835" s="482">
        <f t="shared" si="971"/>
        <v>0</v>
      </c>
      <c r="B2835" s="445">
        <f t="shared" si="972"/>
        <v>0</v>
      </c>
      <c r="C2835" s="436">
        <f t="shared" si="973"/>
        <v>0</v>
      </c>
      <c r="D2835" s="493">
        <f t="shared" si="974"/>
        <v>0</v>
      </c>
      <c r="E2835" s="437"/>
      <c r="F2835" s="439">
        <f t="shared" si="975"/>
        <v>0</v>
      </c>
      <c r="G2835" s="439">
        <f t="shared" si="976"/>
        <v>0</v>
      </c>
    </row>
    <row r="2836" spans="1:7" ht="19.899999999999999" customHeight="1" x14ac:dyDescent="0.2">
      <c r="A2836" s="482">
        <f t="shared" si="971"/>
        <v>0</v>
      </c>
      <c r="B2836" s="445">
        <f t="shared" si="972"/>
        <v>0</v>
      </c>
      <c r="C2836" s="436">
        <f t="shared" si="973"/>
        <v>0</v>
      </c>
      <c r="D2836" s="493">
        <f t="shared" si="974"/>
        <v>0</v>
      </c>
      <c r="E2836" s="437"/>
      <c r="F2836" s="439">
        <f t="shared" si="975"/>
        <v>0</v>
      </c>
      <c r="G2836" s="439">
        <f t="shared" si="976"/>
        <v>0</v>
      </c>
    </row>
    <row r="2837" spans="1:7" ht="19.899999999999999" customHeight="1" x14ac:dyDescent="0.2">
      <c r="A2837" s="482">
        <f t="shared" si="971"/>
        <v>0</v>
      </c>
      <c r="B2837" s="445">
        <f t="shared" si="972"/>
        <v>0</v>
      </c>
      <c r="C2837" s="436">
        <f t="shared" si="973"/>
        <v>0</v>
      </c>
      <c r="D2837" s="493">
        <f t="shared" si="974"/>
        <v>0</v>
      </c>
      <c r="E2837" s="437"/>
      <c r="F2837" s="439">
        <f t="shared" si="975"/>
        <v>0</v>
      </c>
      <c r="G2837" s="439">
        <f t="shared" si="976"/>
        <v>0</v>
      </c>
    </row>
    <row r="2838" spans="1:7" ht="19.899999999999999" customHeight="1" x14ac:dyDescent="0.2">
      <c r="A2838" s="482">
        <f t="shared" si="971"/>
        <v>0</v>
      </c>
      <c r="B2838" s="445">
        <f t="shared" si="972"/>
        <v>0</v>
      </c>
      <c r="C2838" s="436">
        <f t="shared" si="973"/>
        <v>0</v>
      </c>
      <c r="D2838" s="493">
        <f t="shared" si="974"/>
        <v>0</v>
      </c>
      <c r="E2838" s="437"/>
      <c r="F2838" s="439">
        <f t="shared" si="975"/>
        <v>0</v>
      </c>
      <c r="G2838" s="439">
        <f t="shared" si="976"/>
        <v>0</v>
      </c>
    </row>
    <row r="2839" spans="1:7" ht="19.899999999999999" customHeight="1" x14ac:dyDescent="0.2">
      <c r="A2839" s="482">
        <f t="shared" si="971"/>
        <v>0</v>
      </c>
      <c r="B2839" s="445">
        <f t="shared" si="972"/>
        <v>0</v>
      </c>
      <c r="C2839" s="436">
        <f t="shared" si="973"/>
        <v>0</v>
      </c>
      <c r="D2839" s="493">
        <f t="shared" si="974"/>
        <v>0</v>
      </c>
      <c r="E2839" s="437"/>
      <c r="F2839" s="439">
        <f t="shared" si="975"/>
        <v>0</v>
      </c>
      <c r="G2839" s="439">
        <f t="shared" si="976"/>
        <v>0</v>
      </c>
    </row>
    <row r="2840" spans="1:7" ht="19.899999999999999" customHeight="1" x14ac:dyDescent="0.2">
      <c r="A2840" s="480"/>
      <c r="B2840" s="139"/>
      <c r="C2840" s="139"/>
      <c r="D2840" s="426"/>
      <c r="E2840" s="427"/>
      <c r="F2840" s="448" t="s">
        <v>29</v>
      </c>
      <c r="G2840" s="485">
        <f>SUBTOTAL(9,G2829:G2839)</f>
        <v>0</v>
      </c>
    </row>
    <row r="2841" spans="1:7" ht="19.899999999999999" customHeight="1" x14ac:dyDescent="0.2">
      <c r="A2841" s="480"/>
      <c r="B2841" s="139"/>
      <c r="C2841" s="422" t="s">
        <v>983</v>
      </c>
      <c r="D2841" s="426"/>
      <c r="E2841" s="427"/>
      <c r="F2841" s="428"/>
      <c r="G2841" s="481"/>
    </row>
    <row r="2842" spans="1:7" ht="19.899999999999999" customHeight="1" x14ac:dyDescent="0.2">
      <c r="A2842" s="720" t="s">
        <v>576</v>
      </c>
      <c r="B2842" s="721"/>
      <c r="C2842" s="722" t="s">
        <v>0</v>
      </c>
      <c r="D2842" s="722" t="s">
        <v>1725</v>
      </c>
      <c r="E2842" s="724" t="s">
        <v>24</v>
      </c>
      <c r="F2842" s="726" t="s">
        <v>25</v>
      </c>
      <c r="G2842" s="728" t="s">
        <v>26</v>
      </c>
    </row>
    <row r="2843" spans="1:7" ht="19.899999999999999" customHeight="1" x14ac:dyDescent="0.2">
      <c r="A2843" s="444" t="s">
        <v>577</v>
      </c>
      <c r="B2843" s="444" t="s">
        <v>578</v>
      </c>
      <c r="C2843" s="723"/>
      <c r="D2843" s="723"/>
      <c r="E2843" s="725"/>
      <c r="F2843" s="727"/>
      <c r="G2843" s="729"/>
    </row>
    <row r="2844" spans="1:7" ht="19.899999999999999" customHeight="1" x14ac:dyDescent="0.2">
      <c r="A2844" s="482">
        <f>IFERROR(VLOOKUP(C2844,T_Insumos,4,FALSE),0)</f>
        <v>0</v>
      </c>
      <c r="B2844" s="445">
        <f>IFERROR(VLOOKUP(C2844,T_Insumos,5,FALSE),0)</f>
        <v>0</v>
      </c>
      <c r="C2844" s="436"/>
      <c r="D2844" s="493">
        <f>IF(C2844=0,0,"$/tnkm")</f>
        <v>0</v>
      </c>
      <c r="E2844" s="437"/>
      <c r="F2844" s="439">
        <f>IFERROR(VLOOKUP(C2844,T_Insumos,3,FALSE),0)</f>
        <v>0</v>
      </c>
      <c r="G2844" s="439">
        <f>ROUND(E2844*F2844,2)</f>
        <v>0</v>
      </c>
    </row>
    <row r="2845" spans="1:7" ht="19.899999999999999" customHeight="1" x14ac:dyDescent="0.2">
      <c r="A2845" s="482">
        <f>IFERROR(VLOOKUP(C2845,T_Insumos,4,FALSE),0)</f>
        <v>0</v>
      </c>
      <c r="B2845" s="445">
        <f>IFERROR(VLOOKUP(C2845,T_Insumos,5,FALSE),0)</f>
        <v>0</v>
      </c>
      <c r="C2845" s="436"/>
      <c r="D2845" s="493">
        <f>IF(C2845=0,0,"$/tnkm")</f>
        <v>0</v>
      </c>
      <c r="E2845" s="453"/>
      <c r="F2845" s="439">
        <f>IFERROR(VLOOKUP(C2845,T_Insumos,3,FALSE),0)</f>
        <v>0</v>
      </c>
      <c r="G2845" s="439">
        <f t="shared" ref="G2845" si="977">ROUND(E2845*F2845,2)</f>
        <v>0</v>
      </c>
    </row>
    <row r="2846" spans="1:7" ht="19.899999999999999" customHeight="1" x14ac:dyDescent="0.2">
      <c r="A2846" s="480"/>
      <c r="B2846" s="139"/>
      <c r="C2846" s="139"/>
      <c r="D2846" s="426"/>
      <c r="E2846" s="427"/>
      <c r="F2846" s="448" t="s">
        <v>984</v>
      </c>
      <c r="G2846" s="485">
        <f>SUBTOTAL(9,G2844:G2845)</f>
        <v>0</v>
      </c>
    </row>
    <row r="2847" spans="1:7" ht="19.899999999999999" customHeight="1" x14ac:dyDescent="0.2">
      <c r="A2847" s="483"/>
      <c r="B2847" s="426"/>
      <c r="C2847" s="139"/>
      <c r="D2847" s="426"/>
      <c r="E2847" s="427"/>
      <c r="F2847" s="428"/>
      <c r="G2847" s="481"/>
    </row>
    <row r="2848" spans="1:7" ht="19.899999999999999" customHeight="1" x14ac:dyDescent="0.2">
      <c r="A2848" s="541" t="str">
        <f>B2782</f>
        <v/>
      </c>
      <c r="B2848" s="538">
        <f ca="1">C2782</f>
        <v>0</v>
      </c>
      <c r="C2848" s="426"/>
      <c r="D2848" s="426" t="s">
        <v>1704</v>
      </c>
      <c r="E2848" s="539"/>
      <c r="F2848" s="540" t="str">
        <f ca="1">"$/"&amp;G2782</f>
        <v>$/0</v>
      </c>
      <c r="G2848" s="490">
        <f>SUBTOTAL(9,G2805:G2847)</f>
        <v>0</v>
      </c>
    </row>
    <row r="2849" spans="1:7" ht="19.899999999999999" customHeight="1" x14ac:dyDescent="0.2">
      <c r="A2849" s="486"/>
      <c r="B2849" s="487"/>
      <c r="C2849" s="488"/>
      <c r="D2849" s="488" t="s">
        <v>1900</v>
      </c>
      <c r="E2849" s="489"/>
      <c r="F2849" s="542" t="str">
        <f ca="1">"$/"&amp;G2782</f>
        <v>$/0</v>
      </c>
      <c r="G2849" s="490">
        <f>ROUND(G2848*Coeficiente_Paso,2)</f>
        <v>0</v>
      </c>
    </row>
    <row r="2850" spans="1:7" ht="19.899999999999999" customHeight="1" x14ac:dyDescent="0.2">
      <c r="A2850" s="139"/>
      <c r="B2850" s="139"/>
      <c r="C2850" s="139"/>
      <c r="D2850" s="139"/>
      <c r="E2850" s="139"/>
      <c r="F2850" s="139"/>
      <c r="G2850" s="139"/>
    </row>
    <row r="2851" spans="1:7" ht="19.899999999999999" customHeight="1" x14ac:dyDescent="0.2">
      <c r="A2851" s="730" t="s">
        <v>31</v>
      </c>
      <c r="B2851" s="731"/>
      <c r="C2851" s="731"/>
      <c r="D2851" s="731"/>
      <c r="E2851" s="731"/>
      <c r="F2851" s="731"/>
      <c r="G2851" s="732"/>
    </row>
    <row r="2852" spans="1:7" ht="19.899999999999999" customHeight="1" x14ac:dyDescent="0.2">
      <c r="A2852" s="469" t="s">
        <v>711</v>
      </c>
      <c r="B2852" s="420" t="str">
        <f>Comitente</f>
        <v>DEPARTAMENTO DE HIDRAULICA</v>
      </c>
      <c r="C2852" s="421"/>
      <c r="D2852" s="422"/>
      <c r="E2852" s="422"/>
      <c r="F2852" s="423"/>
      <c r="G2852" s="470"/>
    </row>
    <row r="2853" spans="1:7" ht="19.899999999999999" customHeight="1" x14ac:dyDescent="0.2">
      <c r="A2853" s="469" t="s">
        <v>712</v>
      </c>
      <c r="B2853" s="420">
        <f>Contratista</f>
        <v>0</v>
      </c>
      <c r="C2853" s="424"/>
      <c r="D2853" s="424"/>
      <c r="E2853" s="424"/>
      <c r="F2853" s="420"/>
      <c r="G2853" s="471"/>
    </row>
    <row r="2854" spans="1:7" ht="19.899999999999999" customHeight="1" x14ac:dyDescent="0.2">
      <c r="A2854" s="469" t="s">
        <v>21</v>
      </c>
      <c r="B2854" s="420" t="str">
        <f>Obra</f>
        <v>Encamisado Parcial del Canal de Calle América</v>
      </c>
      <c r="C2854" s="424"/>
      <c r="D2854" s="424"/>
      <c r="E2854" s="424"/>
      <c r="F2854" s="420" t="s">
        <v>32</v>
      </c>
      <c r="G2854" s="471" t="str">
        <f>Fecha_Base</f>
        <v>X/X/2023</v>
      </c>
    </row>
    <row r="2855" spans="1:7" ht="19.899999999999999" customHeight="1" x14ac:dyDescent="0.2">
      <c r="A2855" s="472" t="s">
        <v>710</v>
      </c>
      <c r="B2855" s="425" t="str">
        <f>Ubicación</f>
        <v>Departamento Rawson</v>
      </c>
      <c r="C2855" s="425"/>
      <c r="D2855" s="426"/>
      <c r="E2855" s="427"/>
      <c r="F2855" s="428"/>
      <c r="G2855" s="473"/>
    </row>
    <row r="2856" spans="1:7" ht="19.899999999999999" customHeight="1" x14ac:dyDescent="0.2">
      <c r="A2856" s="472" t="s">
        <v>33</v>
      </c>
      <c r="B2856" s="429" t="str">
        <f>IFERROR(VALUE(LEFT(B2857,FIND(".",B2857)-1)),"")</f>
        <v/>
      </c>
      <c r="C2856" s="139">
        <f ca="1">IFERROR(VLOOKUP(B2856,T_Computo_Presupuesto,2,FALSE),0)</f>
        <v>0</v>
      </c>
      <c r="D2856" s="139"/>
      <c r="E2856" s="427"/>
      <c r="F2856" s="428"/>
      <c r="G2856" s="473"/>
    </row>
    <row r="2857" spans="1:7" ht="19.899999999999999" customHeight="1" x14ac:dyDescent="0.2">
      <c r="A2857" s="472" t="s">
        <v>22</v>
      </c>
      <c r="B2857" s="430" t="str">
        <f>IFERROR(VLOOKUP(COUNTIF($A$1:A2857,"ANALISIS DE PRECIOS"),T_NumeroItem,2,FALSE),"")</f>
        <v/>
      </c>
      <c r="C2857" s="733">
        <f ca="1">IFERROR(VLOOKUP(B2857,T_Computo_Presupuesto,2,FALSE),0)</f>
        <v>0</v>
      </c>
      <c r="D2857" s="733"/>
      <c r="E2857" s="733"/>
      <c r="F2857" s="425" t="s">
        <v>23</v>
      </c>
      <c r="G2857" s="474">
        <f ca="1">IFERROR(VLOOKUP(B2857,T_Computo_Presupuesto,4,FALSE),0)</f>
        <v>0</v>
      </c>
    </row>
    <row r="2858" spans="1:7" ht="19.899999999999999" customHeight="1" x14ac:dyDescent="0.2">
      <c r="A2858" s="472"/>
      <c r="B2858" s="425"/>
      <c r="C2858" s="139"/>
      <c r="D2858" s="426"/>
      <c r="E2858" s="427"/>
      <c r="F2858" s="139"/>
      <c r="G2858" s="475"/>
    </row>
    <row r="2859" spans="1:7" ht="19.899999999999999" customHeight="1" x14ac:dyDescent="0.2">
      <c r="A2859" s="476"/>
      <c r="B2859" s="431"/>
      <c r="C2859" s="432" t="s">
        <v>967</v>
      </c>
      <c r="D2859" s="431"/>
      <c r="E2859" s="431"/>
      <c r="F2859" s="431"/>
      <c r="G2859" s="477"/>
    </row>
    <row r="2860" spans="1:7" ht="19.899999999999999" customHeight="1" x14ac:dyDescent="0.2">
      <c r="A2860" s="472"/>
      <c r="B2860" s="433"/>
      <c r="C2860" s="139"/>
      <c r="D2860" s="426"/>
      <c r="E2860" s="427"/>
      <c r="F2860" s="425"/>
      <c r="G2860" s="474"/>
    </row>
    <row r="2861" spans="1:7" ht="19.899999999999999" customHeight="1" x14ac:dyDescent="0.2">
      <c r="A2861" s="472"/>
      <c r="B2861" s="433"/>
      <c r="C2861" s="434" t="s">
        <v>968</v>
      </c>
      <c r="D2861" s="435" t="s">
        <v>24</v>
      </c>
      <c r="E2861" s="435" t="s">
        <v>969</v>
      </c>
      <c r="F2861" s="435" t="s">
        <v>970</v>
      </c>
      <c r="G2861" s="434" t="s">
        <v>971</v>
      </c>
    </row>
    <row r="2862" spans="1:7" ht="19.899999999999999" customHeight="1" x14ac:dyDescent="0.2">
      <c r="A2862" s="472"/>
      <c r="B2862" s="433"/>
      <c r="C2862" s="436">
        <f>+C2637</f>
        <v>0</v>
      </c>
      <c r="D2862" s="436">
        <f>+D2637</f>
        <v>0</v>
      </c>
      <c r="E2862" s="438">
        <f t="shared" ref="E2862:E2871" si="978">IFERROR(VLOOKUP(C2862,T_Equipos,4,FALSE),0)</f>
        <v>0</v>
      </c>
      <c r="F2862" s="439">
        <f t="shared" ref="F2862:F2871" si="979">IFERROR(VLOOKUP(C2862,T_Equipos,5,FALSE),0)</f>
        <v>0</v>
      </c>
      <c r="G2862" s="439">
        <f>ROUND(D2862*F2862,2)</f>
        <v>0</v>
      </c>
    </row>
    <row r="2863" spans="1:7" ht="19.899999999999999" customHeight="1" x14ac:dyDescent="0.2">
      <c r="A2863" s="472"/>
      <c r="B2863" s="433"/>
      <c r="C2863" s="436">
        <f t="shared" ref="C2863:D2863" si="980">+C2638</f>
        <v>0</v>
      </c>
      <c r="D2863" s="436">
        <f t="shared" si="980"/>
        <v>0</v>
      </c>
      <c r="E2863" s="438">
        <f t="shared" si="978"/>
        <v>0</v>
      </c>
      <c r="F2863" s="439">
        <f t="shared" si="979"/>
        <v>0</v>
      </c>
      <c r="G2863" s="439">
        <f>ROUND(D2863*F2863,2)</f>
        <v>0</v>
      </c>
    </row>
    <row r="2864" spans="1:7" ht="19.899999999999999" customHeight="1" x14ac:dyDescent="0.2">
      <c r="A2864" s="472"/>
      <c r="B2864" s="433"/>
      <c r="C2864" s="436">
        <f t="shared" ref="C2864" si="981">+C2639</f>
        <v>0</v>
      </c>
      <c r="D2864" s="436"/>
      <c r="E2864" s="438">
        <f t="shared" si="978"/>
        <v>0</v>
      </c>
      <c r="F2864" s="439">
        <f t="shared" si="979"/>
        <v>0</v>
      </c>
      <c r="G2864" s="439">
        <f>ROUND(D2864*F2864,2)</f>
        <v>0</v>
      </c>
    </row>
    <row r="2865" spans="1:7" ht="19.899999999999999" customHeight="1" x14ac:dyDescent="0.2">
      <c r="A2865" s="472"/>
      <c r="B2865" s="433"/>
      <c r="C2865" s="436">
        <f t="shared" ref="C2865" si="982">+C2640</f>
        <v>0</v>
      </c>
      <c r="D2865" s="436"/>
      <c r="E2865" s="438">
        <f t="shared" si="978"/>
        <v>0</v>
      </c>
      <c r="F2865" s="439">
        <f t="shared" si="979"/>
        <v>0</v>
      </c>
      <c r="G2865" s="439">
        <f>ROUND(D2865*F2865,2)</f>
        <v>0</v>
      </c>
    </row>
    <row r="2866" spans="1:7" ht="19.899999999999999" customHeight="1" x14ac:dyDescent="0.2">
      <c r="A2866" s="472"/>
      <c r="B2866" s="433"/>
      <c r="C2866" s="436">
        <f t="shared" ref="C2866" si="983">+C2641</f>
        <v>0</v>
      </c>
      <c r="D2866" s="436"/>
      <c r="E2866" s="438">
        <f t="shared" si="978"/>
        <v>0</v>
      </c>
      <c r="F2866" s="439">
        <f t="shared" si="979"/>
        <v>0</v>
      </c>
      <c r="G2866" s="439">
        <f t="shared" ref="G2866:G2871" si="984">ROUND(D2866*F2866,2)</f>
        <v>0</v>
      </c>
    </row>
    <row r="2867" spans="1:7" ht="19.899999999999999" customHeight="1" x14ac:dyDescent="0.2">
      <c r="A2867" s="472"/>
      <c r="B2867" s="433"/>
      <c r="C2867" s="436">
        <f t="shared" ref="C2867" si="985">+C2642</f>
        <v>0</v>
      </c>
      <c r="D2867" s="436"/>
      <c r="E2867" s="438">
        <f t="shared" si="978"/>
        <v>0</v>
      </c>
      <c r="F2867" s="439">
        <f t="shared" si="979"/>
        <v>0</v>
      </c>
      <c r="G2867" s="439">
        <f t="shared" si="984"/>
        <v>0</v>
      </c>
    </row>
    <row r="2868" spans="1:7" ht="19.899999999999999" customHeight="1" x14ac:dyDescent="0.2">
      <c r="A2868" s="472"/>
      <c r="B2868" s="433"/>
      <c r="C2868" s="436">
        <f t="shared" ref="C2868:D2868" si="986">+C2643</f>
        <v>0</v>
      </c>
      <c r="D2868" s="436">
        <f t="shared" si="986"/>
        <v>0</v>
      </c>
      <c r="E2868" s="438">
        <f t="shared" si="978"/>
        <v>0</v>
      </c>
      <c r="F2868" s="439">
        <f t="shared" si="979"/>
        <v>0</v>
      </c>
      <c r="G2868" s="439">
        <f t="shared" si="984"/>
        <v>0</v>
      </c>
    </row>
    <row r="2869" spans="1:7" ht="19.899999999999999" customHeight="1" x14ac:dyDescent="0.2">
      <c r="A2869" s="472"/>
      <c r="B2869" s="433"/>
      <c r="C2869" s="436">
        <f t="shared" ref="C2869:D2869" si="987">+C2644</f>
        <v>0</v>
      </c>
      <c r="D2869" s="436">
        <f t="shared" si="987"/>
        <v>0</v>
      </c>
      <c r="E2869" s="438">
        <f t="shared" si="978"/>
        <v>0</v>
      </c>
      <c r="F2869" s="439">
        <f t="shared" si="979"/>
        <v>0</v>
      </c>
      <c r="G2869" s="439">
        <f t="shared" si="984"/>
        <v>0</v>
      </c>
    </row>
    <row r="2870" spans="1:7" ht="19.899999999999999" customHeight="1" x14ac:dyDescent="0.2">
      <c r="A2870" s="472"/>
      <c r="B2870" s="433"/>
      <c r="C2870" s="436"/>
      <c r="D2870" s="437"/>
      <c r="E2870" s="438">
        <f t="shared" si="978"/>
        <v>0</v>
      </c>
      <c r="F2870" s="439">
        <f t="shared" si="979"/>
        <v>0</v>
      </c>
      <c r="G2870" s="439">
        <f t="shared" si="984"/>
        <v>0</v>
      </c>
    </row>
    <row r="2871" spans="1:7" ht="19.899999999999999" customHeight="1" x14ac:dyDescent="0.2">
      <c r="A2871" s="472"/>
      <c r="B2871" s="433"/>
      <c r="C2871" s="436"/>
      <c r="D2871" s="437"/>
      <c r="E2871" s="438">
        <f t="shared" si="978"/>
        <v>0</v>
      </c>
      <c r="F2871" s="439">
        <f t="shared" si="979"/>
        <v>0</v>
      </c>
      <c r="G2871" s="439">
        <f t="shared" si="984"/>
        <v>0</v>
      </c>
    </row>
    <row r="2872" spans="1:7" ht="19.899999999999999" customHeight="1" x14ac:dyDescent="0.2">
      <c r="A2872" s="472"/>
      <c r="B2872" s="433"/>
      <c r="C2872" s="139"/>
      <c r="D2872" s="139"/>
      <c r="E2872" s="440"/>
      <c r="F2872" s="425"/>
      <c r="G2872" s="474"/>
    </row>
    <row r="2873" spans="1:7" ht="19.899999999999999" customHeight="1" x14ac:dyDescent="0.2">
      <c r="A2873" s="472"/>
      <c r="B2873" s="139"/>
      <c r="C2873" s="422" t="s">
        <v>972</v>
      </c>
      <c r="D2873" s="425" t="s">
        <v>969</v>
      </c>
      <c r="E2873" s="491">
        <f>SUMPRODUCT(D2862:D2871,E2862:E2871)</f>
        <v>0</v>
      </c>
      <c r="F2873" s="425" t="s">
        <v>973</v>
      </c>
      <c r="G2873" s="492">
        <f>SUM(G2862:G2871)</f>
        <v>0</v>
      </c>
    </row>
    <row r="2874" spans="1:7" ht="19.899999999999999" customHeight="1" x14ac:dyDescent="0.2">
      <c r="A2874" s="472"/>
      <c r="B2874" s="433"/>
      <c r="C2874" s="441"/>
      <c r="D2874" s="440"/>
      <c r="E2874" s="427"/>
      <c r="F2874" s="425"/>
      <c r="G2874" s="478"/>
    </row>
    <row r="2875" spans="1:7" ht="19.899999999999999" customHeight="1" x14ac:dyDescent="0.2">
      <c r="A2875" s="479"/>
      <c r="B2875" s="433"/>
      <c r="C2875" s="425" t="s">
        <v>974</v>
      </c>
      <c r="D2875" s="442">
        <f>IFERROR(VLOOKUP(COUNTIF($A$1:A2875,"ANALISIS DE PRECIOS"),T_Rendimiento_Equipo,5,FALSE),0)</f>
        <v>0</v>
      </c>
      <c r="E2875" s="443" t="str">
        <f ca="1">G2857&amp;"/día"</f>
        <v>0/día</v>
      </c>
      <c r="F2875" s="419"/>
      <c r="G2875" s="474"/>
    </row>
    <row r="2876" spans="1:7" ht="19.899999999999999" customHeight="1" x14ac:dyDescent="0.2">
      <c r="A2876" s="472"/>
      <c r="B2876" s="433"/>
      <c r="C2876" s="139"/>
      <c r="D2876" s="426"/>
      <c r="E2876" s="427"/>
      <c r="F2876" s="425"/>
      <c r="G2876" s="474"/>
    </row>
    <row r="2877" spans="1:7" ht="19.899999999999999" customHeight="1" x14ac:dyDescent="0.2">
      <c r="A2877" s="720" t="s">
        <v>576</v>
      </c>
      <c r="B2877" s="721"/>
      <c r="C2877" s="722" t="s">
        <v>0</v>
      </c>
      <c r="D2877" s="734" t="s">
        <v>1724</v>
      </c>
      <c r="E2877" s="734" t="s">
        <v>1723</v>
      </c>
      <c r="F2877" s="726" t="s">
        <v>975</v>
      </c>
      <c r="G2877" s="728" t="s">
        <v>26</v>
      </c>
    </row>
    <row r="2878" spans="1:7" ht="19.899999999999999" customHeight="1" x14ac:dyDescent="0.2">
      <c r="A2878" s="444" t="s">
        <v>577</v>
      </c>
      <c r="B2878" s="444" t="s">
        <v>578</v>
      </c>
      <c r="C2878" s="723"/>
      <c r="D2878" s="735"/>
      <c r="E2878" s="725"/>
      <c r="F2878" s="727"/>
      <c r="G2878" s="729"/>
    </row>
    <row r="2879" spans="1:7" ht="19.899999999999999" customHeight="1" x14ac:dyDescent="0.2">
      <c r="A2879" s="480"/>
      <c r="B2879" s="139"/>
      <c r="C2879" s="422" t="s">
        <v>976</v>
      </c>
      <c r="D2879" s="427"/>
      <c r="E2879" s="427"/>
      <c r="F2879" s="139"/>
      <c r="G2879" s="481"/>
    </row>
    <row r="2880" spans="1:7" ht="19.899999999999999" customHeight="1" x14ac:dyDescent="0.2">
      <c r="A2880" s="482">
        <f t="shared" ref="A2880:A2888" si="988">IFERROR(VLOOKUP(C2880,T_Insumos,4,FALSE),0)</f>
        <v>0</v>
      </c>
      <c r="B2880" s="445">
        <f t="shared" ref="B2880:B2888" si="989">IFERROR(VLOOKUP(C2880,T_Insumos,5,FALSE),0)</f>
        <v>0</v>
      </c>
      <c r="C2880" s="436">
        <f>+C2580</f>
        <v>0</v>
      </c>
      <c r="D2880" s="446">
        <f t="shared" ref="D2880:D2888" si="990">IFERROR(VLOOKUP(C2880,T_Insumos,3,FALSE),0)</f>
        <v>0</v>
      </c>
      <c r="E2880" s="439">
        <f>D2880*$G$323</f>
        <v>0</v>
      </c>
      <c r="F2880" s="442">
        <f>IF(C2880="",0,IFERROR(VLOOKUP(COUNTIF($A$1:A2880,"ANALISIS DE PRECIOS"),T_Rendimiento_Equipo,5,FALSE),0))</f>
        <v>0</v>
      </c>
      <c r="G2880" s="439">
        <f>IFERROR(ROUND(E2880/F2880,2),0)</f>
        <v>0</v>
      </c>
    </row>
    <row r="2881" spans="1:7" ht="19.899999999999999" customHeight="1" x14ac:dyDescent="0.2">
      <c r="A2881" s="482">
        <f t="shared" si="988"/>
        <v>0</v>
      </c>
      <c r="B2881" s="445">
        <f t="shared" si="989"/>
        <v>0</v>
      </c>
      <c r="C2881" s="436">
        <f t="shared" ref="C2881:C2883" si="991">+C2581</f>
        <v>0</v>
      </c>
      <c r="D2881" s="446">
        <f t="shared" si="990"/>
        <v>0</v>
      </c>
      <c r="E2881" s="439">
        <f t="shared" ref="E2881:E2882" si="992">D2881*$G$323</f>
        <v>0</v>
      </c>
      <c r="F2881" s="442">
        <f>IF(C2881="",0,IFERROR(VLOOKUP(COUNTIF($A$1:A2881,"ANALISIS DE PRECIOS"),T_Rendimiento_Equipo,5,FALSE),0))</f>
        <v>0</v>
      </c>
      <c r="G2881" s="439">
        <f t="shared" ref="G2881:G2888" si="993">IFERROR(ROUND(E2881/F2881,2),0)</f>
        <v>0</v>
      </c>
    </row>
    <row r="2882" spans="1:7" ht="19.899999999999999" customHeight="1" x14ac:dyDescent="0.2">
      <c r="A2882" s="482">
        <f t="shared" si="988"/>
        <v>0</v>
      </c>
      <c r="B2882" s="445">
        <f t="shared" si="989"/>
        <v>0</v>
      </c>
      <c r="C2882" s="436">
        <f t="shared" si="991"/>
        <v>0</v>
      </c>
      <c r="D2882" s="446">
        <f t="shared" si="990"/>
        <v>0</v>
      </c>
      <c r="E2882" s="439">
        <f t="shared" si="992"/>
        <v>0</v>
      </c>
      <c r="F2882" s="442">
        <f>IF(C2882="",0,IFERROR(VLOOKUP(COUNTIF($A$1:A2882,"ANALISIS DE PRECIOS"),T_Rendimiento_Equipo,5,FALSE),0))</f>
        <v>0</v>
      </c>
      <c r="G2882" s="439">
        <f t="shared" si="993"/>
        <v>0</v>
      </c>
    </row>
    <row r="2883" spans="1:7" ht="19.899999999999999" customHeight="1" x14ac:dyDescent="0.2">
      <c r="A2883" s="482">
        <f t="shared" si="988"/>
        <v>0</v>
      </c>
      <c r="B2883" s="445">
        <f t="shared" si="989"/>
        <v>0</v>
      </c>
      <c r="C2883" s="436">
        <f t="shared" si="991"/>
        <v>0</v>
      </c>
      <c r="D2883" s="446">
        <f t="shared" si="990"/>
        <v>0</v>
      </c>
      <c r="E2883" s="439">
        <f>D2883*$E$323</f>
        <v>0</v>
      </c>
      <c r="F2883" s="442">
        <f>IF(C2883="",0,IFERROR(VLOOKUP(COUNTIF($A$1:A2883,"ANALISIS DE PRECIOS"),T_Rendimiento_Equipo,5,FALSE),0))</f>
        <v>0</v>
      </c>
      <c r="G2883" s="439">
        <f t="shared" si="993"/>
        <v>0</v>
      </c>
    </row>
    <row r="2884" spans="1:7" ht="19.899999999999999" customHeight="1" x14ac:dyDescent="0.2">
      <c r="A2884" s="482">
        <f t="shared" si="988"/>
        <v>0</v>
      </c>
      <c r="B2884" s="445">
        <f t="shared" si="989"/>
        <v>0</v>
      </c>
      <c r="C2884" s="447"/>
      <c r="D2884" s="446">
        <f t="shared" si="990"/>
        <v>0</v>
      </c>
      <c r="E2884" s="439"/>
      <c r="F2884" s="442">
        <f>IF(C2884="",0,IFERROR(VLOOKUP(COUNTIF($A$1:A2884,"ANALISIS DE PRECIOS"),T_Rendimiento_Equipo,5,FALSE),0))</f>
        <v>0</v>
      </c>
      <c r="G2884" s="439">
        <f t="shared" si="993"/>
        <v>0</v>
      </c>
    </row>
    <row r="2885" spans="1:7" ht="19.899999999999999" customHeight="1" x14ac:dyDescent="0.2">
      <c r="A2885" s="482">
        <f t="shared" si="988"/>
        <v>0</v>
      </c>
      <c r="B2885" s="445">
        <f t="shared" si="989"/>
        <v>0</v>
      </c>
      <c r="C2885" s="447"/>
      <c r="D2885" s="446">
        <f t="shared" si="990"/>
        <v>0</v>
      </c>
      <c r="E2885" s="439"/>
      <c r="F2885" s="442">
        <f>IF(C2885="",0,IFERROR(VLOOKUP(COUNTIF($A$1:A2885,"ANALISIS DE PRECIOS"),T_Rendimiento_Equipo,5,FALSE),0))</f>
        <v>0</v>
      </c>
      <c r="G2885" s="439">
        <f t="shared" si="993"/>
        <v>0</v>
      </c>
    </row>
    <row r="2886" spans="1:7" ht="19.899999999999999" customHeight="1" x14ac:dyDescent="0.2">
      <c r="A2886" s="482">
        <f t="shared" si="988"/>
        <v>0</v>
      </c>
      <c r="B2886" s="445">
        <f t="shared" si="989"/>
        <v>0</v>
      </c>
      <c r="C2886" s="447"/>
      <c r="D2886" s="446">
        <f t="shared" si="990"/>
        <v>0</v>
      </c>
      <c r="E2886" s="439"/>
      <c r="F2886" s="442">
        <f>IF(C2886="",0,IFERROR(VLOOKUP(COUNTIF($A$1:A2886,"ANALISIS DE PRECIOS"),T_Rendimiento_Equipo,5,FALSE),0))</f>
        <v>0</v>
      </c>
      <c r="G2886" s="439">
        <f t="shared" si="993"/>
        <v>0</v>
      </c>
    </row>
    <row r="2887" spans="1:7" ht="19.899999999999999" customHeight="1" x14ac:dyDescent="0.2">
      <c r="A2887" s="482">
        <f t="shared" si="988"/>
        <v>0</v>
      </c>
      <c r="B2887" s="445">
        <f t="shared" si="989"/>
        <v>0</v>
      </c>
      <c r="C2887" s="447"/>
      <c r="D2887" s="446">
        <f t="shared" si="990"/>
        <v>0</v>
      </c>
      <c r="E2887" s="439"/>
      <c r="F2887" s="442">
        <f>IF(C2887="",0,IFERROR(VLOOKUP(COUNTIF($A$1:A2887,"ANALISIS DE PRECIOS"),T_Rendimiento_Equipo,5,FALSE),0))</f>
        <v>0</v>
      </c>
      <c r="G2887" s="439">
        <f t="shared" si="993"/>
        <v>0</v>
      </c>
    </row>
    <row r="2888" spans="1:7" ht="19.899999999999999" customHeight="1" x14ac:dyDescent="0.2">
      <c r="A2888" s="482">
        <f t="shared" si="988"/>
        <v>0</v>
      </c>
      <c r="B2888" s="445">
        <f t="shared" si="989"/>
        <v>0</v>
      </c>
      <c r="C2888" s="436"/>
      <c r="D2888" s="446">
        <f t="shared" si="990"/>
        <v>0</v>
      </c>
      <c r="E2888" s="439"/>
      <c r="F2888" s="442">
        <f>IF(C2888="",0,IFERROR(VLOOKUP(COUNTIF($A$1:A2888,"ANALISIS DE PRECIOS"),T_Rendimiento_Equipo,5,FALSE),0))</f>
        <v>0</v>
      </c>
      <c r="G2888" s="439">
        <f t="shared" si="993"/>
        <v>0</v>
      </c>
    </row>
    <row r="2889" spans="1:7" ht="19.899999999999999" customHeight="1" x14ac:dyDescent="0.2">
      <c r="A2889" s="483"/>
      <c r="B2889" s="426"/>
      <c r="C2889" s="139"/>
      <c r="D2889" s="426"/>
      <c r="E2889" s="427"/>
      <c r="F2889" s="448" t="s">
        <v>27</v>
      </c>
      <c r="G2889" s="484">
        <f>SUBTOTAL(9,G2880:G2888)</f>
        <v>0</v>
      </c>
    </row>
    <row r="2890" spans="1:7" ht="19.899999999999999" customHeight="1" x14ac:dyDescent="0.2">
      <c r="A2890" s="480"/>
      <c r="B2890" s="139"/>
      <c r="C2890" s="422" t="s">
        <v>713</v>
      </c>
      <c r="D2890" s="426"/>
      <c r="E2890" s="427"/>
      <c r="F2890" s="428"/>
      <c r="G2890" s="481"/>
    </row>
    <row r="2891" spans="1:7" ht="19.899999999999999" customHeight="1" x14ac:dyDescent="0.2">
      <c r="A2891" s="720" t="s">
        <v>576</v>
      </c>
      <c r="B2891" s="721"/>
      <c r="C2891" s="722" t="s">
        <v>0</v>
      </c>
      <c r="D2891" s="724" t="s">
        <v>24</v>
      </c>
      <c r="E2891" s="724" t="s">
        <v>1964</v>
      </c>
      <c r="F2891" s="726" t="s">
        <v>975</v>
      </c>
      <c r="G2891" s="728" t="s">
        <v>26</v>
      </c>
    </row>
    <row r="2892" spans="1:7" ht="19.899999999999999" customHeight="1" x14ac:dyDescent="0.2">
      <c r="A2892" s="444" t="s">
        <v>577</v>
      </c>
      <c r="B2892" s="444" t="s">
        <v>578</v>
      </c>
      <c r="C2892" s="723"/>
      <c r="D2892" s="725"/>
      <c r="E2892" s="725"/>
      <c r="F2892" s="727"/>
      <c r="G2892" s="729"/>
    </row>
    <row r="2893" spans="1:7" ht="19.899999999999999" customHeight="1" x14ac:dyDescent="0.2">
      <c r="A2893" s="482">
        <f t="shared" ref="A2893:A2899" si="994">IFERROR(VLOOKUP(C2893,T_Insumos,4,FALSE),0)</f>
        <v>0</v>
      </c>
      <c r="B2893" s="445">
        <f t="shared" ref="B2893:B2899" si="995">IFERROR(VLOOKUP(C2893,T_Insumos,5,FALSE),0)</f>
        <v>0</v>
      </c>
      <c r="C2893" s="436">
        <f t="shared" ref="C2893:C2896" si="996">+C2668</f>
        <v>0</v>
      </c>
      <c r="D2893" s="442"/>
      <c r="E2893" s="439">
        <f t="shared" ref="E2893:E2899" si="997">IFERROR(VLOOKUP(C2893,T_Insumos,3,FALSE),0)</f>
        <v>0</v>
      </c>
      <c r="F2893" s="442">
        <f>IF(C2893="",0,IFERROR(VLOOKUP(COUNTIF($A$1:A2893,"ANALISIS DE PRECIOS"),T_Rendimiento_Equipo,5,FALSE),0))</f>
        <v>0</v>
      </c>
      <c r="G2893" s="439">
        <f>IFERROR(ROUND(D2893*E2893/F2893,2),0)</f>
        <v>0</v>
      </c>
    </row>
    <row r="2894" spans="1:7" ht="19.899999999999999" customHeight="1" x14ac:dyDescent="0.2">
      <c r="A2894" s="482">
        <f t="shared" si="994"/>
        <v>0</v>
      </c>
      <c r="B2894" s="445">
        <f t="shared" si="995"/>
        <v>0</v>
      </c>
      <c r="C2894" s="436">
        <f t="shared" si="996"/>
        <v>0</v>
      </c>
      <c r="D2894" s="442">
        <v>1</v>
      </c>
      <c r="E2894" s="439">
        <f t="shared" si="997"/>
        <v>0</v>
      </c>
      <c r="F2894" s="442">
        <f>IF(C2894="",0,IFERROR(VLOOKUP(COUNTIF($A$1:A2894,"ANALISIS DE PRECIOS"),T_Rendimiento_Equipo,5,FALSE),0))</f>
        <v>0</v>
      </c>
      <c r="G2894" s="439">
        <f>IFERROR(ROUND(D2894*E2894/F2894,2),0)</f>
        <v>0</v>
      </c>
    </row>
    <row r="2895" spans="1:7" ht="19.899999999999999" customHeight="1" x14ac:dyDescent="0.2">
      <c r="A2895" s="482">
        <f t="shared" si="994"/>
        <v>0</v>
      </c>
      <c r="B2895" s="445">
        <f t="shared" si="995"/>
        <v>0</v>
      </c>
      <c r="C2895" s="436">
        <f t="shared" si="996"/>
        <v>0</v>
      </c>
      <c r="D2895" s="442"/>
      <c r="E2895" s="439">
        <f t="shared" si="997"/>
        <v>0</v>
      </c>
      <c r="F2895" s="442">
        <f>IF(C2895="",0,IFERROR(VLOOKUP(COUNTIF($A$1:A2895,"ANALISIS DE PRECIOS"),T_Rendimiento_Equipo,5,FALSE),0))</f>
        <v>0</v>
      </c>
      <c r="G2895" s="439">
        <f t="shared" ref="G2895:G2899" si="998">IFERROR(ROUND(D2895*E2895/F2895,2),0)</f>
        <v>0</v>
      </c>
    </row>
    <row r="2896" spans="1:7" ht="19.899999999999999" customHeight="1" x14ac:dyDescent="0.2">
      <c r="A2896" s="482">
        <f t="shared" si="994"/>
        <v>0</v>
      </c>
      <c r="B2896" s="445">
        <f t="shared" si="995"/>
        <v>0</v>
      </c>
      <c r="C2896" s="436">
        <f t="shared" si="996"/>
        <v>0</v>
      </c>
      <c r="D2896" s="442">
        <v>2</v>
      </c>
      <c r="E2896" s="439">
        <f t="shared" si="997"/>
        <v>0</v>
      </c>
      <c r="F2896" s="442">
        <f>IF(C2896="",0,IFERROR(VLOOKUP(COUNTIF($A$1:A2896,"ANALISIS DE PRECIOS"),T_Rendimiento_Equipo,5,FALSE),0))</f>
        <v>0</v>
      </c>
      <c r="G2896" s="439">
        <f t="shared" si="998"/>
        <v>0</v>
      </c>
    </row>
    <row r="2897" spans="1:7" ht="19.899999999999999" customHeight="1" x14ac:dyDescent="0.2">
      <c r="A2897" s="482">
        <f t="shared" si="994"/>
        <v>0</v>
      </c>
      <c r="B2897" s="445">
        <f t="shared" si="995"/>
        <v>0</v>
      </c>
      <c r="C2897" s="436"/>
      <c r="D2897" s="442"/>
      <c r="E2897" s="439">
        <f t="shared" si="997"/>
        <v>0</v>
      </c>
      <c r="F2897" s="442">
        <f>IF(C2897="",0,IFERROR(VLOOKUP(COUNTIF($A$1:A2897,"ANALISIS DE PRECIOS"),T_Rendimiento_Equipo,5,FALSE),0))</f>
        <v>0</v>
      </c>
      <c r="G2897" s="439">
        <f t="shared" si="998"/>
        <v>0</v>
      </c>
    </row>
    <row r="2898" spans="1:7" ht="19.899999999999999" customHeight="1" x14ac:dyDescent="0.2">
      <c r="A2898" s="482">
        <f t="shared" si="994"/>
        <v>0</v>
      </c>
      <c r="B2898" s="445">
        <f t="shared" si="995"/>
        <v>0</v>
      </c>
      <c r="C2898" s="436"/>
      <c r="D2898" s="450"/>
      <c r="E2898" s="439">
        <f t="shared" si="997"/>
        <v>0</v>
      </c>
      <c r="F2898" s="442">
        <f>IF(C2898="",0,IFERROR(VLOOKUP(COUNTIF($A$1:A2898,"ANALISIS DE PRECIOS"),T_Rendimiento_Equipo,5,FALSE),0))</f>
        <v>0</v>
      </c>
      <c r="G2898" s="439">
        <f t="shared" si="998"/>
        <v>0</v>
      </c>
    </row>
    <row r="2899" spans="1:7" ht="19.899999999999999" customHeight="1" x14ac:dyDescent="0.2">
      <c r="A2899" s="482">
        <f t="shared" si="994"/>
        <v>0</v>
      </c>
      <c r="B2899" s="445">
        <f t="shared" si="995"/>
        <v>0</v>
      </c>
      <c r="C2899" s="445"/>
      <c r="D2899" s="451"/>
      <c r="E2899" s="439">
        <f t="shared" si="997"/>
        <v>0</v>
      </c>
      <c r="F2899" s="442">
        <f>IF(C2899="",0,IFERROR(VLOOKUP(COUNTIF($A$1:A2899,"ANALISIS DE PRECIOS"),T_Rendimiento_Equipo,5,FALSE),0))</f>
        <v>0</v>
      </c>
      <c r="G2899" s="439">
        <f t="shared" si="998"/>
        <v>0</v>
      </c>
    </row>
    <row r="2900" spans="1:7" ht="19.899999999999999" customHeight="1" x14ac:dyDescent="0.2">
      <c r="A2900" s="483"/>
      <c r="B2900" s="426"/>
      <c r="C2900" s="139"/>
      <c r="D2900" s="426"/>
      <c r="E2900" s="427"/>
      <c r="F2900" s="448" t="s">
        <v>28</v>
      </c>
      <c r="G2900" s="485">
        <f>SUBTOTAL(9,G2893:G2899)</f>
        <v>0</v>
      </c>
    </row>
    <row r="2901" spans="1:7" ht="19.899999999999999" customHeight="1" x14ac:dyDescent="0.2">
      <c r="A2901" s="480"/>
      <c r="B2901" s="139"/>
      <c r="C2901" s="422" t="s">
        <v>982</v>
      </c>
      <c r="D2901" s="426"/>
      <c r="E2901" s="427"/>
      <c r="F2901" s="428"/>
      <c r="G2901" s="481"/>
    </row>
    <row r="2902" spans="1:7" ht="19.899999999999999" customHeight="1" x14ac:dyDescent="0.2">
      <c r="A2902" s="720" t="s">
        <v>576</v>
      </c>
      <c r="B2902" s="721"/>
      <c r="C2902" s="722" t="s">
        <v>0</v>
      </c>
      <c r="D2902" s="722" t="s">
        <v>1725</v>
      </c>
      <c r="E2902" s="724" t="s">
        <v>24</v>
      </c>
      <c r="F2902" s="726" t="s">
        <v>25</v>
      </c>
      <c r="G2902" s="728" t="s">
        <v>26</v>
      </c>
    </row>
    <row r="2903" spans="1:7" ht="19.899999999999999" customHeight="1" x14ac:dyDescent="0.2">
      <c r="A2903" s="444" t="s">
        <v>577</v>
      </c>
      <c r="B2903" s="444" t="s">
        <v>578</v>
      </c>
      <c r="C2903" s="723"/>
      <c r="D2903" s="723"/>
      <c r="E2903" s="725"/>
      <c r="F2903" s="727"/>
      <c r="G2903" s="729"/>
    </row>
    <row r="2904" spans="1:7" ht="19.899999999999999" customHeight="1" x14ac:dyDescent="0.2">
      <c r="A2904" s="482">
        <f t="shared" ref="A2904:A2914" si="999">IFERROR(VLOOKUP(C2904,T_Insumos,4,FALSE),0)</f>
        <v>0</v>
      </c>
      <c r="B2904" s="445">
        <f t="shared" ref="B2904:B2914" si="1000">IFERROR(VLOOKUP(C2904,T_Insumos,5,FALSE),0)</f>
        <v>0</v>
      </c>
      <c r="C2904" s="436">
        <f t="shared" ref="C2904:C2914" si="1001">+C2679</f>
        <v>0</v>
      </c>
      <c r="D2904" s="493">
        <f t="shared" ref="D2904:D2914" si="1002">IFERROR(VLOOKUP(C2904,T_Insumos,2,FALSE),0)</f>
        <v>0</v>
      </c>
      <c r="E2904" s="437"/>
      <c r="F2904" s="439">
        <f t="shared" ref="F2904:F2914" si="1003">IFERROR(VLOOKUP(C2904,T_Insumos,3,FALSE),0)</f>
        <v>0</v>
      </c>
      <c r="G2904" s="439">
        <f>ROUND(E2904*F2904,2)</f>
        <v>0</v>
      </c>
    </row>
    <row r="2905" spans="1:7" ht="19.899999999999999" customHeight="1" x14ac:dyDescent="0.2">
      <c r="A2905" s="482">
        <f t="shared" si="999"/>
        <v>0</v>
      </c>
      <c r="B2905" s="445">
        <f t="shared" si="1000"/>
        <v>0</v>
      </c>
      <c r="C2905" s="436">
        <f t="shared" si="1001"/>
        <v>0</v>
      </c>
      <c r="D2905" s="493">
        <f t="shared" si="1002"/>
        <v>0</v>
      </c>
      <c r="E2905" s="437"/>
      <c r="F2905" s="439">
        <f t="shared" si="1003"/>
        <v>0</v>
      </c>
      <c r="G2905" s="439">
        <f t="shared" ref="G2905:G2914" si="1004">ROUND(E2905*F2905,2)</f>
        <v>0</v>
      </c>
    </row>
    <row r="2906" spans="1:7" ht="19.899999999999999" customHeight="1" x14ac:dyDescent="0.2">
      <c r="A2906" s="482">
        <f t="shared" si="999"/>
        <v>0</v>
      </c>
      <c r="B2906" s="445">
        <f t="shared" si="1000"/>
        <v>0</v>
      </c>
      <c r="C2906" s="436">
        <f t="shared" si="1001"/>
        <v>0</v>
      </c>
      <c r="D2906" s="493">
        <f t="shared" si="1002"/>
        <v>0</v>
      </c>
      <c r="E2906" s="437"/>
      <c r="F2906" s="439">
        <f t="shared" si="1003"/>
        <v>0</v>
      </c>
      <c r="G2906" s="439">
        <f t="shared" si="1004"/>
        <v>0</v>
      </c>
    </row>
    <row r="2907" spans="1:7" ht="19.899999999999999" customHeight="1" x14ac:dyDescent="0.2">
      <c r="A2907" s="482">
        <f t="shared" si="999"/>
        <v>0</v>
      </c>
      <c r="B2907" s="445">
        <f t="shared" si="1000"/>
        <v>0</v>
      </c>
      <c r="C2907" s="436">
        <f t="shared" si="1001"/>
        <v>0</v>
      </c>
      <c r="D2907" s="493">
        <f t="shared" si="1002"/>
        <v>0</v>
      </c>
      <c r="E2907" s="437"/>
      <c r="F2907" s="439">
        <f t="shared" si="1003"/>
        <v>0</v>
      </c>
      <c r="G2907" s="439">
        <f t="shared" si="1004"/>
        <v>0</v>
      </c>
    </row>
    <row r="2908" spans="1:7" ht="19.899999999999999" customHeight="1" x14ac:dyDescent="0.2">
      <c r="A2908" s="482">
        <f t="shared" si="999"/>
        <v>0</v>
      </c>
      <c r="B2908" s="445">
        <f t="shared" si="1000"/>
        <v>0</v>
      </c>
      <c r="C2908" s="436">
        <f t="shared" si="1001"/>
        <v>0</v>
      </c>
      <c r="D2908" s="493">
        <f t="shared" si="1002"/>
        <v>0</v>
      </c>
      <c r="E2908" s="437"/>
      <c r="F2908" s="439">
        <f t="shared" si="1003"/>
        <v>0</v>
      </c>
      <c r="G2908" s="439">
        <f t="shared" si="1004"/>
        <v>0</v>
      </c>
    </row>
    <row r="2909" spans="1:7" ht="19.899999999999999" customHeight="1" x14ac:dyDescent="0.2">
      <c r="A2909" s="482">
        <f t="shared" si="999"/>
        <v>0</v>
      </c>
      <c r="B2909" s="445">
        <f t="shared" si="1000"/>
        <v>0</v>
      </c>
      <c r="C2909" s="436">
        <f t="shared" si="1001"/>
        <v>0</v>
      </c>
      <c r="D2909" s="493">
        <f t="shared" si="1002"/>
        <v>0</v>
      </c>
      <c r="E2909" s="437"/>
      <c r="F2909" s="439">
        <f t="shared" si="1003"/>
        <v>0</v>
      </c>
      <c r="G2909" s="439">
        <f t="shared" si="1004"/>
        <v>0</v>
      </c>
    </row>
    <row r="2910" spans="1:7" ht="19.899999999999999" customHeight="1" x14ac:dyDescent="0.2">
      <c r="A2910" s="482">
        <f t="shared" si="999"/>
        <v>0</v>
      </c>
      <c r="B2910" s="445">
        <f t="shared" si="1000"/>
        <v>0</v>
      </c>
      <c r="C2910" s="436">
        <f t="shared" si="1001"/>
        <v>0</v>
      </c>
      <c r="D2910" s="493">
        <f t="shared" si="1002"/>
        <v>0</v>
      </c>
      <c r="E2910" s="437"/>
      <c r="F2910" s="439">
        <f t="shared" si="1003"/>
        <v>0</v>
      </c>
      <c r="G2910" s="439">
        <f t="shared" si="1004"/>
        <v>0</v>
      </c>
    </row>
    <row r="2911" spans="1:7" ht="19.899999999999999" customHeight="1" x14ac:dyDescent="0.2">
      <c r="A2911" s="482">
        <f t="shared" si="999"/>
        <v>0</v>
      </c>
      <c r="B2911" s="445">
        <f t="shared" si="1000"/>
        <v>0</v>
      </c>
      <c r="C2911" s="436">
        <f t="shared" si="1001"/>
        <v>0</v>
      </c>
      <c r="D2911" s="493">
        <f t="shared" si="1002"/>
        <v>0</v>
      </c>
      <c r="E2911" s="437"/>
      <c r="F2911" s="439">
        <f t="shared" si="1003"/>
        <v>0</v>
      </c>
      <c r="G2911" s="439">
        <f t="shared" si="1004"/>
        <v>0</v>
      </c>
    </row>
    <row r="2912" spans="1:7" ht="19.899999999999999" customHeight="1" x14ac:dyDescent="0.2">
      <c r="A2912" s="482">
        <f t="shared" si="999"/>
        <v>0</v>
      </c>
      <c r="B2912" s="445">
        <f t="shared" si="1000"/>
        <v>0</v>
      </c>
      <c r="C2912" s="436">
        <f t="shared" si="1001"/>
        <v>0</v>
      </c>
      <c r="D2912" s="493">
        <f t="shared" si="1002"/>
        <v>0</v>
      </c>
      <c r="E2912" s="437"/>
      <c r="F2912" s="439">
        <f t="shared" si="1003"/>
        <v>0</v>
      </c>
      <c r="G2912" s="439">
        <f t="shared" si="1004"/>
        <v>0</v>
      </c>
    </row>
    <row r="2913" spans="1:7" ht="19.899999999999999" customHeight="1" x14ac:dyDescent="0.2">
      <c r="A2913" s="482">
        <f t="shared" si="999"/>
        <v>0</v>
      </c>
      <c r="B2913" s="445">
        <f t="shared" si="1000"/>
        <v>0</v>
      </c>
      <c r="C2913" s="436">
        <f t="shared" si="1001"/>
        <v>0</v>
      </c>
      <c r="D2913" s="493">
        <f t="shared" si="1002"/>
        <v>0</v>
      </c>
      <c r="E2913" s="437"/>
      <c r="F2913" s="439">
        <f t="shared" si="1003"/>
        <v>0</v>
      </c>
      <c r="G2913" s="439">
        <f t="shared" si="1004"/>
        <v>0</v>
      </c>
    </row>
    <row r="2914" spans="1:7" ht="19.899999999999999" customHeight="1" x14ac:dyDescent="0.2">
      <c r="A2914" s="482">
        <f t="shared" si="999"/>
        <v>0</v>
      </c>
      <c r="B2914" s="445">
        <f t="shared" si="1000"/>
        <v>0</v>
      </c>
      <c r="C2914" s="436">
        <f t="shared" si="1001"/>
        <v>0</v>
      </c>
      <c r="D2914" s="493">
        <f t="shared" si="1002"/>
        <v>0</v>
      </c>
      <c r="E2914" s="437"/>
      <c r="F2914" s="439">
        <f t="shared" si="1003"/>
        <v>0</v>
      </c>
      <c r="G2914" s="439">
        <f t="shared" si="1004"/>
        <v>0</v>
      </c>
    </row>
    <row r="2915" spans="1:7" ht="19.899999999999999" customHeight="1" x14ac:dyDescent="0.2">
      <c r="A2915" s="480"/>
      <c r="B2915" s="139"/>
      <c r="C2915" s="139"/>
      <c r="D2915" s="426"/>
      <c r="E2915" s="427"/>
      <c r="F2915" s="448" t="s">
        <v>29</v>
      </c>
      <c r="G2915" s="485">
        <f>SUBTOTAL(9,G2904:G2914)</f>
        <v>0</v>
      </c>
    </row>
    <row r="2916" spans="1:7" ht="19.899999999999999" customHeight="1" x14ac:dyDescent="0.2">
      <c r="A2916" s="480"/>
      <c r="B2916" s="139"/>
      <c r="C2916" s="422" t="s">
        <v>983</v>
      </c>
      <c r="D2916" s="426"/>
      <c r="E2916" s="427"/>
      <c r="F2916" s="428"/>
      <c r="G2916" s="481"/>
    </row>
    <row r="2917" spans="1:7" ht="19.899999999999999" customHeight="1" x14ac:dyDescent="0.2">
      <c r="A2917" s="720" t="s">
        <v>576</v>
      </c>
      <c r="B2917" s="721"/>
      <c r="C2917" s="722" t="s">
        <v>0</v>
      </c>
      <c r="D2917" s="722" t="s">
        <v>1725</v>
      </c>
      <c r="E2917" s="724" t="s">
        <v>24</v>
      </c>
      <c r="F2917" s="726" t="s">
        <v>25</v>
      </c>
      <c r="G2917" s="728" t="s">
        <v>26</v>
      </c>
    </row>
    <row r="2918" spans="1:7" ht="19.899999999999999" customHeight="1" x14ac:dyDescent="0.2">
      <c r="A2918" s="444" t="s">
        <v>577</v>
      </c>
      <c r="B2918" s="444" t="s">
        <v>578</v>
      </c>
      <c r="C2918" s="723"/>
      <c r="D2918" s="723"/>
      <c r="E2918" s="725"/>
      <c r="F2918" s="727"/>
      <c r="G2918" s="729"/>
    </row>
    <row r="2919" spans="1:7" ht="19.899999999999999" customHeight="1" x14ac:dyDescent="0.2">
      <c r="A2919" s="482">
        <f>IFERROR(VLOOKUP(C2919,T_Insumos,4,FALSE),0)</f>
        <v>0</v>
      </c>
      <c r="B2919" s="445">
        <f>IFERROR(VLOOKUP(C2919,T_Insumos,5,FALSE),0)</f>
        <v>0</v>
      </c>
      <c r="C2919" s="436"/>
      <c r="D2919" s="493">
        <f>IF(C2919=0,0,"$/tnkm")</f>
        <v>0</v>
      </c>
      <c r="E2919" s="437"/>
      <c r="F2919" s="439">
        <f>IFERROR(VLOOKUP(C2919,T_Insumos,3,FALSE),0)</f>
        <v>0</v>
      </c>
      <c r="G2919" s="439">
        <f>ROUND(E2919*F2919,2)</f>
        <v>0</v>
      </c>
    </row>
    <row r="2920" spans="1:7" ht="19.899999999999999" customHeight="1" x14ac:dyDescent="0.2">
      <c r="A2920" s="482">
        <f>IFERROR(VLOOKUP(C2920,T_Insumos,4,FALSE),0)</f>
        <v>0</v>
      </c>
      <c r="B2920" s="445">
        <f>IFERROR(VLOOKUP(C2920,T_Insumos,5,FALSE),0)</f>
        <v>0</v>
      </c>
      <c r="C2920" s="436"/>
      <c r="D2920" s="493">
        <f>IF(C2920=0,0,"$/tnkm")</f>
        <v>0</v>
      </c>
      <c r="E2920" s="453"/>
      <c r="F2920" s="439">
        <f>IFERROR(VLOOKUP(C2920,T_Insumos,3,FALSE),0)</f>
        <v>0</v>
      </c>
      <c r="G2920" s="439">
        <f t="shared" ref="G2920" si="1005">ROUND(E2920*F2920,2)</f>
        <v>0</v>
      </c>
    </row>
    <row r="2921" spans="1:7" ht="19.899999999999999" customHeight="1" x14ac:dyDescent="0.2">
      <c r="A2921" s="480"/>
      <c r="B2921" s="139"/>
      <c r="C2921" s="139"/>
      <c r="D2921" s="426"/>
      <c r="E2921" s="427"/>
      <c r="F2921" s="448" t="s">
        <v>984</v>
      </c>
      <c r="G2921" s="485">
        <f>SUBTOTAL(9,G2919:G2920)</f>
        <v>0</v>
      </c>
    </row>
    <row r="2922" spans="1:7" ht="19.899999999999999" customHeight="1" x14ac:dyDescent="0.2">
      <c r="A2922" s="483"/>
      <c r="B2922" s="426"/>
      <c r="C2922" s="139"/>
      <c r="D2922" s="426"/>
      <c r="E2922" s="427"/>
      <c r="F2922" s="428"/>
      <c r="G2922" s="481"/>
    </row>
    <row r="2923" spans="1:7" ht="19.899999999999999" customHeight="1" x14ac:dyDescent="0.2">
      <c r="A2923" s="541" t="str">
        <f>B2857</f>
        <v/>
      </c>
      <c r="B2923" s="538">
        <f ca="1">C2857</f>
        <v>0</v>
      </c>
      <c r="C2923" s="426"/>
      <c r="D2923" s="426" t="s">
        <v>1704</v>
      </c>
      <c r="E2923" s="539"/>
      <c r="F2923" s="540" t="str">
        <f ca="1">"$/"&amp;G2857</f>
        <v>$/0</v>
      </c>
      <c r="G2923" s="490">
        <f>SUBTOTAL(9,G2880:G2922)</f>
        <v>0</v>
      </c>
    </row>
    <row r="2924" spans="1:7" ht="19.899999999999999" customHeight="1" x14ac:dyDescent="0.2">
      <c r="A2924" s="486"/>
      <c r="B2924" s="487"/>
      <c r="C2924" s="488"/>
      <c r="D2924" s="488" t="s">
        <v>1900</v>
      </c>
      <c r="E2924" s="489"/>
      <c r="F2924" s="542" t="str">
        <f ca="1">"$/"&amp;G2857</f>
        <v>$/0</v>
      </c>
      <c r="G2924" s="490">
        <f>ROUND(G2923*Coeficiente_Paso,2)</f>
        <v>0</v>
      </c>
    </row>
    <row r="2925" spans="1:7" ht="19.899999999999999" customHeight="1" x14ac:dyDescent="0.2">
      <c r="A2925" s="139"/>
      <c r="B2925" s="139"/>
      <c r="C2925" s="139"/>
      <c r="D2925" s="139"/>
      <c r="E2925" s="139"/>
      <c r="F2925" s="139"/>
      <c r="G2925" s="139"/>
    </row>
    <row r="2926" spans="1:7" ht="19.899999999999999" customHeight="1" x14ac:dyDescent="0.2">
      <c r="A2926" s="730" t="s">
        <v>31</v>
      </c>
      <c r="B2926" s="731"/>
      <c r="C2926" s="731"/>
      <c r="D2926" s="731"/>
      <c r="E2926" s="731"/>
      <c r="F2926" s="731"/>
      <c r="G2926" s="732"/>
    </row>
    <row r="2927" spans="1:7" ht="19.899999999999999" customHeight="1" x14ac:dyDescent="0.2">
      <c r="A2927" s="469" t="s">
        <v>711</v>
      </c>
      <c r="B2927" s="420" t="str">
        <f>Comitente</f>
        <v>DEPARTAMENTO DE HIDRAULICA</v>
      </c>
      <c r="C2927" s="421"/>
      <c r="D2927" s="422"/>
      <c r="E2927" s="422"/>
      <c r="F2927" s="423"/>
      <c r="G2927" s="470"/>
    </row>
    <row r="2928" spans="1:7" ht="19.899999999999999" customHeight="1" x14ac:dyDescent="0.2">
      <c r="A2928" s="469" t="s">
        <v>712</v>
      </c>
      <c r="B2928" s="420">
        <f>Contratista</f>
        <v>0</v>
      </c>
      <c r="C2928" s="424"/>
      <c r="D2928" s="424"/>
      <c r="E2928" s="424"/>
      <c r="F2928" s="420"/>
      <c r="G2928" s="471"/>
    </row>
    <row r="2929" spans="1:7" ht="19.899999999999999" customHeight="1" x14ac:dyDescent="0.2">
      <c r="A2929" s="469" t="s">
        <v>21</v>
      </c>
      <c r="B2929" s="420" t="str">
        <f>Obra</f>
        <v>Encamisado Parcial del Canal de Calle América</v>
      </c>
      <c r="C2929" s="424"/>
      <c r="D2929" s="424"/>
      <c r="E2929" s="424"/>
      <c r="F2929" s="420" t="s">
        <v>32</v>
      </c>
      <c r="G2929" s="471" t="str">
        <f>Fecha_Base</f>
        <v>X/X/2023</v>
      </c>
    </row>
    <row r="2930" spans="1:7" ht="19.899999999999999" customHeight="1" x14ac:dyDescent="0.2">
      <c r="A2930" s="472" t="s">
        <v>710</v>
      </c>
      <c r="B2930" s="425" t="str">
        <f>Ubicación</f>
        <v>Departamento Rawson</v>
      </c>
      <c r="C2930" s="425"/>
      <c r="D2930" s="426"/>
      <c r="E2930" s="427"/>
      <c r="F2930" s="428"/>
      <c r="G2930" s="473"/>
    </row>
    <row r="2931" spans="1:7" ht="19.899999999999999" customHeight="1" x14ac:dyDescent="0.2">
      <c r="A2931" s="472" t="s">
        <v>33</v>
      </c>
      <c r="B2931" s="429" t="str">
        <f>IFERROR(VALUE(LEFT(B2932,FIND(".",B2932)-1)),"")</f>
        <v/>
      </c>
      <c r="C2931" s="139">
        <f ca="1">IFERROR(VLOOKUP(B2931,T_Computo_Presupuesto,2,FALSE),0)</f>
        <v>0</v>
      </c>
      <c r="D2931" s="139"/>
      <c r="E2931" s="427"/>
      <c r="F2931" s="428"/>
      <c r="G2931" s="473"/>
    </row>
    <row r="2932" spans="1:7" ht="19.899999999999999" customHeight="1" x14ac:dyDescent="0.2">
      <c r="A2932" s="472" t="s">
        <v>22</v>
      </c>
      <c r="B2932" s="430" t="str">
        <f>IFERROR(VLOOKUP(COUNTIF($A$1:A2932,"ANALISIS DE PRECIOS"),T_NumeroItem,2,FALSE),"")</f>
        <v/>
      </c>
      <c r="C2932" s="733">
        <f ca="1">IFERROR(VLOOKUP(B2932,T_Computo_Presupuesto,2,FALSE),0)</f>
        <v>0</v>
      </c>
      <c r="D2932" s="733"/>
      <c r="E2932" s="733"/>
      <c r="F2932" s="425" t="s">
        <v>23</v>
      </c>
      <c r="G2932" s="474">
        <f ca="1">IFERROR(VLOOKUP(B2932,T_Computo_Presupuesto,4,FALSE),0)</f>
        <v>0</v>
      </c>
    </row>
    <row r="2933" spans="1:7" ht="19.899999999999999" customHeight="1" x14ac:dyDescent="0.2">
      <c r="A2933" s="472"/>
      <c r="B2933" s="425"/>
      <c r="C2933" s="139"/>
      <c r="D2933" s="426"/>
      <c r="E2933" s="427"/>
      <c r="F2933" s="139"/>
      <c r="G2933" s="475"/>
    </row>
    <row r="2934" spans="1:7" ht="19.899999999999999" customHeight="1" x14ac:dyDescent="0.2">
      <c r="A2934" s="476"/>
      <c r="B2934" s="431"/>
      <c r="C2934" s="432" t="s">
        <v>967</v>
      </c>
      <c r="D2934" s="431"/>
      <c r="E2934" s="431"/>
      <c r="F2934" s="431"/>
      <c r="G2934" s="477"/>
    </row>
    <row r="2935" spans="1:7" ht="19.899999999999999" customHeight="1" x14ac:dyDescent="0.2">
      <c r="A2935" s="472"/>
      <c r="B2935" s="433"/>
      <c r="C2935" s="139"/>
      <c r="D2935" s="426"/>
      <c r="E2935" s="427"/>
      <c r="F2935" s="425"/>
      <c r="G2935" s="474"/>
    </row>
    <row r="2936" spans="1:7" ht="19.899999999999999" customHeight="1" x14ac:dyDescent="0.2">
      <c r="A2936" s="472"/>
      <c r="B2936" s="433"/>
      <c r="C2936" s="434" t="s">
        <v>968</v>
      </c>
      <c r="D2936" s="435" t="s">
        <v>24</v>
      </c>
      <c r="E2936" s="435" t="s">
        <v>969</v>
      </c>
      <c r="F2936" s="435" t="s">
        <v>970</v>
      </c>
      <c r="G2936" s="434" t="s">
        <v>971</v>
      </c>
    </row>
    <row r="2937" spans="1:7" ht="19.899999999999999" customHeight="1" x14ac:dyDescent="0.2">
      <c r="A2937" s="472"/>
      <c r="B2937" s="433"/>
      <c r="C2937" s="436">
        <f>+C2712</f>
        <v>0</v>
      </c>
      <c r="D2937" s="436">
        <f>+D2712</f>
        <v>0</v>
      </c>
      <c r="E2937" s="438">
        <f t="shared" ref="E2937:E2946" si="1006">IFERROR(VLOOKUP(C2937,T_Equipos,4,FALSE),0)</f>
        <v>0</v>
      </c>
      <c r="F2937" s="439">
        <f t="shared" ref="F2937:F2946" si="1007">IFERROR(VLOOKUP(C2937,T_Equipos,5,FALSE),0)</f>
        <v>0</v>
      </c>
      <c r="G2937" s="439">
        <f>ROUND(D2937*F2937,2)</f>
        <v>0</v>
      </c>
    </row>
    <row r="2938" spans="1:7" ht="19.899999999999999" customHeight="1" x14ac:dyDescent="0.2">
      <c r="A2938" s="472"/>
      <c r="B2938" s="433"/>
      <c r="C2938" s="436">
        <f t="shared" ref="C2938:D2938" si="1008">+C2713</f>
        <v>0</v>
      </c>
      <c r="D2938" s="436">
        <f t="shared" si="1008"/>
        <v>0</v>
      </c>
      <c r="E2938" s="438">
        <f t="shared" si="1006"/>
        <v>0</v>
      </c>
      <c r="F2938" s="439">
        <f t="shared" si="1007"/>
        <v>0</v>
      </c>
      <c r="G2938" s="439">
        <f>ROUND(D2938*F2938,2)</f>
        <v>0</v>
      </c>
    </row>
    <row r="2939" spans="1:7" ht="19.899999999999999" customHeight="1" x14ac:dyDescent="0.2">
      <c r="A2939" s="472"/>
      <c r="B2939" s="433"/>
      <c r="C2939" s="436">
        <f t="shared" ref="C2939" si="1009">+C2714</f>
        <v>0</v>
      </c>
      <c r="D2939" s="436"/>
      <c r="E2939" s="438">
        <f t="shared" si="1006"/>
        <v>0</v>
      </c>
      <c r="F2939" s="439">
        <f t="shared" si="1007"/>
        <v>0</v>
      </c>
      <c r="G2939" s="439">
        <f>ROUND(D2939*F2939,2)</f>
        <v>0</v>
      </c>
    </row>
    <row r="2940" spans="1:7" ht="19.899999999999999" customHeight="1" x14ac:dyDescent="0.2">
      <c r="A2940" s="472"/>
      <c r="B2940" s="433"/>
      <c r="C2940" s="436">
        <f t="shared" ref="C2940" si="1010">+C2715</f>
        <v>0</v>
      </c>
      <c r="D2940" s="436"/>
      <c r="E2940" s="438">
        <f t="shared" si="1006"/>
        <v>0</v>
      </c>
      <c r="F2940" s="439">
        <f t="shared" si="1007"/>
        <v>0</v>
      </c>
      <c r="G2940" s="439">
        <f>ROUND(D2940*F2940,2)</f>
        <v>0</v>
      </c>
    </row>
    <row r="2941" spans="1:7" ht="19.899999999999999" customHeight="1" x14ac:dyDescent="0.2">
      <c r="A2941" s="472"/>
      <c r="B2941" s="433"/>
      <c r="C2941" s="436">
        <f t="shared" ref="C2941" si="1011">+C2716</f>
        <v>0</v>
      </c>
      <c r="D2941" s="436"/>
      <c r="E2941" s="438">
        <f t="shared" si="1006"/>
        <v>0</v>
      </c>
      <c r="F2941" s="439">
        <f t="shared" si="1007"/>
        <v>0</v>
      </c>
      <c r="G2941" s="439">
        <f t="shared" ref="G2941:G2946" si="1012">ROUND(D2941*F2941,2)</f>
        <v>0</v>
      </c>
    </row>
    <row r="2942" spans="1:7" ht="19.899999999999999" customHeight="1" x14ac:dyDescent="0.2">
      <c r="A2942" s="472"/>
      <c r="B2942" s="433"/>
      <c r="C2942" s="436">
        <f t="shared" ref="C2942" si="1013">+C2717</f>
        <v>0</v>
      </c>
      <c r="D2942" s="436"/>
      <c r="E2942" s="438">
        <f t="shared" si="1006"/>
        <v>0</v>
      </c>
      <c r="F2942" s="439">
        <f t="shared" si="1007"/>
        <v>0</v>
      </c>
      <c r="G2942" s="439">
        <f t="shared" si="1012"/>
        <v>0</v>
      </c>
    </row>
    <row r="2943" spans="1:7" ht="19.899999999999999" customHeight="1" x14ac:dyDescent="0.2">
      <c r="A2943" s="472"/>
      <c r="B2943" s="433"/>
      <c r="C2943" s="436">
        <f t="shared" ref="C2943:D2943" si="1014">+C2718</f>
        <v>0</v>
      </c>
      <c r="D2943" s="436">
        <f t="shared" si="1014"/>
        <v>0</v>
      </c>
      <c r="E2943" s="438">
        <f t="shared" si="1006"/>
        <v>0</v>
      </c>
      <c r="F2943" s="439">
        <f t="shared" si="1007"/>
        <v>0</v>
      </c>
      <c r="G2943" s="439">
        <f t="shared" si="1012"/>
        <v>0</v>
      </c>
    </row>
    <row r="2944" spans="1:7" ht="19.899999999999999" customHeight="1" x14ac:dyDescent="0.2">
      <c r="A2944" s="472"/>
      <c r="B2944" s="433"/>
      <c r="C2944" s="436">
        <f t="shared" ref="C2944:D2944" si="1015">+C2719</f>
        <v>0</v>
      </c>
      <c r="D2944" s="436">
        <f t="shared" si="1015"/>
        <v>0</v>
      </c>
      <c r="E2944" s="438">
        <f t="shared" si="1006"/>
        <v>0</v>
      </c>
      <c r="F2944" s="439">
        <f t="shared" si="1007"/>
        <v>0</v>
      </c>
      <c r="G2944" s="439">
        <f t="shared" si="1012"/>
        <v>0</v>
      </c>
    </row>
    <row r="2945" spans="1:7" ht="19.899999999999999" customHeight="1" x14ac:dyDescent="0.2">
      <c r="A2945" s="472"/>
      <c r="B2945" s="433"/>
      <c r="C2945" s="436"/>
      <c r="D2945" s="437"/>
      <c r="E2945" s="438">
        <f t="shared" si="1006"/>
        <v>0</v>
      </c>
      <c r="F2945" s="439">
        <f t="shared" si="1007"/>
        <v>0</v>
      </c>
      <c r="G2945" s="439">
        <f t="shared" si="1012"/>
        <v>0</v>
      </c>
    </row>
    <row r="2946" spans="1:7" ht="19.899999999999999" customHeight="1" x14ac:dyDescent="0.2">
      <c r="A2946" s="472"/>
      <c r="B2946" s="433"/>
      <c r="C2946" s="436"/>
      <c r="D2946" s="437"/>
      <c r="E2946" s="438">
        <f t="shared" si="1006"/>
        <v>0</v>
      </c>
      <c r="F2946" s="439">
        <f t="shared" si="1007"/>
        <v>0</v>
      </c>
      <c r="G2946" s="439">
        <f t="shared" si="1012"/>
        <v>0</v>
      </c>
    </row>
    <row r="2947" spans="1:7" ht="19.899999999999999" customHeight="1" x14ac:dyDescent="0.2">
      <c r="A2947" s="472"/>
      <c r="B2947" s="433"/>
      <c r="C2947" s="139"/>
      <c r="D2947" s="139"/>
      <c r="E2947" s="440"/>
      <c r="F2947" s="425"/>
      <c r="G2947" s="474"/>
    </row>
    <row r="2948" spans="1:7" ht="19.899999999999999" customHeight="1" x14ac:dyDescent="0.2">
      <c r="A2948" s="472"/>
      <c r="B2948" s="139"/>
      <c r="C2948" s="422" t="s">
        <v>972</v>
      </c>
      <c r="D2948" s="425" t="s">
        <v>969</v>
      </c>
      <c r="E2948" s="491">
        <f>SUMPRODUCT(D2937:D2946,E2937:E2946)</f>
        <v>0</v>
      </c>
      <c r="F2948" s="425" t="s">
        <v>973</v>
      </c>
      <c r="G2948" s="492">
        <f>SUM(G2937:G2946)</f>
        <v>0</v>
      </c>
    </row>
    <row r="2949" spans="1:7" ht="19.899999999999999" customHeight="1" x14ac:dyDescent="0.2">
      <c r="A2949" s="472"/>
      <c r="B2949" s="433"/>
      <c r="C2949" s="441"/>
      <c r="D2949" s="440"/>
      <c r="E2949" s="427"/>
      <c r="F2949" s="425"/>
      <c r="G2949" s="478"/>
    </row>
    <row r="2950" spans="1:7" ht="19.899999999999999" customHeight="1" x14ac:dyDescent="0.2">
      <c r="A2950" s="479"/>
      <c r="B2950" s="433"/>
      <c r="C2950" s="425" t="s">
        <v>974</v>
      </c>
      <c r="D2950" s="442">
        <f>IFERROR(VLOOKUP(COUNTIF($A$1:A2950,"ANALISIS DE PRECIOS"),T_Rendimiento_Equipo,5,FALSE),0)</f>
        <v>0</v>
      </c>
      <c r="E2950" s="443" t="str">
        <f ca="1">G2932&amp;"/día"</f>
        <v>0/día</v>
      </c>
      <c r="F2950" s="419"/>
      <c r="G2950" s="474"/>
    </row>
    <row r="2951" spans="1:7" ht="19.899999999999999" customHeight="1" x14ac:dyDescent="0.2">
      <c r="A2951" s="472"/>
      <c r="B2951" s="433"/>
      <c r="C2951" s="139"/>
      <c r="D2951" s="426"/>
      <c r="E2951" s="427"/>
      <c r="F2951" s="425"/>
      <c r="G2951" s="474"/>
    </row>
    <row r="2952" spans="1:7" ht="19.899999999999999" customHeight="1" x14ac:dyDescent="0.2">
      <c r="A2952" s="720" t="s">
        <v>576</v>
      </c>
      <c r="B2952" s="721"/>
      <c r="C2952" s="722" t="s">
        <v>0</v>
      </c>
      <c r="D2952" s="734" t="s">
        <v>1724</v>
      </c>
      <c r="E2952" s="734" t="s">
        <v>1723</v>
      </c>
      <c r="F2952" s="726" t="s">
        <v>975</v>
      </c>
      <c r="G2952" s="728" t="s">
        <v>26</v>
      </c>
    </row>
    <row r="2953" spans="1:7" ht="19.899999999999999" customHeight="1" x14ac:dyDescent="0.2">
      <c r="A2953" s="444" t="s">
        <v>577</v>
      </c>
      <c r="B2953" s="444" t="s">
        <v>578</v>
      </c>
      <c r="C2953" s="723"/>
      <c r="D2953" s="735"/>
      <c r="E2953" s="725"/>
      <c r="F2953" s="727"/>
      <c r="G2953" s="729"/>
    </row>
    <row r="2954" spans="1:7" ht="19.899999999999999" customHeight="1" x14ac:dyDescent="0.2">
      <c r="A2954" s="480"/>
      <c r="B2954" s="139"/>
      <c r="C2954" s="422" t="s">
        <v>976</v>
      </c>
      <c r="D2954" s="427"/>
      <c r="E2954" s="427"/>
      <c r="F2954" s="139"/>
      <c r="G2954" s="481"/>
    </row>
    <row r="2955" spans="1:7" ht="19.899999999999999" customHeight="1" x14ac:dyDescent="0.2">
      <c r="A2955" s="482">
        <f t="shared" ref="A2955:A2963" si="1016">IFERROR(VLOOKUP(C2955,T_Insumos,4,FALSE),0)</f>
        <v>0</v>
      </c>
      <c r="B2955" s="445">
        <f t="shared" ref="B2955:B2963" si="1017">IFERROR(VLOOKUP(C2955,T_Insumos,5,FALSE),0)</f>
        <v>0</v>
      </c>
      <c r="C2955" s="436">
        <f>+C2655</f>
        <v>0</v>
      </c>
      <c r="D2955" s="446">
        <f t="shared" ref="D2955:D2963" si="1018">IFERROR(VLOOKUP(C2955,T_Insumos,3,FALSE),0)</f>
        <v>0</v>
      </c>
      <c r="E2955" s="439">
        <f>D2955*$G$323</f>
        <v>0</v>
      </c>
      <c r="F2955" s="442">
        <f>IF(C2955="",0,IFERROR(VLOOKUP(COUNTIF($A$1:A2955,"ANALISIS DE PRECIOS"),T_Rendimiento_Equipo,5,FALSE),0))</f>
        <v>0</v>
      </c>
      <c r="G2955" s="439">
        <f>IFERROR(ROUND(E2955/F2955,2),0)</f>
        <v>0</v>
      </c>
    </row>
    <row r="2956" spans="1:7" ht="19.899999999999999" customHeight="1" x14ac:dyDescent="0.2">
      <c r="A2956" s="482">
        <f t="shared" si="1016"/>
        <v>0</v>
      </c>
      <c r="B2956" s="445">
        <f t="shared" si="1017"/>
        <v>0</v>
      </c>
      <c r="C2956" s="436">
        <f t="shared" ref="C2956:C2958" si="1019">+C2656</f>
        <v>0</v>
      </c>
      <c r="D2956" s="446">
        <f t="shared" si="1018"/>
        <v>0</v>
      </c>
      <c r="E2956" s="439">
        <f t="shared" ref="E2956:E2957" si="1020">D2956*$G$323</f>
        <v>0</v>
      </c>
      <c r="F2956" s="442">
        <f>IF(C2956="",0,IFERROR(VLOOKUP(COUNTIF($A$1:A2956,"ANALISIS DE PRECIOS"),T_Rendimiento_Equipo,5,FALSE),0))</f>
        <v>0</v>
      </c>
      <c r="G2956" s="439">
        <f t="shared" ref="G2956:G2963" si="1021">IFERROR(ROUND(E2956/F2956,2),0)</f>
        <v>0</v>
      </c>
    </row>
    <row r="2957" spans="1:7" ht="19.899999999999999" customHeight="1" x14ac:dyDescent="0.2">
      <c r="A2957" s="482">
        <f t="shared" si="1016"/>
        <v>0</v>
      </c>
      <c r="B2957" s="445">
        <f t="shared" si="1017"/>
        <v>0</v>
      </c>
      <c r="C2957" s="436">
        <f t="shared" si="1019"/>
        <v>0</v>
      </c>
      <c r="D2957" s="446">
        <f t="shared" si="1018"/>
        <v>0</v>
      </c>
      <c r="E2957" s="439">
        <f t="shared" si="1020"/>
        <v>0</v>
      </c>
      <c r="F2957" s="442">
        <f>IF(C2957="",0,IFERROR(VLOOKUP(COUNTIF($A$1:A2957,"ANALISIS DE PRECIOS"),T_Rendimiento_Equipo,5,FALSE),0))</f>
        <v>0</v>
      </c>
      <c r="G2957" s="439">
        <f t="shared" si="1021"/>
        <v>0</v>
      </c>
    </row>
    <row r="2958" spans="1:7" ht="19.899999999999999" customHeight="1" x14ac:dyDescent="0.2">
      <c r="A2958" s="482">
        <f t="shared" si="1016"/>
        <v>0</v>
      </c>
      <c r="B2958" s="445">
        <f t="shared" si="1017"/>
        <v>0</v>
      </c>
      <c r="C2958" s="436">
        <f t="shared" si="1019"/>
        <v>0</v>
      </c>
      <c r="D2958" s="446">
        <f t="shared" si="1018"/>
        <v>0</v>
      </c>
      <c r="E2958" s="439">
        <f>D2958*$E$323</f>
        <v>0</v>
      </c>
      <c r="F2958" s="442">
        <f>IF(C2958="",0,IFERROR(VLOOKUP(COUNTIF($A$1:A2958,"ANALISIS DE PRECIOS"),T_Rendimiento_Equipo,5,FALSE),0))</f>
        <v>0</v>
      </c>
      <c r="G2958" s="439">
        <f t="shared" si="1021"/>
        <v>0</v>
      </c>
    </row>
    <row r="2959" spans="1:7" ht="19.899999999999999" customHeight="1" x14ac:dyDescent="0.2">
      <c r="A2959" s="482">
        <f t="shared" si="1016"/>
        <v>0</v>
      </c>
      <c r="B2959" s="445">
        <f t="shared" si="1017"/>
        <v>0</v>
      </c>
      <c r="C2959" s="447"/>
      <c r="D2959" s="446">
        <f t="shared" si="1018"/>
        <v>0</v>
      </c>
      <c r="E2959" s="439"/>
      <c r="F2959" s="442">
        <f>IF(C2959="",0,IFERROR(VLOOKUP(COUNTIF($A$1:A2959,"ANALISIS DE PRECIOS"),T_Rendimiento_Equipo,5,FALSE),0))</f>
        <v>0</v>
      </c>
      <c r="G2959" s="439">
        <f t="shared" si="1021"/>
        <v>0</v>
      </c>
    </row>
    <row r="2960" spans="1:7" ht="19.899999999999999" customHeight="1" x14ac:dyDescent="0.2">
      <c r="A2960" s="482">
        <f t="shared" si="1016"/>
        <v>0</v>
      </c>
      <c r="B2960" s="445">
        <f t="shared" si="1017"/>
        <v>0</v>
      </c>
      <c r="C2960" s="447"/>
      <c r="D2960" s="446">
        <f t="shared" si="1018"/>
        <v>0</v>
      </c>
      <c r="E2960" s="439"/>
      <c r="F2960" s="442">
        <f>IF(C2960="",0,IFERROR(VLOOKUP(COUNTIF($A$1:A2960,"ANALISIS DE PRECIOS"),T_Rendimiento_Equipo,5,FALSE),0))</f>
        <v>0</v>
      </c>
      <c r="G2960" s="439">
        <f t="shared" si="1021"/>
        <v>0</v>
      </c>
    </row>
    <row r="2961" spans="1:7" ht="19.899999999999999" customHeight="1" x14ac:dyDescent="0.2">
      <c r="A2961" s="482">
        <f t="shared" si="1016"/>
        <v>0</v>
      </c>
      <c r="B2961" s="445">
        <f t="shared" si="1017"/>
        <v>0</v>
      </c>
      <c r="C2961" s="447"/>
      <c r="D2961" s="446">
        <f t="shared" si="1018"/>
        <v>0</v>
      </c>
      <c r="E2961" s="439"/>
      <c r="F2961" s="442">
        <f>IF(C2961="",0,IFERROR(VLOOKUP(COUNTIF($A$1:A2961,"ANALISIS DE PRECIOS"),T_Rendimiento_Equipo,5,FALSE),0))</f>
        <v>0</v>
      </c>
      <c r="G2961" s="439">
        <f t="shared" si="1021"/>
        <v>0</v>
      </c>
    </row>
    <row r="2962" spans="1:7" ht="19.899999999999999" customHeight="1" x14ac:dyDescent="0.2">
      <c r="A2962" s="482">
        <f t="shared" si="1016"/>
        <v>0</v>
      </c>
      <c r="B2962" s="445">
        <f t="shared" si="1017"/>
        <v>0</v>
      </c>
      <c r="C2962" s="447"/>
      <c r="D2962" s="446">
        <f t="shared" si="1018"/>
        <v>0</v>
      </c>
      <c r="E2962" s="439"/>
      <c r="F2962" s="442">
        <f>IF(C2962="",0,IFERROR(VLOOKUP(COUNTIF($A$1:A2962,"ANALISIS DE PRECIOS"),T_Rendimiento_Equipo,5,FALSE),0))</f>
        <v>0</v>
      </c>
      <c r="G2962" s="439">
        <f t="shared" si="1021"/>
        <v>0</v>
      </c>
    </row>
    <row r="2963" spans="1:7" ht="19.899999999999999" customHeight="1" x14ac:dyDescent="0.2">
      <c r="A2963" s="482">
        <f t="shared" si="1016"/>
        <v>0</v>
      </c>
      <c r="B2963" s="445">
        <f t="shared" si="1017"/>
        <v>0</v>
      </c>
      <c r="C2963" s="436"/>
      <c r="D2963" s="446">
        <f t="shared" si="1018"/>
        <v>0</v>
      </c>
      <c r="E2963" s="439"/>
      <c r="F2963" s="442">
        <f>IF(C2963="",0,IFERROR(VLOOKUP(COUNTIF($A$1:A2963,"ANALISIS DE PRECIOS"),T_Rendimiento_Equipo,5,FALSE),0))</f>
        <v>0</v>
      </c>
      <c r="G2963" s="439">
        <f t="shared" si="1021"/>
        <v>0</v>
      </c>
    </row>
    <row r="2964" spans="1:7" ht="19.899999999999999" customHeight="1" x14ac:dyDescent="0.2">
      <c r="A2964" s="483"/>
      <c r="B2964" s="426"/>
      <c r="C2964" s="139"/>
      <c r="D2964" s="426"/>
      <c r="E2964" s="427"/>
      <c r="F2964" s="448" t="s">
        <v>27</v>
      </c>
      <c r="G2964" s="484">
        <f>SUBTOTAL(9,G2955:G2963)</f>
        <v>0</v>
      </c>
    </row>
    <row r="2965" spans="1:7" ht="19.899999999999999" customHeight="1" x14ac:dyDescent="0.2">
      <c r="A2965" s="480"/>
      <c r="B2965" s="139"/>
      <c r="C2965" s="422" t="s">
        <v>713</v>
      </c>
      <c r="D2965" s="426"/>
      <c r="E2965" s="427"/>
      <c r="F2965" s="428"/>
      <c r="G2965" s="481"/>
    </row>
    <row r="2966" spans="1:7" ht="19.899999999999999" customHeight="1" x14ac:dyDescent="0.2">
      <c r="A2966" s="720" t="s">
        <v>576</v>
      </c>
      <c r="B2966" s="721"/>
      <c r="C2966" s="722" t="s">
        <v>0</v>
      </c>
      <c r="D2966" s="724" t="s">
        <v>24</v>
      </c>
      <c r="E2966" s="724" t="s">
        <v>1964</v>
      </c>
      <c r="F2966" s="726" t="s">
        <v>975</v>
      </c>
      <c r="G2966" s="728" t="s">
        <v>26</v>
      </c>
    </row>
    <row r="2967" spans="1:7" ht="19.899999999999999" customHeight="1" x14ac:dyDescent="0.2">
      <c r="A2967" s="444" t="s">
        <v>577</v>
      </c>
      <c r="B2967" s="444" t="s">
        <v>578</v>
      </c>
      <c r="C2967" s="723"/>
      <c r="D2967" s="725"/>
      <c r="E2967" s="725"/>
      <c r="F2967" s="727"/>
      <c r="G2967" s="729"/>
    </row>
    <row r="2968" spans="1:7" ht="19.899999999999999" customHeight="1" x14ac:dyDescent="0.2">
      <c r="A2968" s="482">
        <f t="shared" ref="A2968:A2974" si="1022">IFERROR(VLOOKUP(C2968,T_Insumos,4,FALSE),0)</f>
        <v>0</v>
      </c>
      <c r="B2968" s="445">
        <f t="shared" ref="B2968:B2974" si="1023">IFERROR(VLOOKUP(C2968,T_Insumos,5,FALSE),0)</f>
        <v>0</v>
      </c>
      <c r="C2968" s="436">
        <f t="shared" ref="C2968:C2971" si="1024">+C2743</f>
        <v>0</v>
      </c>
      <c r="D2968" s="442"/>
      <c r="E2968" s="439">
        <f t="shared" ref="E2968:E2974" si="1025">IFERROR(VLOOKUP(C2968,T_Insumos,3,FALSE),0)</f>
        <v>0</v>
      </c>
      <c r="F2968" s="442">
        <f>IF(C2968="",0,IFERROR(VLOOKUP(COUNTIF($A$1:A2968,"ANALISIS DE PRECIOS"),T_Rendimiento_Equipo,5,FALSE),0))</f>
        <v>0</v>
      </c>
      <c r="G2968" s="439">
        <f>IFERROR(ROUND(D2968*E2968/F2968,2),0)</f>
        <v>0</v>
      </c>
    </row>
    <row r="2969" spans="1:7" ht="19.899999999999999" customHeight="1" x14ac:dyDescent="0.2">
      <c r="A2969" s="482">
        <f t="shared" si="1022"/>
        <v>0</v>
      </c>
      <c r="B2969" s="445">
        <f t="shared" si="1023"/>
        <v>0</v>
      </c>
      <c r="C2969" s="436">
        <f t="shared" si="1024"/>
        <v>0</v>
      </c>
      <c r="D2969" s="442">
        <v>1</v>
      </c>
      <c r="E2969" s="439">
        <f t="shared" si="1025"/>
        <v>0</v>
      </c>
      <c r="F2969" s="442">
        <f>IF(C2969="",0,IFERROR(VLOOKUP(COUNTIF($A$1:A2969,"ANALISIS DE PRECIOS"),T_Rendimiento_Equipo,5,FALSE),0))</f>
        <v>0</v>
      </c>
      <c r="G2969" s="439">
        <f>IFERROR(ROUND(D2969*E2969/F2969,2),0)</f>
        <v>0</v>
      </c>
    </row>
    <row r="2970" spans="1:7" ht="19.899999999999999" customHeight="1" x14ac:dyDescent="0.2">
      <c r="A2970" s="482">
        <f t="shared" si="1022"/>
        <v>0</v>
      </c>
      <c r="B2970" s="445">
        <f t="shared" si="1023"/>
        <v>0</v>
      </c>
      <c r="C2970" s="436">
        <f t="shared" si="1024"/>
        <v>0</v>
      </c>
      <c r="D2970" s="442"/>
      <c r="E2970" s="439">
        <f t="shared" si="1025"/>
        <v>0</v>
      </c>
      <c r="F2970" s="442">
        <f>IF(C2970="",0,IFERROR(VLOOKUP(COUNTIF($A$1:A2970,"ANALISIS DE PRECIOS"),T_Rendimiento_Equipo,5,FALSE),0))</f>
        <v>0</v>
      </c>
      <c r="G2970" s="439">
        <f t="shared" ref="G2970:G2974" si="1026">IFERROR(ROUND(D2970*E2970/F2970,2),0)</f>
        <v>0</v>
      </c>
    </row>
    <row r="2971" spans="1:7" ht="19.899999999999999" customHeight="1" x14ac:dyDescent="0.2">
      <c r="A2971" s="482">
        <f t="shared" si="1022"/>
        <v>0</v>
      </c>
      <c r="B2971" s="445">
        <f t="shared" si="1023"/>
        <v>0</v>
      </c>
      <c r="C2971" s="436">
        <f t="shared" si="1024"/>
        <v>0</v>
      </c>
      <c r="D2971" s="442">
        <v>2</v>
      </c>
      <c r="E2971" s="439">
        <f t="shared" si="1025"/>
        <v>0</v>
      </c>
      <c r="F2971" s="442">
        <f>IF(C2971="",0,IFERROR(VLOOKUP(COUNTIF($A$1:A2971,"ANALISIS DE PRECIOS"),T_Rendimiento_Equipo,5,FALSE),0))</f>
        <v>0</v>
      </c>
      <c r="G2971" s="439">
        <f t="shared" si="1026"/>
        <v>0</v>
      </c>
    </row>
    <row r="2972" spans="1:7" ht="19.899999999999999" customHeight="1" x14ac:dyDescent="0.2">
      <c r="A2972" s="482">
        <f t="shared" si="1022"/>
        <v>0</v>
      </c>
      <c r="B2972" s="445">
        <f t="shared" si="1023"/>
        <v>0</v>
      </c>
      <c r="C2972" s="436"/>
      <c r="D2972" s="442"/>
      <c r="E2972" s="439">
        <f t="shared" si="1025"/>
        <v>0</v>
      </c>
      <c r="F2972" s="442">
        <f>IF(C2972="",0,IFERROR(VLOOKUP(COUNTIF($A$1:A2972,"ANALISIS DE PRECIOS"),T_Rendimiento_Equipo,5,FALSE),0))</f>
        <v>0</v>
      </c>
      <c r="G2972" s="439">
        <f t="shared" si="1026"/>
        <v>0</v>
      </c>
    </row>
    <row r="2973" spans="1:7" ht="19.899999999999999" customHeight="1" x14ac:dyDescent="0.2">
      <c r="A2973" s="482">
        <f t="shared" si="1022"/>
        <v>0</v>
      </c>
      <c r="B2973" s="445">
        <f t="shared" si="1023"/>
        <v>0</v>
      </c>
      <c r="C2973" s="436"/>
      <c r="D2973" s="450"/>
      <c r="E2973" s="439">
        <f t="shared" si="1025"/>
        <v>0</v>
      </c>
      <c r="F2973" s="442">
        <f>IF(C2973="",0,IFERROR(VLOOKUP(COUNTIF($A$1:A2973,"ANALISIS DE PRECIOS"),T_Rendimiento_Equipo,5,FALSE),0))</f>
        <v>0</v>
      </c>
      <c r="G2973" s="439">
        <f t="shared" si="1026"/>
        <v>0</v>
      </c>
    </row>
    <row r="2974" spans="1:7" ht="19.899999999999999" customHeight="1" x14ac:dyDescent="0.2">
      <c r="A2974" s="482">
        <f t="shared" si="1022"/>
        <v>0</v>
      </c>
      <c r="B2974" s="445">
        <f t="shared" si="1023"/>
        <v>0</v>
      </c>
      <c r="C2974" s="445"/>
      <c r="D2974" s="451"/>
      <c r="E2974" s="439">
        <f t="shared" si="1025"/>
        <v>0</v>
      </c>
      <c r="F2974" s="442">
        <f>IF(C2974="",0,IFERROR(VLOOKUP(COUNTIF($A$1:A2974,"ANALISIS DE PRECIOS"),T_Rendimiento_Equipo,5,FALSE),0))</f>
        <v>0</v>
      </c>
      <c r="G2974" s="439">
        <f t="shared" si="1026"/>
        <v>0</v>
      </c>
    </row>
    <row r="2975" spans="1:7" ht="19.899999999999999" customHeight="1" x14ac:dyDescent="0.2">
      <c r="A2975" s="483"/>
      <c r="B2975" s="426"/>
      <c r="C2975" s="139"/>
      <c r="D2975" s="426"/>
      <c r="E2975" s="427"/>
      <c r="F2975" s="448" t="s">
        <v>28</v>
      </c>
      <c r="G2975" s="485">
        <f>SUBTOTAL(9,G2968:G2974)</f>
        <v>0</v>
      </c>
    </row>
    <row r="2976" spans="1:7" ht="19.899999999999999" customHeight="1" x14ac:dyDescent="0.2">
      <c r="A2976" s="480"/>
      <c r="B2976" s="139"/>
      <c r="C2976" s="422" t="s">
        <v>982</v>
      </c>
      <c r="D2976" s="426"/>
      <c r="E2976" s="427"/>
      <c r="F2976" s="428"/>
      <c r="G2976" s="481"/>
    </row>
    <row r="2977" spans="1:7" ht="19.899999999999999" customHeight="1" x14ac:dyDescent="0.2">
      <c r="A2977" s="720" t="s">
        <v>576</v>
      </c>
      <c r="B2977" s="721"/>
      <c r="C2977" s="722" t="s">
        <v>0</v>
      </c>
      <c r="D2977" s="722" t="s">
        <v>1725</v>
      </c>
      <c r="E2977" s="724" t="s">
        <v>24</v>
      </c>
      <c r="F2977" s="726" t="s">
        <v>25</v>
      </c>
      <c r="G2977" s="728" t="s">
        <v>26</v>
      </c>
    </row>
    <row r="2978" spans="1:7" ht="19.899999999999999" customHeight="1" x14ac:dyDescent="0.2">
      <c r="A2978" s="444" t="s">
        <v>577</v>
      </c>
      <c r="B2978" s="444" t="s">
        <v>578</v>
      </c>
      <c r="C2978" s="723"/>
      <c r="D2978" s="723"/>
      <c r="E2978" s="725"/>
      <c r="F2978" s="727"/>
      <c r="G2978" s="729"/>
    </row>
    <row r="2979" spans="1:7" ht="19.899999999999999" customHeight="1" x14ac:dyDescent="0.2">
      <c r="A2979" s="482">
        <f t="shared" ref="A2979:A2989" si="1027">IFERROR(VLOOKUP(C2979,T_Insumos,4,FALSE),0)</f>
        <v>0</v>
      </c>
      <c r="B2979" s="445">
        <f t="shared" ref="B2979:B2989" si="1028">IFERROR(VLOOKUP(C2979,T_Insumos,5,FALSE),0)</f>
        <v>0</v>
      </c>
      <c r="C2979" s="436">
        <f t="shared" ref="C2979:C2989" si="1029">+C2754</f>
        <v>0</v>
      </c>
      <c r="D2979" s="493">
        <f t="shared" ref="D2979:D2989" si="1030">IFERROR(VLOOKUP(C2979,T_Insumos,2,FALSE),0)</f>
        <v>0</v>
      </c>
      <c r="E2979" s="437"/>
      <c r="F2979" s="439">
        <f t="shared" ref="F2979:F2989" si="1031">IFERROR(VLOOKUP(C2979,T_Insumos,3,FALSE),0)</f>
        <v>0</v>
      </c>
      <c r="G2979" s="439">
        <f>ROUND(E2979*F2979,2)</f>
        <v>0</v>
      </c>
    </row>
    <row r="2980" spans="1:7" ht="19.899999999999999" customHeight="1" x14ac:dyDescent="0.2">
      <c r="A2980" s="482">
        <f t="shared" si="1027"/>
        <v>0</v>
      </c>
      <c r="B2980" s="445">
        <f t="shared" si="1028"/>
        <v>0</v>
      </c>
      <c r="C2980" s="436">
        <f t="shared" si="1029"/>
        <v>0</v>
      </c>
      <c r="D2980" s="493">
        <f t="shared" si="1030"/>
        <v>0</v>
      </c>
      <c r="E2980" s="437"/>
      <c r="F2980" s="439">
        <f t="shared" si="1031"/>
        <v>0</v>
      </c>
      <c r="G2980" s="439">
        <f t="shared" ref="G2980:G2989" si="1032">ROUND(E2980*F2980,2)</f>
        <v>0</v>
      </c>
    </row>
    <row r="2981" spans="1:7" ht="19.899999999999999" customHeight="1" x14ac:dyDescent="0.2">
      <c r="A2981" s="482">
        <f t="shared" si="1027"/>
        <v>0</v>
      </c>
      <c r="B2981" s="445">
        <f t="shared" si="1028"/>
        <v>0</v>
      </c>
      <c r="C2981" s="436">
        <f t="shared" si="1029"/>
        <v>0</v>
      </c>
      <c r="D2981" s="493">
        <f t="shared" si="1030"/>
        <v>0</v>
      </c>
      <c r="E2981" s="437"/>
      <c r="F2981" s="439">
        <f t="shared" si="1031"/>
        <v>0</v>
      </c>
      <c r="G2981" s="439">
        <f t="shared" si="1032"/>
        <v>0</v>
      </c>
    </row>
    <row r="2982" spans="1:7" ht="19.899999999999999" customHeight="1" x14ac:dyDescent="0.2">
      <c r="A2982" s="482">
        <f t="shared" si="1027"/>
        <v>0</v>
      </c>
      <c r="B2982" s="445">
        <f t="shared" si="1028"/>
        <v>0</v>
      </c>
      <c r="C2982" s="436">
        <f t="shared" si="1029"/>
        <v>0</v>
      </c>
      <c r="D2982" s="493">
        <f t="shared" si="1030"/>
        <v>0</v>
      </c>
      <c r="E2982" s="437"/>
      <c r="F2982" s="439">
        <f t="shared" si="1031"/>
        <v>0</v>
      </c>
      <c r="G2982" s="439">
        <f t="shared" si="1032"/>
        <v>0</v>
      </c>
    </row>
    <row r="2983" spans="1:7" ht="19.899999999999999" customHeight="1" x14ac:dyDescent="0.2">
      <c r="A2983" s="482">
        <f t="shared" si="1027"/>
        <v>0</v>
      </c>
      <c r="B2983" s="445">
        <f t="shared" si="1028"/>
        <v>0</v>
      </c>
      <c r="C2983" s="436">
        <f t="shared" si="1029"/>
        <v>0</v>
      </c>
      <c r="D2983" s="493">
        <f t="shared" si="1030"/>
        <v>0</v>
      </c>
      <c r="E2983" s="437"/>
      <c r="F2983" s="439">
        <f t="shared" si="1031"/>
        <v>0</v>
      </c>
      <c r="G2983" s="439">
        <f t="shared" si="1032"/>
        <v>0</v>
      </c>
    </row>
    <row r="2984" spans="1:7" ht="19.899999999999999" customHeight="1" x14ac:dyDescent="0.2">
      <c r="A2984" s="482">
        <f t="shared" si="1027"/>
        <v>0</v>
      </c>
      <c r="B2984" s="445">
        <f t="shared" si="1028"/>
        <v>0</v>
      </c>
      <c r="C2984" s="436">
        <f t="shared" si="1029"/>
        <v>0</v>
      </c>
      <c r="D2984" s="493">
        <f t="shared" si="1030"/>
        <v>0</v>
      </c>
      <c r="E2984" s="437"/>
      <c r="F2984" s="439">
        <f t="shared" si="1031"/>
        <v>0</v>
      </c>
      <c r="G2984" s="439">
        <f t="shared" si="1032"/>
        <v>0</v>
      </c>
    </row>
    <row r="2985" spans="1:7" ht="19.899999999999999" customHeight="1" x14ac:dyDescent="0.2">
      <c r="A2985" s="482">
        <f t="shared" si="1027"/>
        <v>0</v>
      </c>
      <c r="B2985" s="445">
        <f t="shared" si="1028"/>
        <v>0</v>
      </c>
      <c r="C2985" s="436">
        <f t="shared" si="1029"/>
        <v>0</v>
      </c>
      <c r="D2985" s="493">
        <f t="shared" si="1030"/>
        <v>0</v>
      </c>
      <c r="E2985" s="437"/>
      <c r="F2985" s="439">
        <f t="shared" si="1031"/>
        <v>0</v>
      </c>
      <c r="G2985" s="439">
        <f t="shared" si="1032"/>
        <v>0</v>
      </c>
    </row>
    <row r="2986" spans="1:7" ht="19.899999999999999" customHeight="1" x14ac:dyDescent="0.2">
      <c r="A2986" s="482">
        <f t="shared" si="1027"/>
        <v>0</v>
      </c>
      <c r="B2986" s="445">
        <f t="shared" si="1028"/>
        <v>0</v>
      </c>
      <c r="C2986" s="436">
        <f t="shared" si="1029"/>
        <v>0</v>
      </c>
      <c r="D2986" s="493">
        <f t="shared" si="1030"/>
        <v>0</v>
      </c>
      <c r="E2986" s="437"/>
      <c r="F2986" s="439">
        <f t="shared" si="1031"/>
        <v>0</v>
      </c>
      <c r="G2986" s="439">
        <f t="shared" si="1032"/>
        <v>0</v>
      </c>
    </row>
    <row r="2987" spans="1:7" ht="19.899999999999999" customHeight="1" x14ac:dyDescent="0.2">
      <c r="A2987" s="482">
        <f t="shared" si="1027"/>
        <v>0</v>
      </c>
      <c r="B2987" s="445">
        <f t="shared" si="1028"/>
        <v>0</v>
      </c>
      <c r="C2987" s="436">
        <f t="shared" si="1029"/>
        <v>0</v>
      </c>
      <c r="D2987" s="493">
        <f t="shared" si="1030"/>
        <v>0</v>
      </c>
      <c r="E2987" s="437"/>
      <c r="F2987" s="439">
        <f t="shared" si="1031"/>
        <v>0</v>
      </c>
      <c r="G2987" s="439">
        <f t="shared" si="1032"/>
        <v>0</v>
      </c>
    </row>
    <row r="2988" spans="1:7" ht="19.899999999999999" customHeight="1" x14ac:dyDescent="0.2">
      <c r="A2988" s="482">
        <f t="shared" si="1027"/>
        <v>0</v>
      </c>
      <c r="B2988" s="445">
        <f t="shared" si="1028"/>
        <v>0</v>
      </c>
      <c r="C2988" s="436">
        <f t="shared" si="1029"/>
        <v>0</v>
      </c>
      <c r="D2988" s="493">
        <f t="shared" si="1030"/>
        <v>0</v>
      </c>
      <c r="E2988" s="437"/>
      <c r="F2988" s="439">
        <f t="shared" si="1031"/>
        <v>0</v>
      </c>
      <c r="G2988" s="439">
        <f t="shared" si="1032"/>
        <v>0</v>
      </c>
    </row>
    <row r="2989" spans="1:7" ht="19.899999999999999" customHeight="1" x14ac:dyDescent="0.2">
      <c r="A2989" s="482">
        <f t="shared" si="1027"/>
        <v>0</v>
      </c>
      <c r="B2989" s="445">
        <f t="shared" si="1028"/>
        <v>0</v>
      </c>
      <c r="C2989" s="436">
        <f t="shared" si="1029"/>
        <v>0</v>
      </c>
      <c r="D2989" s="493">
        <f t="shared" si="1030"/>
        <v>0</v>
      </c>
      <c r="E2989" s="437"/>
      <c r="F2989" s="439">
        <f t="shared" si="1031"/>
        <v>0</v>
      </c>
      <c r="G2989" s="439">
        <f t="shared" si="1032"/>
        <v>0</v>
      </c>
    </row>
    <row r="2990" spans="1:7" ht="19.899999999999999" customHeight="1" x14ac:dyDescent="0.2">
      <c r="A2990" s="480"/>
      <c r="B2990" s="139"/>
      <c r="C2990" s="139"/>
      <c r="D2990" s="426"/>
      <c r="E2990" s="427"/>
      <c r="F2990" s="448" t="s">
        <v>29</v>
      </c>
      <c r="G2990" s="485">
        <f>SUBTOTAL(9,G2979:G2989)</f>
        <v>0</v>
      </c>
    </row>
    <row r="2991" spans="1:7" ht="19.899999999999999" customHeight="1" x14ac:dyDescent="0.2">
      <c r="A2991" s="480"/>
      <c r="B2991" s="139"/>
      <c r="C2991" s="422" t="s">
        <v>983</v>
      </c>
      <c r="D2991" s="426"/>
      <c r="E2991" s="427"/>
      <c r="F2991" s="428"/>
      <c r="G2991" s="481"/>
    </row>
    <row r="2992" spans="1:7" ht="19.899999999999999" customHeight="1" x14ac:dyDescent="0.2">
      <c r="A2992" s="720" t="s">
        <v>576</v>
      </c>
      <c r="B2992" s="721"/>
      <c r="C2992" s="722" t="s">
        <v>0</v>
      </c>
      <c r="D2992" s="722" t="s">
        <v>1725</v>
      </c>
      <c r="E2992" s="724" t="s">
        <v>24</v>
      </c>
      <c r="F2992" s="726" t="s">
        <v>25</v>
      </c>
      <c r="G2992" s="728" t="s">
        <v>26</v>
      </c>
    </row>
    <row r="2993" spans="1:7" ht="19.899999999999999" customHeight="1" x14ac:dyDescent="0.2">
      <c r="A2993" s="444" t="s">
        <v>577</v>
      </c>
      <c r="B2993" s="444" t="s">
        <v>578</v>
      </c>
      <c r="C2993" s="723"/>
      <c r="D2993" s="723"/>
      <c r="E2993" s="725"/>
      <c r="F2993" s="727"/>
      <c r="G2993" s="729"/>
    </row>
    <row r="2994" spans="1:7" ht="19.899999999999999" customHeight="1" x14ac:dyDescent="0.2">
      <c r="A2994" s="482">
        <f>IFERROR(VLOOKUP(C2994,T_Insumos,4,FALSE),0)</f>
        <v>0</v>
      </c>
      <c r="B2994" s="445">
        <f>IFERROR(VLOOKUP(C2994,T_Insumos,5,FALSE),0)</f>
        <v>0</v>
      </c>
      <c r="C2994" s="436"/>
      <c r="D2994" s="493">
        <f>IF(C2994=0,0,"$/tnkm")</f>
        <v>0</v>
      </c>
      <c r="E2994" s="437"/>
      <c r="F2994" s="439">
        <f>IFERROR(VLOOKUP(C2994,T_Insumos,3,FALSE),0)</f>
        <v>0</v>
      </c>
      <c r="G2994" s="439">
        <f>ROUND(E2994*F2994,2)</f>
        <v>0</v>
      </c>
    </row>
    <row r="2995" spans="1:7" ht="19.899999999999999" customHeight="1" x14ac:dyDescent="0.2">
      <c r="A2995" s="482">
        <f>IFERROR(VLOOKUP(C2995,T_Insumos,4,FALSE),0)</f>
        <v>0</v>
      </c>
      <c r="B2995" s="445">
        <f>IFERROR(VLOOKUP(C2995,T_Insumos,5,FALSE),0)</f>
        <v>0</v>
      </c>
      <c r="C2995" s="436"/>
      <c r="D2995" s="493">
        <f>IF(C2995=0,0,"$/tnkm")</f>
        <v>0</v>
      </c>
      <c r="E2995" s="453"/>
      <c r="F2995" s="439">
        <f>IFERROR(VLOOKUP(C2995,T_Insumos,3,FALSE),0)</f>
        <v>0</v>
      </c>
      <c r="G2995" s="439">
        <f t="shared" ref="G2995" si="1033">ROUND(E2995*F2995,2)</f>
        <v>0</v>
      </c>
    </row>
    <row r="2996" spans="1:7" ht="19.899999999999999" customHeight="1" x14ac:dyDescent="0.2">
      <c r="A2996" s="480"/>
      <c r="B2996" s="139"/>
      <c r="C2996" s="139"/>
      <c r="D2996" s="426"/>
      <c r="E2996" s="427"/>
      <c r="F2996" s="448" t="s">
        <v>984</v>
      </c>
      <c r="G2996" s="485">
        <f>SUBTOTAL(9,G2994:G2995)</f>
        <v>0</v>
      </c>
    </row>
    <row r="2997" spans="1:7" ht="19.899999999999999" customHeight="1" x14ac:dyDescent="0.2">
      <c r="A2997" s="483"/>
      <c r="B2997" s="426"/>
      <c r="C2997" s="139"/>
      <c r="D2997" s="426"/>
      <c r="E2997" s="427"/>
      <c r="F2997" s="428"/>
      <c r="G2997" s="481"/>
    </row>
    <row r="2998" spans="1:7" ht="19.899999999999999" customHeight="1" x14ac:dyDescent="0.2">
      <c r="A2998" s="541" t="str">
        <f>B2932</f>
        <v/>
      </c>
      <c r="B2998" s="538">
        <f ca="1">C2932</f>
        <v>0</v>
      </c>
      <c r="C2998" s="426"/>
      <c r="D2998" s="426" t="s">
        <v>1704</v>
      </c>
      <c r="E2998" s="539"/>
      <c r="F2998" s="540" t="str">
        <f ca="1">"$/"&amp;G2932</f>
        <v>$/0</v>
      </c>
      <c r="G2998" s="490">
        <f>SUBTOTAL(9,G2955:G2997)</f>
        <v>0</v>
      </c>
    </row>
    <row r="2999" spans="1:7" ht="19.899999999999999" customHeight="1" x14ac:dyDescent="0.2">
      <c r="A2999" s="486"/>
      <c r="B2999" s="487"/>
      <c r="C2999" s="488"/>
      <c r="D2999" s="488" t="s">
        <v>1900</v>
      </c>
      <c r="E2999" s="489"/>
      <c r="F2999" s="542" t="str">
        <f ca="1">"$/"&amp;G2932</f>
        <v>$/0</v>
      </c>
      <c r="G2999" s="490">
        <f>ROUND(G2998*Coeficiente_Paso,2)</f>
        <v>0</v>
      </c>
    </row>
    <row r="3000" spans="1:7" ht="19.899999999999999" customHeight="1" x14ac:dyDescent="0.2">
      <c r="A3000" s="139"/>
      <c r="B3000" s="139"/>
      <c r="C3000" s="139"/>
      <c r="D3000" s="139"/>
      <c r="E3000" s="139"/>
      <c r="F3000" s="139"/>
      <c r="G3000" s="139"/>
    </row>
    <row r="3001" spans="1:7" ht="19.899999999999999" customHeight="1" x14ac:dyDescent="0.2">
      <c r="A3001" s="730" t="s">
        <v>31</v>
      </c>
      <c r="B3001" s="731"/>
      <c r="C3001" s="731"/>
      <c r="D3001" s="731"/>
      <c r="E3001" s="731"/>
      <c r="F3001" s="731"/>
      <c r="G3001" s="732"/>
    </row>
    <row r="3002" spans="1:7" ht="19.899999999999999" customHeight="1" x14ac:dyDescent="0.2">
      <c r="A3002" s="469" t="s">
        <v>711</v>
      </c>
      <c r="B3002" s="420" t="str">
        <f>Comitente</f>
        <v>DEPARTAMENTO DE HIDRAULICA</v>
      </c>
      <c r="C3002" s="421"/>
      <c r="D3002" s="422"/>
      <c r="E3002" s="422"/>
      <c r="F3002" s="423"/>
      <c r="G3002" s="470"/>
    </row>
    <row r="3003" spans="1:7" ht="19.899999999999999" customHeight="1" x14ac:dyDescent="0.2">
      <c r="A3003" s="469" t="s">
        <v>712</v>
      </c>
      <c r="B3003" s="420">
        <f>Contratista</f>
        <v>0</v>
      </c>
      <c r="C3003" s="424"/>
      <c r="D3003" s="424"/>
      <c r="E3003" s="424"/>
      <c r="F3003" s="420"/>
      <c r="G3003" s="471"/>
    </row>
    <row r="3004" spans="1:7" ht="19.899999999999999" customHeight="1" x14ac:dyDescent="0.2">
      <c r="A3004" s="469" t="s">
        <v>21</v>
      </c>
      <c r="B3004" s="420" t="str">
        <f>Obra</f>
        <v>Encamisado Parcial del Canal de Calle América</v>
      </c>
      <c r="C3004" s="424"/>
      <c r="D3004" s="424"/>
      <c r="E3004" s="424"/>
      <c r="F3004" s="420" t="s">
        <v>32</v>
      </c>
      <c r="G3004" s="471" t="str">
        <f>Fecha_Base</f>
        <v>X/X/2023</v>
      </c>
    </row>
    <row r="3005" spans="1:7" ht="19.899999999999999" customHeight="1" x14ac:dyDescent="0.2">
      <c r="A3005" s="472" t="s">
        <v>710</v>
      </c>
      <c r="B3005" s="425" t="str">
        <f>Ubicación</f>
        <v>Departamento Rawson</v>
      </c>
      <c r="C3005" s="425"/>
      <c r="D3005" s="426"/>
      <c r="E3005" s="427"/>
      <c r="F3005" s="428"/>
      <c r="G3005" s="473"/>
    </row>
    <row r="3006" spans="1:7" ht="19.899999999999999" customHeight="1" x14ac:dyDescent="0.2">
      <c r="A3006" s="472" t="s">
        <v>33</v>
      </c>
      <c r="B3006" s="429" t="str">
        <f>IFERROR(VALUE(LEFT(B3007,FIND(".",B3007)-1)),"")</f>
        <v/>
      </c>
      <c r="C3006" s="139">
        <f ca="1">IFERROR(VLOOKUP(B3006,T_Computo_Presupuesto,2,FALSE),0)</f>
        <v>0</v>
      </c>
      <c r="D3006" s="139"/>
      <c r="E3006" s="427"/>
      <c r="F3006" s="428"/>
      <c r="G3006" s="473"/>
    </row>
    <row r="3007" spans="1:7" ht="19.899999999999999" customHeight="1" x14ac:dyDescent="0.2">
      <c r="A3007" s="472" t="s">
        <v>22</v>
      </c>
      <c r="B3007" s="430" t="str">
        <f>IFERROR(VLOOKUP(COUNTIF($A$1:A3007,"ANALISIS DE PRECIOS"),T_NumeroItem,2,FALSE),"")</f>
        <v/>
      </c>
      <c r="C3007" s="733">
        <f ca="1">IFERROR(VLOOKUP(B3007,T_Computo_Presupuesto,2,FALSE),0)</f>
        <v>0</v>
      </c>
      <c r="D3007" s="733"/>
      <c r="E3007" s="733"/>
      <c r="F3007" s="425" t="s">
        <v>23</v>
      </c>
      <c r="G3007" s="474">
        <f ca="1">IFERROR(VLOOKUP(B3007,T_Computo_Presupuesto,4,FALSE),0)</f>
        <v>0</v>
      </c>
    </row>
    <row r="3008" spans="1:7" ht="19.899999999999999" customHeight="1" x14ac:dyDescent="0.2">
      <c r="A3008" s="472"/>
      <c r="B3008" s="425"/>
      <c r="C3008" s="139"/>
      <c r="D3008" s="426"/>
      <c r="E3008" s="427"/>
      <c r="F3008" s="139"/>
      <c r="G3008" s="475"/>
    </row>
    <row r="3009" spans="1:7" ht="19.899999999999999" customHeight="1" x14ac:dyDescent="0.2">
      <c r="A3009" s="476"/>
      <c r="B3009" s="431"/>
      <c r="C3009" s="432" t="s">
        <v>967</v>
      </c>
      <c r="D3009" s="431"/>
      <c r="E3009" s="431"/>
      <c r="F3009" s="431"/>
      <c r="G3009" s="477"/>
    </row>
    <row r="3010" spans="1:7" ht="19.899999999999999" customHeight="1" x14ac:dyDescent="0.2">
      <c r="A3010" s="472"/>
      <c r="B3010" s="433"/>
      <c r="C3010" s="139"/>
      <c r="D3010" s="426"/>
      <c r="E3010" s="427"/>
      <c r="F3010" s="425"/>
      <c r="G3010" s="474"/>
    </row>
    <row r="3011" spans="1:7" ht="19.899999999999999" customHeight="1" x14ac:dyDescent="0.2">
      <c r="A3011" s="472"/>
      <c r="B3011" s="433"/>
      <c r="C3011" s="434" t="s">
        <v>968</v>
      </c>
      <c r="D3011" s="435" t="s">
        <v>24</v>
      </c>
      <c r="E3011" s="435" t="s">
        <v>969</v>
      </c>
      <c r="F3011" s="435" t="s">
        <v>970</v>
      </c>
      <c r="G3011" s="434" t="s">
        <v>971</v>
      </c>
    </row>
    <row r="3012" spans="1:7" ht="19.899999999999999" customHeight="1" x14ac:dyDescent="0.2">
      <c r="A3012" s="472"/>
      <c r="B3012" s="433"/>
      <c r="C3012" s="436">
        <f>+C2787</f>
        <v>0</v>
      </c>
      <c r="D3012" s="436">
        <f>+D2787</f>
        <v>0</v>
      </c>
      <c r="E3012" s="438">
        <f t="shared" ref="E3012:E3021" si="1034">IFERROR(VLOOKUP(C3012,T_Equipos,4,FALSE),0)</f>
        <v>0</v>
      </c>
      <c r="F3012" s="439">
        <f t="shared" ref="F3012:F3021" si="1035">IFERROR(VLOOKUP(C3012,T_Equipos,5,FALSE),0)</f>
        <v>0</v>
      </c>
      <c r="G3012" s="439">
        <f>ROUND(D3012*F3012,2)</f>
        <v>0</v>
      </c>
    </row>
    <row r="3013" spans="1:7" ht="19.899999999999999" customHeight="1" x14ac:dyDescent="0.2">
      <c r="A3013" s="472"/>
      <c r="B3013" s="433"/>
      <c r="C3013" s="436">
        <f t="shared" ref="C3013:D3013" si="1036">+C2788</f>
        <v>0</v>
      </c>
      <c r="D3013" s="436">
        <f t="shared" si="1036"/>
        <v>0</v>
      </c>
      <c r="E3013" s="438">
        <f t="shared" si="1034"/>
        <v>0</v>
      </c>
      <c r="F3013" s="439">
        <f t="shared" si="1035"/>
        <v>0</v>
      </c>
      <c r="G3013" s="439">
        <f>ROUND(D3013*F3013,2)</f>
        <v>0</v>
      </c>
    </row>
    <row r="3014" spans="1:7" ht="19.899999999999999" customHeight="1" x14ac:dyDescent="0.2">
      <c r="A3014" s="472"/>
      <c r="B3014" s="433"/>
      <c r="C3014" s="436">
        <f t="shared" ref="C3014" si="1037">+C2789</f>
        <v>0</v>
      </c>
      <c r="D3014" s="436"/>
      <c r="E3014" s="438">
        <f t="shared" si="1034"/>
        <v>0</v>
      </c>
      <c r="F3014" s="439">
        <f t="shared" si="1035"/>
        <v>0</v>
      </c>
      <c r="G3014" s="439">
        <f>ROUND(D3014*F3014,2)</f>
        <v>0</v>
      </c>
    </row>
    <row r="3015" spans="1:7" ht="19.899999999999999" customHeight="1" x14ac:dyDescent="0.2">
      <c r="A3015" s="472"/>
      <c r="B3015" s="433"/>
      <c r="C3015" s="436">
        <f t="shared" ref="C3015" si="1038">+C2790</f>
        <v>0</v>
      </c>
      <c r="D3015" s="436"/>
      <c r="E3015" s="438">
        <f t="shared" si="1034"/>
        <v>0</v>
      </c>
      <c r="F3015" s="439">
        <f t="shared" si="1035"/>
        <v>0</v>
      </c>
      <c r="G3015" s="439">
        <f>ROUND(D3015*F3015,2)</f>
        <v>0</v>
      </c>
    </row>
    <row r="3016" spans="1:7" ht="19.899999999999999" customHeight="1" x14ac:dyDescent="0.2">
      <c r="A3016" s="472"/>
      <c r="B3016" s="433"/>
      <c r="C3016" s="436">
        <f t="shared" ref="C3016" si="1039">+C2791</f>
        <v>0</v>
      </c>
      <c r="D3016" s="436"/>
      <c r="E3016" s="438">
        <f t="shared" si="1034"/>
        <v>0</v>
      </c>
      <c r="F3016" s="439">
        <f t="shared" si="1035"/>
        <v>0</v>
      </c>
      <c r="G3016" s="439">
        <f t="shared" ref="G3016:G3021" si="1040">ROUND(D3016*F3016,2)</f>
        <v>0</v>
      </c>
    </row>
    <row r="3017" spans="1:7" ht="19.899999999999999" customHeight="1" x14ac:dyDescent="0.2">
      <c r="A3017" s="472"/>
      <c r="B3017" s="433"/>
      <c r="C3017" s="436">
        <f t="shared" ref="C3017" si="1041">+C2792</f>
        <v>0</v>
      </c>
      <c r="D3017" s="436"/>
      <c r="E3017" s="438">
        <f t="shared" si="1034"/>
        <v>0</v>
      </c>
      <c r="F3017" s="439">
        <f t="shared" si="1035"/>
        <v>0</v>
      </c>
      <c r="G3017" s="439">
        <f t="shared" si="1040"/>
        <v>0</v>
      </c>
    </row>
    <row r="3018" spans="1:7" ht="19.899999999999999" customHeight="1" x14ac:dyDescent="0.2">
      <c r="A3018" s="472"/>
      <c r="B3018" s="433"/>
      <c r="C3018" s="436">
        <f t="shared" ref="C3018:D3018" si="1042">+C2793</f>
        <v>0</v>
      </c>
      <c r="D3018" s="436">
        <f t="shared" si="1042"/>
        <v>0</v>
      </c>
      <c r="E3018" s="438">
        <f t="shared" si="1034"/>
        <v>0</v>
      </c>
      <c r="F3018" s="439">
        <f t="shared" si="1035"/>
        <v>0</v>
      </c>
      <c r="G3018" s="439">
        <f t="shared" si="1040"/>
        <v>0</v>
      </c>
    </row>
    <row r="3019" spans="1:7" ht="19.899999999999999" customHeight="1" x14ac:dyDescent="0.2">
      <c r="A3019" s="472"/>
      <c r="B3019" s="433"/>
      <c r="C3019" s="436">
        <f t="shared" ref="C3019:D3019" si="1043">+C2794</f>
        <v>0</v>
      </c>
      <c r="D3019" s="436">
        <f t="shared" si="1043"/>
        <v>0</v>
      </c>
      <c r="E3019" s="438">
        <f t="shared" si="1034"/>
        <v>0</v>
      </c>
      <c r="F3019" s="439">
        <f t="shared" si="1035"/>
        <v>0</v>
      </c>
      <c r="G3019" s="439">
        <f t="shared" si="1040"/>
        <v>0</v>
      </c>
    </row>
    <row r="3020" spans="1:7" ht="19.899999999999999" customHeight="1" x14ac:dyDescent="0.2">
      <c r="A3020" s="472"/>
      <c r="B3020" s="433"/>
      <c r="C3020" s="436"/>
      <c r="D3020" s="437"/>
      <c r="E3020" s="438">
        <f t="shared" si="1034"/>
        <v>0</v>
      </c>
      <c r="F3020" s="439">
        <f t="shared" si="1035"/>
        <v>0</v>
      </c>
      <c r="G3020" s="439">
        <f t="shared" si="1040"/>
        <v>0</v>
      </c>
    </row>
    <row r="3021" spans="1:7" ht="19.899999999999999" customHeight="1" x14ac:dyDescent="0.2">
      <c r="A3021" s="472"/>
      <c r="B3021" s="433"/>
      <c r="C3021" s="436"/>
      <c r="D3021" s="437"/>
      <c r="E3021" s="438">
        <f t="shared" si="1034"/>
        <v>0</v>
      </c>
      <c r="F3021" s="439">
        <f t="shared" si="1035"/>
        <v>0</v>
      </c>
      <c r="G3021" s="439">
        <f t="shared" si="1040"/>
        <v>0</v>
      </c>
    </row>
    <row r="3022" spans="1:7" ht="19.899999999999999" customHeight="1" x14ac:dyDescent="0.2">
      <c r="A3022" s="472"/>
      <c r="B3022" s="433"/>
      <c r="C3022" s="139"/>
      <c r="D3022" s="139"/>
      <c r="E3022" s="440"/>
      <c r="F3022" s="425"/>
      <c r="G3022" s="474"/>
    </row>
    <row r="3023" spans="1:7" ht="19.899999999999999" customHeight="1" x14ac:dyDescent="0.2">
      <c r="A3023" s="472"/>
      <c r="B3023" s="139"/>
      <c r="C3023" s="422" t="s">
        <v>972</v>
      </c>
      <c r="D3023" s="425" t="s">
        <v>969</v>
      </c>
      <c r="E3023" s="491">
        <f>SUMPRODUCT(D3012:D3021,E3012:E3021)</f>
        <v>0</v>
      </c>
      <c r="F3023" s="425" t="s">
        <v>973</v>
      </c>
      <c r="G3023" s="492">
        <f>SUM(G3012:G3021)</f>
        <v>0</v>
      </c>
    </row>
    <row r="3024" spans="1:7" ht="19.899999999999999" customHeight="1" x14ac:dyDescent="0.2">
      <c r="A3024" s="472"/>
      <c r="B3024" s="433"/>
      <c r="C3024" s="441"/>
      <c r="D3024" s="440"/>
      <c r="E3024" s="427"/>
      <c r="F3024" s="425"/>
      <c r="G3024" s="478"/>
    </row>
    <row r="3025" spans="1:7" ht="19.899999999999999" customHeight="1" x14ac:dyDescent="0.2">
      <c r="A3025" s="479"/>
      <c r="B3025" s="433"/>
      <c r="C3025" s="425" t="s">
        <v>974</v>
      </c>
      <c r="D3025" s="442">
        <f>IFERROR(VLOOKUP(COUNTIF($A$1:A3025,"ANALISIS DE PRECIOS"),T_Rendimiento_Equipo,5,FALSE),0)</f>
        <v>0</v>
      </c>
      <c r="E3025" s="443" t="str">
        <f ca="1">G3007&amp;"/día"</f>
        <v>0/día</v>
      </c>
      <c r="F3025" s="419"/>
      <c r="G3025" s="474"/>
    </row>
    <row r="3026" spans="1:7" ht="19.899999999999999" customHeight="1" x14ac:dyDescent="0.2">
      <c r="A3026" s="472"/>
      <c r="B3026" s="433"/>
      <c r="C3026" s="139"/>
      <c r="D3026" s="426"/>
      <c r="E3026" s="427"/>
      <c r="F3026" s="425"/>
      <c r="G3026" s="474"/>
    </row>
    <row r="3027" spans="1:7" ht="19.899999999999999" customHeight="1" x14ac:dyDescent="0.2">
      <c r="A3027" s="720" t="s">
        <v>576</v>
      </c>
      <c r="B3027" s="721"/>
      <c r="C3027" s="722" t="s">
        <v>0</v>
      </c>
      <c r="D3027" s="734" t="s">
        <v>1724</v>
      </c>
      <c r="E3027" s="734" t="s">
        <v>1723</v>
      </c>
      <c r="F3027" s="726" t="s">
        <v>975</v>
      </c>
      <c r="G3027" s="728" t="s">
        <v>26</v>
      </c>
    </row>
    <row r="3028" spans="1:7" ht="19.899999999999999" customHeight="1" x14ac:dyDescent="0.2">
      <c r="A3028" s="444" t="s">
        <v>577</v>
      </c>
      <c r="B3028" s="444" t="s">
        <v>578</v>
      </c>
      <c r="C3028" s="723"/>
      <c r="D3028" s="735"/>
      <c r="E3028" s="725"/>
      <c r="F3028" s="727"/>
      <c r="G3028" s="729"/>
    </row>
    <row r="3029" spans="1:7" ht="19.899999999999999" customHeight="1" x14ac:dyDescent="0.2">
      <c r="A3029" s="480"/>
      <c r="B3029" s="139"/>
      <c r="C3029" s="422" t="s">
        <v>976</v>
      </c>
      <c r="D3029" s="427"/>
      <c r="E3029" s="427"/>
      <c r="F3029" s="139"/>
      <c r="G3029" s="481"/>
    </row>
    <row r="3030" spans="1:7" ht="19.899999999999999" customHeight="1" x14ac:dyDescent="0.2">
      <c r="A3030" s="482">
        <f t="shared" ref="A3030:A3038" si="1044">IFERROR(VLOOKUP(C3030,T_Insumos,4,FALSE),0)</f>
        <v>0</v>
      </c>
      <c r="B3030" s="445">
        <f t="shared" ref="B3030:B3038" si="1045">IFERROR(VLOOKUP(C3030,T_Insumos,5,FALSE),0)</f>
        <v>0</v>
      </c>
      <c r="C3030" s="436">
        <f>+C2730</f>
        <v>0</v>
      </c>
      <c r="D3030" s="446">
        <f t="shared" ref="D3030:D3038" si="1046">IFERROR(VLOOKUP(C3030,T_Insumos,3,FALSE),0)</f>
        <v>0</v>
      </c>
      <c r="E3030" s="439">
        <f>D3030*$G$323</f>
        <v>0</v>
      </c>
      <c r="F3030" s="442">
        <f>IF(C3030="",0,IFERROR(VLOOKUP(COUNTIF($A$1:A3030,"ANALISIS DE PRECIOS"),T_Rendimiento_Equipo,5,FALSE),0))</f>
        <v>0</v>
      </c>
      <c r="G3030" s="439">
        <f>IFERROR(ROUND(E3030/F3030,2),0)</f>
        <v>0</v>
      </c>
    </row>
    <row r="3031" spans="1:7" ht="19.899999999999999" customHeight="1" x14ac:dyDescent="0.2">
      <c r="A3031" s="482">
        <f t="shared" si="1044"/>
        <v>0</v>
      </c>
      <c r="B3031" s="445">
        <f t="shared" si="1045"/>
        <v>0</v>
      </c>
      <c r="C3031" s="436">
        <f t="shared" ref="C3031:C3033" si="1047">+C2731</f>
        <v>0</v>
      </c>
      <c r="D3031" s="446">
        <f t="shared" si="1046"/>
        <v>0</v>
      </c>
      <c r="E3031" s="439">
        <f t="shared" ref="E3031:E3032" si="1048">D3031*$G$323</f>
        <v>0</v>
      </c>
      <c r="F3031" s="442">
        <f>IF(C3031="",0,IFERROR(VLOOKUP(COUNTIF($A$1:A3031,"ANALISIS DE PRECIOS"),T_Rendimiento_Equipo,5,FALSE),0))</f>
        <v>0</v>
      </c>
      <c r="G3031" s="439">
        <f t="shared" ref="G3031:G3038" si="1049">IFERROR(ROUND(E3031/F3031,2),0)</f>
        <v>0</v>
      </c>
    </row>
    <row r="3032" spans="1:7" ht="19.899999999999999" customHeight="1" x14ac:dyDescent="0.2">
      <c r="A3032" s="482">
        <f t="shared" si="1044"/>
        <v>0</v>
      </c>
      <c r="B3032" s="445">
        <f t="shared" si="1045"/>
        <v>0</v>
      </c>
      <c r="C3032" s="436">
        <f t="shared" si="1047"/>
        <v>0</v>
      </c>
      <c r="D3032" s="446">
        <f t="shared" si="1046"/>
        <v>0</v>
      </c>
      <c r="E3032" s="439">
        <f t="shared" si="1048"/>
        <v>0</v>
      </c>
      <c r="F3032" s="442">
        <f>IF(C3032="",0,IFERROR(VLOOKUP(COUNTIF($A$1:A3032,"ANALISIS DE PRECIOS"),T_Rendimiento_Equipo,5,FALSE),0))</f>
        <v>0</v>
      </c>
      <c r="G3032" s="439">
        <f t="shared" si="1049"/>
        <v>0</v>
      </c>
    </row>
    <row r="3033" spans="1:7" ht="19.899999999999999" customHeight="1" x14ac:dyDescent="0.2">
      <c r="A3033" s="482">
        <f t="shared" si="1044"/>
        <v>0</v>
      </c>
      <c r="B3033" s="445">
        <f t="shared" si="1045"/>
        <v>0</v>
      </c>
      <c r="C3033" s="436">
        <f t="shared" si="1047"/>
        <v>0</v>
      </c>
      <c r="D3033" s="446">
        <f t="shared" si="1046"/>
        <v>0</v>
      </c>
      <c r="E3033" s="439">
        <f>D3033*$E$323</f>
        <v>0</v>
      </c>
      <c r="F3033" s="442">
        <f>IF(C3033="",0,IFERROR(VLOOKUP(COUNTIF($A$1:A3033,"ANALISIS DE PRECIOS"),T_Rendimiento_Equipo,5,FALSE),0))</f>
        <v>0</v>
      </c>
      <c r="G3033" s="439">
        <f t="shared" si="1049"/>
        <v>0</v>
      </c>
    </row>
    <row r="3034" spans="1:7" ht="19.899999999999999" customHeight="1" x14ac:dyDescent="0.2">
      <c r="A3034" s="482">
        <f t="shared" si="1044"/>
        <v>0</v>
      </c>
      <c r="B3034" s="445">
        <f t="shared" si="1045"/>
        <v>0</v>
      </c>
      <c r="C3034" s="447"/>
      <c r="D3034" s="446">
        <f t="shared" si="1046"/>
        <v>0</v>
      </c>
      <c r="E3034" s="439"/>
      <c r="F3034" s="442">
        <f>IF(C3034="",0,IFERROR(VLOOKUP(COUNTIF($A$1:A3034,"ANALISIS DE PRECIOS"),T_Rendimiento_Equipo,5,FALSE),0))</f>
        <v>0</v>
      </c>
      <c r="G3034" s="439">
        <f t="shared" si="1049"/>
        <v>0</v>
      </c>
    </row>
    <row r="3035" spans="1:7" ht="19.899999999999999" customHeight="1" x14ac:dyDescent="0.2">
      <c r="A3035" s="482">
        <f t="shared" si="1044"/>
        <v>0</v>
      </c>
      <c r="B3035" s="445">
        <f t="shared" si="1045"/>
        <v>0</v>
      </c>
      <c r="C3035" s="447"/>
      <c r="D3035" s="446">
        <f t="shared" si="1046"/>
        <v>0</v>
      </c>
      <c r="E3035" s="439"/>
      <c r="F3035" s="442">
        <f>IF(C3035="",0,IFERROR(VLOOKUP(COUNTIF($A$1:A3035,"ANALISIS DE PRECIOS"),T_Rendimiento_Equipo,5,FALSE),0))</f>
        <v>0</v>
      </c>
      <c r="G3035" s="439">
        <f t="shared" si="1049"/>
        <v>0</v>
      </c>
    </row>
    <row r="3036" spans="1:7" ht="19.899999999999999" customHeight="1" x14ac:dyDescent="0.2">
      <c r="A3036" s="482">
        <f t="shared" si="1044"/>
        <v>0</v>
      </c>
      <c r="B3036" s="445">
        <f t="shared" si="1045"/>
        <v>0</v>
      </c>
      <c r="C3036" s="447"/>
      <c r="D3036" s="446">
        <f t="shared" si="1046"/>
        <v>0</v>
      </c>
      <c r="E3036" s="439"/>
      <c r="F3036" s="442">
        <f>IF(C3036="",0,IFERROR(VLOOKUP(COUNTIF($A$1:A3036,"ANALISIS DE PRECIOS"),T_Rendimiento_Equipo,5,FALSE),0))</f>
        <v>0</v>
      </c>
      <c r="G3036" s="439">
        <f t="shared" si="1049"/>
        <v>0</v>
      </c>
    </row>
    <row r="3037" spans="1:7" ht="19.899999999999999" customHeight="1" x14ac:dyDescent="0.2">
      <c r="A3037" s="482">
        <f t="shared" si="1044"/>
        <v>0</v>
      </c>
      <c r="B3037" s="445">
        <f t="shared" si="1045"/>
        <v>0</v>
      </c>
      <c r="C3037" s="447"/>
      <c r="D3037" s="446">
        <f t="shared" si="1046"/>
        <v>0</v>
      </c>
      <c r="E3037" s="439"/>
      <c r="F3037" s="442">
        <f>IF(C3037="",0,IFERROR(VLOOKUP(COUNTIF($A$1:A3037,"ANALISIS DE PRECIOS"),T_Rendimiento_Equipo,5,FALSE),0))</f>
        <v>0</v>
      </c>
      <c r="G3037" s="439">
        <f t="shared" si="1049"/>
        <v>0</v>
      </c>
    </row>
    <row r="3038" spans="1:7" ht="19.899999999999999" customHeight="1" x14ac:dyDescent="0.2">
      <c r="A3038" s="482">
        <f t="shared" si="1044"/>
        <v>0</v>
      </c>
      <c r="B3038" s="445">
        <f t="shared" si="1045"/>
        <v>0</v>
      </c>
      <c r="C3038" s="436"/>
      <c r="D3038" s="446">
        <f t="shared" si="1046"/>
        <v>0</v>
      </c>
      <c r="E3038" s="439"/>
      <c r="F3038" s="442">
        <f>IF(C3038="",0,IFERROR(VLOOKUP(COUNTIF($A$1:A3038,"ANALISIS DE PRECIOS"),T_Rendimiento_Equipo,5,FALSE),0))</f>
        <v>0</v>
      </c>
      <c r="G3038" s="439">
        <f t="shared" si="1049"/>
        <v>0</v>
      </c>
    </row>
    <row r="3039" spans="1:7" ht="19.899999999999999" customHeight="1" x14ac:dyDescent="0.2">
      <c r="A3039" s="483"/>
      <c r="B3039" s="426"/>
      <c r="C3039" s="139"/>
      <c r="D3039" s="426"/>
      <c r="E3039" s="427"/>
      <c r="F3039" s="448" t="s">
        <v>27</v>
      </c>
      <c r="G3039" s="484">
        <f>SUBTOTAL(9,G3030:G3038)</f>
        <v>0</v>
      </c>
    </row>
    <row r="3040" spans="1:7" ht="19.899999999999999" customHeight="1" x14ac:dyDescent="0.2">
      <c r="A3040" s="480"/>
      <c r="B3040" s="139"/>
      <c r="C3040" s="422" t="s">
        <v>713</v>
      </c>
      <c r="D3040" s="426"/>
      <c r="E3040" s="427"/>
      <c r="F3040" s="428"/>
      <c r="G3040" s="481"/>
    </row>
    <row r="3041" spans="1:7" ht="19.899999999999999" customHeight="1" x14ac:dyDescent="0.2">
      <c r="A3041" s="720" t="s">
        <v>576</v>
      </c>
      <c r="B3041" s="721"/>
      <c r="C3041" s="722" t="s">
        <v>0</v>
      </c>
      <c r="D3041" s="724" t="s">
        <v>24</v>
      </c>
      <c r="E3041" s="724" t="s">
        <v>1964</v>
      </c>
      <c r="F3041" s="726" t="s">
        <v>975</v>
      </c>
      <c r="G3041" s="728" t="s">
        <v>26</v>
      </c>
    </row>
    <row r="3042" spans="1:7" ht="19.899999999999999" customHeight="1" x14ac:dyDescent="0.2">
      <c r="A3042" s="444" t="s">
        <v>577</v>
      </c>
      <c r="B3042" s="444" t="s">
        <v>578</v>
      </c>
      <c r="C3042" s="723"/>
      <c r="D3042" s="725"/>
      <c r="E3042" s="725"/>
      <c r="F3042" s="727"/>
      <c r="G3042" s="729"/>
    </row>
    <row r="3043" spans="1:7" ht="19.899999999999999" customHeight="1" x14ac:dyDescent="0.2">
      <c r="A3043" s="482">
        <f t="shared" ref="A3043:A3049" si="1050">IFERROR(VLOOKUP(C3043,T_Insumos,4,FALSE),0)</f>
        <v>0</v>
      </c>
      <c r="B3043" s="445">
        <f t="shared" ref="B3043:B3049" si="1051">IFERROR(VLOOKUP(C3043,T_Insumos,5,FALSE),0)</f>
        <v>0</v>
      </c>
      <c r="C3043" s="436">
        <f t="shared" ref="C3043:C3046" si="1052">+C2818</f>
        <v>0</v>
      </c>
      <c r="D3043" s="442"/>
      <c r="E3043" s="439">
        <f t="shared" ref="E3043:E3049" si="1053">IFERROR(VLOOKUP(C3043,T_Insumos,3,FALSE),0)</f>
        <v>0</v>
      </c>
      <c r="F3043" s="442">
        <f>IF(C3043="",0,IFERROR(VLOOKUP(COUNTIF($A$1:A3043,"ANALISIS DE PRECIOS"),T_Rendimiento_Equipo,5,FALSE),0))</f>
        <v>0</v>
      </c>
      <c r="G3043" s="439">
        <f>IFERROR(ROUND(D3043*E3043/F3043,2),0)</f>
        <v>0</v>
      </c>
    </row>
    <row r="3044" spans="1:7" ht="19.899999999999999" customHeight="1" x14ac:dyDescent="0.2">
      <c r="A3044" s="482">
        <f t="shared" si="1050"/>
        <v>0</v>
      </c>
      <c r="B3044" s="445">
        <f t="shared" si="1051"/>
        <v>0</v>
      </c>
      <c r="C3044" s="436">
        <f t="shared" si="1052"/>
        <v>0</v>
      </c>
      <c r="D3044" s="442">
        <v>1</v>
      </c>
      <c r="E3044" s="439">
        <f t="shared" si="1053"/>
        <v>0</v>
      </c>
      <c r="F3044" s="442">
        <f>IF(C3044="",0,IFERROR(VLOOKUP(COUNTIF($A$1:A3044,"ANALISIS DE PRECIOS"),T_Rendimiento_Equipo,5,FALSE),0))</f>
        <v>0</v>
      </c>
      <c r="G3044" s="439">
        <f>IFERROR(ROUND(D3044*E3044/F3044,2),0)</f>
        <v>0</v>
      </c>
    </row>
    <row r="3045" spans="1:7" ht="19.899999999999999" customHeight="1" x14ac:dyDescent="0.2">
      <c r="A3045" s="482">
        <f t="shared" si="1050"/>
        <v>0</v>
      </c>
      <c r="B3045" s="445">
        <f t="shared" si="1051"/>
        <v>0</v>
      </c>
      <c r="C3045" s="436">
        <f t="shared" si="1052"/>
        <v>0</v>
      </c>
      <c r="D3045" s="442"/>
      <c r="E3045" s="439">
        <f t="shared" si="1053"/>
        <v>0</v>
      </c>
      <c r="F3045" s="442">
        <f>IF(C3045="",0,IFERROR(VLOOKUP(COUNTIF($A$1:A3045,"ANALISIS DE PRECIOS"),T_Rendimiento_Equipo,5,FALSE),0))</f>
        <v>0</v>
      </c>
      <c r="G3045" s="439">
        <f t="shared" ref="G3045:G3049" si="1054">IFERROR(ROUND(D3045*E3045/F3045,2),0)</f>
        <v>0</v>
      </c>
    </row>
    <row r="3046" spans="1:7" ht="19.899999999999999" customHeight="1" x14ac:dyDescent="0.2">
      <c r="A3046" s="482">
        <f t="shared" si="1050"/>
        <v>0</v>
      </c>
      <c r="B3046" s="445">
        <f t="shared" si="1051"/>
        <v>0</v>
      </c>
      <c r="C3046" s="436">
        <f t="shared" si="1052"/>
        <v>0</v>
      </c>
      <c r="D3046" s="442">
        <v>2</v>
      </c>
      <c r="E3046" s="439">
        <f t="shared" si="1053"/>
        <v>0</v>
      </c>
      <c r="F3046" s="442">
        <f>IF(C3046="",0,IFERROR(VLOOKUP(COUNTIF($A$1:A3046,"ANALISIS DE PRECIOS"),T_Rendimiento_Equipo,5,FALSE),0))</f>
        <v>0</v>
      </c>
      <c r="G3046" s="439">
        <f t="shared" si="1054"/>
        <v>0</v>
      </c>
    </row>
    <row r="3047" spans="1:7" ht="19.899999999999999" customHeight="1" x14ac:dyDescent="0.2">
      <c r="A3047" s="482">
        <f t="shared" si="1050"/>
        <v>0</v>
      </c>
      <c r="B3047" s="445">
        <f t="shared" si="1051"/>
        <v>0</v>
      </c>
      <c r="C3047" s="436"/>
      <c r="D3047" s="442"/>
      <c r="E3047" s="439">
        <f t="shared" si="1053"/>
        <v>0</v>
      </c>
      <c r="F3047" s="442">
        <f>IF(C3047="",0,IFERROR(VLOOKUP(COUNTIF($A$1:A3047,"ANALISIS DE PRECIOS"),T_Rendimiento_Equipo,5,FALSE),0))</f>
        <v>0</v>
      </c>
      <c r="G3047" s="439">
        <f t="shared" si="1054"/>
        <v>0</v>
      </c>
    </row>
    <row r="3048" spans="1:7" ht="19.899999999999999" customHeight="1" x14ac:dyDescent="0.2">
      <c r="A3048" s="482">
        <f t="shared" si="1050"/>
        <v>0</v>
      </c>
      <c r="B3048" s="445">
        <f t="shared" si="1051"/>
        <v>0</v>
      </c>
      <c r="C3048" s="436"/>
      <c r="D3048" s="450"/>
      <c r="E3048" s="439">
        <f t="shared" si="1053"/>
        <v>0</v>
      </c>
      <c r="F3048" s="442">
        <f>IF(C3048="",0,IFERROR(VLOOKUP(COUNTIF($A$1:A3048,"ANALISIS DE PRECIOS"),T_Rendimiento_Equipo,5,FALSE),0))</f>
        <v>0</v>
      </c>
      <c r="G3048" s="439">
        <f t="shared" si="1054"/>
        <v>0</v>
      </c>
    </row>
    <row r="3049" spans="1:7" ht="19.899999999999999" customHeight="1" x14ac:dyDescent="0.2">
      <c r="A3049" s="482">
        <f t="shared" si="1050"/>
        <v>0</v>
      </c>
      <c r="B3049" s="445">
        <f t="shared" si="1051"/>
        <v>0</v>
      </c>
      <c r="C3049" s="445"/>
      <c r="D3049" s="451"/>
      <c r="E3049" s="439">
        <f t="shared" si="1053"/>
        <v>0</v>
      </c>
      <c r="F3049" s="442">
        <f>IF(C3049="",0,IFERROR(VLOOKUP(COUNTIF($A$1:A3049,"ANALISIS DE PRECIOS"),T_Rendimiento_Equipo,5,FALSE),0))</f>
        <v>0</v>
      </c>
      <c r="G3049" s="439">
        <f t="shared" si="1054"/>
        <v>0</v>
      </c>
    </row>
    <row r="3050" spans="1:7" ht="19.899999999999999" customHeight="1" x14ac:dyDescent="0.2">
      <c r="A3050" s="483"/>
      <c r="B3050" s="426"/>
      <c r="C3050" s="139"/>
      <c r="D3050" s="426"/>
      <c r="E3050" s="427"/>
      <c r="F3050" s="448" t="s">
        <v>28</v>
      </c>
      <c r="G3050" s="485">
        <f>SUBTOTAL(9,G3043:G3049)</f>
        <v>0</v>
      </c>
    </row>
    <row r="3051" spans="1:7" ht="19.899999999999999" customHeight="1" x14ac:dyDescent="0.2">
      <c r="A3051" s="480"/>
      <c r="B3051" s="139"/>
      <c r="C3051" s="422" t="s">
        <v>982</v>
      </c>
      <c r="D3051" s="426"/>
      <c r="E3051" s="427"/>
      <c r="F3051" s="428"/>
      <c r="G3051" s="481"/>
    </row>
    <row r="3052" spans="1:7" ht="19.899999999999999" customHeight="1" x14ac:dyDescent="0.2">
      <c r="A3052" s="720" t="s">
        <v>576</v>
      </c>
      <c r="B3052" s="721"/>
      <c r="C3052" s="722" t="s">
        <v>0</v>
      </c>
      <c r="D3052" s="722" t="s">
        <v>1725</v>
      </c>
      <c r="E3052" s="724" t="s">
        <v>24</v>
      </c>
      <c r="F3052" s="726" t="s">
        <v>25</v>
      </c>
      <c r="G3052" s="728" t="s">
        <v>26</v>
      </c>
    </row>
    <row r="3053" spans="1:7" ht="19.899999999999999" customHeight="1" x14ac:dyDescent="0.2">
      <c r="A3053" s="444" t="s">
        <v>577</v>
      </c>
      <c r="B3053" s="444" t="s">
        <v>578</v>
      </c>
      <c r="C3053" s="723"/>
      <c r="D3053" s="723"/>
      <c r="E3053" s="725"/>
      <c r="F3053" s="727"/>
      <c r="G3053" s="729"/>
    </row>
    <row r="3054" spans="1:7" ht="19.899999999999999" customHeight="1" x14ac:dyDescent="0.2">
      <c r="A3054" s="482">
        <f t="shared" ref="A3054:A3064" si="1055">IFERROR(VLOOKUP(C3054,T_Insumos,4,FALSE),0)</f>
        <v>0</v>
      </c>
      <c r="B3054" s="445">
        <f t="shared" ref="B3054:B3064" si="1056">IFERROR(VLOOKUP(C3054,T_Insumos,5,FALSE),0)</f>
        <v>0</v>
      </c>
      <c r="C3054" s="436">
        <f t="shared" ref="C3054:C3064" si="1057">+C2829</f>
        <v>0</v>
      </c>
      <c r="D3054" s="493">
        <f t="shared" ref="D3054:D3064" si="1058">IFERROR(VLOOKUP(C3054,T_Insumos,2,FALSE),0)</f>
        <v>0</v>
      </c>
      <c r="E3054" s="437"/>
      <c r="F3054" s="439">
        <f t="shared" ref="F3054:F3064" si="1059">IFERROR(VLOOKUP(C3054,T_Insumos,3,FALSE),0)</f>
        <v>0</v>
      </c>
      <c r="G3054" s="439">
        <f>ROUND(E3054*F3054,2)</f>
        <v>0</v>
      </c>
    </row>
    <row r="3055" spans="1:7" ht="19.899999999999999" customHeight="1" x14ac:dyDescent="0.2">
      <c r="A3055" s="482">
        <f t="shared" si="1055"/>
        <v>0</v>
      </c>
      <c r="B3055" s="445">
        <f t="shared" si="1056"/>
        <v>0</v>
      </c>
      <c r="C3055" s="436">
        <f t="shared" si="1057"/>
        <v>0</v>
      </c>
      <c r="D3055" s="493">
        <f t="shared" si="1058"/>
        <v>0</v>
      </c>
      <c r="E3055" s="437"/>
      <c r="F3055" s="439">
        <f t="shared" si="1059"/>
        <v>0</v>
      </c>
      <c r="G3055" s="439">
        <f t="shared" ref="G3055:G3064" si="1060">ROUND(E3055*F3055,2)</f>
        <v>0</v>
      </c>
    </row>
    <row r="3056" spans="1:7" ht="19.899999999999999" customHeight="1" x14ac:dyDescent="0.2">
      <c r="A3056" s="482">
        <f t="shared" si="1055"/>
        <v>0</v>
      </c>
      <c r="B3056" s="445">
        <f t="shared" si="1056"/>
        <v>0</v>
      </c>
      <c r="C3056" s="436">
        <f t="shared" si="1057"/>
        <v>0</v>
      </c>
      <c r="D3056" s="493">
        <f t="shared" si="1058"/>
        <v>0</v>
      </c>
      <c r="E3056" s="437"/>
      <c r="F3056" s="439">
        <f t="shared" si="1059"/>
        <v>0</v>
      </c>
      <c r="G3056" s="439">
        <f t="shared" si="1060"/>
        <v>0</v>
      </c>
    </row>
    <row r="3057" spans="1:7" ht="19.899999999999999" customHeight="1" x14ac:dyDescent="0.2">
      <c r="A3057" s="482">
        <f t="shared" si="1055"/>
        <v>0</v>
      </c>
      <c r="B3057" s="445">
        <f t="shared" si="1056"/>
        <v>0</v>
      </c>
      <c r="C3057" s="436">
        <f t="shared" si="1057"/>
        <v>0</v>
      </c>
      <c r="D3057" s="493">
        <f t="shared" si="1058"/>
        <v>0</v>
      </c>
      <c r="E3057" s="437"/>
      <c r="F3057" s="439">
        <f t="shared" si="1059"/>
        <v>0</v>
      </c>
      <c r="G3057" s="439">
        <f t="shared" si="1060"/>
        <v>0</v>
      </c>
    </row>
    <row r="3058" spans="1:7" ht="19.899999999999999" customHeight="1" x14ac:dyDescent="0.2">
      <c r="A3058" s="482">
        <f t="shared" si="1055"/>
        <v>0</v>
      </c>
      <c r="B3058" s="445">
        <f t="shared" si="1056"/>
        <v>0</v>
      </c>
      <c r="C3058" s="436">
        <f t="shared" si="1057"/>
        <v>0</v>
      </c>
      <c r="D3058" s="493">
        <f t="shared" si="1058"/>
        <v>0</v>
      </c>
      <c r="E3058" s="437"/>
      <c r="F3058" s="439">
        <f t="shared" si="1059"/>
        <v>0</v>
      </c>
      <c r="G3058" s="439">
        <f t="shared" si="1060"/>
        <v>0</v>
      </c>
    </row>
    <row r="3059" spans="1:7" ht="19.899999999999999" customHeight="1" x14ac:dyDescent="0.2">
      <c r="A3059" s="482">
        <f t="shared" si="1055"/>
        <v>0</v>
      </c>
      <c r="B3059" s="445">
        <f t="shared" si="1056"/>
        <v>0</v>
      </c>
      <c r="C3059" s="436">
        <f t="shared" si="1057"/>
        <v>0</v>
      </c>
      <c r="D3059" s="493">
        <f t="shared" si="1058"/>
        <v>0</v>
      </c>
      <c r="E3059" s="437"/>
      <c r="F3059" s="439">
        <f t="shared" si="1059"/>
        <v>0</v>
      </c>
      <c r="G3059" s="439">
        <f t="shared" si="1060"/>
        <v>0</v>
      </c>
    </row>
    <row r="3060" spans="1:7" ht="19.899999999999999" customHeight="1" x14ac:dyDescent="0.2">
      <c r="A3060" s="482">
        <f t="shared" si="1055"/>
        <v>0</v>
      </c>
      <c r="B3060" s="445">
        <f t="shared" si="1056"/>
        <v>0</v>
      </c>
      <c r="C3060" s="436">
        <f t="shared" si="1057"/>
        <v>0</v>
      </c>
      <c r="D3060" s="493">
        <f t="shared" si="1058"/>
        <v>0</v>
      </c>
      <c r="E3060" s="437"/>
      <c r="F3060" s="439">
        <f t="shared" si="1059"/>
        <v>0</v>
      </c>
      <c r="G3060" s="439">
        <f t="shared" si="1060"/>
        <v>0</v>
      </c>
    </row>
    <row r="3061" spans="1:7" ht="19.899999999999999" customHeight="1" x14ac:dyDescent="0.2">
      <c r="A3061" s="482">
        <f t="shared" si="1055"/>
        <v>0</v>
      </c>
      <c r="B3061" s="445">
        <f t="shared" si="1056"/>
        <v>0</v>
      </c>
      <c r="C3061" s="436">
        <f t="shared" si="1057"/>
        <v>0</v>
      </c>
      <c r="D3061" s="493">
        <f t="shared" si="1058"/>
        <v>0</v>
      </c>
      <c r="E3061" s="437"/>
      <c r="F3061" s="439">
        <f t="shared" si="1059"/>
        <v>0</v>
      </c>
      <c r="G3061" s="439">
        <f t="shared" si="1060"/>
        <v>0</v>
      </c>
    </row>
    <row r="3062" spans="1:7" ht="19.899999999999999" customHeight="1" x14ac:dyDescent="0.2">
      <c r="A3062" s="482">
        <f t="shared" si="1055"/>
        <v>0</v>
      </c>
      <c r="B3062" s="445">
        <f t="shared" si="1056"/>
        <v>0</v>
      </c>
      <c r="C3062" s="436">
        <f t="shared" si="1057"/>
        <v>0</v>
      </c>
      <c r="D3062" s="493">
        <f t="shared" si="1058"/>
        <v>0</v>
      </c>
      <c r="E3062" s="437"/>
      <c r="F3062" s="439">
        <f t="shared" si="1059"/>
        <v>0</v>
      </c>
      <c r="G3062" s="439">
        <f t="shared" si="1060"/>
        <v>0</v>
      </c>
    </row>
    <row r="3063" spans="1:7" ht="19.899999999999999" customHeight="1" x14ac:dyDescent="0.2">
      <c r="A3063" s="482">
        <f t="shared" si="1055"/>
        <v>0</v>
      </c>
      <c r="B3063" s="445">
        <f t="shared" si="1056"/>
        <v>0</v>
      </c>
      <c r="C3063" s="436">
        <f t="shared" si="1057"/>
        <v>0</v>
      </c>
      <c r="D3063" s="493">
        <f t="shared" si="1058"/>
        <v>0</v>
      </c>
      <c r="E3063" s="437"/>
      <c r="F3063" s="439">
        <f t="shared" si="1059"/>
        <v>0</v>
      </c>
      <c r="G3063" s="439">
        <f t="shared" si="1060"/>
        <v>0</v>
      </c>
    </row>
    <row r="3064" spans="1:7" ht="19.899999999999999" customHeight="1" x14ac:dyDescent="0.2">
      <c r="A3064" s="482">
        <f t="shared" si="1055"/>
        <v>0</v>
      </c>
      <c r="B3064" s="445">
        <f t="shared" si="1056"/>
        <v>0</v>
      </c>
      <c r="C3064" s="436">
        <f t="shared" si="1057"/>
        <v>0</v>
      </c>
      <c r="D3064" s="493">
        <f t="shared" si="1058"/>
        <v>0</v>
      </c>
      <c r="E3064" s="437"/>
      <c r="F3064" s="439">
        <f t="shared" si="1059"/>
        <v>0</v>
      </c>
      <c r="G3064" s="439">
        <f t="shared" si="1060"/>
        <v>0</v>
      </c>
    </row>
    <row r="3065" spans="1:7" ht="19.899999999999999" customHeight="1" x14ac:dyDescent="0.2">
      <c r="A3065" s="480"/>
      <c r="B3065" s="139"/>
      <c r="C3065" s="139"/>
      <c r="D3065" s="426"/>
      <c r="E3065" s="427"/>
      <c r="F3065" s="448" t="s">
        <v>29</v>
      </c>
      <c r="G3065" s="485">
        <f>SUBTOTAL(9,G3054:G3064)</f>
        <v>0</v>
      </c>
    </row>
    <row r="3066" spans="1:7" ht="19.899999999999999" customHeight="1" x14ac:dyDescent="0.2">
      <c r="A3066" s="480"/>
      <c r="B3066" s="139"/>
      <c r="C3066" s="422" t="s">
        <v>983</v>
      </c>
      <c r="D3066" s="426"/>
      <c r="E3066" s="427"/>
      <c r="F3066" s="428"/>
      <c r="G3066" s="481"/>
    </row>
    <row r="3067" spans="1:7" ht="19.899999999999999" customHeight="1" x14ac:dyDescent="0.2">
      <c r="A3067" s="720" t="s">
        <v>576</v>
      </c>
      <c r="B3067" s="721"/>
      <c r="C3067" s="722" t="s">
        <v>0</v>
      </c>
      <c r="D3067" s="722" t="s">
        <v>1725</v>
      </c>
      <c r="E3067" s="724" t="s">
        <v>24</v>
      </c>
      <c r="F3067" s="726" t="s">
        <v>25</v>
      </c>
      <c r="G3067" s="728" t="s">
        <v>26</v>
      </c>
    </row>
    <row r="3068" spans="1:7" ht="19.899999999999999" customHeight="1" x14ac:dyDescent="0.2">
      <c r="A3068" s="444" t="s">
        <v>577</v>
      </c>
      <c r="B3068" s="444" t="s">
        <v>578</v>
      </c>
      <c r="C3068" s="723"/>
      <c r="D3068" s="723"/>
      <c r="E3068" s="725"/>
      <c r="F3068" s="727"/>
      <c r="G3068" s="729"/>
    </row>
    <row r="3069" spans="1:7" ht="19.899999999999999" customHeight="1" x14ac:dyDescent="0.2">
      <c r="A3069" s="482">
        <f>IFERROR(VLOOKUP(C3069,T_Insumos,4,FALSE),0)</f>
        <v>0</v>
      </c>
      <c r="B3069" s="445">
        <f>IFERROR(VLOOKUP(C3069,T_Insumos,5,FALSE),0)</f>
        <v>0</v>
      </c>
      <c r="C3069" s="436"/>
      <c r="D3069" s="493">
        <f>IF(C3069=0,0,"$/tnkm")</f>
        <v>0</v>
      </c>
      <c r="E3069" s="437"/>
      <c r="F3069" s="439">
        <f>IFERROR(VLOOKUP(C3069,T_Insumos,3,FALSE),0)</f>
        <v>0</v>
      </c>
      <c r="G3069" s="439">
        <f>ROUND(E3069*F3069,2)</f>
        <v>0</v>
      </c>
    </row>
    <row r="3070" spans="1:7" ht="19.899999999999999" customHeight="1" x14ac:dyDescent="0.2">
      <c r="A3070" s="482">
        <f>IFERROR(VLOOKUP(C3070,T_Insumos,4,FALSE),0)</f>
        <v>0</v>
      </c>
      <c r="B3070" s="445">
        <f>IFERROR(VLOOKUP(C3070,T_Insumos,5,FALSE),0)</f>
        <v>0</v>
      </c>
      <c r="C3070" s="436"/>
      <c r="D3070" s="493">
        <f>IF(C3070=0,0,"$/tnkm")</f>
        <v>0</v>
      </c>
      <c r="E3070" s="453"/>
      <c r="F3070" s="439">
        <f>IFERROR(VLOOKUP(C3070,T_Insumos,3,FALSE),0)</f>
        <v>0</v>
      </c>
      <c r="G3070" s="439">
        <f t="shared" ref="G3070" si="1061">ROUND(E3070*F3070,2)</f>
        <v>0</v>
      </c>
    </row>
    <row r="3071" spans="1:7" ht="19.899999999999999" customHeight="1" x14ac:dyDescent="0.2">
      <c r="A3071" s="480"/>
      <c r="B3071" s="139"/>
      <c r="C3071" s="139"/>
      <c r="D3071" s="426"/>
      <c r="E3071" s="427"/>
      <c r="F3071" s="448" t="s">
        <v>984</v>
      </c>
      <c r="G3071" s="485">
        <f>SUBTOTAL(9,G3069:G3070)</f>
        <v>0</v>
      </c>
    </row>
    <row r="3072" spans="1:7" ht="19.899999999999999" customHeight="1" x14ac:dyDescent="0.2">
      <c r="A3072" s="483"/>
      <c r="B3072" s="426"/>
      <c r="C3072" s="139"/>
      <c r="D3072" s="426"/>
      <c r="E3072" s="427"/>
      <c r="F3072" s="428"/>
      <c r="G3072" s="481"/>
    </row>
    <row r="3073" spans="1:7" ht="19.899999999999999" customHeight="1" x14ac:dyDescent="0.2">
      <c r="A3073" s="541" t="str">
        <f>B3007</f>
        <v/>
      </c>
      <c r="B3073" s="538">
        <f ca="1">C3007</f>
        <v>0</v>
      </c>
      <c r="C3073" s="426"/>
      <c r="D3073" s="426" t="s">
        <v>1704</v>
      </c>
      <c r="E3073" s="539"/>
      <c r="F3073" s="540" t="str">
        <f ca="1">"$/"&amp;G3007</f>
        <v>$/0</v>
      </c>
      <c r="G3073" s="490">
        <f>SUBTOTAL(9,G3030:G3072)</f>
        <v>0</v>
      </c>
    </row>
    <row r="3074" spans="1:7" ht="19.899999999999999" customHeight="1" x14ac:dyDescent="0.2">
      <c r="A3074" s="486"/>
      <c r="B3074" s="487"/>
      <c r="C3074" s="488"/>
      <c r="D3074" s="488" t="s">
        <v>1900</v>
      </c>
      <c r="E3074" s="489"/>
      <c r="F3074" s="542" t="str">
        <f ca="1">"$/"&amp;G3007</f>
        <v>$/0</v>
      </c>
      <c r="G3074" s="490">
        <f>ROUND(G3073*Coeficiente_Paso,2)</f>
        <v>0</v>
      </c>
    </row>
    <row r="3075" spans="1:7" ht="19.899999999999999" customHeight="1" x14ac:dyDescent="0.2">
      <c r="A3075" s="139"/>
      <c r="B3075" s="139"/>
      <c r="C3075" s="139"/>
      <c r="D3075" s="139"/>
      <c r="E3075" s="139"/>
      <c r="F3075" s="139"/>
      <c r="G3075" s="139"/>
    </row>
    <row r="3076" spans="1:7" ht="19.899999999999999" customHeight="1" x14ac:dyDescent="0.2">
      <c r="A3076" s="730" t="s">
        <v>31</v>
      </c>
      <c r="B3076" s="731"/>
      <c r="C3076" s="731"/>
      <c r="D3076" s="731"/>
      <c r="E3076" s="731"/>
      <c r="F3076" s="731"/>
      <c r="G3076" s="732"/>
    </row>
    <row r="3077" spans="1:7" ht="19.899999999999999" customHeight="1" x14ac:dyDescent="0.2">
      <c r="A3077" s="469" t="s">
        <v>711</v>
      </c>
      <c r="B3077" s="420" t="str">
        <f>Comitente</f>
        <v>DEPARTAMENTO DE HIDRAULICA</v>
      </c>
      <c r="C3077" s="421"/>
      <c r="D3077" s="422"/>
      <c r="E3077" s="422"/>
      <c r="F3077" s="423"/>
      <c r="G3077" s="470"/>
    </row>
    <row r="3078" spans="1:7" ht="19.899999999999999" customHeight="1" x14ac:dyDescent="0.2">
      <c r="A3078" s="469" t="s">
        <v>712</v>
      </c>
      <c r="B3078" s="420">
        <f>Contratista</f>
        <v>0</v>
      </c>
      <c r="C3078" s="424"/>
      <c r="D3078" s="424"/>
      <c r="E3078" s="424"/>
      <c r="F3078" s="420"/>
      <c r="G3078" s="471"/>
    </row>
    <row r="3079" spans="1:7" ht="19.899999999999999" customHeight="1" x14ac:dyDescent="0.2">
      <c r="A3079" s="469" t="s">
        <v>21</v>
      </c>
      <c r="B3079" s="420" t="str">
        <f>Obra</f>
        <v>Encamisado Parcial del Canal de Calle América</v>
      </c>
      <c r="C3079" s="424"/>
      <c r="D3079" s="424"/>
      <c r="E3079" s="424"/>
      <c r="F3079" s="420" t="s">
        <v>32</v>
      </c>
      <c r="G3079" s="471" t="str">
        <f>Fecha_Base</f>
        <v>X/X/2023</v>
      </c>
    </row>
    <row r="3080" spans="1:7" ht="19.899999999999999" customHeight="1" x14ac:dyDescent="0.2">
      <c r="A3080" s="472" t="s">
        <v>710</v>
      </c>
      <c r="B3080" s="425" t="str">
        <f>Ubicación</f>
        <v>Departamento Rawson</v>
      </c>
      <c r="C3080" s="425"/>
      <c r="D3080" s="426"/>
      <c r="E3080" s="427"/>
      <c r="F3080" s="428"/>
      <c r="G3080" s="473"/>
    </row>
    <row r="3081" spans="1:7" ht="19.899999999999999" customHeight="1" x14ac:dyDescent="0.2">
      <c r="A3081" s="472" t="s">
        <v>33</v>
      </c>
      <c r="B3081" s="429" t="str">
        <f>IFERROR(VALUE(LEFT(B3082,FIND(".",B3082)-1)),"")</f>
        <v/>
      </c>
      <c r="C3081" s="139">
        <f ca="1">IFERROR(VLOOKUP(B3081,T_Computo_Presupuesto,2,FALSE),0)</f>
        <v>0</v>
      </c>
      <c r="D3081" s="139"/>
      <c r="E3081" s="427"/>
      <c r="F3081" s="428"/>
      <c r="G3081" s="473"/>
    </row>
    <row r="3082" spans="1:7" ht="19.899999999999999" customHeight="1" x14ac:dyDescent="0.2">
      <c r="A3082" s="472" t="s">
        <v>22</v>
      </c>
      <c r="B3082" s="430" t="str">
        <f>IFERROR(VLOOKUP(COUNTIF($A$1:A3082,"ANALISIS DE PRECIOS"),T_NumeroItem,2,FALSE),"")</f>
        <v/>
      </c>
      <c r="C3082" s="733">
        <f ca="1">IFERROR(VLOOKUP(B3082,T_Computo_Presupuesto,2,FALSE),0)</f>
        <v>0</v>
      </c>
      <c r="D3082" s="733"/>
      <c r="E3082" s="733"/>
      <c r="F3082" s="425" t="s">
        <v>23</v>
      </c>
      <c r="G3082" s="474">
        <f ca="1">IFERROR(VLOOKUP(B3082,T_Computo_Presupuesto,4,FALSE),0)</f>
        <v>0</v>
      </c>
    </row>
    <row r="3083" spans="1:7" ht="19.899999999999999" customHeight="1" x14ac:dyDescent="0.2">
      <c r="A3083" s="472"/>
      <c r="B3083" s="425"/>
      <c r="C3083" s="139"/>
      <c r="D3083" s="426"/>
      <c r="E3083" s="427"/>
      <c r="F3083" s="139"/>
      <c r="G3083" s="475"/>
    </row>
    <row r="3084" spans="1:7" ht="19.899999999999999" customHeight="1" x14ac:dyDescent="0.2">
      <c r="A3084" s="476"/>
      <c r="B3084" s="431"/>
      <c r="C3084" s="432" t="s">
        <v>967</v>
      </c>
      <c r="D3084" s="431"/>
      <c r="E3084" s="431"/>
      <c r="F3084" s="431"/>
      <c r="G3084" s="477"/>
    </row>
    <row r="3085" spans="1:7" ht="19.899999999999999" customHeight="1" x14ac:dyDescent="0.2">
      <c r="A3085" s="472"/>
      <c r="B3085" s="433"/>
      <c r="C3085" s="139"/>
      <c r="D3085" s="426"/>
      <c r="E3085" s="427"/>
      <c r="F3085" s="425"/>
      <c r="G3085" s="474"/>
    </row>
    <row r="3086" spans="1:7" ht="19.899999999999999" customHeight="1" x14ac:dyDescent="0.2">
      <c r="A3086" s="472"/>
      <c r="B3086" s="433"/>
      <c r="C3086" s="434" t="s">
        <v>968</v>
      </c>
      <c r="D3086" s="435" t="s">
        <v>24</v>
      </c>
      <c r="E3086" s="435" t="s">
        <v>969</v>
      </c>
      <c r="F3086" s="435" t="s">
        <v>970</v>
      </c>
      <c r="G3086" s="434" t="s">
        <v>971</v>
      </c>
    </row>
    <row r="3087" spans="1:7" ht="19.899999999999999" customHeight="1" x14ac:dyDescent="0.2">
      <c r="A3087" s="472"/>
      <c r="B3087" s="433"/>
      <c r="C3087" s="436">
        <f>+C2862</f>
        <v>0</v>
      </c>
      <c r="D3087" s="436">
        <f>+D2862</f>
        <v>0</v>
      </c>
      <c r="E3087" s="438">
        <f t="shared" ref="E3087:E3096" si="1062">IFERROR(VLOOKUP(C3087,T_Equipos,4,FALSE),0)</f>
        <v>0</v>
      </c>
      <c r="F3087" s="439">
        <f t="shared" ref="F3087:F3096" si="1063">IFERROR(VLOOKUP(C3087,T_Equipos,5,FALSE),0)</f>
        <v>0</v>
      </c>
      <c r="G3087" s="439">
        <f>ROUND(D3087*F3087,2)</f>
        <v>0</v>
      </c>
    </row>
    <row r="3088" spans="1:7" ht="19.899999999999999" customHeight="1" x14ac:dyDescent="0.2">
      <c r="A3088" s="472"/>
      <c r="B3088" s="433"/>
      <c r="C3088" s="436">
        <f t="shared" ref="C3088:D3088" si="1064">+C2863</f>
        <v>0</v>
      </c>
      <c r="D3088" s="436">
        <f t="shared" si="1064"/>
        <v>0</v>
      </c>
      <c r="E3088" s="438">
        <f t="shared" si="1062"/>
        <v>0</v>
      </c>
      <c r="F3088" s="439">
        <f t="shared" si="1063"/>
        <v>0</v>
      </c>
      <c r="G3088" s="439">
        <f>ROUND(D3088*F3088,2)</f>
        <v>0</v>
      </c>
    </row>
    <row r="3089" spans="1:7" ht="19.899999999999999" customHeight="1" x14ac:dyDescent="0.2">
      <c r="A3089" s="472"/>
      <c r="B3089" s="433"/>
      <c r="C3089" s="436">
        <f t="shared" ref="C3089" si="1065">+C2864</f>
        <v>0</v>
      </c>
      <c r="D3089" s="436"/>
      <c r="E3089" s="438">
        <f t="shared" si="1062"/>
        <v>0</v>
      </c>
      <c r="F3089" s="439">
        <f t="shared" si="1063"/>
        <v>0</v>
      </c>
      <c r="G3089" s="439">
        <f>ROUND(D3089*F3089,2)</f>
        <v>0</v>
      </c>
    </row>
    <row r="3090" spans="1:7" ht="19.899999999999999" customHeight="1" x14ac:dyDescent="0.2">
      <c r="A3090" s="472"/>
      <c r="B3090" s="433"/>
      <c r="C3090" s="436">
        <f t="shared" ref="C3090" si="1066">+C2865</f>
        <v>0</v>
      </c>
      <c r="D3090" s="436"/>
      <c r="E3090" s="438">
        <f t="shared" si="1062"/>
        <v>0</v>
      </c>
      <c r="F3090" s="439">
        <f t="shared" si="1063"/>
        <v>0</v>
      </c>
      <c r="G3090" s="439">
        <f>ROUND(D3090*F3090,2)</f>
        <v>0</v>
      </c>
    </row>
    <row r="3091" spans="1:7" ht="19.899999999999999" customHeight="1" x14ac:dyDescent="0.2">
      <c r="A3091" s="472"/>
      <c r="B3091" s="433"/>
      <c r="C3091" s="436">
        <f t="shared" ref="C3091" si="1067">+C2866</f>
        <v>0</v>
      </c>
      <c r="D3091" s="436"/>
      <c r="E3091" s="438">
        <f t="shared" si="1062"/>
        <v>0</v>
      </c>
      <c r="F3091" s="439">
        <f t="shared" si="1063"/>
        <v>0</v>
      </c>
      <c r="G3091" s="439">
        <f t="shared" ref="G3091:G3096" si="1068">ROUND(D3091*F3091,2)</f>
        <v>0</v>
      </c>
    </row>
    <row r="3092" spans="1:7" ht="19.899999999999999" customHeight="1" x14ac:dyDescent="0.2">
      <c r="A3092" s="472"/>
      <c r="B3092" s="433"/>
      <c r="C3092" s="436">
        <f t="shared" ref="C3092" si="1069">+C2867</f>
        <v>0</v>
      </c>
      <c r="D3092" s="436"/>
      <c r="E3092" s="438">
        <f t="shared" si="1062"/>
        <v>0</v>
      </c>
      <c r="F3092" s="439">
        <f t="shared" si="1063"/>
        <v>0</v>
      </c>
      <c r="G3092" s="439">
        <f t="shared" si="1068"/>
        <v>0</v>
      </c>
    </row>
    <row r="3093" spans="1:7" ht="19.899999999999999" customHeight="1" x14ac:dyDescent="0.2">
      <c r="A3093" s="472"/>
      <c r="B3093" s="433"/>
      <c r="C3093" s="436">
        <f t="shared" ref="C3093:D3093" si="1070">+C2868</f>
        <v>0</v>
      </c>
      <c r="D3093" s="436">
        <f t="shared" si="1070"/>
        <v>0</v>
      </c>
      <c r="E3093" s="438">
        <f t="shared" si="1062"/>
        <v>0</v>
      </c>
      <c r="F3093" s="439">
        <f t="shared" si="1063"/>
        <v>0</v>
      </c>
      <c r="G3093" s="439">
        <f t="shared" si="1068"/>
        <v>0</v>
      </c>
    </row>
    <row r="3094" spans="1:7" ht="19.899999999999999" customHeight="1" x14ac:dyDescent="0.2">
      <c r="A3094" s="472"/>
      <c r="B3094" s="433"/>
      <c r="C3094" s="436">
        <f t="shared" ref="C3094:D3094" si="1071">+C2869</f>
        <v>0</v>
      </c>
      <c r="D3094" s="436">
        <f t="shared" si="1071"/>
        <v>0</v>
      </c>
      <c r="E3094" s="438">
        <f t="shared" si="1062"/>
        <v>0</v>
      </c>
      <c r="F3094" s="439">
        <f t="shared" si="1063"/>
        <v>0</v>
      </c>
      <c r="G3094" s="439">
        <f t="shared" si="1068"/>
        <v>0</v>
      </c>
    </row>
    <row r="3095" spans="1:7" ht="19.899999999999999" customHeight="1" x14ac:dyDescent="0.2">
      <c r="A3095" s="472"/>
      <c r="B3095" s="433"/>
      <c r="C3095" s="436"/>
      <c r="D3095" s="437"/>
      <c r="E3095" s="438">
        <f t="shared" si="1062"/>
        <v>0</v>
      </c>
      <c r="F3095" s="439">
        <f t="shared" si="1063"/>
        <v>0</v>
      </c>
      <c r="G3095" s="439">
        <f t="shared" si="1068"/>
        <v>0</v>
      </c>
    </row>
    <row r="3096" spans="1:7" ht="19.899999999999999" customHeight="1" x14ac:dyDescent="0.2">
      <c r="A3096" s="472"/>
      <c r="B3096" s="433"/>
      <c r="C3096" s="436"/>
      <c r="D3096" s="437"/>
      <c r="E3096" s="438">
        <f t="shared" si="1062"/>
        <v>0</v>
      </c>
      <c r="F3096" s="439">
        <f t="shared" si="1063"/>
        <v>0</v>
      </c>
      <c r="G3096" s="439">
        <f t="shared" si="1068"/>
        <v>0</v>
      </c>
    </row>
    <row r="3097" spans="1:7" ht="19.899999999999999" customHeight="1" x14ac:dyDescent="0.2">
      <c r="A3097" s="472"/>
      <c r="B3097" s="433"/>
      <c r="C3097" s="139"/>
      <c r="D3097" s="139"/>
      <c r="E3097" s="440"/>
      <c r="F3097" s="425"/>
      <c r="G3097" s="474"/>
    </row>
    <row r="3098" spans="1:7" ht="19.899999999999999" customHeight="1" x14ac:dyDescent="0.2">
      <c r="A3098" s="472"/>
      <c r="B3098" s="139"/>
      <c r="C3098" s="422" t="s">
        <v>972</v>
      </c>
      <c r="D3098" s="425" t="s">
        <v>969</v>
      </c>
      <c r="E3098" s="491">
        <f>SUMPRODUCT(D3087:D3096,E3087:E3096)</f>
        <v>0</v>
      </c>
      <c r="F3098" s="425" t="s">
        <v>973</v>
      </c>
      <c r="G3098" s="492">
        <f>SUM(G3087:G3096)</f>
        <v>0</v>
      </c>
    </row>
    <row r="3099" spans="1:7" ht="19.899999999999999" customHeight="1" x14ac:dyDescent="0.2">
      <c r="A3099" s="472"/>
      <c r="B3099" s="433"/>
      <c r="C3099" s="441"/>
      <c r="D3099" s="440"/>
      <c r="E3099" s="427"/>
      <c r="F3099" s="425"/>
      <c r="G3099" s="478"/>
    </row>
    <row r="3100" spans="1:7" ht="19.899999999999999" customHeight="1" x14ac:dyDescent="0.2">
      <c r="A3100" s="479"/>
      <c r="B3100" s="433"/>
      <c r="C3100" s="425" t="s">
        <v>974</v>
      </c>
      <c r="D3100" s="442">
        <f>IFERROR(VLOOKUP(COUNTIF($A$1:A3100,"ANALISIS DE PRECIOS"),T_Rendimiento_Equipo,5,FALSE),0)</f>
        <v>0</v>
      </c>
      <c r="E3100" s="443" t="str">
        <f ca="1">G3082&amp;"/día"</f>
        <v>0/día</v>
      </c>
      <c r="F3100" s="419"/>
      <c r="G3100" s="474"/>
    </row>
    <row r="3101" spans="1:7" ht="19.899999999999999" customHeight="1" x14ac:dyDescent="0.2">
      <c r="A3101" s="472"/>
      <c r="B3101" s="433"/>
      <c r="C3101" s="139"/>
      <c r="D3101" s="426"/>
      <c r="E3101" s="427"/>
      <c r="F3101" s="425"/>
      <c r="G3101" s="474"/>
    </row>
    <row r="3102" spans="1:7" ht="19.899999999999999" customHeight="1" x14ac:dyDescent="0.2">
      <c r="A3102" s="720" t="s">
        <v>576</v>
      </c>
      <c r="B3102" s="721"/>
      <c r="C3102" s="722" t="s">
        <v>0</v>
      </c>
      <c r="D3102" s="734" t="s">
        <v>1724</v>
      </c>
      <c r="E3102" s="734" t="s">
        <v>1723</v>
      </c>
      <c r="F3102" s="726" t="s">
        <v>975</v>
      </c>
      <c r="G3102" s="728" t="s">
        <v>26</v>
      </c>
    </row>
    <row r="3103" spans="1:7" ht="19.899999999999999" customHeight="1" x14ac:dyDescent="0.2">
      <c r="A3103" s="444" t="s">
        <v>577</v>
      </c>
      <c r="B3103" s="444" t="s">
        <v>578</v>
      </c>
      <c r="C3103" s="723"/>
      <c r="D3103" s="735"/>
      <c r="E3103" s="725"/>
      <c r="F3103" s="727"/>
      <c r="G3103" s="729"/>
    </row>
    <row r="3104" spans="1:7" ht="19.899999999999999" customHeight="1" x14ac:dyDescent="0.2">
      <c r="A3104" s="480"/>
      <c r="B3104" s="139"/>
      <c r="C3104" s="422" t="s">
        <v>976</v>
      </c>
      <c r="D3104" s="427"/>
      <c r="E3104" s="427"/>
      <c r="F3104" s="139"/>
      <c r="G3104" s="481"/>
    </row>
    <row r="3105" spans="1:7" ht="19.899999999999999" customHeight="1" x14ac:dyDescent="0.2">
      <c r="A3105" s="482">
        <f t="shared" ref="A3105:A3113" si="1072">IFERROR(VLOOKUP(C3105,T_Insumos,4,FALSE),0)</f>
        <v>0</v>
      </c>
      <c r="B3105" s="445">
        <f t="shared" ref="B3105:B3113" si="1073">IFERROR(VLOOKUP(C3105,T_Insumos,5,FALSE),0)</f>
        <v>0</v>
      </c>
      <c r="C3105" s="436">
        <f>+C2805</f>
        <v>0</v>
      </c>
      <c r="D3105" s="446">
        <f t="shared" ref="D3105:D3113" si="1074">IFERROR(VLOOKUP(C3105,T_Insumos,3,FALSE),0)</f>
        <v>0</v>
      </c>
      <c r="E3105" s="439">
        <f>D3105*$G$323</f>
        <v>0</v>
      </c>
      <c r="F3105" s="442">
        <f>IF(C3105="",0,IFERROR(VLOOKUP(COUNTIF($A$1:A3105,"ANALISIS DE PRECIOS"),T_Rendimiento_Equipo,5,FALSE),0))</f>
        <v>0</v>
      </c>
      <c r="G3105" s="439">
        <f>IFERROR(ROUND(E3105/F3105,2),0)</f>
        <v>0</v>
      </c>
    </row>
    <row r="3106" spans="1:7" ht="19.899999999999999" customHeight="1" x14ac:dyDescent="0.2">
      <c r="A3106" s="482">
        <f t="shared" si="1072"/>
        <v>0</v>
      </c>
      <c r="B3106" s="445">
        <f t="shared" si="1073"/>
        <v>0</v>
      </c>
      <c r="C3106" s="436">
        <f t="shared" ref="C3106:C3108" si="1075">+C2806</f>
        <v>0</v>
      </c>
      <c r="D3106" s="446">
        <f t="shared" si="1074"/>
        <v>0</v>
      </c>
      <c r="E3106" s="439">
        <f t="shared" ref="E3106:E3107" si="1076">D3106*$G$323</f>
        <v>0</v>
      </c>
      <c r="F3106" s="442">
        <f>IF(C3106="",0,IFERROR(VLOOKUP(COUNTIF($A$1:A3106,"ANALISIS DE PRECIOS"),T_Rendimiento_Equipo,5,FALSE),0))</f>
        <v>0</v>
      </c>
      <c r="G3106" s="439">
        <f t="shared" ref="G3106:G3113" si="1077">IFERROR(ROUND(E3106/F3106,2),0)</f>
        <v>0</v>
      </c>
    </row>
    <row r="3107" spans="1:7" ht="19.899999999999999" customHeight="1" x14ac:dyDescent="0.2">
      <c r="A3107" s="482">
        <f t="shared" si="1072"/>
        <v>0</v>
      </c>
      <c r="B3107" s="445">
        <f t="shared" si="1073"/>
        <v>0</v>
      </c>
      <c r="C3107" s="436">
        <f t="shared" si="1075"/>
        <v>0</v>
      </c>
      <c r="D3107" s="446">
        <f t="shared" si="1074"/>
        <v>0</v>
      </c>
      <c r="E3107" s="439">
        <f t="shared" si="1076"/>
        <v>0</v>
      </c>
      <c r="F3107" s="442">
        <f>IF(C3107="",0,IFERROR(VLOOKUP(COUNTIF($A$1:A3107,"ANALISIS DE PRECIOS"),T_Rendimiento_Equipo,5,FALSE),0))</f>
        <v>0</v>
      </c>
      <c r="G3107" s="439">
        <f t="shared" si="1077"/>
        <v>0</v>
      </c>
    </row>
    <row r="3108" spans="1:7" ht="19.899999999999999" customHeight="1" x14ac:dyDescent="0.2">
      <c r="A3108" s="482">
        <f t="shared" si="1072"/>
        <v>0</v>
      </c>
      <c r="B3108" s="445">
        <f t="shared" si="1073"/>
        <v>0</v>
      </c>
      <c r="C3108" s="436">
        <f t="shared" si="1075"/>
        <v>0</v>
      </c>
      <c r="D3108" s="446">
        <f t="shared" si="1074"/>
        <v>0</v>
      </c>
      <c r="E3108" s="439">
        <f>D3108*$E$323</f>
        <v>0</v>
      </c>
      <c r="F3108" s="442">
        <f>IF(C3108="",0,IFERROR(VLOOKUP(COUNTIF($A$1:A3108,"ANALISIS DE PRECIOS"),T_Rendimiento_Equipo,5,FALSE),0))</f>
        <v>0</v>
      </c>
      <c r="G3108" s="439">
        <f t="shared" si="1077"/>
        <v>0</v>
      </c>
    </row>
    <row r="3109" spans="1:7" ht="19.899999999999999" customHeight="1" x14ac:dyDescent="0.2">
      <c r="A3109" s="482">
        <f t="shared" si="1072"/>
        <v>0</v>
      </c>
      <c r="B3109" s="445">
        <f t="shared" si="1073"/>
        <v>0</v>
      </c>
      <c r="C3109" s="447"/>
      <c r="D3109" s="446">
        <f t="shared" si="1074"/>
        <v>0</v>
      </c>
      <c r="E3109" s="439"/>
      <c r="F3109" s="442">
        <f>IF(C3109="",0,IFERROR(VLOOKUP(COUNTIF($A$1:A3109,"ANALISIS DE PRECIOS"),T_Rendimiento_Equipo,5,FALSE),0))</f>
        <v>0</v>
      </c>
      <c r="G3109" s="439">
        <f t="shared" si="1077"/>
        <v>0</v>
      </c>
    </row>
    <row r="3110" spans="1:7" ht="19.899999999999999" customHeight="1" x14ac:dyDescent="0.2">
      <c r="A3110" s="482">
        <f t="shared" si="1072"/>
        <v>0</v>
      </c>
      <c r="B3110" s="445">
        <f t="shared" si="1073"/>
        <v>0</v>
      </c>
      <c r="C3110" s="447"/>
      <c r="D3110" s="446">
        <f t="shared" si="1074"/>
        <v>0</v>
      </c>
      <c r="E3110" s="439"/>
      <c r="F3110" s="442">
        <f>IF(C3110="",0,IFERROR(VLOOKUP(COUNTIF($A$1:A3110,"ANALISIS DE PRECIOS"),T_Rendimiento_Equipo,5,FALSE),0))</f>
        <v>0</v>
      </c>
      <c r="G3110" s="439">
        <f t="shared" si="1077"/>
        <v>0</v>
      </c>
    </row>
    <row r="3111" spans="1:7" ht="19.899999999999999" customHeight="1" x14ac:dyDescent="0.2">
      <c r="A3111" s="482">
        <f t="shared" si="1072"/>
        <v>0</v>
      </c>
      <c r="B3111" s="445">
        <f t="shared" si="1073"/>
        <v>0</v>
      </c>
      <c r="C3111" s="447"/>
      <c r="D3111" s="446">
        <f t="shared" si="1074"/>
        <v>0</v>
      </c>
      <c r="E3111" s="439"/>
      <c r="F3111" s="442">
        <f>IF(C3111="",0,IFERROR(VLOOKUP(COUNTIF($A$1:A3111,"ANALISIS DE PRECIOS"),T_Rendimiento_Equipo,5,FALSE),0))</f>
        <v>0</v>
      </c>
      <c r="G3111" s="439">
        <f t="shared" si="1077"/>
        <v>0</v>
      </c>
    </row>
    <row r="3112" spans="1:7" ht="19.899999999999999" customHeight="1" x14ac:dyDescent="0.2">
      <c r="A3112" s="482">
        <f t="shared" si="1072"/>
        <v>0</v>
      </c>
      <c r="B3112" s="445">
        <f t="shared" si="1073"/>
        <v>0</v>
      </c>
      <c r="C3112" s="447"/>
      <c r="D3112" s="446">
        <f t="shared" si="1074"/>
        <v>0</v>
      </c>
      <c r="E3112" s="439"/>
      <c r="F3112" s="442">
        <f>IF(C3112="",0,IFERROR(VLOOKUP(COUNTIF($A$1:A3112,"ANALISIS DE PRECIOS"),T_Rendimiento_Equipo,5,FALSE),0))</f>
        <v>0</v>
      </c>
      <c r="G3112" s="439">
        <f t="shared" si="1077"/>
        <v>0</v>
      </c>
    </row>
    <row r="3113" spans="1:7" ht="19.899999999999999" customHeight="1" x14ac:dyDescent="0.2">
      <c r="A3113" s="482">
        <f t="shared" si="1072"/>
        <v>0</v>
      </c>
      <c r="B3113" s="445">
        <f t="shared" si="1073"/>
        <v>0</v>
      </c>
      <c r="C3113" s="436"/>
      <c r="D3113" s="446">
        <f t="shared" si="1074"/>
        <v>0</v>
      </c>
      <c r="E3113" s="439"/>
      <c r="F3113" s="442">
        <f>IF(C3113="",0,IFERROR(VLOOKUP(COUNTIF($A$1:A3113,"ANALISIS DE PRECIOS"),T_Rendimiento_Equipo,5,FALSE),0))</f>
        <v>0</v>
      </c>
      <c r="G3113" s="439">
        <f t="shared" si="1077"/>
        <v>0</v>
      </c>
    </row>
    <row r="3114" spans="1:7" ht="19.899999999999999" customHeight="1" x14ac:dyDescent="0.2">
      <c r="A3114" s="483"/>
      <c r="B3114" s="426"/>
      <c r="C3114" s="139"/>
      <c r="D3114" s="426"/>
      <c r="E3114" s="427"/>
      <c r="F3114" s="448" t="s">
        <v>27</v>
      </c>
      <c r="G3114" s="484">
        <f>SUBTOTAL(9,G3105:G3113)</f>
        <v>0</v>
      </c>
    </row>
    <row r="3115" spans="1:7" ht="19.899999999999999" customHeight="1" x14ac:dyDescent="0.2">
      <c r="A3115" s="480"/>
      <c r="B3115" s="139"/>
      <c r="C3115" s="422" t="s">
        <v>713</v>
      </c>
      <c r="D3115" s="426"/>
      <c r="E3115" s="427"/>
      <c r="F3115" s="428"/>
      <c r="G3115" s="481"/>
    </row>
    <row r="3116" spans="1:7" ht="19.899999999999999" customHeight="1" x14ac:dyDescent="0.2">
      <c r="A3116" s="720" t="s">
        <v>576</v>
      </c>
      <c r="B3116" s="721"/>
      <c r="C3116" s="722" t="s">
        <v>0</v>
      </c>
      <c r="D3116" s="724" t="s">
        <v>24</v>
      </c>
      <c r="E3116" s="724" t="s">
        <v>1964</v>
      </c>
      <c r="F3116" s="726" t="s">
        <v>975</v>
      </c>
      <c r="G3116" s="728" t="s">
        <v>26</v>
      </c>
    </row>
    <row r="3117" spans="1:7" ht="19.899999999999999" customHeight="1" x14ac:dyDescent="0.2">
      <c r="A3117" s="444" t="s">
        <v>577</v>
      </c>
      <c r="B3117" s="444" t="s">
        <v>578</v>
      </c>
      <c r="C3117" s="723"/>
      <c r="D3117" s="725"/>
      <c r="E3117" s="725"/>
      <c r="F3117" s="727"/>
      <c r="G3117" s="729"/>
    </row>
    <row r="3118" spans="1:7" ht="19.899999999999999" customHeight="1" x14ac:dyDescent="0.2">
      <c r="A3118" s="482">
        <f t="shared" ref="A3118:A3124" si="1078">IFERROR(VLOOKUP(C3118,T_Insumos,4,FALSE),0)</f>
        <v>0</v>
      </c>
      <c r="B3118" s="445">
        <f t="shared" ref="B3118:B3124" si="1079">IFERROR(VLOOKUP(C3118,T_Insumos,5,FALSE),0)</f>
        <v>0</v>
      </c>
      <c r="C3118" s="436">
        <f t="shared" ref="C3118:C3121" si="1080">+C2893</f>
        <v>0</v>
      </c>
      <c r="D3118" s="442"/>
      <c r="E3118" s="439">
        <f t="shared" ref="E3118:E3124" si="1081">IFERROR(VLOOKUP(C3118,T_Insumos,3,FALSE),0)</f>
        <v>0</v>
      </c>
      <c r="F3118" s="442">
        <f>IF(C3118="",0,IFERROR(VLOOKUP(COUNTIF($A$1:A3118,"ANALISIS DE PRECIOS"),T_Rendimiento_Equipo,5,FALSE),0))</f>
        <v>0</v>
      </c>
      <c r="G3118" s="439">
        <f>IFERROR(ROUND(D3118*E3118/F3118,2),0)</f>
        <v>0</v>
      </c>
    </row>
    <row r="3119" spans="1:7" ht="19.899999999999999" customHeight="1" x14ac:dyDescent="0.2">
      <c r="A3119" s="482">
        <f t="shared" si="1078"/>
        <v>0</v>
      </c>
      <c r="B3119" s="445">
        <f t="shared" si="1079"/>
        <v>0</v>
      </c>
      <c r="C3119" s="436">
        <f t="shared" si="1080"/>
        <v>0</v>
      </c>
      <c r="D3119" s="442">
        <v>1</v>
      </c>
      <c r="E3119" s="439">
        <f t="shared" si="1081"/>
        <v>0</v>
      </c>
      <c r="F3119" s="442">
        <f>IF(C3119="",0,IFERROR(VLOOKUP(COUNTIF($A$1:A3119,"ANALISIS DE PRECIOS"),T_Rendimiento_Equipo,5,FALSE),0))</f>
        <v>0</v>
      </c>
      <c r="G3119" s="439">
        <f>IFERROR(ROUND(D3119*E3119/F3119,2),0)</f>
        <v>0</v>
      </c>
    </row>
    <row r="3120" spans="1:7" ht="19.899999999999999" customHeight="1" x14ac:dyDescent="0.2">
      <c r="A3120" s="482">
        <f t="shared" si="1078"/>
        <v>0</v>
      </c>
      <c r="B3120" s="445">
        <f t="shared" si="1079"/>
        <v>0</v>
      </c>
      <c r="C3120" s="436">
        <f t="shared" si="1080"/>
        <v>0</v>
      </c>
      <c r="D3120" s="442"/>
      <c r="E3120" s="439">
        <f t="shared" si="1081"/>
        <v>0</v>
      </c>
      <c r="F3120" s="442">
        <f>IF(C3120="",0,IFERROR(VLOOKUP(COUNTIF($A$1:A3120,"ANALISIS DE PRECIOS"),T_Rendimiento_Equipo,5,FALSE),0))</f>
        <v>0</v>
      </c>
      <c r="G3120" s="439">
        <f t="shared" ref="G3120:G3124" si="1082">IFERROR(ROUND(D3120*E3120/F3120,2),0)</f>
        <v>0</v>
      </c>
    </row>
    <row r="3121" spans="1:7" ht="19.899999999999999" customHeight="1" x14ac:dyDescent="0.2">
      <c r="A3121" s="482">
        <f t="shared" si="1078"/>
        <v>0</v>
      </c>
      <c r="B3121" s="445">
        <f t="shared" si="1079"/>
        <v>0</v>
      </c>
      <c r="C3121" s="436">
        <f t="shared" si="1080"/>
        <v>0</v>
      </c>
      <c r="D3121" s="442">
        <v>2</v>
      </c>
      <c r="E3121" s="439">
        <f t="shared" si="1081"/>
        <v>0</v>
      </c>
      <c r="F3121" s="442">
        <f>IF(C3121="",0,IFERROR(VLOOKUP(COUNTIF($A$1:A3121,"ANALISIS DE PRECIOS"),T_Rendimiento_Equipo,5,FALSE),0))</f>
        <v>0</v>
      </c>
      <c r="G3121" s="439">
        <f t="shared" si="1082"/>
        <v>0</v>
      </c>
    </row>
    <row r="3122" spans="1:7" ht="19.899999999999999" customHeight="1" x14ac:dyDescent="0.2">
      <c r="A3122" s="482">
        <f t="shared" si="1078"/>
        <v>0</v>
      </c>
      <c r="B3122" s="445">
        <f t="shared" si="1079"/>
        <v>0</v>
      </c>
      <c r="C3122" s="436"/>
      <c r="D3122" s="442"/>
      <c r="E3122" s="439">
        <f t="shared" si="1081"/>
        <v>0</v>
      </c>
      <c r="F3122" s="442">
        <f>IF(C3122="",0,IFERROR(VLOOKUP(COUNTIF($A$1:A3122,"ANALISIS DE PRECIOS"),T_Rendimiento_Equipo,5,FALSE),0))</f>
        <v>0</v>
      </c>
      <c r="G3122" s="439">
        <f t="shared" si="1082"/>
        <v>0</v>
      </c>
    </row>
    <row r="3123" spans="1:7" ht="19.899999999999999" customHeight="1" x14ac:dyDescent="0.2">
      <c r="A3123" s="482">
        <f t="shared" si="1078"/>
        <v>0</v>
      </c>
      <c r="B3123" s="445">
        <f t="shared" si="1079"/>
        <v>0</v>
      </c>
      <c r="C3123" s="436"/>
      <c r="D3123" s="450"/>
      <c r="E3123" s="439">
        <f t="shared" si="1081"/>
        <v>0</v>
      </c>
      <c r="F3123" s="442">
        <f>IF(C3123="",0,IFERROR(VLOOKUP(COUNTIF($A$1:A3123,"ANALISIS DE PRECIOS"),T_Rendimiento_Equipo,5,FALSE),0))</f>
        <v>0</v>
      </c>
      <c r="G3123" s="439">
        <f t="shared" si="1082"/>
        <v>0</v>
      </c>
    </row>
    <row r="3124" spans="1:7" ht="19.899999999999999" customHeight="1" x14ac:dyDescent="0.2">
      <c r="A3124" s="482">
        <f t="shared" si="1078"/>
        <v>0</v>
      </c>
      <c r="B3124" s="445">
        <f t="shared" si="1079"/>
        <v>0</v>
      </c>
      <c r="C3124" s="445"/>
      <c r="D3124" s="451"/>
      <c r="E3124" s="439">
        <f t="shared" si="1081"/>
        <v>0</v>
      </c>
      <c r="F3124" s="442">
        <f>IF(C3124="",0,IFERROR(VLOOKUP(COUNTIF($A$1:A3124,"ANALISIS DE PRECIOS"),T_Rendimiento_Equipo,5,FALSE),0))</f>
        <v>0</v>
      </c>
      <c r="G3124" s="439">
        <f t="shared" si="1082"/>
        <v>0</v>
      </c>
    </row>
    <row r="3125" spans="1:7" ht="19.899999999999999" customHeight="1" x14ac:dyDescent="0.2">
      <c r="A3125" s="483"/>
      <c r="B3125" s="426"/>
      <c r="C3125" s="139"/>
      <c r="D3125" s="426"/>
      <c r="E3125" s="427"/>
      <c r="F3125" s="448" t="s">
        <v>28</v>
      </c>
      <c r="G3125" s="485">
        <f>SUBTOTAL(9,G3118:G3124)</f>
        <v>0</v>
      </c>
    </row>
    <row r="3126" spans="1:7" ht="19.899999999999999" customHeight="1" x14ac:dyDescent="0.2">
      <c r="A3126" s="480"/>
      <c r="B3126" s="139"/>
      <c r="C3126" s="422" t="s">
        <v>982</v>
      </c>
      <c r="D3126" s="426"/>
      <c r="E3126" s="427"/>
      <c r="F3126" s="428"/>
      <c r="G3126" s="481"/>
    </row>
    <row r="3127" spans="1:7" ht="19.899999999999999" customHeight="1" x14ac:dyDescent="0.2">
      <c r="A3127" s="720" t="s">
        <v>576</v>
      </c>
      <c r="B3127" s="721"/>
      <c r="C3127" s="722" t="s">
        <v>0</v>
      </c>
      <c r="D3127" s="722" t="s">
        <v>1725</v>
      </c>
      <c r="E3127" s="724" t="s">
        <v>24</v>
      </c>
      <c r="F3127" s="726" t="s">
        <v>25</v>
      </c>
      <c r="G3127" s="728" t="s">
        <v>26</v>
      </c>
    </row>
    <row r="3128" spans="1:7" ht="19.899999999999999" customHeight="1" x14ac:dyDescent="0.2">
      <c r="A3128" s="444" t="s">
        <v>577</v>
      </c>
      <c r="B3128" s="444" t="s">
        <v>578</v>
      </c>
      <c r="C3128" s="723"/>
      <c r="D3128" s="723"/>
      <c r="E3128" s="725"/>
      <c r="F3128" s="727"/>
      <c r="G3128" s="729"/>
    </row>
    <row r="3129" spans="1:7" ht="19.899999999999999" customHeight="1" x14ac:dyDescent="0.2">
      <c r="A3129" s="482">
        <f t="shared" ref="A3129:A3139" si="1083">IFERROR(VLOOKUP(C3129,T_Insumos,4,FALSE),0)</f>
        <v>0</v>
      </c>
      <c r="B3129" s="445">
        <f t="shared" ref="B3129:B3139" si="1084">IFERROR(VLOOKUP(C3129,T_Insumos,5,FALSE),0)</f>
        <v>0</v>
      </c>
      <c r="C3129" s="436">
        <f t="shared" ref="C3129:C3139" si="1085">+C2904</f>
        <v>0</v>
      </c>
      <c r="D3129" s="493">
        <f t="shared" ref="D3129:D3139" si="1086">IFERROR(VLOOKUP(C3129,T_Insumos,2,FALSE),0)</f>
        <v>0</v>
      </c>
      <c r="E3129" s="437"/>
      <c r="F3129" s="439">
        <f t="shared" ref="F3129:F3139" si="1087">IFERROR(VLOOKUP(C3129,T_Insumos,3,FALSE),0)</f>
        <v>0</v>
      </c>
      <c r="G3129" s="439">
        <f>ROUND(E3129*F3129,2)</f>
        <v>0</v>
      </c>
    </row>
    <row r="3130" spans="1:7" ht="19.899999999999999" customHeight="1" x14ac:dyDescent="0.2">
      <c r="A3130" s="482">
        <f t="shared" si="1083"/>
        <v>0</v>
      </c>
      <c r="B3130" s="445">
        <f t="shared" si="1084"/>
        <v>0</v>
      </c>
      <c r="C3130" s="436">
        <f t="shared" si="1085"/>
        <v>0</v>
      </c>
      <c r="D3130" s="493">
        <f t="shared" si="1086"/>
        <v>0</v>
      </c>
      <c r="E3130" s="437"/>
      <c r="F3130" s="439">
        <f t="shared" si="1087"/>
        <v>0</v>
      </c>
      <c r="G3130" s="439">
        <f t="shared" ref="G3130:G3139" si="1088">ROUND(E3130*F3130,2)</f>
        <v>0</v>
      </c>
    </row>
    <row r="3131" spans="1:7" ht="19.899999999999999" customHeight="1" x14ac:dyDescent="0.2">
      <c r="A3131" s="482">
        <f t="shared" si="1083"/>
        <v>0</v>
      </c>
      <c r="B3131" s="445">
        <f t="shared" si="1084"/>
        <v>0</v>
      </c>
      <c r="C3131" s="436">
        <f t="shared" si="1085"/>
        <v>0</v>
      </c>
      <c r="D3131" s="493">
        <f t="shared" si="1086"/>
        <v>0</v>
      </c>
      <c r="E3131" s="437"/>
      <c r="F3131" s="439">
        <f t="shared" si="1087"/>
        <v>0</v>
      </c>
      <c r="G3131" s="439">
        <f t="shared" si="1088"/>
        <v>0</v>
      </c>
    </row>
    <row r="3132" spans="1:7" ht="19.899999999999999" customHeight="1" x14ac:dyDescent="0.2">
      <c r="A3132" s="482">
        <f t="shared" si="1083"/>
        <v>0</v>
      </c>
      <c r="B3132" s="445">
        <f t="shared" si="1084"/>
        <v>0</v>
      </c>
      <c r="C3132" s="436">
        <f t="shared" si="1085"/>
        <v>0</v>
      </c>
      <c r="D3132" s="493">
        <f t="shared" si="1086"/>
        <v>0</v>
      </c>
      <c r="E3132" s="437"/>
      <c r="F3132" s="439">
        <f t="shared" si="1087"/>
        <v>0</v>
      </c>
      <c r="G3132" s="439">
        <f t="shared" si="1088"/>
        <v>0</v>
      </c>
    </row>
    <row r="3133" spans="1:7" ht="19.899999999999999" customHeight="1" x14ac:dyDescent="0.2">
      <c r="A3133" s="482">
        <f t="shared" si="1083"/>
        <v>0</v>
      </c>
      <c r="B3133" s="445">
        <f t="shared" si="1084"/>
        <v>0</v>
      </c>
      <c r="C3133" s="436">
        <f t="shared" si="1085"/>
        <v>0</v>
      </c>
      <c r="D3133" s="493">
        <f t="shared" si="1086"/>
        <v>0</v>
      </c>
      <c r="E3133" s="437"/>
      <c r="F3133" s="439">
        <f t="shared" si="1087"/>
        <v>0</v>
      </c>
      <c r="G3133" s="439">
        <f t="shared" si="1088"/>
        <v>0</v>
      </c>
    </row>
    <row r="3134" spans="1:7" ht="19.899999999999999" customHeight="1" x14ac:dyDescent="0.2">
      <c r="A3134" s="482">
        <f t="shared" si="1083"/>
        <v>0</v>
      </c>
      <c r="B3134" s="445">
        <f t="shared" si="1084"/>
        <v>0</v>
      </c>
      <c r="C3134" s="436">
        <f t="shared" si="1085"/>
        <v>0</v>
      </c>
      <c r="D3134" s="493">
        <f t="shared" si="1086"/>
        <v>0</v>
      </c>
      <c r="E3134" s="437"/>
      <c r="F3134" s="439">
        <f t="shared" si="1087"/>
        <v>0</v>
      </c>
      <c r="G3134" s="439">
        <f t="shared" si="1088"/>
        <v>0</v>
      </c>
    </row>
    <row r="3135" spans="1:7" ht="19.899999999999999" customHeight="1" x14ac:dyDescent="0.2">
      <c r="A3135" s="482">
        <f t="shared" si="1083"/>
        <v>0</v>
      </c>
      <c r="B3135" s="445">
        <f t="shared" si="1084"/>
        <v>0</v>
      </c>
      <c r="C3135" s="436">
        <f t="shared" si="1085"/>
        <v>0</v>
      </c>
      <c r="D3135" s="493">
        <f t="shared" si="1086"/>
        <v>0</v>
      </c>
      <c r="E3135" s="437"/>
      <c r="F3135" s="439">
        <f t="shared" si="1087"/>
        <v>0</v>
      </c>
      <c r="G3135" s="439">
        <f t="shared" si="1088"/>
        <v>0</v>
      </c>
    </row>
    <row r="3136" spans="1:7" ht="19.899999999999999" customHeight="1" x14ac:dyDescent="0.2">
      <c r="A3136" s="482">
        <f t="shared" si="1083"/>
        <v>0</v>
      </c>
      <c r="B3136" s="445">
        <f t="shared" si="1084"/>
        <v>0</v>
      </c>
      <c r="C3136" s="436">
        <f t="shared" si="1085"/>
        <v>0</v>
      </c>
      <c r="D3136" s="493">
        <f t="shared" si="1086"/>
        <v>0</v>
      </c>
      <c r="E3136" s="437"/>
      <c r="F3136" s="439">
        <f t="shared" si="1087"/>
        <v>0</v>
      </c>
      <c r="G3136" s="439">
        <f t="shared" si="1088"/>
        <v>0</v>
      </c>
    </row>
    <row r="3137" spans="1:7" ht="19.899999999999999" customHeight="1" x14ac:dyDescent="0.2">
      <c r="A3137" s="482">
        <f t="shared" si="1083"/>
        <v>0</v>
      </c>
      <c r="B3137" s="445">
        <f t="shared" si="1084"/>
        <v>0</v>
      </c>
      <c r="C3137" s="436">
        <f t="shared" si="1085"/>
        <v>0</v>
      </c>
      <c r="D3137" s="493">
        <f t="shared" si="1086"/>
        <v>0</v>
      </c>
      <c r="E3137" s="437"/>
      <c r="F3137" s="439">
        <f t="shared" si="1087"/>
        <v>0</v>
      </c>
      <c r="G3137" s="439">
        <f t="shared" si="1088"/>
        <v>0</v>
      </c>
    </row>
    <row r="3138" spans="1:7" ht="19.899999999999999" customHeight="1" x14ac:dyDescent="0.2">
      <c r="A3138" s="482">
        <f t="shared" si="1083"/>
        <v>0</v>
      </c>
      <c r="B3138" s="445">
        <f t="shared" si="1084"/>
        <v>0</v>
      </c>
      <c r="C3138" s="436">
        <f t="shared" si="1085"/>
        <v>0</v>
      </c>
      <c r="D3138" s="493">
        <f t="shared" si="1086"/>
        <v>0</v>
      </c>
      <c r="E3138" s="437"/>
      <c r="F3138" s="439">
        <f t="shared" si="1087"/>
        <v>0</v>
      </c>
      <c r="G3138" s="439">
        <f t="shared" si="1088"/>
        <v>0</v>
      </c>
    </row>
    <row r="3139" spans="1:7" ht="19.899999999999999" customHeight="1" x14ac:dyDescent="0.2">
      <c r="A3139" s="482">
        <f t="shared" si="1083"/>
        <v>0</v>
      </c>
      <c r="B3139" s="445">
        <f t="shared" si="1084"/>
        <v>0</v>
      </c>
      <c r="C3139" s="436">
        <f t="shared" si="1085"/>
        <v>0</v>
      </c>
      <c r="D3139" s="493">
        <f t="shared" si="1086"/>
        <v>0</v>
      </c>
      <c r="E3139" s="437"/>
      <c r="F3139" s="439">
        <f t="shared" si="1087"/>
        <v>0</v>
      </c>
      <c r="G3139" s="439">
        <f t="shared" si="1088"/>
        <v>0</v>
      </c>
    </row>
    <row r="3140" spans="1:7" ht="19.899999999999999" customHeight="1" x14ac:dyDescent="0.2">
      <c r="A3140" s="480"/>
      <c r="B3140" s="139"/>
      <c r="C3140" s="139"/>
      <c r="D3140" s="426"/>
      <c r="E3140" s="427"/>
      <c r="F3140" s="448" t="s">
        <v>29</v>
      </c>
      <c r="G3140" s="485">
        <f>SUBTOTAL(9,G3129:G3139)</f>
        <v>0</v>
      </c>
    </row>
    <row r="3141" spans="1:7" ht="19.899999999999999" customHeight="1" x14ac:dyDescent="0.2">
      <c r="A3141" s="480"/>
      <c r="B3141" s="139"/>
      <c r="C3141" s="422" t="s">
        <v>983</v>
      </c>
      <c r="D3141" s="426"/>
      <c r="E3141" s="427"/>
      <c r="F3141" s="428"/>
      <c r="G3141" s="481"/>
    </row>
    <row r="3142" spans="1:7" ht="19.899999999999999" customHeight="1" x14ac:dyDescent="0.2">
      <c r="A3142" s="720" t="s">
        <v>576</v>
      </c>
      <c r="B3142" s="721"/>
      <c r="C3142" s="722" t="s">
        <v>0</v>
      </c>
      <c r="D3142" s="722" t="s">
        <v>1725</v>
      </c>
      <c r="E3142" s="724" t="s">
        <v>24</v>
      </c>
      <c r="F3142" s="726" t="s">
        <v>25</v>
      </c>
      <c r="G3142" s="728" t="s">
        <v>26</v>
      </c>
    </row>
    <row r="3143" spans="1:7" ht="19.899999999999999" customHeight="1" x14ac:dyDescent="0.2">
      <c r="A3143" s="444" t="s">
        <v>577</v>
      </c>
      <c r="B3143" s="444" t="s">
        <v>578</v>
      </c>
      <c r="C3143" s="723"/>
      <c r="D3143" s="723"/>
      <c r="E3143" s="725"/>
      <c r="F3143" s="727"/>
      <c r="G3143" s="729"/>
    </row>
    <row r="3144" spans="1:7" ht="19.899999999999999" customHeight="1" x14ac:dyDescent="0.2">
      <c r="A3144" s="482">
        <f>IFERROR(VLOOKUP(C3144,T_Insumos,4,FALSE),0)</f>
        <v>0</v>
      </c>
      <c r="B3144" s="445">
        <f>IFERROR(VLOOKUP(C3144,T_Insumos,5,FALSE),0)</f>
        <v>0</v>
      </c>
      <c r="C3144" s="436"/>
      <c r="D3144" s="493">
        <f>IF(C3144=0,0,"$/tnkm")</f>
        <v>0</v>
      </c>
      <c r="E3144" s="437"/>
      <c r="F3144" s="439">
        <f>IFERROR(VLOOKUP(C3144,T_Insumos,3,FALSE),0)</f>
        <v>0</v>
      </c>
      <c r="G3144" s="439">
        <f>ROUND(E3144*F3144,2)</f>
        <v>0</v>
      </c>
    </row>
    <row r="3145" spans="1:7" ht="19.899999999999999" customHeight="1" x14ac:dyDescent="0.2">
      <c r="A3145" s="482">
        <f>IFERROR(VLOOKUP(C3145,T_Insumos,4,FALSE),0)</f>
        <v>0</v>
      </c>
      <c r="B3145" s="445">
        <f>IFERROR(VLOOKUP(C3145,T_Insumos,5,FALSE),0)</f>
        <v>0</v>
      </c>
      <c r="C3145" s="436"/>
      <c r="D3145" s="493">
        <f>IF(C3145=0,0,"$/tnkm")</f>
        <v>0</v>
      </c>
      <c r="E3145" s="453"/>
      <c r="F3145" s="439">
        <f>IFERROR(VLOOKUP(C3145,T_Insumos,3,FALSE),0)</f>
        <v>0</v>
      </c>
      <c r="G3145" s="439">
        <f t="shared" ref="G3145" si="1089">ROUND(E3145*F3145,2)</f>
        <v>0</v>
      </c>
    </row>
    <row r="3146" spans="1:7" ht="19.899999999999999" customHeight="1" x14ac:dyDescent="0.2">
      <c r="A3146" s="480"/>
      <c r="B3146" s="139"/>
      <c r="C3146" s="139"/>
      <c r="D3146" s="426"/>
      <c r="E3146" s="427"/>
      <c r="F3146" s="448" t="s">
        <v>984</v>
      </c>
      <c r="G3146" s="485">
        <f>SUBTOTAL(9,G3144:G3145)</f>
        <v>0</v>
      </c>
    </row>
    <row r="3147" spans="1:7" ht="19.899999999999999" customHeight="1" x14ac:dyDescent="0.2">
      <c r="A3147" s="483"/>
      <c r="B3147" s="426"/>
      <c r="C3147" s="139"/>
      <c r="D3147" s="426"/>
      <c r="E3147" s="427"/>
      <c r="F3147" s="428"/>
      <c r="G3147" s="481"/>
    </row>
    <row r="3148" spans="1:7" ht="19.899999999999999" customHeight="1" x14ac:dyDescent="0.2">
      <c r="A3148" s="541" t="str">
        <f>B3082</f>
        <v/>
      </c>
      <c r="B3148" s="538">
        <f ca="1">C3082</f>
        <v>0</v>
      </c>
      <c r="C3148" s="426"/>
      <c r="D3148" s="426" t="s">
        <v>1704</v>
      </c>
      <c r="E3148" s="539"/>
      <c r="F3148" s="540" t="str">
        <f ca="1">"$/"&amp;G3082</f>
        <v>$/0</v>
      </c>
      <c r="G3148" s="490">
        <f>SUBTOTAL(9,G3105:G3147)</f>
        <v>0</v>
      </c>
    </row>
    <row r="3149" spans="1:7" ht="19.899999999999999" customHeight="1" x14ac:dyDescent="0.2">
      <c r="A3149" s="486"/>
      <c r="B3149" s="487"/>
      <c r="C3149" s="488"/>
      <c r="D3149" s="488" t="s">
        <v>1900</v>
      </c>
      <c r="E3149" s="489"/>
      <c r="F3149" s="542" t="str">
        <f ca="1">"$/"&amp;G3082</f>
        <v>$/0</v>
      </c>
      <c r="G3149" s="490">
        <f>ROUND(G3148*Coeficiente_Paso,2)</f>
        <v>0</v>
      </c>
    </row>
    <row r="3150" spans="1:7" ht="19.899999999999999" customHeight="1" x14ac:dyDescent="0.2">
      <c r="A3150" s="139"/>
      <c r="B3150" s="139"/>
      <c r="C3150" s="139"/>
      <c r="D3150" s="139"/>
      <c r="E3150" s="139"/>
      <c r="F3150" s="139"/>
      <c r="G3150" s="139"/>
    </row>
    <row r="3151" spans="1:7" ht="19.899999999999999" customHeight="1" x14ac:dyDescent="0.2">
      <c r="A3151" s="730" t="s">
        <v>31</v>
      </c>
      <c r="B3151" s="731"/>
      <c r="C3151" s="731"/>
      <c r="D3151" s="731"/>
      <c r="E3151" s="731"/>
      <c r="F3151" s="731"/>
      <c r="G3151" s="732"/>
    </row>
    <row r="3152" spans="1:7" ht="19.899999999999999" customHeight="1" x14ac:dyDescent="0.2">
      <c r="A3152" s="469" t="s">
        <v>711</v>
      </c>
      <c r="B3152" s="420" t="str">
        <f>Comitente</f>
        <v>DEPARTAMENTO DE HIDRAULICA</v>
      </c>
      <c r="C3152" s="421"/>
      <c r="D3152" s="422"/>
      <c r="E3152" s="422"/>
      <c r="F3152" s="423"/>
      <c r="G3152" s="470"/>
    </row>
    <row r="3153" spans="1:7" ht="19.899999999999999" customHeight="1" x14ac:dyDescent="0.2">
      <c r="A3153" s="469" t="s">
        <v>712</v>
      </c>
      <c r="B3153" s="420">
        <f>Contratista</f>
        <v>0</v>
      </c>
      <c r="C3153" s="424"/>
      <c r="D3153" s="424"/>
      <c r="E3153" s="424"/>
      <c r="F3153" s="420"/>
      <c r="G3153" s="471"/>
    </row>
    <row r="3154" spans="1:7" ht="19.899999999999999" customHeight="1" x14ac:dyDescent="0.2">
      <c r="A3154" s="469" t="s">
        <v>21</v>
      </c>
      <c r="B3154" s="420" t="str">
        <f>Obra</f>
        <v>Encamisado Parcial del Canal de Calle América</v>
      </c>
      <c r="C3154" s="424"/>
      <c r="D3154" s="424"/>
      <c r="E3154" s="424"/>
      <c r="F3154" s="420" t="s">
        <v>32</v>
      </c>
      <c r="G3154" s="471" t="str">
        <f>Fecha_Base</f>
        <v>X/X/2023</v>
      </c>
    </row>
    <row r="3155" spans="1:7" ht="19.899999999999999" customHeight="1" x14ac:dyDescent="0.2">
      <c r="A3155" s="472" t="s">
        <v>710</v>
      </c>
      <c r="B3155" s="425" t="str">
        <f>Ubicación</f>
        <v>Departamento Rawson</v>
      </c>
      <c r="C3155" s="425"/>
      <c r="D3155" s="426"/>
      <c r="E3155" s="427"/>
      <c r="F3155" s="428"/>
      <c r="G3155" s="473"/>
    </row>
    <row r="3156" spans="1:7" ht="19.899999999999999" customHeight="1" x14ac:dyDescent="0.2">
      <c r="A3156" s="472" t="s">
        <v>33</v>
      </c>
      <c r="B3156" s="429" t="str">
        <f>IFERROR(VALUE(LEFT(B3157,FIND(".",B3157)-1)),"")</f>
        <v/>
      </c>
      <c r="C3156" s="139">
        <f ca="1">IFERROR(VLOOKUP(B3156,T_Computo_Presupuesto,2,FALSE),0)</f>
        <v>0</v>
      </c>
      <c r="D3156" s="139"/>
      <c r="E3156" s="427"/>
      <c r="F3156" s="428"/>
      <c r="G3156" s="473"/>
    </row>
    <row r="3157" spans="1:7" ht="19.899999999999999" customHeight="1" x14ac:dyDescent="0.2">
      <c r="A3157" s="472" t="s">
        <v>22</v>
      </c>
      <c r="B3157" s="430" t="str">
        <f>IFERROR(VLOOKUP(COUNTIF($A$1:A3157,"ANALISIS DE PRECIOS"),T_NumeroItem,2,FALSE),"")</f>
        <v/>
      </c>
      <c r="C3157" s="733">
        <f ca="1">IFERROR(VLOOKUP(B3157,T_Computo_Presupuesto,2,FALSE),0)</f>
        <v>0</v>
      </c>
      <c r="D3157" s="733"/>
      <c r="E3157" s="733"/>
      <c r="F3157" s="425" t="s">
        <v>23</v>
      </c>
      <c r="G3157" s="474">
        <f ca="1">IFERROR(VLOOKUP(B3157,T_Computo_Presupuesto,4,FALSE),0)</f>
        <v>0</v>
      </c>
    </row>
    <row r="3158" spans="1:7" ht="19.899999999999999" customHeight="1" x14ac:dyDescent="0.2">
      <c r="A3158" s="472"/>
      <c r="B3158" s="425"/>
      <c r="C3158" s="139"/>
      <c r="D3158" s="426"/>
      <c r="E3158" s="427"/>
      <c r="F3158" s="139"/>
      <c r="G3158" s="475"/>
    </row>
    <row r="3159" spans="1:7" ht="19.899999999999999" customHeight="1" x14ac:dyDescent="0.2">
      <c r="A3159" s="476"/>
      <c r="B3159" s="431"/>
      <c r="C3159" s="432" t="s">
        <v>967</v>
      </c>
      <c r="D3159" s="431"/>
      <c r="E3159" s="431"/>
      <c r="F3159" s="431"/>
      <c r="G3159" s="477"/>
    </row>
    <row r="3160" spans="1:7" ht="19.899999999999999" customHeight="1" x14ac:dyDescent="0.2">
      <c r="A3160" s="472"/>
      <c r="B3160" s="433"/>
      <c r="C3160" s="139"/>
      <c r="D3160" s="426"/>
      <c r="E3160" s="427"/>
      <c r="F3160" s="425"/>
      <c r="G3160" s="474"/>
    </row>
    <row r="3161" spans="1:7" ht="19.899999999999999" customHeight="1" x14ac:dyDescent="0.2">
      <c r="A3161" s="472"/>
      <c r="B3161" s="433"/>
      <c r="C3161" s="434" t="s">
        <v>968</v>
      </c>
      <c r="D3161" s="435" t="s">
        <v>24</v>
      </c>
      <c r="E3161" s="435" t="s">
        <v>969</v>
      </c>
      <c r="F3161" s="435" t="s">
        <v>970</v>
      </c>
      <c r="G3161" s="434" t="s">
        <v>971</v>
      </c>
    </row>
    <row r="3162" spans="1:7" ht="19.899999999999999" customHeight="1" x14ac:dyDescent="0.2">
      <c r="A3162" s="472"/>
      <c r="B3162" s="433"/>
      <c r="C3162" s="436">
        <f>+C2937</f>
        <v>0</v>
      </c>
      <c r="D3162" s="436">
        <f>+D2937</f>
        <v>0</v>
      </c>
      <c r="E3162" s="438">
        <f t="shared" ref="E3162:E3171" si="1090">IFERROR(VLOOKUP(C3162,T_Equipos,4,FALSE),0)</f>
        <v>0</v>
      </c>
      <c r="F3162" s="439">
        <f t="shared" ref="F3162:F3171" si="1091">IFERROR(VLOOKUP(C3162,T_Equipos,5,FALSE),0)</f>
        <v>0</v>
      </c>
      <c r="G3162" s="439">
        <f>ROUND(D3162*F3162,2)</f>
        <v>0</v>
      </c>
    </row>
    <row r="3163" spans="1:7" ht="19.899999999999999" customHeight="1" x14ac:dyDescent="0.2">
      <c r="A3163" s="472"/>
      <c r="B3163" s="433"/>
      <c r="C3163" s="436">
        <f t="shared" ref="C3163:D3163" si="1092">+C2938</f>
        <v>0</v>
      </c>
      <c r="D3163" s="436">
        <f t="shared" si="1092"/>
        <v>0</v>
      </c>
      <c r="E3163" s="438">
        <f t="shared" si="1090"/>
        <v>0</v>
      </c>
      <c r="F3163" s="439">
        <f t="shared" si="1091"/>
        <v>0</v>
      </c>
      <c r="G3163" s="439">
        <f>ROUND(D3163*F3163,2)</f>
        <v>0</v>
      </c>
    </row>
    <row r="3164" spans="1:7" ht="19.899999999999999" customHeight="1" x14ac:dyDescent="0.2">
      <c r="A3164" s="472"/>
      <c r="B3164" s="433"/>
      <c r="C3164" s="436">
        <f t="shared" ref="C3164" si="1093">+C2939</f>
        <v>0</v>
      </c>
      <c r="D3164" s="436"/>
      <c r="E3164" s="438">
        <f t="shared" si="1090"/>
        <v>0</v>
      </c>
      <c r="F3164" s="439">
        <f t="shared" si="1091"/>
        <v>0</v>
      </c>
      <c r="G3164" s="439">
        <f>ROUND(D3164*F3164,2)</f>
        <v>0</v>
      </c>
    </row>
    <row r="3165" spans="1:7" ht="19.899999999999999" customHeight="1" x14ac:dyDescent="0.2">
      <c r="A3165" s="472"/>
      <c r="B3165" s="433"/>
      <c r="C3165" s="436">
        <f t="shared" ref="C3165" si="1094">+C2940</f>
        <v>0</v>
      </c>
      <c r="D3165" s="436"/>
      <c r="E3165" s="438">
        <f t="shared" si="1090"/>
        <v>0</v>
      </c>
      <c r="F3165" s="439">
        <f t="shared" si="1091"/>
        <v>0</v>
      </c>
      <c r="G3165" s="439">
        <f>ROUND(D3165*F3165,2)</f>
        <v>0</v>
      </c>
    </row>
    <row r="3166" spans="1:7" ht="19.899999999999999" customHeight="1" x14ac:dyDescent="0.2">
      <c r="A3166" s="472"/>
      <c r="B3166" s="433"/>
      <c r="C3166" s="436">
        <f t="shared" ref="C3166" si="1095">+C2941</f>
        <v>0</v>
      </c>
      <c r="D3166" s="436"/>
      <c r="E3166" s="438">
        <f t="shared" si="1090"/>
        <v>0</v>
      </c>
      <c r="F3166" s="439">
        <f t="shared" si="1091"/>
        <v>0</v>
      </c>
      <c r="G3166" s="439">
        <f t="shared" ref="G3166:G3171" si="1096">ROUND(D3166*F3166,2)</f>
        <v>0</v>
      </c>
    </row>
    <row r="3167" spans="1:7" ht="19.899999999999999" customHeight="1" x14ac:dyDescent="0.2">
      <c r="A3167" s="472"/>
      <c r="B3167" s="433"/>
      <c r="C3167" s="436">
        <f t="shared" ref="C3167" si="1097">+C2942</f>
        <v>0</v>
      </c>
      <c r="D3167" s="436"/>
      <c r="E3167" s="438">
        <f t="shared" si="1090"/>
        <v>0</v>
      </c>
      <c r="F3167" s="439">
        <f t="shared" si="1091"/>
        <v>0</v>
      </c>
      <c r="G3167" s="439">
        <f t="shared" si="1096"/>
        <v>0</v>
      </c>
    </row>
    <row r="3168" spans="1:7" ht="19.899999999999999" customHeight="1" x14ac:dyDescent="0.2">
      <c r="A3168" s="472"/>
      <c r="B3168" s="433"/>
      <c r="C3168" s="436">
        <f t="shared" ref="C3168:D3168" si="1098">+C2943</f>
        <v>0</v>
      </c>
      <c r="D3168" s="436">
        <f t="shared" si="1098"/>
        <v>0</v>
      </c>
      <c r="E3168" s="438">
        <f t="shared" si="1090"/>
        <v>0</v>
      </c>
      <c r="F3168" s="439">
        <f t="shared" si="1091"/>
        <v>0</v>
      </c>
      <c r="G3168" s="439">
        <f t="shared" si="1096"/>
        <v>0</v>
      </c>
    </row>
    <row r="3169" spans="1:7" ht="19.899999999999999" customHeight="1" x14ac:dyDescent="0.2">
      <c r="A3169" s="472"/>
      <c r="B3169" s="433"/>
      <c r="C3169" s="436">
        <f t="shared" ref="C3169:D3169" si="1099">+C2944</f>
        <v>0</v>
      </c>
      <c r="D3169" s="436">
        <f t="shared" si="1099"/>
        <v>0</v>
      </c>
      <c r="E3169" s="438">
        <f t="shared" si="1090"/>
        <v>0</v>
      </c>
      <c r="F3169" s="439">
        <f t="shared" si="1091"/>
        <v>0</v>
      </c>
      <c r="G3169" s="439">
        <f t="shared" si="1096"/>
        <v>0</v>
      </c>
    </row>
    <row r="3170" spans="1:7" ht="19.899999999999999" customHeight="1" x14ac:dyDescent="0.2">
      <c r="A3170" s="472"/>
      <c r="B3170" s="433"/>
      <c r="C3170" s="436"/>
      <c r="D3170" s="437"/>
      <c r="E3170" s="438">
        <f t="shared" si="1090"/>
        <v>0</v>
      </c>
      <c r="F3170" s="439">
        <f t="shared" si="1091"/>
        <v>0</v>
      </c>
      <c r="G3170" s="439">
        <f t="shared" si="1096"/>
        <v>0</v>
      </c>
    </row>
    <row r="3171" spans="1:7" ht="19.899999999999999" customHeight="1" x14ac:dyDescent="0.2">
      <c r="A3171" s="472"/>
      <c r="B3171" s="433"/>
      <c r="C3171" s="436"/>
      <c r="D3171" s="437"/>
      <c r="E3171" s="438">
        <f t="shared" si="1090"/>
        <v>0</v>
      </c>
      <c r="F3171" s="439">
        <f t="shared" si="1091"/>
        <v>0</v>
      </c>
      <c r="G3171" s="439">
        <f t="shared" si="1096"/>
        <v>0</v>
      </c>
    </row>
    <row r="3172" spans="1:7" ht="19.899999999999999" customHeight="1" x14ac:dyDescent="0.2">
      <c r="A3172" s="472"/>
      <c r="B3172" s="433"/>
      <c r="C3172" s="139"/>
      <c r="D3172" s="139"/>
      <c r="E3172" s="440"/>
      <c r="F3172" s="425"/>
      <c r="G3172" s="474"/>
    </row>
    <row r="3173" spans="1:7" ht="19.899999999999999" customHeight="1" x14ac:dyDescent="0.2">
      <c r="A3173" s="472"/>
      <c r="B3173" s="139"/>
      <c r="C3173" s="422" t="s">
        <v>972</v>
      </c>
      <c r="D3173" s="425" t="s">
        <v>969</v>
      </c>
      <c r="E3173" s="491">
        <f>SUMPRODUCT(D3162:D3171,E3162:E3171)</f>
        <v>0</v>
      </c>
      <c r="F3173" s="425" t="s">
        <v>973</v>
      </c>
      <c r="G3173" s="492">
        <f>SUM(G3162:G3171)</f>
        <v>0</v>
      </c>
    </row>
    <row r="3174" spans="1:7" ht="19.899999999999999" customHeight="1" x14ac:dyDescent="0.2">
      <c r="A3174" s="472"/>
      <c r="B3174" s="433"/>
      <c r="C3174" s="441"/>
      <c r="D3174" s="440"/>
      <c r="E3174" s="427"/>
      <c r="F3174" s="425"/>
      <c r="G3174" s="478"/>
    </row>
    <row r="3175" spans="1:7" ht="19.899999999999999" customHeight="1" x14ac:dyDescent="0.2">
      <c r="A3175" s="479"/>
      <c r="B3175" s="433"/>
      <c r="C3175" s="425" t="s">
        <v>974</v>
      </c>
      <c r="D3175" s="442">
        <f>IFERROR(VLOOKUP(COUNTIF($A$1:A3175,"ANALISIS DE PRECIOS"),T_Rendimiento_Equipo,5,FALSE),0)</f>
        <v>0</v>
      </c>
      <c r="E3175" s="443" t="str">
        <f ca="1">G3157&amp;"/día"</f>
        <v>0/día</v>
      </c>
      <c r="F3175" s="419"/>
      <c r="G3175" s="474"/>
    </row>
    <row r="3176" spans="1:7" ht="19.899999999999999" customHeight="1" x14ac:dyDescent="0.2">
      <c r="A3176" s="472"/>
      <c r="B3176" s="433"/>
      <c r="C3176" s="139"/>
      <c r="D3176" s="426"/>
      <c r="E3176" s="427"/>
      <c r="F3176" s="425"/>
      <c r="G3176" s="474"/>
    </row>
    <row r="3177" spans="1:7" ht="19.899999999999999" customHeight="1" x14ac:dyDescent="0.2">
      <c r="A3177" s="720" t="s">
        <v>576</v>
      </c>
      <c r="B3177" s="721"/>
      <c r="C3177" s="722" t="s">
        <v>0</v>
      </c>
      <c r="D3177" s="734" t="s">
        <v>1724</v>
      </c>
      <c r="E3177" s="734" t="s">
        <v>1723</v>
      </c>
      <c r="F3177" s="726" t="s">
        <v>975</v>
      </c>
      <c r="G3177" s="728" t="s">
        <v>26</v>
      </c>
    </row>
    <row r="3178" spans="1:7" ht="19.899999999999999" customHeight="1" x14ac:dyDescent="0.2">
      <c r="A3178" s="444" t="s">
        <v>577</v>
      </c>
      <c r="B3178" s="444" t="s">
        <v>578</v>
      </c>
      <c r="C3178" s="723"/>
      <c r="D3178" s="735"/>
      <c r="E3178" s="725"/>
      <c r="F3178" s="727"/>
      <c r="G3178" s="729"/>
    </row>
    <row r="3179" spans="1:7" ht="19.899999999999999" customHeight="1" x14ac:dyDescent="0.2">
      <c r="A3179" s="480"/>
      <c r="B3179" s="139"/>
      <c r="C3179" s="422" t="s">
        <v>976</v>
      </c>
      <c r="D3179" s="427"/>
      <c r="E3179" s="427"/>
      <c r="F3179" s="139"/>
      <c r="G3179" s="481"/>
    </row>
    <row r="3180" spans="1:7" ht="19.899999999999999" customHeight="1" x14ac:dyDescent="0.2">
      <c r="A3180" s="482">
        <f t="shared" ref="A3180:A3188" si="1100">IFERROR(VLOOKUP(C3180,T_Insumos,4,FALSE),0)</f>
        <v>0</v>
      </c>
      <c r="B3180" s="445">
        <f t="shared" ref="B3180:B3188" si="1101">IFERROR(VLOOKUP(C3180,T_Insumos,5,FALSE),0)</f>
        <v>0</v>
      </c>
      <c r="C3180" s="436">
        <f>+C2880</f>
        <v>0</v>
      </c>
      <c r="D3180" s="446">
        <f t="shared" ref="D3180:D3188" si="1102">IFERROR(VLOOKUP(C3180,T_Insumos,3,FALSE),0)</f>
        <v>0</v>
      </c>
      <c r="E3180" s="439">
        <f>D3180*$G$323</f>
        <v>0</v>
      </c>
      <c r="F3180" s="442">
        <f>IF(C3180="",0,IFERROR(VLOOKUP(COUNTIF($A$1:A3180,"ANALISIS DE PRECIOS"),T_Rendimiento_Equipo,5,FALSE),0))</f>
        <v>0</v>
      </c>
      <c r="G3180" s="439">
        <f>IFERROR(ROUND(E3180/F3180,2),0)</f>
        <v>0</v>
      </c>
    </row>
    <row r="3181" spans="1:7" ht="19.899999999999999" customHeight="1" x14ac:dyDescent="0.2">
      <c r="A3181" s="482">
        <f t="shared" si="1100"/>
        <v>0</v>
      </c>
      <c r="B3181" s="445">
        <f t="shared" si="1101"/>
        <v>0</v>
      </c>
      <c r="C3181" s="436">
        <f t="shared" ref="C3181:C3183" si="1103">+C2881</f>
        <v>0</v>
      </c>
      <c r="D3181" s="446">
        <f t="shared" si="1102"/>
        <v>0</v>
      </c>
      <c r="E3181" s="439">
        <f t="shared" ref="E3181:E3182" si="1104">D3181*$G$323</f>
        <v>0</v>
      </c>
      <c r="F3181" s="442">
        <f>IF(C3181="",0,IFERROR(VLOOKUP(COUNTIF($A$1:A3181,"ANALISIS DE PRECIOS"),T_Rendimiento_Equipo,5,FALSE),0))</f>
        <v>0</v>
      </c>
      <c r="G3181" s="439">
        <f t="shared" ref="G3181:G3188" si="1105">IFERROR(ROUND(E3181/F3181,2),0)</f>
        <v>0</v>
      </c>
    </row>
    <row r="3182" spans="1:7" ht="19.899999999999999" customHeight="1" x14ac:dyDescent="0.2">
      <c r="A3182" s="482">
        <f t="shared" si="1100"/>
        <v>0</v>
      </c>
      <c r="B3182" s="445">
        <f t="shared" si="1101"/>
        <v>0</v>
      </c>
      <c r="C3182" s="436">
        <f t="shared" si="1103"/>
        <v>0</v>
      </c>
      <c r="D3182" s="446">
        <f t="shared" si="1102"/>
        <v>0</v>
      </c>
      <c r="E3182" s="439">
        <f t="shared" si="1104"/>
        <v>0</v>
      </c>
      <c r="F3182" s="442">
        <f>IF(C3182="",0,IFERROR(VLOOKUP(COUNTIF($A$1:A3182,"ANALISIS DE PRECIOS"),T_Rendimiento_Equipo,5,FALSE),0))</f>
        <v>0</v>
      </c>
      <c r="G3182" s="439">
        <f t="shared" si="1105"/>
        <v>0</v>
      </c>
    </row>
    <row r="3183" spans="1:7" ht="19.899999999999999" customHeight="1" x14ac:dyDescent="0.2">
      <c r="A3183" s="482">
        <f t="shared" si="1100"/>
        <v>0</v>
      </c>
      <c r="B3183" s="445">
        <f t="shared" si="1101"/>
        <v>0</v>
      </c>
      <c r="C3183" s="436">
        <f t="shared" si="1103"/>
        <v>0</v>
      </c>
      <c r="D3183" s="446">
        <f t="shared" si="1102"/>
        <v>0</v>
      </c>
      <c r="E3183" s="439">
        <f>D3183*$E$323</f>
        <v>0</v>
      </c>
      <c r="F3183" s="442">
        <f>IF(C3183="",0,IFERROR(VLOOKUP(COUNTIF($A$1:A3183,"ANALISIS DE PRECIOS"),T_Rendimiento_Equipo,5,FALSE),0))</f>
        <v>0</v>
      </c>
      <c r="G3183" s="439">
        <f t="shared" si="1105"/>
        <v>0</v>
      </c>
    </row>
    <row r="3184" spans="1:7" ht="19.899999999999999" customHeight="1" x14ac:dyDescent="0.2">
      <c r="A3184" s="482">
        <f t="shared" si="1100"/>
        <v>0</v>
      </c>
      <c r="B3184" s="445">
        <f t="shared" si="1101"/>
        <v>0</v>
      </c>
      <c r="C3184" s="447"/>
      <c r="D3184" s="446">
        <f t="shared" si="1102"/>
        <v>0</v>
      </c>
      <c r="E3184" s="439"/>
      <c r="F3184" s="442">
        <f>IF(C3184="",0,IFERROR(VLOOKUP(COUNTIF($A$1:A3184,"ANALISIS DE PRECIOS"),T_Rendimiento_Equipo,5,FALSE),0))</f>
        <v>0</v>
      </c>
      <c r="G3184" s="439">
        <f t="shared" si="1105"/>
        <v>0</v>
      </c>
    </row>
    <row r="3185" spans="1:7" ht="19.899999999999999" customHeight="1" x14ac:dyDescent="0.2">
      <c r="A3185" s="482">
        <f t="shared" si="1100"/>
        <v>0</v>
      </c>
      <c r="B3185" s="445">
        <f t="shared" si="1101"/>
        <v>0</v>
      </c>
      <c r="C3185" s="447"/>
      <c r="D3185" s="446">
        <f t="shared" si="1102"/>
        <v>0</v>
      </c>
      <c r="E3185" s="439"/>
      <c r="F3185" s="442">
        <f>IF(C3185="",0,IFERROR(VLOOKUP(COUNTIF($A$1:A3185,"ANALISIS DE PRECIOS"),T_Rendimiento_Equipo,5,FALSE),0))</f>
        <v>0</v>
      </c>
      <c r="G3185" s="439">
        <f t="shared" si="1105"/>
        <v>0</v>
      </c>
    </row>
    <row r="3186" spans="1:7" ht="19.899999999999999" customHeight="1" x14ac:dyDescent="0.2">
      <c r="A3186" s="482">
        <f t="shared" si="1100"/>
        <v>0</v>
      </c>
      <c r="B3186" s="445">
        <f t="shared" si="1101"/>
        <v>0</v>
      </c>
      <c r="C3186" s="447"/>
      <c r="D3186" s="446">
        <f t="shared" si="1102"/>
        <v>0</v>
      </c>
      <c r="E3186" s="439"/>
      <c r="F3186" s="442">
        <f>IF(C3186="",0,IFERROR(VLOOKUP(COUNTIF($A$1:A3186,"ANALISIS DE PRECIOS"),T_Rendimiento_Equipo,5,FALSE),0))</f>
        <v>0</v>
      </c>
      <c r="G3186" s="439">
        <f t="shared" si="1105"/>
        <v>0</v>
      </c>
    </row>
    <row r="3187" spans="1:7" ht="19.899999999999999" customHeight="1" x14ac:dyDescent="0.2">
      <c r="A3187" s="482">
        <f t="shared" si="1100"/>
        <v>0</v>
      </c>
      <c r="B3187" s="445">
        <f t="shared" si="1101"/>
        <v>0</v>
      </c>
      <c r="C3187" s="447"/>
      <c r="D3187" s="446">
        <f t="shared" si="1102"/>
        <v>0</v>
      </c>
      <c r="E3187" s="439"/>
      <c r="F3187" s="442">
        <f>IF(C3187="",0,IFERROR(VLOOKUP(COUNTIF($A$1:A3187,"ANALISIS DE PRECIOS"),T_Rendimiento_Equipo,5,FALSE),0))</f>
        <v>0</v>
      </c>
      <c r="G3187" s="439">
        <f t="shared" si="1105"/>
        <v>0</v>
      </c>
    </row>
    <row r="3188" spans="1:7" ht="19.899999999999999" customHeight="1" x14ac:dyDescent="0.2">
      <c r="A3188" s="482">
        <f t="shared" si="1100"/>
        <v>0</v>
      </c>
      <c r="B3188" s="445">
        <f t="shared" si="1101"/>
        <v>0</v>
      </c>
      <c r="C3188" s="436"/>
      <c r="D3188" s="446">
        <f t="shared" si="1102"/>
        <v>0</v>
      </c>
      <c r="E3188" s="439"/>
      <c r="F3188" s="442">
        <f>IF(C3188="",0,IFERROR(VLOOKUP(COUNTIF($A$1:A3188,"ANALISIS DE PRECIOS"),T_Rendimiento_Equipo,5,FALSE),0))</f>
        <v>0</v>
      </c>
      <c r="G3188" s="439">
        <f t="shared" si="1105"/>
        <v>0</v>
      </c>
    </row>
    <row r="3189" spans="1:7" ht="19.899999999999999" customHeight="1" x14ac:dyDescent="0.2">
      <c r="A3189" s="483"/>
      <c r="B3189" s="426"/>
      <c r="C3189" s="139"/>
      <c r="D3189" s="426"/>
      <c r="E3189" s="427"/>
      <c r="F3189" s="448" t="s">
        <v>27</v>
      </c>
      <c r="G3189" s="484">
        <f>SUBTOTAL(9,G3180:G3188)</f>
        <v>0</v>
      </c>
    </row>
    <row r="3190" spans="1:7" ht="19.899999999999999" customHeight="1" x14ac:dyDescent="0.2">
      <c r="A3190" s="480"/>
      <c r="B3190" s="139"/>
      <c r="C3190" s="422" t="s">
        <v>713</v>
      </c>
      <c r="D3190" s="426"/>
      <c r="E3190" s="427"/>
      <c r="F3190" s="428"/>
      <c r="G3190" s="481"/>
    </row>
    <row r="3191" spans="1:7" ht="19.899999999999999" customHeight="1" x14ac:dyDescent="0.2">
      <c r="A3191" s="720" t="s">
        <v>576</v>
      </c>
      <c r="B3191" s="721"/>
      <c r="C3191" s="722" t="s">
        <v>0</v>
      </c>
      <c r="D3191" s="724" t="s">
        <v>24</v>
      </c>
      <c r="E3191" s="724" t="s">
        <v>1964</v>
      </c>
      <c r="F3191" s="726" t="s">
        <v>975</v>
      </c>
      <c r="G3191" s="728" t="s">
        <v>26</v>
      </c>
    </row>
    <row r="3192" spans="1:7" ht="19.899999999999999" customHeight="1" x14ac:dyDescent="0.2">
      <c r="A3192" s="444" t="s">
        <v>577</v>
      </c>
      <c r="B3192" s="444" t="s">
        <v>578</v>
      </c>
      <c r="C3192" s="723"/>
      <c r="D3192" s="725"/>
      <c r="E3192" s="725"/>
      <c r="F3192" s="727"/>
      <c r="G3192" s="729"/>
    </row>
    <row r="3193" spans="1:7" ht="19.899999999999999" customHeight="1" x14ac:dyDescent="0.2">
      <c r="A3193" s="482">
        <f t="shared" ref="A3193:A3199" si="1106">IFERROR(VLOOKUP(C3193,T_Insumos,4,FALSE),0)</f>
        <v>0</v>
      </c>
      <c r="B3193" s="445">
        <f t="shared" ref="B3193:B3199" si="1107">IFERROR(VLOOKUP(C3193,T_Insumos,5,FALSE),0)</f>
        <v>0</v>
      </c>
      <c r="C3193" s="436">
        <f t="shared" ref="C3193:C3196" si="1108">+C2968</f>
        <v>0</v>
      </c>
      <c r="D3193" s="442"/>
      <c r="E3193" s="439">
        <f t="shared" ref="E3193:E3199" si="1109">IFERROR(VLOOKUP(C3193,T_Insumos,3,FALSE),0)</f>
        <v>0</v>
      </c>
      <c r="F3193" s="442">
        <f>IF(C3193="",0,IFERROR(VLOOKUP(COUNTIF($A$1:A3193,"ANALISIS DE PRECIOS"),T_Rendimiento_Equipo,5,FALSE),0))</f>
        <v>0</v>
      </c>
      <c r="G3193" s="439">
        <f>IFERROR(ROUND(D3193*E3193/F3193,2),0)</f>
        <v>0</v>
      </c>
    </row>
    <row r="3194" spans="1:7" ht="19.899999999999999" customHeight="1" x14ac:dyDescent="0.2">
      <c r="A3194" s="482">
        <f t="shared" si="1106"/>
        <v>0</v>
      </c>
      <c r="B3194" s="445">
        <f t="shared" si="1107"/>
        <v>0</v>
      </c>
      <c r="C3194" s="436">
        <f t="shared" si="1108"/>
        <v>0</v>
      </c>
      <c r="D3194" s="442">
        <v>1</v>
      </c>
      <c r="E3194" s="439">
        <f t="shared" si="1109"/>
        <v>0</v>
      </c>
      <c r="F3194" s="442">
        <f>IF(C3194="",0,IFERROR(VLOOKUP(COUNTIF($A$1:A3194,"ANALISIS DE PRECIOS"),T_Rendimiento_Equipo,5,FALSE),0))</f>
        <v>0</v>
      </c>
      <c r="G3194" s="439">
        <f>IFERROR(ROUND(D3194*E3194/F3194,2),0)</f>
        <v>0</v>
      </c>
    </row>
    <row r="3195" spans="1:7" ht="19.899999999999999" customHeight="1" x14ac:dyDescent="0.2">
      <c r="A3195" s="482">
        <f t="shared" si="1106"/>
        <v>0</v>
      </c>
      <c r="B3195" s="445">
        <f t="shared" si="1107"/>
        <v>0</v>
      </c>
      <c r="C3195" s="436">
        <f t="shared" si="1108"/>
        <v>0</v>
      </c>
      <c r="D3195" s="442"/>
      <c r="E3195" s="439">
        <f t="shared" si="1109"/>
        <v>0</v>
      </c>
      <c r="F3195" s="442">
        <f>IF(C3195="",0,IFERROR(VLOOKUP(COUNTIF($A$1:A3195,"ANALISIS DE PRECIOS"),T_Rendimiento_Equipo,5,FALSE),0))</f>
        <v>0</v>
      </c>
      <c r="G3195" s="439">
        <f t="shared" ref="G3195:G3199" si="1110">IFERROR(ROUND(D3195*E3195/F3195,2),0)</f>
        <v>0</v>
      </c>
    </row>
    <row r="3196" spans="1:7" ht="19.899999999999999" customHeight="1" x14ac:dyDescent="0.2">
      <c r="A3196" s="482">
        <f t="shared" si="1106"/>
        <v>0</v>
      </c>
      <c r="B3196" s="445">
        <f t="shared" si="1107"/>
        <v>0</v>
      </c>
      <c r="C3196" s="436">
        <f t="shared" si="1108"/>
        <v>0</v>
      </c>
      <c r="D3196" s="442">
        <v>2</v>
      </c>
      <c r="E3196" s="439">
        <f t="shared" si="1109"/>
        <v>0</v>
      </c>
      <c r="F3196" s="442">
        <f>IF(C3196="",0,IFERROR(VLOOKUP(COUNTIF($A$1:A3196,"ANALISIS DE PRECIOS"),T_Rendimiento_Equipo,5,FALSE),0))</f>
        <v>0</v>
      </c>
      <c r="G3196" s="439">
        <f t="shared" si="1110"/>
        <v>0</v>
      </c>
    </row>
    <row r="3197" spans="1:7" ht="19.899999999999999" customHeight="1" x14ac:dyDescent="0.2">
      <c r="A3197" s="482">
        <f t="shared" si="1106"/>
        <v>0</v>
      </c>
      <c r="B3197" s="445">
        <f t="shared" si="1107"/>
        <v>0</v>
      </c>
      <c r="C3197" s="436"/>
      <c r="D3197" s="442"/>
      <c r="E3197" s="439">
        <f t="shared" si="1109"/>
        <v>0</v>
      </c>
      <c r="F3197" s="442">
        <f>IF(C3197="",0,IFERROR(VLOOKUP(COUNTIF($A$1:A3197,"ANALISIS DE PRECIOS"),T_Rendimiento_Equipo,5,FALSE),0))</f>
        <v>0</v>
      </c>
      <c r="G3197" s="439">
        <f t="shared" si="1110"/>
        <v>0</v>
      </c>
    </row>
    <row r="3198" spans="1:7" ht="19.899999999999999" customHeight="1" x14ac:dyDescent="0.2">
      <c r="A3198" s="482">
        <f t="shared" si="1106"/>
        <v>0</v>
      </c>
      <c r="B3198" s="445">
        <f t="shared" si="1107"/>
        <v>0</v>
      </c>
      <c r="C3198" s="436"/>
      <c r="D3198" s="450"/>
      <c r="E3198" s="439">
        <f t="shared" si="1109"/>
        <v>0</v>
      </c>
      <c r="F3198" s="442">
        <f>IF(C3198="",0,IFERROR(VLOOKUP(COUNTIF($A$1:A3198,"ANALISIS DE PRECIOS"),T_Rendimiento_Equipo,5,FALSE),0))</f>
        <v>0</v>
      </c>
      <c r="G3198" s="439">
        <f t="shared" si="1110"/>
        <v>0</v>
      </c>
    </row>
    <row r="3199" spans="1:7" ht="19.899999999999999" customHeight="1" x14ac:dyDescent="0.2">
      <c r="A3199" s="482">
        <f t="shared" si="1106"/>
        <v>0</v>
      </c>
      <c r="B3199" s="445">
        <f t="shared" si="1107"/>
        <v>0</v>
      </c>
      <c r="C3199" s="445"/>
      <c r="D3199" s="451"/>
      <c r="E3199" s="439">
        <f t="shared" si="1109"/>
        <v>0</v>
      </c>
      <c r="F3199" s="442">
        <f>IF(C3199="",0,IFERROR(VLOOKUP(COUNTIF($A$1:A3199,"ANALISIS DE PRECIOS"),T_Rendimiento_Equipo,5,FALSE),0))</f>
        <v>0</v>
      </c>
      <c r="G3199" s="439">
        <f t="shared" si="1110"/>
        <v>0</v>
      </c>
    </row>
    <row r="3200" spans="1:7" ht="19.899999999999999" customHeight="1" x14ac:dyDescent="0.2">
      <c r="A3200" s="483"/>
      <c r="B3200" s="426"/>
      <c r="C3200" s="139"/>
      <c r="D3200" s="426"/>
      <c r="E3200" s="427"/>
      <c r="F3200" s="448" t="s">
        <v>28</v>
      </c>
      <c r="G3200" s="485">
        <f>SUBTOTAL(9,G3193:G3199)</f>
        <v>0</v>
      </c>
    </row>
    <row r="3201" spans="1:7" ht="19.899999999999999" customHeight="1" x14ac:dyDescent="0.2">
      <c r="A3201" s="480"/>
      <c r="B3201" s="139"/>
      <c r="C3201" s="422" t="s">
        <v>982</v>
      </c>
      <c r="D3201" s="426"/>
      <c r="E3201" s="427"/>
      <c r="F3201" s="428"/>
      <c r="G3201" s="481"/>
    </row>
    <row r="3202" spans="1:7" ht="19.899999999999999" customHeight="1" x14ac:dyDescent="0.2">
      <c r="A3202" s="720" t="s">
        <v>576</v>
      </c>
      <c r="B3202" s="721"/>
      <c r="C3202" s="722" t="s">
        <v>0</v>
      </c>
      <c r="D3202" s="722" t="s">
        <v>1725</v>
      </c>
      <c r="E3202" s="724" t="s">
        <v>24</v>
      </c>
      <c r="F3202" s="726" t="s">
        <v>25</v>
      </c>
      <c r="G3202" s="728" t="s">
        <v>26</v>
      </c>
    </row>
    <row r="3203" spans="1:7" ht="19.899999999999999" customHeight="1" x14ac:dyDescent="0.2">
      <c r="A3203" s="444" t="s">
        <v>577</v>
      </c>
      <c r="B3203" s="444" t="s">
        <v>578</v>
      </c>
      <c r="C3203" s="723"/>
      <c r="D3203" s="723"/>
      <c r="E3203" s="725"/>
      <c r="F3203" s="727"/>
      <c r="G3203" s="729"/>
    </row>
    <row r="3204" spans="1:7" ht="19.899999999999999" customHeight="1" x14ac:dyDescent="0.2">
      <c r="A3204" s="482">
        <f t="shared" ref="A3204:A3214" si="1111">IFERROR(VLOOKUP(C3204,T_Insumos,4,FALSE),0)</f>
        <v>0</v>
      </c>
      <c r="B3204" s="445">
        <f t="shared" ref="B3204:B3214" si="1112">IFERROR(VLOOKUP(C3204,T_Insumos,5,FALSE),0)</f>
        <v>0</v>
      </c>
      <c r="C3204" s="436">
        <f t="shared" ref="C3204:C3214" si="1113">+C2979</f>
        <v>0</v>
      </c>
      <c r="D3204" s="493">
        <f t="shared" ref="D3204:D3214" si="1114">IFERROR(VLOOKUP(C3204,T_Insumos,2,FALSE),0)</f>
        <v>0</v>
      </c>
      <c r="E3204" s="437"/>
      <c r="F3204" s="439">
        <f t="shared" ref="F3204:F3214" si="1115">IFERROR(VLOOKUP(C3204,T_Insumos,3,FALSE),0)</f>
        <v>0</v>
      </c>
      <c r="G3204" s="439">
        <f>ROUND(E3204*F3204,2)</f>
        <v>0</v>
      </c>
    </row>
    <row r="3205" spans="1:7" ht="19.899999999999999" customHeight="1" x14ac:dyDescent="0.2">
      <c r="A3205" s="482">
        <f t="shared" si="1111"/>
        <v>0</v>
      </c>
      <c r="B3205" s="445">
        <f t="shared" si="1112"/>
        <v>0</v>
      </c>
      <c r="C3205" s="436">
        <f t="shared" si="1113"/>
        <v>0</v>
      </c>
      <c r="D3205" s="493">
        <f t="shared" si="1114"/>
        <v>0</v>
      </c>
      <c r="E3205" s="437"/>
      <c r="F3205" s="439">
        <f t="shared" si="1115"/>
        <v>0</v>
      </c>
      <c r="G3205" s="439">
        <f t="shared" ref="G3205:G3214" si="1116">ROUND(E3205*F3205,2)</f>
        <v>0</v>
      </c>
    </row>
    <row r="3206" spans="1:7" ht="19.899999999999999" customHeight="1" x14ac:dyDescent="0.2">
      <c r="A3206" s="482">
        <f t="shared" si="1111"/>
        <v>0</v>
      </c>
      <c r="B3206" s="445">
        <f t="shared" si="1112"/>
        <v>0</v>
      </c>
      <c r="C3206" s="436">
        <f t="shared" si="1113"/>
        <v>0</v>
      </c>
      <c r="D3206" s="493">
        <f t="shared" si="1114"/>
        <v>0</v>
      </c>
      <c r="E3206" s="437"/>
      <c r="F3206" s="439">
        <f t="shared" si="1115"/>
        <v>0</v>
      </c>
      <c r="G3206" s="439">
        <f t="shared" si="1116"/>
        <v>0</v>
      </c>
    </row>
    <row r="3207" spans="1:7" ht="19.899999999999999" customHeight="1" x14ac:dyDescent="0.2">
      <c r="A3207" s="482">
        <f t="shared" si="1111"/>
        <v>0</v>
      </c>
      <c r="B3207" s="445">
        <f t="shared" si="1112"/>
        <v>0</v>
      </c>
      <c r="C3207" s="436">
        <f t="shared" si="1113"/>
        <v>0</v>
      </c>
      <c r="D3207" s="493">
        <f t="shared" si="1114"/>
        <v>0</v>
      </c>
      <c r="E3207" s="437"/>
      <c r="F3207" s="439">
        <f t="shared" si="1115"/>
        <v>0</v>
      </c>
      <c r="G3207" s="439">
        <f t="shared" si="1116"/>
        <v>0</v>
      </c>
    </row>
    <row r="3208" spans="1:7" ht="19.899999999999999" customHeight="1" x14ac:dyDescent="0.2">
      <c r="A3208" s="482">
        <f t="shared" si="1111"/>
        <v>0</v>
      </c>
      <c r="B3208" s="445">
        <f t="shared" si="1112"/>
        <v>0</v>
      </c>
      <c r="C3208" s="436">
        <f t="shared" si="1113"/>
        <v>0</v>
      </c>
      <c r="D3208" s="493">
        <f t="shared" si="1114"/>
        <v>0</v>
      </c>
      <c r="E3208" s="437"/>
      <c r="F3208" s="439">
        <f t="shared" si="1115"/>
        <v>0</v>
      </c>
      <c r="G3208" s="439">
        <f t="shared" si="1116"/>
        <v>0</v>
      </c>
    </row>
    <row r="3209" spans="1:7" ht="19.899999999999999" customHeight="1" x14ac:dyDescent="0.2">
      <c r="A3209" s="482">
        <f t="shared" si="1111"/>
        <v>0</v>
      </c>
      <c r="B3209" s="445">
        <f t="shared" si="1112"/>
        <v>0</v>
      </c>
      <c r="C3209" s="436">
        <f t="shared" si="1113"/>
        <v>0</v>
      </c>
      <c r="D3209" s="493">
        <f t="shared" si="1114"/>
        <v>0</v>
      </c>
      <c r="E3209" s="437"/>
      <c r="F3209" s="439">
        <f t="shared" si="1115"/>
        <v>0</v>
      </c>
      <c r="G3209" s="439">
        <f t="shared" si="1116"/>
        <v>0</v>
      </c>
    </row>
    <row r="3210" spans="1:7" ht="19.899999999999999" customHeight="1" x14ac:dyDescent="0.2">
      <c r="A3210" s="482">
        <f t="shared" si="1111"/>
        <v>0</v>
      </c>
      <c r="B3210" s="445">
        <f t="shared" si="1112"/>
        <v>0</v>
      </c>
      <c r="C3210" s="436">
        <f t="shared" si="1113"/>
        <v>0</v>
      </c>
      <c r="D3210" s="493">
        <f t="shared" si="1114"/>
        <v>0</v>
      </c>
      <c r="E3210" s="437"/>
      <c r="F3210" s="439">
        <f t="shared" si="1115"/>
        <v>0</v>
      </c>
      <c r="G3210" s="439">
        <f t="shared" si="1116"/>
        <v>0</v>
      </c>
    </row>
    <row r="3211" spans="1:7" ht="19.899999999999999" customHeight="1" x14ac:dyDescent="0.2">
      <c r="A3211" s="482">
        <f t="shared" si="1111"/>
        <v>0</v>
      </c>
      <c r="B3211" s="445">
        <f t="shared" si="1112"/>
        <v>0</v>
      </c>
      <c r="C3211" s="436">
        <f t="shared" si="1113"/>
        <v>0</v>
      </c>
      <c r="D3211" s="493">
        <f t="shared" si="1114"/>
        <v>0</v>
      </c>
      <c r="E3211" s="437"/>
      <c r="F3211" s="439">
        <f t="shared" si="1115"/>
        <v>0</v>
      </c>
      <c r="G3211" s="439">
        <f t="shared" si="1116"/>
        <v>0</v>
      </c>
    </row>
    <row r="3212" spans="1:7" ht="19.899999999999999" customHeight="1" x14ac:dyDescent="0.2">
      <c r="A3212" s="482">
        <f t="shared" si="1111"/>
        <v>0</v>
      </c>
      <c r="B3212" s="445">
        <f t="shared" si="1112"/>
        <v>0</v>
      </c>
      <c r="C3212" s="436">
        <f t="shared" si="1113"/>
        <v>0</v>
      </c>
      <c r="D3212" s="493">
        <f t="shared" si="1114"/>
        <v>0</v>
      </c>
      <c r="E3212" s="437"/>
      <c r="F3212" s="439">
        <f t="shared" si="1115"/>
        <v>0</v>
      </c>
      <c r="G3212" s="439">
        <f t="shared" si="1116"/>
        <v>0</v>
      </c>
    </row>
    <row r="3213" spans="1:7" ht="19.899999999999999" customHeight="1" x14ac:dyDescent="0.2">
      <c r="A3213" s="482">
        <f t="shared" si="1111"/>
        <v>0</v>
      </c>
      <c r="B3213" s="445">
        <f t="shared" si="1112"/>
        <v>0</v>
      </c>
      <c r="C3213" s="436">
        <f t="shared" si="1113"/>
        <v>0</v>
      </c>
      <c r="D3213" s="493">
        <f t="shared" si="1114"/>
        <v>0</v>
      </c>
      <c r="E3213" s="437"/>
      <c r="F3213" s="439">
        <f t="shared" si="1115"/>
        <v>0</v>
      </c>
      <c r="G3213" s="439">
        <f t="shared" si="1116"/>
        <v>0</v>
      </c>
    </row>
    <row r="3214" spans="1:7" ht="19.899999999999999" customHeight="1" x14ac:dyDescent="0.2">
      <c r="A3214" s="482">
        <f t="shared" si="1111"/>
        <v>0</v>
      </c>
      <c r="B3214" s="445">
        <f t="shared" si="1112"/>
        <v>0</v>
      </c>
      <c r="C3214" s="436">
        <f t="shared" si="1113"/>
        <v>0</v>
      </c>
      <c r="D3214" s="493">
        <f t="shared" si="1114"/>
        <v>0</v>
      </c>
      <c r="E3214" s="437"/>
      <c r="F3214" s="439">
        <f t="shared" si="1115"/>
        <v>0</v>
      </c>
      <c r="G3214" s="439">
        <f t="shared" si="1116"/>
        <v>0</v>
      </c>
    </row>
    <row r="3215" spans="1:7" ht="19.899999999999999" customHeight="1" x14ac:dyDescent="0.2">
      <c r="A3215" s="480"/>
      <c r="B3215" s="139"/>
      <c r="C3215" s="139"/>
      <c r="D3215" s="426"/>
      <c r="E3215" s="427"/>
      <c r="F3215" s="448" t="s">
        <v>29</v>
      </c>
      <c r="G3215" s="485">
        <f>SUBTOTAL(9,G3204:G3214)</f>
        <v>0</v>
      </c>
    </row>
    <row r="3216" spans="1:7" ht="19.899999999999999" customHeight="1" x14ac:dyDescent="0.2">
      <c r="A3216" s="480"/>
      <c r="B3216" s="139"/>
      <c r="C3216" s="422" t="s">
        <v>983</v>
      </c>
      <c r="D3216" s="426"/>
      <c r="E3216" s="427"/>
      <c r="F3216" s="428"/>
      <c r="G3216" s="481"/>
    </row>
    <row r="3217" spans="1:7" ht="19.899999999999999" customHeight="1" x14ac:dyDescent="0.2">
      <c r="A3217" s="720" t="s">
        <v>576</v>
      </c>
      <c r="B3217" s="721"/>
      <c r="C3217" s="722" t="s">
        <v>0</v>
      </c>
      <c r="D3217" s="722" t="s">
        <v>1725</v>
      </c>
      <c r="E3217" s="724" t="s">
        <v>24</v>
      </c>
      <c r="F3217" s="726" t="s">
        <v>25</v>
      </c>
      <c r="G3217" s="728" t="s">
        <v>26</v>
      </c>
    </row>
    <row r="3218" spans="1:7" ht="19.899999999999999" customHeight="1" x14ac:dyDescent="0.2">
      <c r="A3218" s="444" t="s">
        <v>577</v>
      </c>
      <c r="B3218" s="444" t="s">
        <v>578</v>
      </c>
      <c r="C3218" s="723"/>
      <c r="D3218" s="723"/>
      <c r="E3218" s="725"/>
      <c r="F3218" s="727"/>
      <c r="G3218" s="729"/>
    </row>
    <row r="3219" spans="1:7" ht="19.899999999999999" customHeight="1" x14ac:dyDescent="0.2">
      <c r="A3219" s="482">
        <f>IFERROR(VLOOKUP(C3219,T_Insumos,4,FALSE),0)</f>
        <v>0</v>
      </c>
      <c r="B3219" s="445">
        <f>IFERROR(VLOOKUP(C3219,T_Insumos,5,FALSE),0)</f>
        <v>0</v>
      </c>
      <c r="C3219" s="436"/>
      <c r="D3219" s="493">
        <f>IF(C3219=0,0,"$/tnkm")</f>
        <v>0</v>
      </c>
      <c r="E3219" s="437"/>
      <c r="F3219" s="439">
        <f>IFERROR(VLOOKUP(C3219,T_Insumos,3,FALSE),0)</f>
        <v>0</v>
      </c>
      <c r="G3219" s="439">
        <f>ROUND(E3219*F3219,2)</f>
        <v>0</v>
      </c>
    </row>
    <row r="3220" spans="1:7" ht="19.899999999999999" customHeight="1" x14ac:dyDescent="0.2">
      <c r="A3220" s="482">
        <f>IFERROR(VLOOKUP(C3220,T_Insumos,4,FALSE),0)</f>
        <v>0</v>
      </c>
      <c r="B3220" s="445">
        <f>IFERROR(VLOOKUP(C3220,T_Insumos,5,FALSE),0)</f>
        <v>0</v>
      </c>
      <c r="C3220" s="436"/>
      <c r="D3220" s="493">
        <f>IF(C3220=0,0,"$/tnkm")</f>
        <v>0</v>
      </c>
      <c r="E3220" s="453"/>
      <c r="F3220" s="439">
        <f>IFERROR(VLOOKUP(C3220,T_Insumos,3,FALSE),0)</f>
        <v>0</v>
      </c>
      <c r="G3220" s="439">
        <f t="shared" ref="G3220" si="1117">ROUND(E3220*F3220,2)</f>
        <v>0</v>
      </c>
    </row>
    <row r="3221" spans="1:7" ht="19.899999999999999" customHeight="1" x14ac:dyDescent="0.2">
      <c r="A3221" s="480"/>
      <c r="B3221" s="139"/>
      <c r="C3221" s="139"/>
      <c r="D3221" s="426"/>
      <c r="E3221" s="427"/>
      <c r="F3221" s="448" t="s">
        <v>984</v>
      </c>
      <c r="G3221" s="485">
        <f>SUBTOTAL(9,G3219:G3220)</f>
        <v>0</v>
      </c>
    </row>
    <row r="3222" spans="1:7" ht="19.899999999999999" customHeight="1" x14ac:dyDescent="0.2">
      <c r="A3222" s="483"/>
      <c r="B3222" s="426"/>
      <c r="C3222" s="139"/>
      <c r="D3222" s="426"/>
      <c r="E3222" s="427"/>
      <c r="F3222" s="428"/>
      <c r="G3222" s="481"/>
    </row>
    <row r="3223" spans="1:7" ht="19.899999999999999" customHeight="1" x14ac:dyDescent="0.2">
      <c r="A3223" s="541" t="str">
        <f>B3157</f>
        <v/>
      </c>
      <c r="B3223" s="538">
        <f ca="1">C3157</f>
        <v>0</v>
      </c>
      <c r="C3223" s="426"/>
      <c r="D3223" s="426" t="s">
        <v>1704</v>
      </c>
      <c r="E3223" s="539"/>
      <c r="F3223" s="540" t="str">
        <f ca="1">"$/"&amp;G3157</f>
        <v>$/0</v>
      </c>
      <c r="G3223" s="490">
        <f>SUBTOTAL(9,G3180:G3222)</f>
        <v>0</v>
      </c>
    </row>
    <row r="3224" spans="1:7" ht="19.899999999999999" customHeight="1" x14ac:dyDescent="0.2">
      <c r="A3224" s="486"/>
      <c r="B3224" s="487"/>
      <c r="C3224" s="488"/>
      <c r="D3224" s="488" t="s">
        <v>1900</v>
      </c>
      <c r="E3224" s="489"/>
      <c r="F3224" s="542" t="str">
        <f ca="1">"$/"&amp;G3157</f>
        <v>$/0</v>
      </c>
      <c r="G3224" s="490">
        <f>ROUND(G3223*Coeficiente_Paso,2)</f>
        <v>0</v>
      </c>
    </row>
    <row r="3225" spans="1:7" ht="19.899999999999999" customHeight="1" x14ac:dyDescent="0.2">
      <c r="A3225" s="139"/>
      <c r="B3225" s="139"/>
      <c r="C3225" s="139"/>
      <c r="D3225" s="139"/>
      <c r="E3225" s="139"/>
      <c r="F3225" s="139"/>
      <c r="G3225" s="139"/>
    </row>
    <row r="3226" spans="1:7" ht="19.899999999999999" customHeight="1" x14ac:dyDescent="0.2">
      <c r="A3226" s="730" t="s">
        <v>31</v>
      </c>
      <c r="B3226" s="731"/>
      <c r="C3226" s="731"/>
      <c r="D3226" s="731"/>
      <c r="E3226" s="731"/>
      <c r="F3226" s="731"/>
      <c r="G3226" s="732"/>
    </row>
    <row r="3227" spans="1:7" ht="19.899999999999999" customHeight="1" x14ac:dyDescent="0.2">
      <c r="A3227" s="469" t="s">
        <v>711</v>
      </c>
      <c r="B3227" s="420" t="str">
        <f>Comitente</f>
        <v>DEPARTAMENTO DE HIDRAULICA</v>
      </c>
      <c r="C3227" s="421"/>
      <c r="D3227" s="422"/>
      <c r="E3227" s="422"/>
      <c r="F3227" s="423"/>
      <c r="G3227" s="470"/>
    </row>
    <row r="3228" spans="1:7" ht="19.899999999999999" customHeight="1" x14ac:dyDescent="0.2">
      <c r="A3228" s="469" t="s">
        <v>712</v>
      </c>
      <c r="B3228" s="420">
        <f>Contratista</f>
        <v>0</v>
      </c>
      <c r="C3228" s="424"/>
      <c r="D3228" s="424"/>
      <c r="E3228" s="424"/>
      <c r="F3228" s="420"/>
      <c r="G3228" s="471"/>
    </row>
    <row r="3229" spans="1:7" ht="19.899999999999999" customHeight="1" x14ac:dyDescent="0.2">
      <c r="A3229" s="469" t="s">
        <v>21</v>
      </c>
      <c r="B3229" s="420" t="str">
        <f>Obra</f>
        <v>Encamisado Parcial del Canal de Calle América</v>
      </c>
      <c r="C3229" s="424"/>
      <c r="D3229" s="424"/>
      <c r="E3229" s="424"/>
      <c r="F3229" s="420" t="s">
        <v>32</v>
      </c>
      <c r="G3229" s="471" t="str">
        <f>Fecha_Base</f>
        <v>X/X/2023</v>
      </c>
    </row>
    <row r="3230" spans="1:7" ht="19.899999999999999" customHeight="1" x14ac:dyDescent="0.2">
      <c r="A3230" s="472" t="s">
        <v>710</v>
      </c>
      <c r="B3230" s="425" t="str">
        <f>Ubicación</f>
        <v>Departamento Rawson</v>
      </c>
      <c r="C3230" s="425"/>
      <c r="D3230" s="426"/>
      <c r="E3230" s="427"/>
      <c r="F3230" s="428"/>
      <c r="G3230" s="473"/>
    </row>
    <row r="3231" spans="1:7" ht="19.899999999999999" customHeight="1" x14ac:dyDescent="0.2">
      <c r="A3231" s="472" t="s">
        <v>33</v>
      </c>
      <c r="B3231" s="429" t="str">
        <f>IFERROR(VALUE(LEFT(B3232,FIND(".",B3232)-1)),"")</f>
        <v/>
      </c>
      <c r="C3231" s="139">
        <f ca="1">IFERROR(VLOOKUP(B3231,T_Computo_Presupuesto,2,FALSE),0)</f>
        <v>0</v>
      </c>
      <c r="D3231" s="139"/>
      <c r="E3231" s="427"/>
      <c r="F3231" s="428"/>
      <c r="G3231" s="473"/>
    </row>
    <row r="3232" spans="1:7" ht="19.899999999999999" customHeight="1" x14ac:dyDescent="0.2">
      <c r="A3232" s="472" t="s">
        <v>22</v>
      </c>
      <c r="B3232" s="430" t="str">
        <f>IFERROR(VLOOKUP(COUNTIF($A$1:A3232,"ANALISIS DE PRECIOS"),T_NumeroItem,2,FALSE),"")</f>
        <v/>
      </c>
      <c r="C3232" s="733">
        <f ca="1">IFERROR(VLOOKUP(B3232,T_Computo_Presupuesto,2,FALSE),0)</f>
        <v>0</v>
      </c>
      <c r="D3232" s="733"/>
      <c r="E3232" s="733"/>
      <c r="F3232" s="425" t="s">
        <v>23</v>
      </c>
      <c r="G3232" s="474">
        <f ca="1">IFERROR(VLOOKUP(B3232,T_Computo_Presupuesto,4,FALSE),0)</f>
        <v>0</v>
      </c>
    </row>
    <row r="3233" spans="1:7" ht="19.899999999999999" customHeight="1" x14ac:dyDescent="0.2">
      <c r="A3233" s="472"/>
      <c r="B3233" s="425"/>
      <c r="C3233" s="139"/>
      <c r="D3233" s="426"/>
      <c r="E3233" s="427"/>
      <c r="F3233" s="139"/>
      <c r="G3233" s="475"/>
    </row>
    <row r="3234" spans="1:7" ht="19.899999999999999" customHeight="1" x14ac:dyDescent="0.2">
      <c r="A3234" s="476"/>
      <c r="B3234" s="431"/>
      <c r="C3234" s="432" t="s">
        <v>967</v>
      </c>
      <c r="D3234" s="431"/>
      <c r="E3234" s="431"/>
      <c r="F3234" s="431"/>
      <c r="G3234" s="477"/>
    </row>
    <row r="3235" spans="1:7" ht="19.899999999999999" customHeight="1" x14ac:dyDescent="0.2">
      <c r="A3235" s="472"/>
      <c r="B3235" s="433"/>
      <c r="C3235" s="139"/>
      <c r="D3235" s="426"/>
      <c r="E3235" s="427"/>
      <c r="F3235" s="425"/>
      <c r="G3235" s="474"/>
    </row>
    <row r="3236" spans="1:7" ht="19.899999999999999" customHeight="1" x14ac:dyDescent="0.2">
      <c r="A3236" s="472"/>
      <c r="B3236" s="433"/>
      <c r="C3236" s="434" t="s">
        <v>968</v>
      </c>
      <c r="D3236" s="435" t="s">
        <v>24</v>
      </c>
      <c r="E3236" s="435" t="s">
        <v>969</v>
      </c>
      <c r="F3236" s="435" t="s">
        <v>970</v>
      </c>
      <c r="G3236" s="434" t="s">
        <v>971</v>
      </c>
    </row>
    <row r="3237" spans="1:7" ht="19.899999999999999" customHeight="1" x14ac:dyDescent="0.2">
      <c r="A3237" s="472"/>
      <c r="B3237" s="433"/>
      <c r="C3237" s="436">
        <f>+C3012</f>
        <v>0</v>
      </c>
      <c r="D3237" s="436">
        <f>+D3012</f>
        <v>0</v>
      </c>
      <c r="E3237" s="438">
        <f t="shared" ref="E3237:E3246" si="1118">IFERROR(VLOOKUP(C3237,T_Equipos,4,FALSE),0)</f>
        <v>0</v>
      </c>
      <c r="F3237" s="439">
        <f t="shared" ref="F3237:F3246" si="1119">IFERROR(VLOOKUP(C3237,T_Equipos,5,FALSE),0)</f>
        <v>0</v>
      </c>
      <c r="G3237" s="439">
        <f>ROUND(D3237*F3237,2)</f>
        <v>0</v>
      </c>
    </row>
    <row r="3238" spans="1:7" ht="19.899999999999999" customHeight="1" x14ac:dyDescent="0.2">
      <c r="A3238" s="472"/>
      <c r="B3238" s="433"/>
      <c r="C3238" s="436">
        <f t="shared" ref="C3238:D3238" si="1120">+C3013</f>
        <v>0</v>
      </c>
      <c r="D3238" s="436">
        <f t="shared" si="1120"/>
        <v>0</v>
      </c>
      <c r="E3238" s="438">
        <f t="shared" si="1118"/>
        <v>0</v>
      </c>
      <c r="F3238" s="439">
        <f t="shared" si="1119"/>
        <v>0</v>
      </c>
      <c r="G3238" s="439">
        <f>ROUND(D3238*F3238,2)</f>
        <v>0</v>
      </c>
    </row>
    <row r="3239" spans="1:7" ht="19.899999999999999" customHeight="1" x14ac:dyDescent="0.2">
      <c r="A3239" s="472"/>
      <c r="B3239" s="433"/>
      <c r="C3239" s="436">
        <f t="shared" ref="C3239" si="1121">+C3014</f>
        <v>0</v>
      </c>
      <c r="D3239" s="436"/>
      <c r="E3239" s="438">
        <f t="shared" si="1118"/>
        <v>0</v>
      </c>
      <c r="F3239" s="439">
        <f t="shared" si="1119"/>
        <v>0</v>
      </c>
      <c r="G3239" s="439">
        <f>ROUND(D3239*F3239,2)</f>
        <v>0</v>
      </c>
    </row>
    <row r="3240" spans="1:7" ht="19.899999999999999" customHeight="1" x14ac:dyDescent="0.2">
      <c r="A3240" s="472"/>
      <c r="B3240" s="433"/>
      <c r="C3240" s="436">
        <f t="shared" ref="C3240" si="1122">+C3015</f>
        <v>0</v>
      </c>
      <c r="D3240" s="436"/>
      <c r="E3240" s="438">
        <f t="shared" si="1118"/>
        <v>0</v>
      </c>
      <c r="F3240" s="439">
        <f t="shared" si="1119"/>
        <v>0</v>
      </c>
      <c r="G3240" s="439">
        <f>ROUND(D3240*F3240,2)</f>
        <v>0</v>
      </c>
    </row>
    <row r="3241" spans="1:7" ht="19.899999999999999" customHeight="1" x14ac:dyDescent="0.2">
      <c r="A3241" s="472"/>
      <c r="B3241" s="433"/>
      <c r="C3241" s="436">
        <f t="shared" ref="C3241" si="1123">+C3016</f>
        <v>0</v>
      </c>
      <c r="D3241" s="436"/>
      <c r="E3241" s="438">
        <f t="shared" si="1118"/>
        <v>0</v>
      </c>
      <c r="F3241" s="439">
        <f t="shared" si="1119"/>
        <v>0</v>
      </c>
      <c r="G3241" s="439">
        <f t="shared" ref="G3241:G3246" si="1124">ROUND(D3241*F3241,2)</f>
        <v>0</v>
      </c>
    </row>
    <row r="3242" spans="1:7" ht="19.899999999999999" customHeight="1" x14ac:dyDescent="0.2">
      <c r="A3242" s="472"/>
      <c r="B3242" s="433"/>
      <c r="C3242" s="436">
        <f t="shared" ref="C3242" si="1125">+C3017</f>
        <v>0</v>
      </c>
      <c r="D3242" s="436"/>
      <c r="E3242" s="438">
        <f t="shared" si="1118"/>
        <v>0</v>
      </c>
      <c r="F3242" s="439">
        <f t="shared" si="1119"/>
        <v>0</v>
      </c>
      <c r="G3242" s="439">
        <f t="shared" si="1124"/>
        <v>0</v>
      </c>
    </row>
    <row r="3243" spans="1:7" ht="19.899999999999999" customHeight="1" x14ac:dyDescent="0.2">
      <c r="A3243" s="472"/>
      <c r="B3243" s="433"/>
      <c r="C3243" s="436">
        <f t="shared" ref="C3243:D3243" si="1126">+C3018</f>
        <v>0</v>
      </c>
      <c r="D3243" s="436">
        <f t="shared" si="1126"/>
        <v>0</v>
      </c>
      <c r="E3243" s="438">
        <f t="shared" si="1118"/>
        <v>0</v>
      </c>
      <c r="F3243" s="439">
        <f t="shared" si="1119"/>
        <v>0</v>
      </c>
      <c r="G3243" s="439">
        <f t="shared" si="1124"/>
        <v>0</v>
      </c>
    </row>
    <row r="3244" spans="1:7" ht="19.899999999999999" customHeight="1" x14ac:dyDescent="0.2">
      <c r="A3244" s="472"/>
      <c r="B3244" s="433"/>
      <c r="C3244" s="436">
        <f t="shared" ref="C3244:D3244" si="1127">+C3019</f>
        <v>0</v>
      </c>
      <c r="D3244" s="436">
        <f t="shared" si="1127"/>
        <v>0</v>
      </c>
      <c r="E3244" s="438">
        <f t="shared" si="1118"/>
        <v>0</v>
      </c>
      <c r="F3244" s="439">
        <f t="shared" si="1119"/>
        <v>0</v>
      </c>
      <c r="G3244" s="439">
        <f t="shared" si="1124"/>
        <v>0</v>
      </c>
    </row>
    <row r="3245" spans="1:7" ht="19.899999999999999" customHeight="1" x14ac:dyDescent="0.2">
      <c r="A3245" s="472"/>
      <c r="B3245" s="433"/>
      <c r="C3245" s="436"/>
      <c r="D3245" s="437"/>
      <c r="E3245" s="438">
        <f t="shared" si="1118"/>
        <v>0</v>
      </c>
      <c r="F3245" s="439">
        <f t="shared" si="1119"/>
        <v>0</v>
      </c>
      <c r="G3245" s="439">
        <f t="shared" si="1124"/>
        <v>0</v>
      </c>
    </row>
    <row r="3246" spans="1:7" ht="19.899999999999999" customHeight="1" x14ac:dyDescent="0.2">
      <c r="A3246" s="472"/>
      <c r="B3246" s="433"/>
      <c r="C3246" s="436"/>
      <c r="D3246" s="437"/>
      <c r="E3246" s="438">
        <f t="shared" si="1118"/>
        <v>0</v>
      </c>
      <c r="F3246" s="439">
        <f t="shared" si="1119"/>
        <v>0</v>
      </c>
      <c r="G3246" s="439">
        <f t="shared" si="1124"/>
        <v>0</v>
      </c>
    </row>
    <row r="3247" spans="1:7" ht="19.899999999999999" customHeight="1" x14ac:dyDescent="0.2">
      <c r="A3247" s="472"/>
      <c r="B3247" s="433"/>
      <c r="C3247" s="139"/>
      <c r="D3247" s="139"/>
      <c r="E3247" s="440"/>
      <c r="F3247" s="425"/>
      <c r="G3247" s="474"/>
    </row>
    <row r="3248" spans="1:7" ht="19.899999999999999" customHeight="1" x14ac:dyDescent="0.2">
      <c r="A3248" s="472"/>
      <c r="B3248" s="139"/>
      <c r="C3248" s="422" t="s">
        <v>972</v>
      </c>
      <c r="D3248" s="425" t="s">
        <v>969</v>
      </c>
      <c r="E3248" s="491">
        <f>SUMPRODUCT(D3237:D3246,E3237:E3246)</f>
        <v>0</v>
      </c>
      <c r="F3248" s="425" t="s">
        <v>973</v>
      </c>
      <c r="G3248" s="492">
        <f>SUM(G3237:G3246)</f>
        <v>0</v>
      </c>
    </row>
    <row r="3249" spans="1:7" ht="19.899999999999999" customHeight="1" x14ac:dyDescent="0.2">
      <c r="A3249" s="472"/>
      <c r="B3249" s="433"/>
      <c r="C3249" s="441"/>
      <c r="D3249" s="440"/>
      <c r="E3249" s="427"/>
      <c r="F3249" s="425"/>
      <c r="G3249" s="478"/>
    </row>
    <row r="3250" spans="1:7" ht="19.899999999999999" customHeight="1" x14ac:dyDescent="0.2">
      <c r="A3250" s="479"/>
      <c r="B3250" s="433"/>
      <c r="C3250" s="425" t="s">
        <v>974</v>
      </c>
      <c r="D3250" s="442">
        <f>IFERROR(VLOOKUP(COUNTIF($A$1:A3250,"ANALISIS DE PRECIOS"),T_Rendimiento_Equipo,5,FALSE),0)</f>
        <v>0</v>
      </c>
      <c r="E3250" s="443" t="str">
        <f ca="1">G3232&amp;"/día"</f>
        <v>0/día</v>
      </c>
      <c r="F3250" s="419"/>
      <c r="G3250" s="474"/>
    </row>
    <row r="3251" spans="1:7" ht="19.899999999999999" customHeight="1" x14ac:dyDescent="0.2">
      <c r="A3251" s="472"/>
      <c r="B3251" s="433"/>
      <c r="C3251" s="139"/>
      <c r="D3251" s="426"/>
      <c r="E3251" s="427"/>
      <c r="F3251" s="425"/>
      <c r="G3251" s="474"/>
    </row>
    <row r="3252" spans="1:7" ht="19.899999999999999" customHeight="1" x14ac:dyDescent="0.2">
      <c r="A3252" s="720" t="s">
        <v>576</v>
      </c>
      <c r="B3252" s="721"/>
      <c r="C3252" s="722" t="s">
        <v>0</v>
      </c>
      <c r="D3252" s="734" t="s">
        <v>1724</v>
      </c>
      <c r="E3252" s="734" t="s">
        <v>1723</v>
      </c>
      <c r="F3252" s="726" t="s">
        <v>975</v>
      </c>
      <c r="G3252" s="728" t="s">
        <v>26</v>
      </c>
    </row>
    <row r="3253" spans="1:7" ht="19.899999999999999" customHeight="1" x14ac:dyDescent="0.2">
      <c r="A3253" s="444" t="s">
        <v>577</v>
      </c>
      <c r="B3253" s="444" t="s">
        <v>578</v>
      </c>
      <c r="C3253" s="723"/>
      <c r="D3253" s="735"/>
      <c r="E3253" s="725"/>
      <c r="F3253" s="727"/>
      <c r="G3253" s="729"/>
    </row>
    <row r="3254" spans="1:7" ht="19.899999999999999" customHeight="1" x14ac:dyDescent="0.2">
      <c r="A3254" s="480"/>
      <c r="B3254" s="139"/>
      <c r="C3254" s="422" t="s">
        <v>976</v>
      </c>
      <c r="D3254" s="427"/>
      <c r="E3254" s="427"/>
      <c r="F3254" s="139"/>
      <c r="G3254" s="481"/>
    </row>
    <row r="3255" spans="1:7" ht="19.899999999999999" customHeight="1" x14ac:dyDescent="0.2">
      <c r="A3255" s="482">
        <f t="shared" ref="A3255:A3263" si="1128">IFERROR(VLOOKUP(C3255,T_Insumos,4,FALSE),0)</f>
        <v>0</v>
      </c>
      <c r="B3255" s="445">
        <f t="shared" ref="B3255:B3263" si="1129">IFERROR(VLOOKUP(C3255,T_Insumos,5,FALSE),0)</f>
        <v>0</v>
      </c>
      <c r="C3255" s="436">
        <f>+C2955</f>
        <v>0</v>
      </c>
      <c r="D3255" s="446">
        <f t="shared" ref="D3255:D3263" si="1130">IFERROR(VLOOKUP(C3255,T_Insumos,3,FALSE),0)</f>
        <v>0</v>
      </c>
      <c r="E3255" s="439">
        <f>D3255*$G$323</f>
        <v>0</v>
      </c>
      <c r="F3255" s="442">
        <f>IF(C3255="",0,IFERROR(VLOOKUP(COUNTIF($A$1:A3255,"ANALISIS DE PRECIOS"),T_Rendimiento_Equipo,5,FALSE),0))</f>
        <v>0</v>
      </c>
      <c r="G3255" s="439">
        <f>IFERROR(ROUND(E3255/F3255,2),0)</f>
        <v>0</v>
      </c>
    </row>
    <row r="3256" spans="1:7" ht="19.899999999999999" customHeight="1" x14ac:dyDescent="0.2">
      <c r="A3256" s="482">
        <f t="shared" si="1128"/>
        <v>0</v>
      </c>
      <c r="B3256" s="445">
        <f t="shared" si="1129"/>
        <v>0</v>
      </c>
      <c r="C3256" s="436">
        <f t="shared" ref="C3256:C3258" si="1131">+C2956</f>
        <v>0</v>
      </c>
      <c r="D3256" s="446">
        <f t="shared" si="1130"/>
        <v>0</v>
      </c>
      <c r="E3256" s="439">
        <f t="shared" ref="E3256:E3257" si="1132">D3256*$G$323</f>
        <v>0</v>
      </c>
      <c r="F3256" s="442">
        <f>IF(C3256="",0,IFERROR(VLOOKUP(COUNTIF($A$1:A3256,"ANALISIS DE PRECIOS"),T_Rendimiento_Equipo,5,FALSE),0))</f>
        <v>0</v>
      </c>
      <c r="G3256" s="439">
        <f t="shared" ref="G3256:G3263" si="1133">IFERROR(ROUND(E3256/F3256,2),0)</f>
        <v>0</v>
      </c>
    </row>
    <row r="3257" spans="1:7" ht="19.899999999999999" customHeight="1" x14ac:dyDescent="0.2">
      <c r="A3257" s="482">
        <f t="shared" si="1128"/>
        <v>0</v>
      </c>
      <c r="B3257" s="445">
        <f t="shared" si="1129"/>
        <v>0</v>
      </c>
      <c r="C3257" s="436">
        <f t="shared" si="1131"/>
        <v>0</v>
      </c>
      <c r="D3257" s="446">
        <f t="shared" si="1130"/>
        <v>0</v>
      </c>
      <c r="E3257" s="439">
        <f t="shared" si="1132"/>
        <v>0</v>
      </c>
      <c r="F3257" s="442">
        <f>IF(C3257="",0,IFERROR(VLOOKUP(COUNTIF($A$1:A3257,"ANALISIS DE PRECIOS"),T_Rendimiento_Equipo,5,FALSE),0))</f>
        <v>0</v>
      </c>
      <c r="G3257" s="439">
        <f t="shared" si="1133"/>
        <v>0</v>
      </c>
    </row>
    <row r="3258" spans="1:7" ht="19.899999999999999" customHeight="1" x14ac:dyDescent="0.2">
      <c r="A3258" s="482">
        <f t="shared" si="1128"/>
        <v>0</v>
      </c>
      <c r="B3258" s="445">
        <f t="shared" si="1129"/>
        <v>0</v>
      </c>
      <c r="C3258" s="436">
        <f t="shared" si="1131"/>
        <v>0</v>
      </c>
      <c r="D3258" s="446">
        <f t="shared" si="1130"/>
        <v>0</v>
      </c>
      <c r="E3258" s="439">
        <f>D3258*$E$323</f>
        <v>0</v>
      </c>
      <c r="F3258" s="442">
        <f>IF(C3258="",0,IFERROR(VLOOKUP(COUNTIF($A$1:A3258,"ANALISIS DE PRECIOS"),T_Rendimiento_Equipo,5,FALSE),0))</f>
        <v>0</v>
      </c>
      <c r="G3258" s="439">
        <f t="shared" si="1133"/>
        <v>0</v>
      </c>
    </row>
    <row r="3259" spans="1:7" ht="19.899999999999999" customHeight="1" x14ac:dyDescent="0.2">
      <c r="A3259" s="482">
        <f t="shared" si="1128"/>
        <v>0</v>
      </c>
      <c r="B3259" s="445">
        <f t="shared" si="1129"/>
        <v>0</v>
      </c>
      <c r="C3259" s="447"/>
      <c r="D3259" s="446">
        <f t="shared" si="1130"/>
        <v>0</v>
      </c>
      <c r="E3259" s="439"/>
      <c r="F3259" s="442">
        <f>IF(C3259="",0,IFERROR(VLOOKUP(COUNTIF($A$1:A3259,"ANALISIS DE PRECIOS"),T_Rendimiento_Equipo,5,FALSE),0))</f>
        <v>0</v>
      </c>
      <c r="G3259" s="439">
        <f t="shared" si="1133"/>
        <v>0</v>
      </c>
    </row>
    <row r="3260" spans="1:7" ht="19.899999999999999" customHeight="1" x14ac:dyDescent="0.2">
      <c r="A3260" s="482">
        <f t="shared" si="1128"/>
        <v>0</v>
      </c>
      <c r="B3260" s="445">
        <f t="shared" si="1129"/>
        <v>0</v>
      </c>
      <c r="C3260" s="447"/>
      <c r="D3260" s="446">
        <f t="shared" si="1130"/>
        <v>0</v>
      </c>
      <c r="E3260" s="439"/>
      <c r="F3260" s="442">
        <f>IF(C3260="",0,IFERROR(VLOOKUP(COUNTIF($A$1:A3260,"ANALISIS DE PRECIOS"),T_Rendimiento_Equipo,5,FALSE),0))</f>
        <v>0</v>
      </c>
      <c r="G3260" s="439">
        <f t="shared" si="1133"/>
        <v>0</v>
      </c>
    </row>
    <row r="3261" spans="1:7" ht="19.899999999999999" customHeight="1" x14ac:dyDescent="0.2">
      <c r="A3261" s="482">
        <f t="shared" si="1128"/>
        <v>0</v>
      </c>
      <c r="B3261" s="445">
        <f t="shared" si="1129"/>
        <v>0</v>
      </c>
      <c r="C3261" s="447"/>
      <c r="D3261" s="446">
        <f t="shared" si="1130"/>
        <v>0</v>
      </c>
      <c r="E3261" s="439"/>
      <c r="F3261" s="442">
        <f>IF(C3261="",0,IFERROR(VLOOKUP(COUNTIF($A$1:A3261,"ANALISIS DE PRECIOS"),T_Rendimiento_Equipo,5,FALSE),0))</f>
        <v>0</v>
      </c>
      <c r="G3261" s="439">
        <f t="shared" si="1133"/>
        <v>0</v>
      </c>
    </row>
    <row r="3262" spans="1:7" ht="19.899999999999999" customHeight="1" x14ac:dyDescent="0.2">
      <c r="A3262" s="482">
        <f t="shared" si="1128"/>
        <v>0</v>
      </c>
      <c r="B3262" s="445">
        <f t="shared" si="1129"/>
        <v>0</v>
      </c>
      <c r="C3262" s="447"/>
      <c r="D3262" s="446">
        <f t="shared" si="1130"/>
        <v>0</v>
      </c>
      <c r="E3262" s="439"/>
      <c r="F3262" s="442">
        <f>IF(C3262="",0,IFERROR(VLOOKUP(COUNTIF($A$1:A3262,"ANALISIS DE PRECIOS"),T_Rendimiento_Equipo,5,FALSE),0))</f>
        <v>0</v>
      </c>
      <c r="G3262" s="439">
        <f t="shared" si="1133"/>
        <v>0</v>
      </c>
    </row>
    <row r="3263" spans="1:7" ht="19.899999999999999" customHeight="1" x14ac:dyDescent="0.2">
      <c r="A3263" s="482">
        <f t="shared" si="1128"/>
        <v>0</v>
      </c>
      <c r="B3263" s="445">
        <f t="shared" si="1129"/>
        <v>0</v>
      </c>
      <c r="C3263" s="436"/>
      <c r="D3263" s="446">
        <f t="shared" si="1130"/>
        <v>0</v>
      </c>
      <c r="E3263" s="439"/>
      <c r="F3263" s="442">
        <f>IF(C3263="",0,IFERROR(VLOOKUP(COUNTIF($A$1:A3263,"ANALISIS DE PRECIOS"),T_Rendimiento_Equipo,5,FALSE),0))</f>
        <v>0</v>
      </c>
      <c r="G3263" s="439">
        <f t="shared" si="1133"/>
        <v>0</v>
      </c>
    </row>
    <row r="3264" spans="1:7" ht="19.899999999999999" customHeight="1" x14ac:dyDescent="0.2">
      <c r="A3264" s="483"/>
      <c r="B3264" s="426"/>
      <c r="C3264" s="139"/>
      <c r="D3264" s="426"/>
      <c r="E3264" s="427"/>
      <c r="F3264" s="448" t="s">
        <v>27</v>
      </c>
      <c r="G3264" s="484">
        <f>SUBTOTAL(9,G3255:G3263)</f>
        <v>0</v>
      </c>
    </row>
    <row r="3265" spans="1:7" ht="19.899999999999999" customHeight="1" x14ac:dyDescent="0.2">
      <c r="A3265" s="480"/>
      <c r="B3265" s="139"/>
      <c r="C3265" s="422" t="s">
        <v>713</v>
      </c>
      <c r="D3265" s="426"/>
      <c r="E3265" s="427"/>
      <c r="F3265" s="428"/>
      <c r="G3265" s="481"/>
    </row>
    <row r="3266" spans="1:7" ht="19.899999999999999" customHeight="1" x14ac:dyDescent="0.2">
      <c r="A3266" s="720" t="s">
        <v>576</v>
      </c>
      <c r="B3266" s="721"/>
      <c r="C3266" s="722" t="s">
        <v>0</v>
      </c>
      <c r="D3266" s="724" t="s">
        <v>24</v>
      </c>
      <c r="E3266" s="724" t="s">
        <v>1964</v>
      </c>
      <c r="F3266" s="726" t="s">
        <v>975</v>
      </c>
      <c r="G3266" s="728" t="s">
        <v>26</v>
      </c>
    </row>
    <row r="3267" spans="1:7" ht="19.899999999999999" customHeight="1" x14ac:dyDescent="0.2">
      <c r="A3267" s="444" t="s">
        <v>577</v>
      </c>
      <c r="B3267" s="444" t="s">
        <v>578</v>
      </c>
      <c r="C3267" s="723"/>
      <c r="D3267" s="725"/>
      <c r="E3267" s="725"/>
      <c r="F3267" s="727"/>
      <c r="G3267" s="729"/>
    </row>
    <row r="3268" spans="1:7" ht="19.899999999999999" customHeight="1" x14ac:dyDescent="0.2">
      <c r="A3268" s="482">
        <f t="shared" ref="A3268:A3274" si="1134">IFERROR(VLOOKUP(C3268,T_Insumos,4,FALSE),0)</f>
        <v>0</v>
      </c>
      <c r="B3268" s="445">
        <f t="shared" ref="B3268:B3274" si="1135">IFERROR(VLOOKUP(C3268,T_Insumos,5,FALSE),0)</f>
        <v>0</v>
      </c>
      <c r="C3268" s="436">
        <f t="shared" ref="C3268:C3271" si="1136">+C3043</f>
        <v>0</v>
      </c>
      <c r="D3268" s="442"/>
      <c r="E3268" s="439">
        <f t="shared" ref="E3268:E3274" si="1137">IFERROR(VLOOKUP(C3268,T_Insumos,3,FALSE),0)</f>
        <v>0</v>
      </c>
      <c r="F3268" s="442">
        <f>IF(C3268="",0,IFERROR(VLOOKUP(COUNTIF($A$1:A3268,"ANALISIS DE PRECIOS"),T_Rendimiento_Equipo,5,FALSE),0))</f>
        <v>0</v>
      </c>
      <c r="G3268" s="439">
        <f>IFERROR(ROUND(D3268*E3268/F3268,2),0)</f>
        <v>0</v>
      </c>
    </row>
    <row r="3269" spans="1:7" ht="19.899999999999999" customHeight="1" x14ac:dyDescent="0.2">
      <c r="A3269" s="482">
        <f t="shared" si="1134"/>
        <v>0</v>
      </c>
      <c r="B3269" s="445">
        <f t="shared" si="1135"/>
        <v>0</v>
      </c>
      <c r="C3269" s="436">
        <f t="shared" si="1136"/>
        <v>0</v>
      </c>
      <c r="D3269" s="442">
        <v>1</v>
      </c>
      <c r="E3269" s="439">
        <f t="shared" si="1137"/>
        <v>0</v>
      </c>
      <c r="F3269" s="442">
        <f>IF(C3269="",0,IFERROR(VLOOKUP(COUNTIF($A$1:A3269,"ANALISIS DE PRECIOS"),T_Rendimiento_Equipo,5,FALSE),0))</f>
        <v>0</v>
      </c>
      <c r="G3269" s="439">
        <f>IFERROR(ROUND(D3269*E3269/F3269,2),0)</f>
        <v>0</v>
      </c>
    </row>
    <row r="3270" spans="1:7" ht="19.899999999999999" customHeight="1" x14ac:dyDescent="0.2">
      <c r="A3270" s="482">
        <f t="shared" si="1134"/>
        <v>0</v>
      </c>
      <c r="B3270" s="445">
        <f t="shared" si="1135"/>
        <v>0</v>
      </c>
      <c r="C3270" s="436">
        <f t="shared" si="1136"/>
        <v>0</v>
      </c>
      <c r="D3270" s="442"/>
      <c r="E3270" s="439">
        <f t="shared" si="1137"/>
        <v>0</v>
      </c>
      <c r="F3270" s="442">
        <f>IF(C3270="",0,IFERROR(VLOOKUP(COUNTIF($A$1:A3270,"ANALISIS DE PRECIOS"),T_Rendimiento_Equipo,5,FALSE),0))</f>
        <v>0</v>
      </c>
      <c r="G3270" s="439">
        <f t="shared" ref="G3270:G3274" si="1138">IFERROR(ROUND(D3270*E3270/F3270,2),0)</f>
        <v>0</v>
      </c>
    </row>
    <row r="3271" spans="1:7" ht="19.899999999999999" customHeight="1" x14ac:dyDescent="0.2">
      <c r="A3271" s="482">
        <f t="shared" si="1134"/>
        <v>0</v>
      </c>
      <c r="B3271" s="445">
        <f t="shared" si="1135"/>
        <v>0</v>
      </c>
      <c r="C3271" s="436">
        <f t="shared" si="1136"/>
        <v>0</v>
      </c>
      <c r="D3271" s="442">
        <v>2</v>
      </c>
      <c r="E3271" s="439">
        <f t="shared" si="1137"/>
        <v>0</v>
      </c>
      <c r="F3271" s="442">
        <f>IF(C3271="",0,IFERROR(VLOOKUP(COUNTIF($A$1:A3271,"ANALISIS DE PRECIOS"),T_Rendimiento_Equipo,5,FALSE),0))</f>
        <v>0</v>
      </c>
      <c r="G3271" s="439">
        <f t="shared" si="1138"/>
        <v>0</v>
      </c>
    </row>
    <row r="3272" spans="1:7" ht="19.899999999999999" customHeight="1" x14ac:dyDescent="0.2">
      <c r="A3272" s="482">
        <f t="shared" si="1134"/>
        <v>0</v>
      </c>
      <c r="B3272" s="445">
        <f t="shared" si="1135"/>
        <v>0</v>
      </c>
      <c r="C3272" s="436"/>
      <c r="D3272" s="442"/>
      <c r="E3272" s="439">
        <f t="shared" si="1137"/>
        <v>0</v>
      </c>
      <c r="F3272" s="442">
        <f>IF(C3272="",0,IFERROR(VLOOKUP(COUNTIF($A$1:A3272,"ANALISIS DE PRECIOS"),T_Rendimiento_Equipo,5,FALSE),0))</f>
        <v>0</v>
      </c>
      <c r="G3272" s="439">
        <f t="shared" si="1138"/>
        <v>0</v>
      </c>
    </row>
    <row r="3273" spans="1:7" ht="19.899999999999999" customHeight="1" x14ac:dyDescent="0.2">
      <c r="A3273" s="482">
        <f t="shared" si="1134"/>
        <v>0</v>
      </c>
      <c r="B3273" s="445">
        <f t="shared" si="1135"/>
        <v>0</v>
      </c>
      <c r="C3273" s="436"/>
      <c r="D3273" s="450"/>
      <c r="E3273" s="439">
        <f t="shared" si="1137"/>
        <v>0</v>
      </c>
      <c r="F3273" s="442">
        <f>IF(C3273="",0,IFERROR(VLOOKUP(COUNTIF($A$1:A3273,"ANALISIS DE PRECIOS"),T_Rendimiento_Equipo,5,FALSE),0))</f>
        <v>0</v>
      </c>
      <c r="G3273" s="439">
        <f t="shared" si="1138"/>
        <v>0</v>
      </c>
    </row>
    <row r="3274" spans="1:7" ht="19.899999999999999" customHeight="1" x14ac:dyDescent="0.2">
      <c r="A3274" s="482">
        <f t="shared" si="1134"/>
        <v>0</v>
      </c>
      <c r="B3274" s="445">
        <f t="shared" si="1135"/>
        <v>0</v>
      </c>
      <c r="C3274" s="445"/>
      <c r="D3274" s="451"/>
      <c r="E3274" s="439">
        <f t="shared" si="1137"/>
        <v>0</v>
      </c>
      <c r="F3274" s="442">
        <f>IF(C3274="",0,IFERROR(VLOOKUP(COUNTIF($A$1:A3274,"ANALISIS DE PRECIOS"),T_Rendimiento_Equipo,5,FALSE),0))</f>
        <v>0</v>
      </c>
      <c r="G3274" s="439">
        <f t="shared" si="1138"/>
        <v>0</v>
      </c>
    </row>
    <row r="3275" spans="1:7" ht="19.899999999999999" customHeight="1" x14ac:dyDescent="0.2">
      <c r="A3275" s="483"/>
      <c r="B3275" s="426"/>
      <c r="C3275" s="139"/>
      <c r="D3275" s="426"/>
      <c r="E3275" s="427"/>
      <c r="F3275" s="448" t="s">
        <v>28</v>
      </c>
      <c r="G3275" s="485">
        <f>SUBTOTAL(9,G3268:G3274)</f>
        <v>0</v>
      </c>
    </row>
    <row r="3276" spans="1:7" ht="19.899999999999999" customHeight="1" x14ac:dyDescent="0.2">
      <c r="A3276" s="480"/>
      <c r="B3276" s="139"/>
      <c r="C3276" s="422" t="s">
        <v>982</v>
      </c>
      <c r="D3276" s="426"/>
      <c r="E3276" s="427"/>
      <c r="F3276" s="428"/>
      <c r="G3276" s="481"/>
    </row>
    <row r="3277" spans="1:7" ht="19.899999999999999" customHeight="1" x14ac:dyDescent="0.2">
      <c r="A3277" s="720" t="s">
        <v>576</v>
      </c>
      <c r="B3277" s="721"/>
      <c r="C3277" s="722" t="s">
        <v>0</v>
      </c>
      <c r="D3277" s="722" t="s">
        <v>1725</v>
      </c>
      <c r="E3277" s="724" t="s">
        <v>24</v>
      </c>
      <c r="F3277" s="726" t="s">
        <v>25</v>
      </c>
      <c r="G3277" s="728" t="s">
        <v>26</v>
      </c>
    </row>
    <row r="3278" spans="1:7" ht="19.899999999999999" customHeight="1" x14ac:dyDescent="0.2">
      <c r="A3278" s="444" t="s">
        <v>577</v>
      </c>
      <c r="B3278" s="444" t="s">
        <v>578</v>
      </c>
      <c r="C3278" s="723"/>
      <c r="D3278" s="723"/>
      <c r="E3278" s="725"/>
      <c r="F3278" s="727"/>
      <c r="G3278" s="729"/>
    </row>
    <row r="3279" spans="1:7" ht="19.899999999999999" customHeight="1" x14ac:dyDescent="0.2">
      <c r="A3279" s="482">
        <f t="shared" ref="A3279:A3289" si="1139">IFERROR(VLOOKUP(C3279,T_Insumos,4,FALSE),0)</f>
        <v>0</v>
      </c>
      <c r="B3279" s="445">
        <f t="shared" ref="B3279:B3289" si="1140">IFERROR(VLOOKUP(C3279,T_Insumos,5,FALSE),0)</f>
        <v>0</v>
      </c>
      <c r="C3279" s="436">
        <f t="shared" ref="C3279:C3289" si="1141">+C3054</f>
        <v>0</v>
      </c>
      <c r="D3279" s="493">
        <f t="shared" ref="D3279:D3289" si="1142">IFERROR(VLOOKUP(C3279,T_Insumos,2,FALSE),0)</f>
        <v>0</v>
      </c>
      <c r="E3279" s="437"/>
      <c r="F3279" s="439">
        <f t="shared" ref="F3279:F3289" si="1143">IFERROR(VLOOKUP(C3279,T_Insumos,3,FALSE),0)</f>
        <v>0</v>
      </c>
      <c r="G3279" s="439">
        <f>ROUND(E3279*F3279,2)</f>
        <v>0</v>
      </c>
    </row>
    <row r="3280" spans="1:7" ht="19.899999999999999" customHeight="1" x14ac:dyDescent="0.2">
      <c r="A3280" s="482">
        <f t="shared" si="1139"/>
        <v>0</v>
      </c>
      <c r="B3280" s="445">
        <f t="shared" si="1140"/>
        <v>0</v>
      </c>
      <c r="C3280" s="436">
        <f t="shared" si="1141"/>
        <v>0</v>
      </c>
      <c r="D3280" s="493">
        <f t="shared" si="1142"/>
        <v>0</v>
      </c>
      <c r="E3280" s="437"/>
      <c r="F3280" s="439">
        <f t="shared" si="1143"/>
        <v>0</v>
      </c>
      <c r="G3280" s="439">
        <f t="shared" ref="G3280:G3289" si="1144">ROUND(E3280*F3280,2)</f>
        <v>0</v>
      </c>
    </row>
    <row r="3281" spans="1:7" ht="19.899999999999999" customHeight="1" x14ac:dyDescent="0.2">
      <c r="A3281" s="482">
        <f t="shared" si="1139"/>
        <v>0</v>
      </c>
      <c r="B3281" s="445">
        <f t="shared" si="1140"/>
        <v>0</v>
      </c>
      <c r="C3281" s="436">
        <f t="shared" si="1141"/>
        <v>0</v>
      </c>
      <c r="D3281" s="493">
        <f t="shared" si="1142"/>
        <v>0</v>
      </c>
      <c r="E3281" s="437"/>
      <c r="F3281" s="439">
        <f t="shared" si="1143"/>
        <v>0</v>
      </c>
      <c r="G3281" s="439">
        <f t="shared" si="1144"/>
        <v>0</v>
      </c>
    </row>
    <row r="3282" spans="1:7" ht="19.899999999999999" customHeight="1" x14ac:dyDescent="0.2">
      <c r="A3282" s="482">
        <f t="shared" si="1139"/>
        <v>0</v>
      </c>
      <c r="B3282" s="445">
        <f t="shared" si="1140"/>
        <v>0</v>
      </c>
      <c r="C3282" s="436">
        <f t="shared" si="1141"/>
        <v>0</v>
      </c>
      <c r="D3282" s="493">
        <f t="shared" si="1142"/>
        <v>0</v>
      </c>
      <c r="E3282" s="437"/>
      <c r="F3282" s="439">
        <f t="shared" si="1143"/>
        <v>0</v>
      </c>
      <c r="G3282" s="439">
        <f t="shared" si="1144"/>
        <v>0</v>
      </c>
    </row>
    <row r="3283" spans="1:7" ht="19.899999999999999" customHeight="1" x14ac:dyDescent="0.2">
      <c r="A3283" s="482">
        <f t="shared" si="1139"/>
        <v>0</v>
      </c>
      <c r="B3283" s="445">
        <f t="shared" si="1140"/>
        <v>0</v>
      </c>
      <c r="C3283" s="436">
        <f t="shared" si="1141"/>
        <v>0</v>
      </c>
      <c r="D3283" s="493">
        <f t="shared" si="1142"/>
        <v>0</v>
      </c>
      <c r="E3283" s="437"/>
      <c r="F3283" s="439">
        <f t="shared" si="1143"/>
        <v>0</v>
      </c>
      <c r="G3283" s="439">
        <f t="shared" si="1144"/>
        <v>0</v>
      </c>
    </row>
    <row r="3284" spans="1:7" ht="19.899999999999999" customHeight="1" x14ac:dyDescent="0.2">
      <c r="A3284" s="482">
        <f t="shared" si="1139"/>
        <v>0</v>
      </c>
      <c r="B3284" s="445">
        <f t="shared" si="1140"/>
        <v>0</v>
      </c>
      <c r="C3284" s="436">
        <f t="shared" si="1141"/>
        <v>0</v>
      </c>
      <c r="D3284" s="493">
        <f t="shared" si="1142"/>
        <v>0</v>
      </c>
      <c r="E3284" s="437"/>
      <c r="F3284" s="439">
        <f t="shared" si="1143"/>
        <v>0</v>
      </c>
      <c r="G3284" s="439">
        <f t="shared" si="1144"/>
        <v>0</v>
      </c>
    </row>
    <row r="3285" spans="1:7" ht="19.899999999999999" customHeight="1" x14ac:dyDescent="0.2">
      <c r="A3285" s="482">
        <f t="shared" si="1139"/>
        <v>0</v>
      </c>
      <c r="B3285" s="445">
        <f t="shared" si="1140"/>
        <v>0</v>
      </c>
      <c r="C3285" s="436">
        <f t="shared" si="1141"/>
        <v>0</v>
      </c>
      <c r="D3285" s="493">
        <f t="shared" si="1142"/>
        <v>0</v>
      </c>
      <c r="E3285" s="437"/>
      <c r="F3285" s="439">
        <f t="shared" si="1143"/>
        <v>0</v>
      </c>
      <c r="G3285" s="439">
        <f t="shared" si="1144"/>
        <v>0</v>
      </c>
    </row>
    <row r="3286" spans="1:7" ht="19.899999999999999" customHeight="1" x14ac:dyDescent="0.2">
      <c r="A3286" s="482">
        <f t="shared" si="1139"/>
        <v>0</v>
      </c>
      <c r="B3286" s="445">
        <f t="shared" si="1140"/>
        <v>0</v>
      </c>
      <c r="C3286" s="436">
        <f t="shared" si="1141"/>
        <v>0</v>
      </c>
      <c r="D3286" s="493">
        <f t="shared" si="1142"/>
        <v>0</v>
      </c>
      <c r="E3286" s="437"/>
      <c r="F3286" s="439">
        <f t="shared" si="1143"/>
        <v>0</v>
      </c>
      <c r="G3286" s="439">
        <f t="shared" si="1144"/>
        <v>0</v>
      </c>
    </row>
    <row r="3287" spans="1:7" ht="19.899999999999999" customHeight="1" x14ac:dyDescent="0.2">
      <c r="A3287" s="482">
        <f t="shared" si="1139"/>
        <v>0</v>
      </c>
      <c r="B3287" s="445">
        <f t="shared" si="1140"/>
        <v>0</v>
      </c>
      <c r="C3287" s="436">
        <f t="shared" si="1141"/>
        <v>0</v>
      </c>
      <c r="D3287" s="493">
        <f t="shared" si="1142"/>
        <v>0</v>
      </c>
      <c r="E3287" s="437"/>
      <c r="F3287" s="439">
        <f t="shared" si="1143"/>
        <v>0</v>
      </c>
      <c r="G3287" s="439">
        <f t="shared" si="1144"/>
        <v>0</v>
      </c>
    </row>
    <row r="3288" spans="1:7" ht="19.899999999999999" customHeight="1" x14ac:dyDescent="0.2">
      <c r="A3288" s="482">
        <f t="shared" si="1139"/>
        <v>0</v>
      </c>
      <c r="B3288" s="445">
        <f t="shared" si="1140"/>
        <v>0</v>
      </c>
      <c r="C3288" s="436">
        <f t="shared" si="1141"/>
        <v>0</v>
      </c>
      <c r="D3288" s="493">
        <f t="shared" si="1142"/>
        <v>0</v>
      </c>
      <c r="E3288" s="437"/>
      <c r="F3288" s="439">
        <f t="shared" si="1143"/>
        <v>0</v>
      </c>
      <c r="G3288" s="439">
        <f t="shared" si="1144"/>
        <v>0</v>
      </c>
    </row>
    <row r="3289" spans="1:7" ht="19.899999999999999" customHeight="1" x14ac:dyDescent="0.2">
      <c r="A3289" s="482">
        <f t="shared" si="1139"/>
        <v>0</v>
      </c>
      <c r="B3289" s="445">
        <f t="shared" si="1140"/>
        <v>0</v>
      </c>
      <c r="C3289" s="436">
        <f t="shared" si="1141"/>
        <v>0</v>
      </c>
      <c r="D3289" s="493">
        <f t="shared" si="1142"/>
        <v>0</v>
      </c>
      <c r="E3289" s="437"/>
      <c r="F3289" s="439">
        <f t="shared" si="1143"/>
        <v>0</v>
      </c>
      <c r="G3289" s="439">
        <f t="shared" si="1144"/>
        <v>0</v>
      </c>
    </row>
    <row r="3290" spans="1:7" ht="19.899999999999999" customHeight="1" x14ac:dyDescent="0.2">
      <c r="A3290" s="480"/>
      <c r="B3290" s="139"/>
      <c r="C3290" s="139"/>
      <c r="D3290" s="426"/>
      <c r="E3290" s="427"/>
      <c r="F3290" s="448" t="s">
        <v>29</v>
      </c>
      <c r="G3290" s="485">
        <f>SUBTOTAL(9,G3279:G3289)</f>
        <v>0</v>
      </c>
    </row>
    <row r="3291" spans="1:7" ht="19.899999999999999" customHeight="1" x14ac:dyDescent="0.2">
      <c r="A3291" s="480"/>
      <c r="B3291" s="139"/>
      <c r="C3291" s="422" t="s">
        <v>983</v>
      </c>
      <c r="D3291" s="426"/>
      <c r="E3291" s="427"/>
      <c r="F3291" s="428"/>
      <c r="G3291" s="481"/>
    </row>
    <row r="3292" spans="1:7" ht="19.899999999999999" customHeight="1" x14ac:dyDescent="0.2">
      <c r="A3292" s="720" t="s">
        <v>576</v>
      </c>
      <c r="B3292" s="721"/>
      <c r="C3292" s="722" t="s">
        <v>0</v>
      </c>
      <c r="D3292" s="722" t="s">
        <v>1725</v>
      </c>
      <c r="E3292" s="724" t="s">
        <v>24</v>
      </c>
      <c r="F3292" s="726" t="s">
        <v>25</v>
      </c>
      <c r="G3292" s="728" t="s">
        <v>26</v>
      </c>
    </row>
    <row r="3293" spans="1:7" ht="19.899999999999999" customHeight="1" x14ac:dyDescent="0.2">
      <c r="A3293" s="444" t="s">
        <v>577</v>
      </c>
      <c r="B3293" s="444" t="s">
        <v>578</v>
      </c>
      <c r="C3293" s="723"/>
      <c r="D3293" s="723"/>
      <c r="E3293" s="725"/>
      <c r="F3293" s="727"/>
      <c r="G3293" s="729"/>
    </row>
    <row r="3294" spans="1:7" ht="19.899999999999999" customHeight="1" x14ac:dyDescent="0.2">
      <c r="A3294" s="482">
        <f>IFERROR(VLOOKUP(C3294,T_Insumos,4,FALSE),0)</f>
        <v>0</v>
      </c>
      <c r="B3294" s="445">
        <f>IFERROR(VLOOKUP(C3294,T_Insumos,5,FALSE),0)</f>
        <v>0</v>
      </c>
      <c r="C3294" s="436"/>
      <c r="D3294" s="493">
        <f>IF(C3294=0,0,"$/tnkm")</f>
        <v>0</v>
      </c>
      <c r="E3294" s="437"/>
      <c r="F3294" s="439">
        <f>IFERROR(VLOOKUP(C3294,T_Insumos,3,FALSE),0)</f>
        <v>0</v>
      </c>
      <c r="G3294" s="439">
        <f>ROUND(E3294*F3294,2)</f>
        <v>0</v>
      </c>
    </row>
    <row r="3295" spans="1:7" ht="19.899999999999999" customHeight="1" x14ac:dyDescent="0.2">
      <c r="A3295" s="482">
        <f>IFERROR(VLOOKUP(C3295,T_Insumos,4,FALSE),0)</f>
        <v>0</v>
      </c>
      <c r="B3295" s="445">
        <f>IFERROR(VLOOKUP(C3295,T_Insumos,5,FALSE),0)</f>
        <v>0</v>
      </c>
      <c r="C3295" s="436"/>
      <c r="D3295" s="493">
        <f>IF(C3295=0,0,"$/tnkm")</f>
        <v>0</v>
      </c>
      <c r="E3295" s="453"/>
      <c r="F3295" s="439">
        <f>IFERROR(VLOOKUP(C3295,T_Insumos,3,FALSE),0)</f>
        <v>0</v>
      </c>
      <c r="G3295" s="439">
        <f t="shared" ref="G3295" si="1145">ROUND(E3295*F3295,2)</f>
        <v>0</v>
      </c>
    </row>
    <row r="3296" spans="1:7" ht="19.899999999999999" customHeight="1" x14ac:dyDescent="0.2">
      <c r="A3296" s="480"/>
      <c r="B3296" s="139"/>
      <c r="C3296" s="139"/>
      <c r="D3296" s="426"/>
      <c r="E3296" s="427"/>
      <c r="F3296" s="448" t="s">
        <v>984</v>
      </c>
      <c r="G3296" s="485">
        <f>SUBTOTAL(9,G3294:G3295)</f>
        <v>0</v>
      </c>
    </row>
    <row r="3297" spans="1:7" ht="19.899999999999999" customHeight="1" x14ac:dyDescent="0.2">
      <c r="A3297" s="483"/>
      <c r="B3297" s="426"/>
      <c r="C3297" s="139"/>
      <c r="D3297" s="426"/>
      <c r="E3297" s="427"/>
      <c r="F3297" s="428"/>
      <c r="G3297" s="481"/>
    </row>
    <row r="3298" spans="1:7" ht="19.899999999999999" customHeight="1" x14ac:dyDescent="0.2">
      <c r="A3298" s="541" t="str">
        <f>B3232</f>
        <v/>
      </c>
      <c r="B3298" s="538">
        <f ca="1">C3232</f>
        <v>0</v>
      </c>
      <c r="C3298" s="426"/>
      <c r="D3298" s="426" t="s">
        <v>1704</v>
      </c>
      <c r="E3298" s="539"/>
      <c r="F3298" s="540" t="str">
        <f ca="1">"$/"&amp;G3232</f>
        <v>$/0</v>
      </c>
      <c r="G3298" s="490">
        <f>SUBTOTAL(9,G3255:G3297)</f>
        <v>0</v>
      </c>
    </row>
    <row r="3299" spans="1:7" ht="19.899999999999999" customHeight="1" x14ac:dyDescent="0.2">
      <c r="A3299" s="486"/>
      <c r="B3299" s="487"/>
      <c r="C3299" s="488"/>
      <c r="D3299" s="488" t="s">
        <v>1900</v>
      </c>
      <c r="E3299" s="489"/>
      <c r="F3299" s="542" t="str">
        <f ca="1">"$/"&amp;G3232</f>
        <v>$/0</v>
      </c>
      <c r="G3299" s="490">
        <f>ROUND(G3298*Coeficiente_Paso,2)</f>
        <v>0</v>
      </c>
    </row>
    <row r="3300" spans="1:7" ht="19.899999999999999" customHeight="1" x14ac:dyDescent="0.2">
      <c r="A3300" s="139"/>
      <c r="B3300" s="139"/>
      <c r="C3300" s="139"/>
      <c r="D3300" s="139"/>
      <c r="E3300" s="139"/>
      <c r="F3300" s="139"/>
      <c r="G3300" s="139"/>
    </row>
    <row r="3301" spans="1:7" ht="19.899999999999999" customHeight="1" x14ac:dyDescent="0.2">
      <c r="A3301" s="730" t="s">
        <v>31</v>
      </c>
      <c r="B3301" s="731"/>
      <c r="C3301" s="731"/>
      <c r="D3301" s="731"/>
      <c r="E3301" s="731"/>
      <c r="F3301" s="731"/>
      <c r="G3301" s="732"/>
    </row>
    <row r="3302" spans="1:7" ht="19.899999999999999" customHeight="1" x14ac:dyDescent="0.2">
      <c r="A3302" s="469" t="s">
        <v>711</v>
      </c>
      <c r="B3302" s="420" t="str">
        <f>Comitente</f>
        <v>DEPARTAMENTO DE HIDRAULICA</v>
      </c>
      <c r="C3302" s="421"/>
      <c r="D3302" s="422"/>
      <c r="E3302" s="422"/>
      <c r="F3302" s="423"/>
      <c r="G3302" s="470"/>
    </row>
    <row r="3303" spans="1:7" ht="19.899999999999999" customHeight="1" x14ac:dyDescent="0.2">
      <c r="A3303" s="469" t="s">
        <v>712</v>
      </c>
      <c r="B3303" s="420">
        <f>Contratista</f>
        <v>0</v>
      </c>
      <c r="C3303" s="424"/>
      <c r="D3303" s="424"/>
      <c r="E3303" s="424"/>
      <c r="F3303" s="420"/>
      <c r="G3303" s="471"/>
    </row>
    <row r="3304" spans="1:7" ht="19.899999999999999" customHeight="1" x14ac:dyDescent="0.2">
      <c r="A3304" s="469" t="s">
        <v>21</v>
      </c>
      <c r="B3304" s="420" t="str">
        <f>Obra</f>
        <v>Encamisado Parcial del Canal de Calle América</v>
      </c>
      <c r="C3304" s="424"/>
      <c r="D3304" s="424"/>
      <c r="E3304" s="424"/>
      <c r="F3304" s="420" t="s">
        <v>32</v>
      </c>
      <c r="G3304" s="471" t="str">
        <f>Fecha_Base</f>
        <v>X/X/2023</v>
      </c>
    </row>
    <row r="3305" spans="1:7" ht="19.899999999999999" customHeight="1" x14ac:dyDescent="0.2">
      <c r="A3305" s="472" t="s">
        <v>710</v>
      </c>
      <c r="B3305" s="425" t="str">
        <f>Ubicación</f>
        <v>Departamento Rawson</v>
      </c>
      <c r="C3305" s="425"/>
      <c r="D3305" s="426"/>
      <c r="E3305" s="427"/>
      <c r="F3305" s="428"/>
      <c r="G3305" s="473"/>
    </row>
    <row r="3306" spans="1:7" ht="19.899999999999999" customHeight="1" x14ac:dyDescent="0.2">
      <c r="A3306" s="472" t="s">
        <v>33</v>
      </c>
      <c r="B3306" s="429" t="str">
        <f>IFERROR(VALUE(LEFT(B3307,FIND(".",B3307)-1)),"")</f>
        <v/>
      </c>
      <c r="C3306" s="139">
        <f ca="1">IFERROR(VLOOKUP(B3306,T_Computo_Presupuesto,2,FALSE),0)</f>
        <v>0</v>
      </c>
      <c r="D3306" s="139"/>
      <c r="E3306" s="427"/>
      <c r="F3306" s="428"/>
      <c r="G3306" s="473"/>
    </row>
    <row r="3307" spans="1:7" ht="19.899999999999999" customHeight="1" x14ac:dyDescent="0.2">
      <c r="A3307" s="472" t="s">
        <v>22</v>
      </c>
      <c r="B3307" s="430" t="str">
        <f>IFERROR(VLOOKUP(COUNTIF($A$1:A3307,"ANALISIS DE PRECIOS"),T_NumeroItem,2,FALSE),"")</f>
        <v/>
      </c>
      <c r="C3307" s="733">
        <f ca="1">IFERROR(VLOOKUP(B3307,T_Computo_Presupuesto,2,FALSE),0)</f>
        <v>0</v>
      </c>
      <c r="D3307" s="733"/>
      <c r="E3307" s="733"/>
      <c r="F3307" s="425" t="s">
        <v>23</v>
      </c>
      <c r="G3307" s="474">
        <f ca="1">IFERROR(VLOOKUP(B3307,T_Computo_Presupuesto,4,FALSE),0)</f>
        <v>0</v>
      </c>
    </row>
    <row r="3308" spans="1:7" ht="19.899999999999999" customHeight="1" x14ac:dyDescent="0.2">
      <c r="A3308" s="472"/>
      <c r="B3308" s="425"/>
      <c r="C3308" s="139"/>
      <c r="D3308" s="426"/>
      <c r="E3308" s="427"/>
      <c r="F3308" s="139"/>
      <c r="G3308" s="475"/>
    </row>
    <row r="3309" spans="1:7" ht="19.899999999999999" customHeight="1" x14ac:dyDescent="0.2">
      <c r="A3309" s="476"/>
      <c r="B3309" s="431"/>
      <c r="C3309" s="432" t="s">
        <v>967</v>
      </c>
      <c r="D3309" s="431"/>
      <c r="E3309" s="431"/>
      <c r="F3309" s="431"/>
      <c r="G3309" s="477"/>
    </row>
    <row r="3310" spans="1:7" ht="19.899999999999999" customHeight="1" x14ac:dyDescent="0.2">
      <c r="A3310" s="472"/>
      <c r="B3310" s="433"/>
      <c r="C3310" s="139"/>
      <c r="D3310" s="426"/>
      <c r="E3310" s="427"/>
      <c r="F3310" s="425"/>
      <c r="G3310" s="474"/>
    </row>
    <row r="3311" spans="1:7" ht="19.899999999999999" customHeight="1" x14ac:dyDescent="0.2">
      <c r="A3311" s="472"/>
      <c r="B3311" s="433"/>
      <c r="C3311" s="434" t="s">
        <v>968</v>
      </c>
      <c r="D3311" s="435" t="s">
        <v>24</v>
      </c>
      <c r="E3311" s="435" t="s">
        <v>969</v>
      </c>
      <c r="F3311" s="435" t="s">
        <v>970</v>
      </c>
      <c r="G3311" s="434" t="s">
        <v>971</v>
      </c>
    </row>
    <row r="3312" spans="1:7" ht="19.899999999999999" customHeight="1" x14ac:dyDescent="0.2">
      <c r="A3312" s="472"/>
      <c r="B3312" s="433"/>
      <c r="C3312" s="436">
        <f>+C3087</f>
        <v>0</v>
      </c>
      <c r="D3312" s="436">
        <f>+D3087</f>
        <v>0</v>
      </c>
      <c r="E3312" s="438">
        <f t="shared" ref="E3312:E3321" si="1146">IFERROR(VLOOKUP(C3312,T_Equipos,4,FALSE),0)</f>
        <v>0</v>
      </c>
      <c r="F3312" s="439">
        <f t="shared" ref="F3312:F3321" si="1147">IFERROR(VLOOKUP(C3312,T_Equipos,5,FALSE),0)</f>
        <v>0</v>
      </c>
      <c r="G3312" s="439">
        <f>ROUND(D3312*F3312,2)</f>
        <v>0</v>
      </c>
    </row>
    <row r="3313" spans="1:7" ht="19.899999999999999" customHeight="1" x14ac:dyDescent="0.2">
      <c r="A3313" s="472"/>
      <c r="B3313" s="433"/>
      <c r="C3313" s="436">
        <f t="shared" ref="C3313:D3313" si="1148">+C3088</f>
        <v>0</v>
      </c>
      <c r="D3313" s="436">
        <f t="shared" si="1148"/>
        <v>0</v>
      </c>
      <c r="E3313" s="438">
        <f t="shared" si="1146"/>
        <v>0</v>
      </c>
      <c r="F3313" s="439">
        <f t="shared" si="1147"/>
        <v>0</v>
      </c>
      <c r="G3313" s="439">
        <f>ROUND(D3313*F3313,2)</f>
        <v>0</v>
      </c>
    </row>
    <row r="3314" spans="1:7" ht="19.899999999999999" customHeight="1" x14ac:dyDescent="0.2">
      <c r="A3314" s="472"/>
      <c r="B3314" s="433"/>
      <c r="C3314" s="436">
        <f t="shared" ref="C3314" si="1149">+C3089</f>
        <v>0</v>
      </c>
      <c r="D3314" s="436"/>
      <c r="E3314" s="438">
        <f t="shared" si="1146"/>
        <v>0</v>
      </c>
      <c r="F3314" s="439">
        <f t="shared" si="1147"/>
        <v>0</v>
      </c>
      <c r="G3314" s="439">
        <f>ROUND(D3314*F3314,2)</f>
        <v>0</v>
      </c>
    </row>
    <row r="3315" spans="1:7" ht="19.899999999999999" customHeight="1" x14ac:dyDescent="0.2">
      <c r="A3315" s="472"/>
      <c r="B3315" s="433"/>
      <c r="C3315" s="436">
        <f t="shared" ref="C3315" si="1150">+C3090</f>
        <v>0</v>
      </c>
      <c r="D3315" s="436"/>
      <c r="E3315" s="438">
        <f t="shared" si="1146"/>
        <v>0</v>
      </c>
      <c r="F3315" s="439">
        <f t="shared" si="1147"/>
        <v>0</v>
      </c>
      <c r="G3315" s="439">
        <f>ROUND(D3315*F3315,2)</f>
        <v>0</v>
      </c>
    </row>
    <row r="3316" spans="1:7" ht="19.899999999999999" customHeight="1" x14ac:dyDescent="0.2">
      <c r="A3316" s="472"/>
      <c r="B3316" s="433"/>
      <c r="C3316" s="436">
        <f t="shared" ref="C3316" si="1151">+C3091</f>
        <v>0</v>
      </c>
      <c r="D3316" s="436"/>
      <c r="E3316" s="438">
        <f t="shared" si="1146"/>
        <v>0</v>
      </c>
      <c r="F3316" s="439">
        <f t="shared" si="1147"/>
        <v>0</v>
      </c>
      <c r="G3316" s="439">
        <f t="shared" ref="G3316:G3321" si="1152">ROUND(D3316*F3316,2)</f>
        <v>0</v>
      </c>
    </row>
    <row r="3317" spans="1:7" ht="19.899999999999999" customHeight="1" x14ac:dyDescent="0.2">
      <c r="A3317" s="472"/>
      <c r="B3317" s="433"/>
      <c r="C3317" s="436">
        <f t="shared" ref="C3317" si="1153">+C3092</f>
        <v>0</v>
      </c>
      <c r="D3317" s="436"/>
      <c r="E3317" s="438">
        <f t="shared" si="1146"/>
        <v>0</v>
      </c>
      <c r="F3317" s="439">
        <f t="shared" si="1147"/>
        <v>0</v>
      </c>
      <c r="G3317" s="439">
        <f t="shared" si="1152"/>
        <v>0</v>
      </c>
    </row>
    <row r="3318" spans="1:7" ht="19.899999999999999" customHeight="1" x14ac:dyDescent="0.2">
      <c r="A3318" s="472"/>
      <c r="B3318" s="433"/>
      <c r="C3318" s="436">
        <f t="shared" ref="C3318:D3318" si="1154">+C3093</f>
        <v>0</v>
      </c>
      <c r="D3318" s="436">
        <f t="shared" si="1154"/>
        <v>0</v>
      </c>
      <c r="E3318" s="438">
        <f t="shared" si="1146"/>
        <v>0</v>
      </c>
      <c r="F3318" s="439">
        <f t="shared" si="1147"/>
        <v>0</v>
      </c>
      <c r="G3318" s="439">
        <f t="shared" si="1152"/>
        <v>0</v>
      </c>
    </row>
    <row r="3319" spans="1:7" ht="19.899999999999999" customHeight="1" x14ac:dyDescent="0.2">
      <c r="A3319" s="472"/>
      <c r="B3319" s="433"/>
      <c r="C3319" s="436">
        <f t="shared" ref="C3319:D3319" si="1155">+C3094</f>
        <v>0</v>
      </c>
      <c r="D3319" s="436">
        <f t="shared" si="1155"/>
        <v>0</v>
      </c>
      <c r="E3319" s="438">
        <f t="shared" si="1146"/>
        <v>0</v>
      </c>
      <c r="F3319" s="439">
        <f t="shared" si="1147"/>
        <v>0</v>
      </c>
      <c r="G3319" s="439">
        <f t="shared" si="1152"/>
        <v>0</v>
      </c>
    </row>
    <row r="3320" spans="1:7" ht="19.899999999999999" customHeight="1" x14ac:dyDescent="0.2">
      <c r="A3320" s="472"/>
      <c r="B3320" s="433"/>
      <c r="C3320" s="436"/>
      <c r="D3320" s="437"/>
      <c r="E3320" s="438">
        <f t="shared" si="1146"/>
        <v>0</v>
      </c>
      <c r="F3320" s="439">
        <f t="shared" si="1147"/>
        <v>0</v>
      </c>
      <c r="G3320" s="439">
        <f t="shared" si="1152"/>
        <v>0</v>
      </c>
    </row>
    <row r="3321" spans="1:7" ht="19.899999999999999" customHeight="1" x14ac:dyDescent="0.2">
      <c r="A3321" s="472"/>
      <c r="B3321" s="433"/>
      <c r="C3321" s="436"/>
      <c r="D3321" s="437"/>
      <c r="E3321" s="438">
        <f t="shared" si="1146"/>
        <v>0</v>
      </c>
      <c r="F3321" s="439">
        <f t="shared" si="1147"/>
        <v>0</v>
      </c>
      <c r="G3321" s="439">
        <f t="shared" si="1152"/>
        <v>0</v>
      </c>
    </row>
    <row r="3322" spans="1:7" ht="19.899999999999999" customHeight="1" x14ac:dyDescent="0.2">
      <c r="A3322" s="472"/>
      <c r="B3322" s="433"/>
      <c r="C3322" s="139"/>
      <c r="D3322" s="139"/>
      <c r="E3322" s="440"/>
      <c r="F3322" s="425"/>
      <c r="G3322" s="474"/>
    </row>
    <row r="3323" spans="1:7" ht="19.899999999999999" customHeight="1" x14ac:dyDescent="0.2">
      <c r="A3323" s="472"/>
      <c r="B3323" s="139"/>
      <c r="C3323" s="422" t="s">
        <v>972</v>
      </c>
      <c r="D3323" s="425" t="s">
        <v>969</v>
      </c>
      <c r="E3323" s="491">
        <f>SUMPRODUCT(D3312:D3321,E3312:E3321)</f>
        <v>0</v>
      </c>
      <c r="F3323" s="425" t="s">
        <v>973</v>
      </c>
      <c r="G3323" s="492">
        <f>SUM(G3312:G3321)</f>
        <v>0</v>
      </c>
    </row>
    <row r="3324" spans="1:7" ht="19.899999999999999" customHeight="1" x14ac:dyDescent="0.2">
      <c r="A3324" s="472"/>
      <c r="B3324" s="433"/>
      <c r="C3324" s="441"/>
      <c r="D3324" s="440"/>
      <c r="E3324" s="427"/>
      <c r="F3324" s="425"/>
      <c r="G3324" s="478"/>
    </row>
    <row r="3325" spans="1:7" ht="19.899999999999999" customHeight="1" x14ac:dyDescent="0.2">
      <c r="A3325" s="479"/>
      <c r="B3325" s="433"/>
      <c r="C3325" s="425" t="s">
        <v>974</v>
      </c>
      <c r="D3325" s="442">
        <f>IFERROR(VLOOKUP(COUNTIF($A$1:A3325,"ANALISIS DE PRECIOS"),T_Rendimiento_Equipo,5,FALSE),0)</f>
        <v>0</v>
      </c>
      <c r="E3325" s="443" t="str">
        <f ca="1">G3307&amp;"/día"</f>
        <v>0/día</v>
      </c>
      <c r="F3325" s="419"/>
      <c r="G3325" s="474"/>
    </row>
    <row r="3326" spans="1:7" ht="19.899999999999999" customHeight="1" x14ac:dyDescent="0.2">
      <c r="A3326" s="472"/>
      <c r="B3326" s="433"/>
      <c r="C3326" s="139"/>
      <c r="D3326" s="426"/>
      <c r="E3326" s="427"/>
      <c r="F3326" s="425"/>
      <c r="G3326" s="474"/>
    </row>
    <row r="3327" spans="1:7" ht="19.899999999999999" customHeight="1" x14ac:dyDescent="0.2">
      <c r="A3327" s="720" t="s">
        <v>576</v>
      </c>
      <c r="B3327" s="721"/>
      <c r="C3327" s="722" t="s">
        <v>0</v>
      </c>
      <c r="D3327" s="734" t="s">
        <v>1724</v>
      </c>
      <c r="E3327" s="734" t="s">
        <v>1723</v>
      </c>
      <c r="F3327" s="726" t="s">
        <v>975</v>
      </c>
      <c r="G3327" s="728" t="s">
        <v>26</v>
      </c>
    </row>
    <row r="3328" spans="1:7" ht="19.899999999999999" customHeight="1" x14ac:dyDescent="0.2">
      <c r="A3328" s="444" t="s">
        <v>577</v>
      </c>
      <c r="B3328" s="444" t="s">
        <v>578</v>
      </c>
      <c r="C3328" s="723"/>
      <c r="D3328" s="735"/>
      <c r="E3328" s="725"/>
      <c r="F3328" s="727"/>
      <c r="G3328" s="729"/>
    </row>
    <row r="3329" spans="1:7" ht="19.899999999999999" customHeight="1" x14ac:dyDescent="0.2">
      <c r="A3329" s="480"/>
      <c r="B3329" s="139"/>
      <c r="C3329" s="422" t="s">
        <v>976</v>
      </c>
      <c r="D3329" s="427"/>
      <c r="E3329" s="427"/>
      <c r="F3329" s="139"/>
      <c r="G3329" s="481"/>
    </row>
    <row r="3330" spans="1:7" ht="19.899999999999999" customHeight="1" x14ac:dyDescent="0.2">
      <c r="A3330" s="482">
        <f t="shared" ref="A3330:A3338" si="1156">IFERROR(VLOOKUP(C3330,T_Insumos,4,FALSE),0)</f>
        <v>0</v>
      </c>
      <c r="B3330" s="445">
        <f t="shared" ref="B3330:B3338" si="1157">IFERROR(VLOOKUP(C3330,T_Insumos,5,FALSE),0)</f>
        <v>0</v>
      </c>
      <c r="C3330" s="436">
        <f>+C3030</f>
        <v>0</v>
      </c>
      <c r="D3330" s="446">
        <f t="shared" ref="D3330:D3338" si="1158">IFERROR(VLOOKUP(C3330,T_Insumos,3,FALSE),0)</f>
        <v>0</v>
      </c>
      <c r="E3330" s="439">
        <f>D3330*$G$323</f>
        <v>0</v>
      </c>
      <c r="F3330" s="442">
        <f>IF(C3330="",0,IFERROR(VLOOKUP(COUNTIF($A$1:A3330,"ANALISIS DE PRECIOS"),T_Rendimiento_Equipo,5,FALSE),0))</f>
        <v>0</v>
      </c>
      <c r="G3330" s="439">
        <f>IFERROR(ROUND(E3330/F3330,2),0)</f>
        <v>0</v>
      </c>
    </row>
    <row r="3331" spans="1:7" ht="19.899999999999999" customHeight="1" x14ac:dyDescent="0.2">
      <c r="A3331" s="482">
        <f t="shared" si="1156"/>
        <v>0</v>
      </c>
      <c r="B3331" s="445">
        <f t="shared" si="1157"/>
        <v>0</v>
      </c>
      <c r="C3331" s="436">
        <f t="shared" ref="C3331:C3333" si="1159">+C3031</f>
        <v>0</v>
      </c>
      <c r="D3331" s="446">
        <f t="shared" si="1158"/>
        <v>0</v>
      </c>
      <c r="E3331" s="439">
        <f t="shared" ref="E3331:E3332" si="1160">D3331*$G$323</f>
        <v>0</v>
      </c>
      <c r="F3331" s="442">
        <f>IF(C3331="",0,IFERROR(VLOOKUP(COUNTIF($A$1:A3331,"ANALISIS DE PRECIOS"),T_Rendimiento_Equipo,5,FALSE),0))</f>
        <v>0</v>
      </c>
      <c r="G3331" s="439">
        <f t="shared" ref="G3331:G3338" si="1161">IFERROR(ROUND(E3331/F3331,2),0)</f>
        <v>0</v>
      </c>
    </row>
    <row r="3332" spans="1:7" ht="19.899999999999999" customHeight="1" x14ac:dyDescent="0.2">
      <c r="A3332" s="482">
        <f t="shared" si="1156"/>
        <v>0</v>
      </c>
      <c r="B3332" s="445">
        <f t="shared" si="1157"/>
        <v>0</v>
      </c>
      <c r="C3332" s="436">
        <f t="shared" si="1159"/>
        <v>0</v>
      </c>
      <c r="D3332" s="446">
        <f t="shared" si="1158"/>
        <v>0</v>
      </c>
      <c r="E3332" s="439">
        <f t="shared" si="1160"/>
        <v>0</v>
      </c>
      <c r="F3332" s="442">
        <f>IF(C3332="",0,IFERROR(VLOOKUP(COUNTIF($A$1:A3332,"ANALISIS DE PRECIOS"),T_Rendimiento_Equipo,5,FALSE),0))</f>
        <v>0</v>
      </c>
      <c r="G3332" s="439">
        <f t="shared" si="1161"/>
        <v>0</v>
      </c>
    </row>
    <row r="3333" spans="1:7" ht="19.899999999999999" customHeight="1" x14ac:dyDescent="0.2">
      <c r="A3333" s="482">
        <f t="shared" si="1156"/>
        <v>0</v>
      </c>
      <c r="B3333" s="445">
        <f t="shared" si="1157"/>
        <v>0</v>
      </c>
      <c r="C3333" s="436">
        <f t="shared" si="1159"/>
        <v>0</v>
      </c>
      <c r="D3333" s="446">
        <f t="shared" si="1158"/>
        <v>0</v>
      </c>
      <c r="E3333" s="439">
        <f>D3333*$E$323</f>
        <v>0</v>
      </c>
      <c r="F3333" s="442">
        <f>IF(C3333="",0,IFERROR(VLOOKUP(COUNTIF($A$1:A3333,"ANALISIS DE PRECIOS"),T_Rendimiento_Equipo,5,FALSE),0))</f>
        <v>0</v>
      </c>
      <c r="G3333" s="439">
        <f t="shared" si="1161"/>
        <v>0</v>
      </c>
    </row>
    <row r="3334" spans="1:7" ht="19.899999999999999" customHeight="1" x14ac:dyDescent="0.2">
      <c r="A3334" s="482">
        <f t="shared" si="1156"/>
        <v>0</v>
      </c>
      <c r="B3334" s="445">
        <f t="shared" si="1157"/>
        <v>0</v>
      </c>
      <c r="C3334" s="447"/>
      <c r="D3334" s="446">
        <f t="shared" si="1158"/>
        <v>0</v>
      </c>
      <c r="E3334" s="439"/>
      <c r="F3334" s="442">
        <f>IF(C3334="",0,IFERROR(VLOOKUP(COUNTIF($A$1:A3334,"ANALISIS DE PRECIOS"),T_Rendimiento_Equipo,5,FALSE),0))</f>
        <v>0</v>
      </c>
      <c r="G3334" s="439">
        <f t="shared" si="1161"/>
        <v>0</v>
      </c>
    </row>
    <row r="3335" spans="1:7" ht="19.899999999999999" customHeight="1" x14ac:dyDescent="0.2">
      <c r="A3335" s="482">
        <f t="shared" si="1156"/>
        <v>0</v>
      </c>
      <c r="B3335" s="445">
        <f t="shared" si="1157"/>
        <v>0</v>
      </c>
      <c r="C3335" s="447"/>
      <c r="D3335" s="446">
        <f t="shared" si="1158"/>
        <v>0</v>
      </c>
      <c r="E3335" s="439"/>
      <c r="F3335" s="442">
        <f>IF(C3335="",0,IFERROR(VLOOKUP(COUNTIF($A$1:A3335,"ANALISIS DE PRECIOS"),T_Rendimiento_Equipo,5,FALSE),0))</f>
        <v>0</v>
      </c>
      <c r="G3335" s="439">
        <f t="shared" si="1161"/>
        <v>0</v>
      </c>
    </row>
    <row r="3336" spans="1:7" ht="19.899999999999999" customHeight="1" x14ac:dyDescent="0.2">
      <c r="A3336" s="482">
        <f t="shared" si="1156"/>
        <v>0</v>
      </c>
      <c r="B3336" s="445">
        <f t="shared" si="1157"/>
        <v>0</v>
      </c>
      <c r="C3336" s="447"/>
      <c r="D3336" s="446">
        <f t="shared" si="1158"/>
        <v>0</v>
      </c>
      <c r="E3336" s="439"/>
      <c r="F3336" s="442">
        <f>IF(C3336="",0,IFERROR(VLOOKUP(COUNTIF($A$1:A3336,"ANALISIS DE PRECIOS"),T_Rendimiento_Equipo,5,FALSE),0))</f>
        <v>0</v>
      </c>
      <c r="G3336" s="439">
        <f t="shared" si="1161"/>
        <v>0</v>
      </c>
    </row>
    <row r="3337" spans="1:7" ht="19.899999999999999" customHeight="1" x14ac:dyDescent="0.2">
      <c r="A3337" s="482">
        <f t="shared" si="1156"/>
        <v>0</v>
      </c>
      <c r="B3337" s="445">
        <f t="shared" si="1157"/>
        <v>0</v>
      </c>
      <c r="C3337" s="447"/>
      <c r="D3337" s="446">
        <f t="shared" si="1158"/>
        <v>0</v>
      </c>
      <c r="E3337" s="439"/>
      <c r="F3337" s="442">
        <f>IF(C3337="",0,IFERROR(VLOOKUP(COUNTIF($A$1:A3337,"ANALISIS DE PRECIOS"),T_Rendimiento_Equipo,5,FALSE),0))</f>
        <v>0</v>
      </c>
      <c r="G3337" s="439">
        <f t="shared" si="1161"/>
        <v>0</v>
      </c>
    </row>
    <row r="3338" spans="1:7" ht="19.899999999999999" customHeight="1" x14ac:dyDescent="0.2">
      <c r="A3338" s="482">
        <f t="shared" si="1156"/>
        <v>0</v>
      </c>
      <c r="B3338" s="445">
        <f t="shared" si="1157"/>
        <v>0</v>
      </c>
      <c r="C3338" s="436"/>
      <c r="D3338" s="446">
        <f t="shared" si="1158"/>
        <v>0</v>
      </c>
      <c r="E3338" s="439"/>
      <c r="F3338" s="442">
        <f>IF(C3338="",0,IFERROR(VLOOKUP(COUNTIF($A$1:A3338,"ANALISIS DE PRECIOS"),T_Rendimiento_Equipo,5,FALSE),0))</f>
        <v>0</v>
      </c>
      <c r="G3338" s="439">
        <f t="shared" si="1161"/>
        <v>0</v>
      </c>
    </row>
    <row r="3339" spans="1:7" ht="19.899999999999999" customHeight="1" x14ac:dyDescent="0.2">
      <c r="A3339" s="483"/>
      <c r="B3339" s="426"/>
      <c r="C3339" s="139"/>
      <c r="D3339" s="426"/>
      <c r="E3339" s="427"/>
      <c r="F3339" s="448" t="s">
        <v>27</v>
      </c>
      <c r="G3339" s="484">
        <f>SUBTOTAL(9,G3330:G3338)</f>
        <v>0</v>
      </c>
    </row>
    <row r="3340" spans="1:7" ht="19.899999999999999" customHeight="1" x14ac:dyDescent="0.2">
      <c r="A3340" s="480"/>
      <c r="B3340" s="139"/>
      <c r="C3340" s="422" t="s">
        <v>713</v>
      </c>
      <c r="D3340" s="426"/>
      <c r="E3340" s="427"/>
      <c r="F3340" s="428"/>
      <c r="G3340" s="481"/>
    </row>
    <row r="3341" spans="1:7" ht="19.899999999999999" customHeight="1" x14ac:dyDescent="0.2">
      <c r="A3341" s="720" t="s">
        <v>576</v>
      </c>
      <c r="B3341" s="721"/>
      <c r="C3341" s="722" t="s">
        <v>0</v>
      </c>
      <c r="D3341" s="724" t="s">
        <v>24</v>
      </c>
      <c r="E3341" s="724" t="s">
        <v>1964</v>
      </c>
      <c r="F3341" s="726" t="s">
        <v>975</v>
      </c>
      <c r="G3341" s="728" t="s">
        <v>26</v>
      </c>
    </row>
    <row r="3342" spans="1:7" ht="19.899999999999999" customHeight="1" x14ac:dyDescent="0.2">
      <c r="A3342" s="444" t="s">
        <v>577</v>
      </c>
      <c r="B3342" s="444" t="s">
        <v>578</v>
      </c>
      <c r="C3342" s="723"/>
      <c r="D3342" s="725"/>
      <c r="E3342" s="725"/>
      <c r="F3342" s="727"/>
      <c r="G3342" s="729"/>
    </row>
    <row r="3343" spans="1:7" ht="19.899999999999999" customHeight="1" x14ac:dyDescent="0.2">
      <c r="A3343" s="482">
        <f t="shared" ref="A3343:A3349" si="1162">IFERROR(VLOOKUP(C3343,T_Insumos,4,FALSE),0)</f>
        <v>0</v>
      </c>
      <c r="B3343" s="445">
        <f t="shared" ref="B3343:B3349" si="1163">IFERROR(VLOOKUP(C3343,T_Insumos,5,FALSE),0)</f>
        <v>0</v>
      </c>
      <c r="C3343" s="436">
        <f t="shared" ref="C3343:C3346" si="1164">+C3118</f>
        <v>0</v>
      </c>
      <c r="D3343" s="442"/>
      <c r="E3343" s="439">
        <f t="shared" ref="E3343:E3349" si="1165">IFERROR(VLOOKUP(C3343,T_Insumos,3,FALSE),0)</f>
        <v>0</v>
      </c>
      <c r="F3343" s="442">
        <f>IF(C3343="",0,IFERROR(VLOOKUP(COUNTIF($A$1:A3343,"ANALISIS DE PRECIOS"),T_Rendimiento_Equipo,5,FALSE),0))</f>
        <v>0</v>
      </c>
      <c r="G3343" s="439">
        <f>IFERROR(ROUND(D3343*E3343/F3343,2),0)</f>
        <v>0</v>
      </c>
    </row>
    <row r="3344" spans="1:7" ht="19.899999999999999" customHeight="1" x14ac:dyDescent="0.2">
      <c r="A3344" s="482">
        <f t="shared" si="1162"/>
        <v>0</v>
      </c>
      <c r="B3344" s="445">
        <f t="shared" si="1163"/>
        <v>0</v>
      </c>
      <c r="C3344" s="436">
        <f t="shared" si="1164"/>
        <v>0</v>
      </c>
      <c r="D3344" s="442">
        <v>1</v>
      </c>
      <c r="E3344" s="439">
        <f t="shared" si="1165"/>
        <v>0</v>
      </c>
      <c r="F3344" s="442">
        <f>IF(C3344="",0,IFERROR(VLOOKUP(COUNTIF($A$1:A3344,"ANALISIS DE PRECIOS"),T_Rendimiento_Equipo,5,FALSE),0))</f>
        <v>0</v>
      </c>
      <c r="G3344" s="439">
        <f>IFERROR(ROUND(D3344*E3344/F3344,2),0)</f>
        <v>0</v>
      </c>
    </row>
    <row r="3345" spans="1:7" ht="19.899999999999999" customHeight="1" x14ac:dyDescent="0.2">
      <c r="A3345" s="482">
        <f t="shared" si="1162"/>
        <v>0</v>
      </c>
      <c r="B3345" s="445">
        <f t="shared" si="1163"/>
        <v>0</v>
      </c>
      <c r="C3345" s="436">
        <f t="shared" si="1164"/>
        <v>0</v>
      </c>
      <c r="D3345" s="442"/>
      <c r="E3345" s="439">
        <f t="shared" si="1165"/>
        <v>0</v>
      </c>
      <c r="F3345" s="442">
        <f>IF(C3345="",0,IFERROR(VLOOKUP(COUNTIF($A$1:A3345,"ANALISIS DE PRECIOS"),T_Rendimiento_Equipo,5,FALSE),0))</f>
        <v>0</v>
      </c>
      <c r="G3345" s="439">
        <f t="shared" ref="G3345:G3349" si="1166">IFERROR(ROUND(D3345*E3345/F3345,2),0)</f>
        <v>0</v>
      </c>
    </row>
    <row r="3346" spans="1:7" ht="19.899999999999999" customHeight="1" x14ac:dyDescent="0.2">
      <c r="A3346" s="482">
        <f t="shared" si="1162"/>
        <v>0</v>
      </c>
      <c r="B3346" s="445">
        <f t="shared" si="1163"/>
        <v>0</v>
      </c>
      <c r="C3346" s="436">
        <f t="shared" si="1164"/>
        <v>0</v>
      </c>
      <c r="D3346" s="442">
        <v>2</v>
      </c>
      <c r="E3346" s="439">
        <f t="shared" si="1165"/>
        <v>0</v>
      </c>
      <c r="F3346" s="442">
        <f>IF(C3346="",0,IFERROR(VLOOKUP(COUNTIF($A$1:A3346,"ANALISIS DE PRECIOS"),T_Rendimiento_Equipo,5,FALSE),0))</f>
        <v>0</v>
      </c>
      <c r="G3346" s="439">
        <f t="shared" si="1166"/>
        <v>0</v>
      </c>
    </row>
    <row r="3347" spans="1:7" ht="19.899999999999999" customHeight="1" x14ac:dyDescent="0.2">
      <c r="A3347" s="482">
        <f t="shared" si="1162"/>
        <v>0</v>
      </c>
      <c r="B3347" s="445">
        <f t="shared" si="1163"/>
        <v>0</v>
      </c>
      <c r="C3347" s="436"/>
      <c r="D3347" s="442"/>
      <c r="E3347" s="439">
        <f t="shared" si="1165"/>
        <v>0</v>
      </c>
      <c r="F3347" s="442">
        <f>IF(C3347="",0,IFERROR(VLOOKUP(COUNTIF($A$1:A3347,"ANALISIS DE PRECIOS"),T_Rendimiento_Equipo,5,FALSE),0))</f>
        <v>0</v>
      </c>
      <c r="G3347" s="439">
        <f t="shared" si="1166"/>
        <v>0</v>
      </c>
    </row>
    <row r="3348" spans="1:7" ht="19.899999999999999" customHeight="1" x14ac:dyDescent="0.2">
      <c r="A3348" s="482">
        <f t="shared" si="1162"/>
        <v>0</v>
      </c>
      <c r="B3348" s="445">
        <f t="shared" si="1163"/>
        <v>0</v>
      </c>
      <c r="C3348" s="436"/>
      <c r="D3348" s="450"/>
      <c r="E3348" s="439">
        <f t="shared" si="1165"/>
        <v>0</v>
      </c>
      <c r="F3348" s="442">
        <f>IF(C3348="",0,IFERROR(VLOOKUP(COUNTIF($A$1:A3348,"ANALISIS DE PRECIOS"),T_Rendimiento_Equipo,5,FALSE),0))</f>
        <v>0</v>
      </c>
      <c r="G3348" s="439">
        <f t="shared" si="1166"/>
        <v>0</v>
      </c>
    </row>
    <row r="3349" spans="1:7" ht="19.899999999999999" customHeight="1" x14ac:dyDescent="0.2">
      <c r="A3349" s="482">
        <f t="shared" si="1162"/>
        <v>0</v>
      </c>
      <c r="B3349" s="445">
        <f t="shared" si="1163"/>
        <v>0</v>
      </c>
      <c r="C3349" s="445"/>
      <c r="D3349" s="451"/>
      <c r="E3349" s="439">
        <f t="shared" si="1165"/>
        <v>0</v>
      </c>
      <c r="F3349" s="442">
        <f>IF(C3349="",0,IFERROR(VLOOKUP(COUNTIF($A$1:A3349,"ANALISIS DE PRECIOS"),T_Rendimiento_Equipo,5,FALSE),0))</f>
        <v>0</v>
      </c>
      <c r="G3349" s="439">
        <f t="shared" si="1166"/>
        <v>0</v>
      </c>
    </row>
    <row r="3350" spans="1:7" ht="19.899999999999999" customHeight="1" x14ac:dyDescent="0.2">
      <c r="A3350" s="483"/>
      <c r="B3350" s="426"/>
      <c r="C3350" s="139"/>
      <c r="D3350" s="426"/>
      <c r="E3350" s="427"/>
      <c r="F3350" s="448" t="s">
        <v>28</v>
      </c>
      <c r="G3350" s="485">
        <f>SUBTOTAL(9,G3343:G3349)</f>
        <v>0</v>
      </c>
    </row>
    <row r="3351" spans="1:7" ht="19.899999999999999" customHeight="1" x14ac:dyDescent="0.2">
      <c r="A3351" s="480"/>
      <c r="B3351" s="139"/>
      <c r="C3351" s="422" t="s">
        <v>982</v>
      </c>
      <c r="D3351" s="426"/>
      <c r="E3351" s="427"/>
      <c r="F3351" s="428"/>
      <c r="G3351" s="481"/>
    </row>
    <row r="3352" spans="1:7" ht="19.899999999999999" customHeight="1" x14ac:dyDescent="0.2">
      <c r="A3352" s="720" t="s">
        <v>576</v>
      </c>
      <c r="B3352" s="721"/>
      <c r="C3352" s="722" t="s">
        <v>0</v>
      </c>
      <c r="D3352" s="722" t="s">
        <v>1725</v>
      </c>
      <c r="E3352" s="724" t="s">
        <v>24</v>
      </c>
      <c r="F3352" s="726" t="s">
        <v>25</v>
      </c>
      <c r="G3352" s="728" t="s">
        <v>26</v>
      </c>
    </row>
    <row r="3353" spans="1:7" ht="19.899999999999999" customHeight="1" x14ac:dyDescent="0.2">
      <c r="A3353" s="444" t="s">
        <v>577</v>
      </c>
      <c r="B3353" s="444" t="s">
        <v>578</v>
      </c>
      <c r="C3353" s="723"/>
      <c r="D3353" s="723"/>
      <c r="E3353" s="725"/>
      <c r="F3353" s="727"/>
      <c r="G3353" s="729"/>
    </row>
    <row r="3354" spans="1:7" ht="19.899999999999999" customHeight="1" x14ac:dyDescent="0.2">
      <c r="A3354" s="482">
        <f t="shared" ref="A3354:A3364" si="1167">IFERROR(VLOOKUP(C3354,T_Insumos,4,FALSE),0)</f>
        <v>0</v>
      </c>
      <c r="B3354" s="445">
        <f t="shared" ref="B3354:B3364" si="1168">IFERROR(VLOOKUP(C3354,T_Insumos,5,FALSE),0)</f>
        <v>0</v>
      </c>
      <c r="C3354" s="436">
        <f t="shared" ref="C3354:C3364" si="1169">+C3129</f>
        <v>0</v>
      </c>
      <c r="D3354" s="493">
        <f t="shared" ref="D3354:D3364" si="1170">IFERROR(VLOOKUP(C3354,T_Insumos,2,FALSE),0)</f>
        <v>0</v>
      </c>
      <c r="E3354" s="437"/>
      <c r="F3354" s="439">
        <f t="shared" ref="F3354:F3364" si="1171">IFERROR(VLOOKUP(C3354,T_Insumos,3,FALSE),0)</f>
        <v>0</v>
      </c>
      <c r="G3354" s="439">
        <f>ROUND(E3354*F3354,2)</f>
        <v>0</v>
      </c>
    </row>
    <row r="3355" spans="1:7" ht="19.899999999999999" customHeight="1" x14ac:dyDescent="0.2">
      <c r="A3355" s="482">
        <f t="shared" si="1167"/>
        <v>0</v>
      </c>
      <c r="B3355" s="445">
        <f t="shared" si="1168"/>
        <v>0</v>
      </c>
      <c r="C3355" s="436">
        <f t="shared" si="1169"/>
        <v>0</v>
      </c>
      <c r="D3355" s="493">
        <f t="shared" si="1170"/>
        <v>0</v>
      </c>
      <c r="E3355" s="437"/>
      <c r="F3355" s="439">
        <f t="shared" si="1171"/>
        <v>0</v>
      </c>
      <c r="G3355" s="439">
        <f t="shared" ref="G3355:G3364" si="1172">ROUND(E3355*F3355,2)</f>
        <v>0</v>
      </c>
    </row>
    <row r="3356" spans="1:7" ht="19.899999999999999" customHeight="1" x14ac:dyDescent="0.2">
      <c r="A3356" s="482">
        <f t="shared" si="1167"/>
        <v>0</v>
      </c>
      <c r="B3356" s="445">
        <f t="shared" si="1168"/>
        <v>0</v>
      </c>
      <c r="C3356" s="436">
        <f t="shared" si="1169"/>
        <v>0</v>
      </c>
      <c r="D3356" s="493">
        <f t="shared" si="1170"/>
        <v>0</v>
      </c>
      <c r="E3356" s="437"/>
      <c r="F3356" s="439">
        <f t="shared" si="1171"/>
        <v>0</v>
      </c>
      <c r="G3356" s="439">
        <f t="shared" si="1172"/>
        <v>0</v>
      </c>
    </row>
    <row r="3357" spans="1:7" ht="19.899999999999999" customHeight="1" x14ac:dyDescent="0.2">
      <c r="A3357" s="482">
        <f t="shared" si="1167"/>
        <v>0</v>
      </c>
      <c r="B3357" s="445">
        <f t="shared" si="1168"/>
        <v>0</v>
      </c>
      <c r="C3357" s="436">
        <f t="shared" si="1169"/>
        <v>0</v>
      </c>
      <c r="D3357" s="493">
        <f t="shared" si="1170"/>
        <v>0</v>
      </c>
      <c r="E3357" s="437"/>
      <c r="F3357" s="439">
        <f t="shared" si="1171"/>
        <v>0</v>
      </c>
      <c r="G3357" s="439">
        <f t="shared" si="1172"/>
        <v>0</v>
      </c>
    </row>
    <row r="3358" spans="1:7" ht="19.899999999999999" customHeight="1" x14ac:dyDescent="0.2">
      <c r="A3358" s="482">
        <f t="shared" si="1167"/>
        <v>0</v>
      </c>
      <c r="B3358" s="445">
        <f t="shared" si="1168"/>
        <v>0</v>
      </c>
      <c r="C3358" s="436">
        <f t="shared" si="1169"/>
        <v>0</v>
      </c>
      <c r="D3358" s="493">
        <f t="shared" si="1170"/>
        <v>0</v>
      </c>
      <c r="E3358" s="437"/>
      <c r="F3358" s="439">
        <f t="shared" si="1171"/>
        <v>0</v>
      </c>
      <c r="G3358" s="439">
        <f t="shared" si="1172"/>
        <v>0</v>
      </c>
    </row>
    <row r="3359" spans="1:7" ht="19.899999999999999" customHeight="1" x14ac:dyDescent="0.2">
      <c r="A3359" s="482">
        <f t="shared" si="1167"/>
        <v>0</v>
      </c>
      <c r="B3359" s="445">
        <f t="shared" si="1168"/>
        <v>0</v>
      </c>
      <c r="C3359" s="436">
        <f t="shared" si="1169"/>
        <v>0</v>
      </c>
      <c r="D3359" s="493">
        <f t="shared" si="1170"/>
        <v>0</v>
      </c>
      <c r="E3359" s="437"/>
      <c r="F3359" s="439">
        <f t="shared" si="1171"/>
        <v>0</v>
      </c>
      <c r="G3359" s="439">
        <f t="shared" si="1172"/>
        <v>0</v>
      </c>
    </row>
    <row r="3360" spans="1:7" ht="19.899999999999999" customHeight="1" x14ac:dyDescent="0.2">
      <c r="A3360" s="482">
        <f t="shared" si="1167"/>
        <v>0</v>
      </c>
      <c r="B3360" s="445">
        <f t="shared" si="1168"/>
        <v>0</v>
      </c>
      <c r="C3360" s="436">
        <f t="shared" si="1169"/>
        <v>0</v>
      </c>
      <c r="D3360" s="493">
        <f t="shared" si="1170"/>
        <v>0</v>
      </c>
      <c r="E3360" s="437"/>
      <c r="F3360" s="439">
        <f t="shared" si="1171"/>
        <v>0</v>
      </c>
      <c r="G3360" s="439">
        <f t="shared" si="1172"/>
        <v>0</v>
      </c>
    </row>
    <row r="3361" spans="1:7" ht="19.899999999999999" customHeight="1" x14ac:dyDescent="0.2">
      <c r="A3361" s="482">
        <f t="shared" si="1167"/>
        <v>0</v>
      </c>
      <c r="B3361" s="445">
        <f t="shared" si="1168"/>
        <v>0</v>
      </c>
      <c r="C3361" s="436">
        <f t="shared" si="1169"/>
        <v>0</v>
      </c>
      <c r="D3361" s="493">
        <f t="shared" si="1170"/>
        <v>0</v>
      </c>
      <c r="E3361" s="437"/>
      <c r="F3361" s="439">
        <f t="shared" si="1171"/>
        <v>0</v>
      </c>
      <c r="G3361" s="439">
        <f t="shared" si="1172"/>
        <v>0</v>
      </c>
    </row>
    <row r="3362" spans="1:7" ht="19.899999999999999" customHeight="1" x14ac:dyDescent="0.2">
      <c r="A3362" s="482">
        <f t="shared" si="1167"/>
        <v>0</v>
      </c>
      <c r="B3362" s="445">
        <f t="shared" si="1168"/>
        <v>0</v>
      </c>
      <c r="C3362" s="436">
        <f t="shared" si="1169"/>
        <v>0</v>
      </c>
      <c r="D3362" s="493">
        <f t="shared" si="1170"/>
        <v>0</v>
      </c>
      <c r="E3362" s="437"/>
      <c r="F3362" s="439">
        <f t="shared" si="1171"/>
        <v>0</v>
      </c>
      <c r="G3362" s="439">
        <f t="shared" si="1172"/>
        <v>0</v>
      </c>
    </row>
    <row r="3363" spans="1:7" ht="19.899999999999999" customHeight="1" x14ac:dyDescent="0.2">
      <c r="A3363" s="482">
        <f t="shared" si="1167"/>
        <v>0</v>
      </c>
      <c r="B3363" s="445">
        <f t="shared" si="1168"/>
        <v>0</v>
      </c>
      <c r="C3363" s="436">
        <f t="shared" si="1169"/>
        <v>0</v>
      </c>
      <c r="D3363" s="493">
        <f t="shared" si="1170"/>
        <v>0</v>
      </c>
      <c r="E3363" s="437"/>
      <c r="F3363" s="439">
        <f t="shared" si="1171"/>
        <v>0</v>
      </c>
      <c r="G3363" s="439">
        <f t="shared" si="1172"/>
        <v>0</v>
      </c>
    </row>
    <row r="3364" spans="1:7" ht="19.899999999999999" customHeight="1" x14ac:dyDescent="0.2">
      <c r="A3364" s="482">
        <f t="shared" si="1167"/>
        <v>0</v>
      </c>
      <c r="B3364" s="445">
        <f t="shared" si="1168"/>
        <v>0</v>
      </c>
      <c r="C3364" s="436">
        <f t="shared" si="1169"/>
        <v>0</v>
      </c>
      <c r="D3364" s="493">
        <f t="shared" si="1170"/>
        <v>0</v>
      </c>
      <c r="E3364" s="437"/>
      <c r="F3364" s="439">
        <f t="shared" si="1171"/>
        <v>0</v>
      </c>
      <c r="G3364" s="439">
        <f t="shared" si="1172"/>
        <v>0</v>
      </c>
    </row>
    <row r="3365" spans="1:7" ht="19.899999999999999" customHeight="1" x14ac:dyDescent="0.2">
      <c r="A3365" s="480"/>
      <c r="B3365" s="139"/>
      <c r="C3365" s="139"/>
      <c r="D3365" s="426"/>
      <c r="E3365" s="427"/>
      <c r="F3365" s="448" t="s">
        <v>29</v>
      </c>
      <c r="G3365" s="485">
        <f>SUBTOTAL(9,G3354:G3364)</f>
        <v>0</v>
      </c>
    </row>
    <row r="3366" spans="1:7" ht="19.899999999999999" customHeight="1" x14ac:dyDescent="0.2">
      <c r="A3366" s="480"/>
      <c r="B3366" s="139"/>
      <c r="C3366" s="422" t="s">
        <v>983</v>
      </c>
      <c r="D3366" s="426"/>
      <c r="E3366" s="427"/>
      <c r="F3366" s="428"/>
      <c r="G3366" s="481"/>
    </row>
    <row r="3367" spans="1:7" ht="19.899999999999999" customHeight="1" x14ac:dyDescent="0.2">
      <c r="A3367" s="720" t="s">
        <v>576</v>
      </c>
      <c r="B3367" s="721"/>
      <c r="C3367" s="722" t="s">
        <v>0</v>
      </c>
      <c r="D3367" s="722" t="s">
        <v>1725</v>
      </c>
      <c r="E3367" s="724" t="s">
        <v>24</v>
      </c>
      <c r="F3367" s="726" t="s">
        <v>25</v>
      </c>
      <c r="G3367" s="728" t="s">
        <v>26</v>
      </c>
    </row>
    <row r="3368" spans="1:7" ht="19.899999999999999" customHeight="1" x14ac:dyDescent="0.2">
      <c r="A3368" s="444" t="s">
        <v>577</v>
      </c>
      <c r="B3368" s="444" t="s">
        <v>578</v>
      </c>
      <c r="C3368" s="723"/>
      <c r="D3368" s="723"/>
      <c r="E3368" s="725"/>
      <c r="F3368" s="727"/>
      <c r="G3368" s="729"/>
    </row>
    <row r="3369" spans="1:7" ht="19.899999999999999" customHeight="1" x14ac:dyDescent="0.2">
      <c r="A3369" s="482">
        <f>IFERROR(VLOOKUP(C3369,T_Insumos,4,FALSE),0)</f>
        <v>0</v>
      </c>
      <c r="B3369" s="445">
        <f>IFERROR(VLOOKUP(C3369,T_Insumos,5,FALSE),0)</f>
        <v>0</v>
      </c>
      <c r="C3369" s="436"/>
      <c r="D3369" s="493">
        <f>IF(C3369=0,0,"$/tnkm")</f>
        <v>0</v>
      </c>
      <c r="E3369" s="437"/>
      <c r="F3369" s="439">
        <f>IFERROR(VLOOKUP(C3369,T_Insumos,3,FALSE),0)</f>
        <v>0</v>
      </c>
      <c r="G3369" s="439">
        <f>ROUND(E3369*F3369,2)</f>
        <v>0</v>
      </c>
    </row>
    <row r="3370" spans="1:7" ht="19.899999999999999" customHeight="1" x14ac:dyDescent="0.2">
      <c r="A3370" s="482">
        <f>IFERROR(VLOOKUP(C3370,T_Insumos,4,FALSE),0)</f>
        <v>0</v>
      </c>
      <c r="B3370" s="445">
        <f>IFERROR(VLOOKUP(C3370,T_Insumos,5,FALSE),0)</f>
        <v>0</v>
      </c>
      <c r="C3370" s="436"/>
      <c r="D3370" s="493">
        <f>IF(C3370=0,0,"$/tnkm")</f>
        <v>0</v>
      </c>
      <c r="E3370" s="453"/>
      <c r="F3370" s="439">
        <f>IFERROR(VLOOKUP(C3370,T_Insumos,3,FALSE),0)</f>
        <v>0</v>
      </c>
      <c r="G3370" s="439">
        <f t="shared" ref="G3370" si="1173">ROUND(E3370*F3370,2)</f>
        <v>0</v>
      </c>
    </row>
    <row r="3371" spans="1:7" ht="19.899999999999999" customHeight="1" x14ac:dyDescent="0.2">
      <c r="A3371" s="480"/>
      <c r="B3371" s="139"/>
      <c r="C3371" s="139"/>
      <c r="D3371" s="426"/>
      <c r="E3371" s="427"/>
      <c r="F3371" s="448" t="s">
        <v>984</v>
      </c>
      <c r="G3371" s="485">
        <f>SUBTOTAL(9,G3369:G3370)</f>
        <v>0</v>
      </c>
    </row>
    <row r="3372" spans="1:7" ht="19.899999999999999" customHeight="1" x14ac:dyDescent="0.2">
      <c r="A3372" s="483"/>
      <c r="B3372" s="426"/>
      <c r="C3372" s="139"/>
      <c r="D3372" s="426"/>
      <c r="E3372" s="427"/>
      <c r="F3372" s="428"/>
      <c r="G3372" s="481"/>
    </row>
    <row r="3373" spans="1:7" ht="19.899999999999999" customHeight="1" x14ac:dyDescent="0.2">
      <c r="A3373" s="541" t="str">
        <f>B3307</f>
        <v/>
      </c>
      <c r="B3373" s="538">
        <f ca="1">C3307</f>
        <v>0</v>
      </c>
      <c r="C3373" s="426"/>
      <c r="D3373" s="426" t="s">
        <v>1704</v>
      </c>
      <c r="E3373" s="539"/>
      <c r="F3373" s="540" t="str">
        <f ca="1">"$/"&amp;G3307</f>
        <v>$/0</v>
      </c>
      <c r="G3373" s="490">
        <f>SUBTOTAL(9,G3330:G3372)</f>
        <v>0</v>
      </c>
    </row>
    <row r="3374" spans="1:7" ht="19.899999999999999" customHeight="1" x14ac:dyDescent="0.2">
      <c r="A3374" s="486"/>
      <c r="B3374" s="487"/>
      <c r="C3374" s="488"/>
      <c r="D3374" s="488" t="s">
        <v>1900</v>
      </c>
      <c r="E3374" s="489"/>
      <c r="F3374" s="542" t="str">
        <f ca="1">"$/"&amp;G3307</f>
        <v>$/0</v>
      </c>
      <c r="G3374" s="490">
        <f>ROUND(G3373*Coeficiente_Paso,2)</f>
        <v>0</v>
      </c>
    </row>
  </sheetData>
  <sheetProtection insertRows="0" deleteRows="0"/>
  <mergeCells count="1170">
    <mergeCell ref="F1466:F1467"/>
    <mergeCell ref="G1466:G1467"/>
    <mergeCell ref="A1252:B1252"/>
    <mergeCell ref="C1252:C1253"/>
    <mergeCell ref="A1492:B1492"/>
    <mergeCell ref="C1492:C1493"/>
    <mergeCell ref="D1492:D1493"/>
    <mergeCell ref="E1492:E1493"/>
    <mergeCell ref="F1492:F1493"/>
    <mergeCell ref="G1492:G1493"/>
    <mergeCell ref="A1417:B1417"/>
    <mergeCell ref="C1417:C1418"/>
    <mergeCell ref="D1417:D1418"/>
    <mergeCell ref="E1417:E1418"/>
    <mergeCell ref="F1417:F1418"/>
    <mergeCell ref="G1417:G1418"/>
    <mergeCell ref="A1426:G1426"/>
    <mergeCell ref="C1432:E1432"/>
    <mergeCell ref="A1452:B1452"/>
    <mergeCell ref="C1452:C1453"/>
    <mergeCell ref="D1452:D1453"/>
    <mergeCell ref="E1452:E1453"/>
    <mergeCell ref="A1477:B1477"/>
    <mergeCell ref="C1477:C1478"/>
    <mergeCell ref="D1477:D1478"/>
    <mergeCell ref="E1477:E1478"/>
    <mergeCell ref="F1477:F1478"/>
    <mergeCell ref="G1477:G1478"/>
    <mergeCell ref="F1452:F1453"/>
    <mergeCell ref="G1452:G1453"/>
    <mergeCell ref="A1466:B1466"/>
    <mergeCell ref="C1466:C1467"/>
    <mergeCell ref="D1466:D1467"/>
    <mergeCell ref="E1466:E1467"/>
    <mergeCell ref="A1177:B1177"/>
    <mergeCell ref="C1177:C1178"/>
    <mergeCell ref="A1316:B1316"/>
    <mergeCell ref="C1316:C1317"/>
    <mergeCell ref="D1316:D1317"/>
    <mergeCell ref="E1316:E1317"/>
    <mergeCell ref="F1316:F1317"/>
    <mergeCell ref="G1316:G1317"/>
    <mergeCell ref="A1192:B1192"/>
    <mergeCell ref="C1192:C1193"/>
    <mergeCell ref="D1192:D1193"/>
    <mergeCell ref="E1192:E1193"/>
    <mergeCell ref="F1192:F1193"/>
    <mergeCell ref="G1192:G1193"/>
    <mergeCell ref="A1201:G1201"/>
    <mergeCell ref="C1207:E1207"/>
    <mergeCell ref="A1227:B1227"/>
    <mergeCell ref="C1227:C1228"/>
    <mergeCell ref="A1267:B1267"/>
    <mergeCell ref="C1267:C1268"/>
    <mergeCell ref="D1267:D1268"/>
    <mergeCell ref="E1267:E1268"/>
    <mergeCell ref="F1267:F1268"/>
    <mergeCell ref="G1267:G1268"/>
    <mergeCell ref="A1276:G1276"/>
    <mergeCell ref="C1282:E1282"/>
    <mergeCell ref="A1302:B1302"/>
    <mergeCell ref="C1302:C1303"/>
    <mergeCell ref="D1302:D1303"/>
    <mergeCell ref="E1302:E1303"/>
    <mergeCell ref="F1302:F1303"/>
    <mergeCell ref="G1302:G1303"/>
    <mergeCell ref="D1117:D1118"/>
    <mergeCell ref="E1117:E1118"/>
    <mergeCell ref="F1117:F1118"/>
    <mergeCell ref="G1117:G1118"/>
    <mergeCell ref="A1126:G1126"/>
    <mergeCell ref="C1132:E1132"/>
    <mergeCell ref="A1152:B1152"/>
    <mergeCell ref="C1152:C1153"/>
    <mergeCell ref="D1152:D1153"/>
    <mergeCell ref="E1152:E1153"/>
    <mergeCell ref="F1152:F1153"/>
    <mergeCell ref="G1152:G1153"/>
    <mergeCell ref="A1166:B1166"/>
    <mergeCell ref="C1166:C1167"/>
    <mergeCell ref="D1166:D1167"/>
    <mergeCell ref="E1166:E1167"/>
    <mergeCell ref="F1166:F1167"/>
    <mergeCell ref="G1166:G1167"/>
    <mergeCell ref="D1252:D1253"/>
    <mergeCell ref="E1252:E1253"/>
    <mergeCell ref="F1252:F1253"/>
    <mergeCell ref="G1252:G1253"/>
    <mergeCell ref="C1241:C1242"/>
    <mergeCell ref="D1241:D1242"/>
    <mergeCell ref="E1241:E1242"/>
    <mergeCell ref="A1241:B1241"/>
    <mergeCell ref="A967:B967"/>
    <mergeCell ref="C967:C968"/>
    <mergeCell ref="A952:B952"/>
    <mergeCell ref="D967:D968"/>
    <mergeCell ref="E967:E968"/>
    <mergeCell ref="F967:F968"/>
    <mergeCell ref="G967:G968"/>
    <mergeCell ref="C952:C953"/>
    <mergeCell ref="D952:D953"/>
    <mergeCell ref="E952:E953"/>
    <mergeCell ref="F952:F953"/>
    <mergeCell ref="G952:G953"/>
    <mergeCell ref="D1042:D1043"/>
    <mergeCell ref="E1042:E1043"/>
    <mergeCell ref="F1042:F1043"/>
    <mergeCell ref="F1016:F1017"/>
    <mergeCell ref="E1077:E1078"/>
    <mergeCell ref="F1077:F1078"/>
    <mergeCell ref="G1077:G1078"/>
    <mergeCell ref="G1042:G1043"/>
    <mergeCell ref="A1051:G1051"/>
    <mergeCell ref="C1057:E1057"/>
    <mergeCell ref="A1077:B1077"/>
    <mergeCell ref="C1077:C1078"/>
    <mergeCell ref="D1077:D1078"/>
    <mergeCell ref="C1016:C1017"/>
    <mergeCell ref="D1016:D1017"/>
    <mergeCell ref="E1016:E1017"/>
    <mergeCell ref="A1042:B1042"/>
    <mergeCell ref="C1042:C1043"/>
    <mergeCell ref="A892:B892"/>
    <mergeCell ref="C892:C893"/>
    <mergeCell ref="D892:D893"/>
    <mergeCell ref="E892:E893"/>
    <mergeCell ref="F892:F893"/>
    <mergeCell ref="G892:G893"/>
    <mergeCell ref="A901:G901"/>
    <mergeCell ref="C907:E907"/>
    <mergeCell ref="A927:B927"/>
    <mergeCell ref="C927:C928"/>
    <mergeCell ref="D927:D928"/>
    <mergeCell ref="E927:E928"/>
    <mergeCell ref="F927:F928"/>
    <mergeCell ref="G927:G928"/>
    <mergeCell ref="A941:B941"/>
    <mergeCell ref="C941:C942"/>
    <mergeCell ref="D941:D942"/>
    <mergeCell ref="E941:E942"/>
    <mergeCell ref="F941:F942"/>
    <mergeCell ref="G941:G942"/>
    <mergeCell ref="A751:G751"/>
    <mergeCell ref="C757:E757"/>
    <mergeCell ref="A777:B777"/>
    <mergeCell ref="C777:C778"/>
    <mergeCell ref="D777:D778"/>
    <mergeCell ref="E777:E778"/>
    <mergeCell ref="F777:F778"/>
    <mergeCell ref="G777:G778"/>
    <mergeCell ref="A817:B817"/>
    <mergeCell ref="C817:C818"/>
    <mergeCell ref="D817:D818"/>
    <mergeCell ref="E817:E818"/>
    <mergeCell ref="F817:F818"/>
    <mergeCell ref="G817:G818"/>
    <mergeCell ref="A826:G826"/>
    <mergeCell ref="C832:E832"/>
    <mergeCell ref="A852:B852"/>
    <mergeCell ref="C852:C853"/>
    <mergeCell ref="D852:D853"/>
    <mergeCell ref="E852:E853"/>
    <mergeCell ref="F852:F853"/>
    <mergeCell ref="G852:G853"/>
    <mergeCell ref="A802:B802"/>
    <mergeCell ref="C802:C803"/>
    <mergeCell ref="D802:D803"/>
    <mergeCell ref="E802:E803"/>
    <mergeCell ref="F802:F803"/>
    <mergeCell ref="G802:G803"/>
    <mergeCell ref="F791:F792"/>
    <mergeCell ref="G791:G792"/>
    <mergeCell ref="A716:B716"/>
    <mergeCell ref="C716:C717"/>
    <mergeCell ref="D716:D717"/>
    <mergeCell ref="E716:E717"/>
    <mergeCell ref="F716:F717"/>
    <mergeCell ref="G716:G717"/>
    <mergeCell ref="A727:B727"/>
    <mergeCell ref="C727:C728"/>
    <mergeCell ref="D727:D728"/>
    <mergeCell ref="E727:E728"/>
    <mergeCell ref="F727:F728"/>
    <mergeCell ref="G727:G728"/>
    <mergeCell ref="A742:B742"/>
    <mergeCell ref="C742:C743"/>
    <mergeCell ref="D742:D743"/>
    <mergeCell ref="E742:E743"/>
    <mergeCell ref="F742:F743"/>
    <mergeCell ref="G742:G743"/>
    <mergeCell ref="E627:E628"/>
    <mergeCell ref="F627:F628"/>
    <mergeCell ref="A652:B652"/>
    <mergeCell ref="C652:C653"/>
    <mergeCell ref="D652:D653"/>
    <mergeCell ref="E652:E653"/>
    <mergeCell ref="F652:F653"/>
    <mergeCell ref="A676:G676"/>
    <mergeCell ref="C682:E682"/>
    <mergeCell ref="A702:B702"/>
    <mergeCell ref="C702:C703"/>
    <mergeCell ref="D702:D703"/>
    <mergeCell ref="E702:E703"/>
    <mergeCell ref="F702:F703"/>
    <mergeCell ref="G702:G703"/>
    <mergeCell ref="A667:B667"/>
    <mergeCell ref="C667:C668"/>
    <mergeCell ref="D667:D668"/>
    <mergeCell ref="E667:E668"/>
    <mergeCell ref="F667:F668"/>
    <mergeCell ref="G667:G668"/>
    <mergeCell ref="G652:G653"/>
    <mergeCell ref="F592:F593"/>
    <mergeCell ref="A477:B477"/>
    <mergeCell ref="C477:C478"/>
    <mergeCell ref="D477:D478"/>
    <mergeCell ref="E477:E478"/>
    <mergeCell ref="A491:B491"/>
    <mergeCell ref="C491:C492"/>
    <mergeCell ref="D491:D492"/>
    <mergeCell ref="E491:E492"/>
    <mergeCell ref="F491:F492"/>
    <mergeCell ref="G566:G567"/>
    <mergeCell ref="G577:G578"/>
    <mergeCell ref="G592:G593"/>
    <mergeCell ref="G627:G628"/>
    <mergeCell ref="A641:B641"/>
    <mergeCell ref="C641:C642"/>
    <mergeCell ref="D641:D642"/>
    <mergeCell ref="E641:E642"/>
    <mergeCell ref="F641:F642"/>
    <mergeCell ref="G641:G642"/>
    <mergeCell ref="F566:F567"/>
    <mergeCell ref="A577:B577"/>
    <mergeCell ref="F577:F578"/>
    <mergeCell ref="A592:B592"/>
    <mergeCell ref="C592:C593"/>
    <mergeCell ref="D592:D593"/>
    <mergeCell ref="E592:E593"/>
    <mergeCell ref="A601:G601"/>
    <mergeCell ref="C607:E607"/>
    <mergeCell ref="A627:B627"/>
    <mergeCell ref="C627:C628"/>
    <mergeCell ref="D627:D628"/>
    <mergeCell ref="C577:C578"/>
    <mergeCell ref="D577:D578"/>
    <mergeCell ref="E577:E578"/>
    <mergeCell ref="A376:G376"/>
    <mergeCell ref="C382:E382"/>
    <mergeCell ref="A416:B416"/>
    <mergeCell ref="C416:C417"/>
    <mergeCell ref="D416:D417"/>
    <mergeCell ref="E416:E417"/>
    <mergeCell ref="F416:F417"/>
    <mergeCell ref="G416:G417"/>
    <mergeCell ref="F442:F443"/>
    <mergeCell ref="G442:G443"/>
    <mergeCell ref="A451:G451"/>
    <mergeCell ref="C457:E457"/>
    <mergeCell ref="G491:G492"/>
    <mergeCell ref="C552:C553"/>
    <mergeCell ref="G517:G518"/>
    <mergeCell ref="F552:F553"/>
    <mergeCell ref="G552:G553"/>
    <mergeCell ref="A566:B566"/>
    <mergeCell ref="C566:C567"/>
    <mergeCell ref="A442:B442"/>
    <mergeCell ref="C442:C443"/>
    <mergeCell ref="D442:D443"/>
    <mergeCell ref="E442:E443"/>
    <mergeCell ref="A526:G526"/>
    <mergeCell ref="C532:E532"/>
    <mergeCell ref="A552:B552"/>
    <mergeCell ref="D566:D567"/>
    <mergeCell ref="E566:E567"/>
    <mergeCell ref="A502:B502"/>
    <mergeCell ref="C502:C503"/>
    <mergeCell ref="D502:D503"/>
    <mergeCell ref="E502:E503"/>
    <mergeCell ref="F502:F503"/>
    <mergeCell ref="G502:G503"/>
    <mergeCell ref="A517:B517"/>
    <mergeCell ref="C517:C518"/>
    <mergeCell ref="D517:D518"/>
    <mergeCell ref="E517:E518"/>
    <mergeCell ref="F517:F518"/>
    <mergeCell ref="D552:D553"/>
    <mergeCell ref="E552:E553"/>
    <mergeCell ref="F477:F478"/>
    <mergeCell ref="G477:G478"/>
    <mergeCell ref="C127:C128"/>
    <mergeCell ref="D127:D128"/>
    <mergeCell ref="A52:B52"/>
    <mergeCell ref="C52:C53"/>
    <mergeCell ref="D52:D53"/>
    <mergeCell ref="E52:E53"/>
    <mergeCell ref="F52:F53"/>
    <mergeCell ref="G402:G403"/>
    <mergeCell ref="A402:B402"/>
    <mergeCell ref="C402:C403"/>
    <mergeCell ref="D402:D403"/>
    <mergeCell ref="E402:E403"/>
    <mergeCell ref="F402:F403"/>
    <mergeCell ref="A427:B427"/>
    <mergeCell ref="C427:C428"/>
    <mergeCell ref="D427:D428"/>
    <mergeCell ref="E427:E428"/>
    <mergeCell ref="F427:F428"/>
    <mergeCell ref="G427:G428"/>
    <mergeCell ref="G367:G368"/>
    <mergeCell ref="C367:C368"/>
    <mergeCell ref="D367:D368"/>
    <mergeCell ref="E367:E368"/>
    <mergeCell ref="F367:F368"/>
    <mergeCell ref="A367:B367"/>
    <mergeCell ref="G352:G353"/>
    <mergeCell ref="A352:B352"/>
    <mergeCell ref="C352:C353"/>
    <mergeCell ref="F217:F218"/>
    <mergeCell ref="G217:G218"/>
    <mergeCell ref="A266:B266"/>
    <mergeCell ref="C266:C267"/>
    <mergeCell ref="D266:D267"/>
    <mergeCell ref="E266:E267"/>
    <mergeCell ref="F266:F267"/>
    <mergeCell ref="G266:G267"/>
    <mergeCell ref="A341:B341"/>
    <mergeCell ref="C341:C342"/>
    <mergeCell ref="F327:F328"/>
    <mergeCell ref="G327:G328"/>
    <mergeCell ref="G252:G253"/>
    <mergeCell ref="A301:G301"/>
    <mergeCell ref="C307:E307"/>
    <mergeCell ref="D352:D353"/>
    <mergeCell ref="E352:E353"/>
    <mergeCell ref="F352:F353"/>
    <mergeCell ref="A327:B327"/>
    <mergeCell ref="C327:C328"/>
    <mergeCell ref="D327:D328"/>
    <mergeCell ref="E327:E32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D341:D342"/>
    <mergeCell ref="E341:E342"/>
    <mergeCell ref="F341:F342"/>
    <mergeCell ref="G341:G342"/>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217:C218"/>
    <mergeCell ref="D217:D218"/>
    <mergeCell ref="E217:E218"/>
    <mergeCell ref="E252:E253"/>
    <mergeCell ref="F252:F253"/>
    <mergeCell ref="G177:G178"/>
    <mergeCell ref="F116:F117"/>
    <mergeCell ref="G116:G117"/>
    <mergeCell ref="A127:B127"/>
    <mergeCell ref="D177:D178"/>
    <mergeCell ref="E177:E178"/>
    <mergeCell ref="A277:B277"/>
    <mergeCell ref="C277:C278"/>
    <mergeCell ref="D277:D278"/>
    <mergeCell ref="E277:E278"/>
    <mergeCell ref="F277:F278"/>
    <mergeCell ref="G277:G278"/>
    <mergeCell ref="E127:E128"/>
    <mergeCell ref="F127:F128"/>
    <mergeCell ref="G127:G128"/>
    <mergeCell ref="A142:B142"/>
    <mergeCell ref="C142:C143"/>
    <mergeCell ref="D142:D143"/>
    <mergeCell ref="E142:E143"/>
    <mergeCell ref="C157:E157"/>
    <mergeCell ref="A177:B177"/>
    <mergeCell ref="C177:C178"/>
    <mergeCell ref="F177:F178"/>
    <mergeCell ref="A292:B292"/>
    <mergeCell ref="C292:C293"/>
    <mergeCell ref="D292:D293"/>
    <mergeCell ref="E292:E293"/>
    <mergeCell ref="A252:B252"/>
    <mergeCell ref="C252:C253"/>
    <mergeCell ref="D252:D253"/>
    <mergeCell ref="A226:G226"/>
    <mergeCell ref="C232:E232"/>
    <mergeCell ref="C67:C68"/>
    <mergeCell ref="D67:D68"/>
    <mergeCell ref="E67:E68"/>
    <mergeCell ref="F67:F68"/>
    <mergeCell ref="G67:G68"/>
    <mergeCell ref="A102:B102"/>
    <mergeCell ref="A76:G76"/>
    <mergeCell ref="C82:E82"/>
    <mergeCell ref="F142:F143"/>
    <mergeCell ref="A202:B202"/>
    <mergeCell ref="C202:C203"/>
    <mergeCell ref="D202:D203"/>
    <mergeCell ref="E202:E203"/>
    <mergeCell ref="F202:F203"/>
    <mergeCell ref="G202:G203"/>
    <mergeCell ref="A151:G151"/>
    <mergeCell ref="C116:C117"/>
    <mergeCell ref="D116:D117"/>
    <mergeCell ref="E116:E117"/>
    <mergeCell ref="G142:G143"/>
    <mergeCell ref="F292:F293"/>
    <mergeCell ref="G292:G293"/>
    <mergeCell ref="A217:B217"/>
    <mergeCell ref="A877:B877"/>
    <mergeCell ref="C877:C878"/>
    <mergeCell ref="D877:D878"/>
    <mergeCell ref="E877:E878"/>
    <mergeCell ref="F877:F878"/>
    <mergeCell ref="G877:G878"/>
    <mergeCell ref="A866:B866"/>
    <mergeCell ref="C866:C867"/>
    <mergeCell ref="D866:D867"/>
    <mergeCell ref="E866:E867"/>
    <mergeCell ref="F866:F867"/>
    <mergeCell ref="G866:G867"/>
    <mergeCell ref="A791:B791"/>
    <mergeCell ref="C791:C792"/>
    <mergeCell ref="D791:D792"/>
    <mergeCell ref="E791:E792"/>
    <mergeCell ref="A1027:B1027"/>
    <mergeCell ref="C1027:C1028"/>
    <mergeCell ref="D1027:D1028"/>
    <mergeCell ref="E1027:E1028"/>
    <mergeCell ref="F1027:F1028"/>
    <mergeCell ref="G1027:G1028"/>
    <mergeCell ref="G1016:G1017"/>
    <mergeCell ref="A976:G976"/>
    <mergeCell ref="C982:E982"/>
    <mergeCell ref="A1002:B1002"/>
    <mergeCell ref="C1002:C1003"/>
    <mergeCell ref="D1002:D1003"/>
    <mergeCell ref="E1002:E1003"/>
    <mergeCell ref="F1002:F1003"/>
    <mergeCell ref="G1002:G1003"/>
    <mergeCell ref="A1016:B1016"/>
    <mergeCell ref="C1102:C1103"/>
    <mergeCell ref="D1102:D1103"/>
    <mergeCell ref="E1102:E1103"/>
    <mergeCell ref="F1102:F1103"/>
    <mergeCell ref="G1102:G1103"/>
    <mergeCell ref="A1091:B1091"/>
    <mergeCell ref="C1091:C1092"/>
    <mergeCell ref="D1091:D1092"/>
    <mergeCell ref="E1091:E1092"/>
    <mergeCell ref="F1091:F1092"/>
    <mergeCell ref="G1091:G1092"/>
    <mergeCell ref="F1241:F1242"/>
    <mergeCell ref="G1241:G1242"/>
    <mergeCell ref="D1227:D1228"/>
    <mergeCell ref="E1227:E1228"/>
    <mergeCell ref="F1227:F1228"/>
    <mergeCell ref="G1227:G1228"/>
    <mergeCell ref="D1177:D1178"/>
    <mergeCell ref="E1177:E1178"/>
    <mergeCell ref="F1177:F1178"/>
    <mergeCell ref="G1177:G1178"/>
    <mergeCell ref="A1102:B1102"/>
    <mergeCell ref="A1117:B1117"/>
    <mergeCell ref="C1117:C1118"/>
    <mergeCell ref="A1351:G1351"/>
    <mergeCell ref="C1357:E1357"/>
    <mergeCell ref="A1377:B1377"/>
    <mergeCell ref="C1377:C1378"/>
    <mergeCell ref="D1377:D1378"/>
    <mergeCell ref="E1377:E1378"/>
    <mergeCell ref="A1402:B1402"/>
    <mergeCell ref="C1402:C1403"/>
    <mergeCell ref="D1402:D1403"/>
    <mergeCell ref="E1402:E1403"/>
    <mergeCell ref="F1402:F1403"/>
    <mergeCell ref="G1402:G1403"/>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377:F1378"/>
    <mergeCell ref="G1377:G1378"/>
    <mergeCell ref="A1391:B1391"/>
    <mergeCell ref="C1391:C1392"/>
    <mergeCell ref="D1391:D1392"/>
    <mergeCell ref="E1391:E1392"/>
    <mergeCell ref="F1391:F1392"/>
    <mergeCell ref="G1391:G1392"/>
    <mergeCell ref="A1552:B1552"/>
    <mergeCell ref="C1552:C1553"/>
    <mergeCell ref="D1552:D1553"/>
    <mergeCell ref="E1552:E1553"/>
    <mergeCell ref="F1552:F1553"/>
    <mergeCell ref="G1552:G1553"/>
    <mergeCell ref="A1567:B1567"/>
    <mergeCell ref="C1567:C1568"/>
    <mergeCell ref="D1567:D1568"/>
    <mergeCell ref="E1567:E1568"/>
    <mergeCell ref="F1567:F1568"/>
    <mergeCell ref="G1567:G1568"/>
    <mergeCell ref="A1501:G1501"/>
    <mergeCell ref="C1507:E1507"/>
    <mergeCell ref="A1527:B1527"/>
    <mergeCell ref="C1527:C1528"/>
    <mergeCell ref="D1527:D1528"/>
    <mergeCell ref="E1527:E1528"/>
    <mergeCell ref="F1527:F1528"/>
    <mergeCell ref="G1527:G1528"/>
    <mergeCell ref="A1541:B1541"/>
    <mergeCell ref="C1541:C1542"/>
    <mergeCell ref="D1541:D1542"/>
    <mergeCell ref="E1541:E1542"/>
    <mergeCell ref="F1541:F1542"/>
    <mergeCell ref="G1541:G1542"/>
    <mergeCell ref="A1627:B1627"/>
    <mergeCell ref="C1627:C1628"/>
    <mergeCell ref="D1627:D1628"/>
    <mergeCell ref="E1627:E1628"/>
    <mergeCell ref="F1627:F1628"/>
    <mergeCell ref="G1627:G1628"/>
    <mergeCell ref="A1642:B1642"/>
    <mergeCell ref="C1642:C1643"/>
    <mergeCell ref="D1642:D1643"/>
    <mergeCell ref="E1642:E1643"/>
    <mergeCell ref="F1642:F1643"/>
    <mergeCell ref="G1642:G1643"/>
    <mergeCell ref="A1576:G1576"/>
    <mergeCell ref="C1582:E1582"/>
    <mergeCell ref="A1602:B1602"/>
    <mergeCell ref="C1602:C1603"/>
    <mergeCell ref="D1602:D1603"/>
    <mergeCell ref="E1602:E1603"/>
    <mergeCell ref="F1602:F1603"/>
    <mergeCell ref="G1602:G1603"/>
    <mergeCell ref="A1616:B1616"/>
    <mergeCell ref="C1616:C1617"/>
    <mergeCell ref="D1616:D1617"/>
    <mergeCell ref="E1616:E1617"/>
    <mergeCell ref="F1616:F1617"/>
    <mergeCell ref="G1616:G1617"/>
    <mergeCell ref="A1702:B1702"/>
    <mergeCell ref="C1702:C1703"/>
    <mergeCell ref="D1702:D1703"/>
    <mergeCell ref="E1702:E1703"/>
    <mergeCell ref="F1702:F1703"/>
    <mergeCell ref="G1702:G1703"/>
    <mergeCell ref="A1717:B1717"/>
    <mergeCell ref="C1717:C1718"/>
    <mergeCell ref="D1717:D1718"/>
    <mergeCell ref="E1717:E1718"/>
    <mergeCell ref="F1717:F1718"/>
    <mergeCell ref="G1717:G1718"/>
    <mergeCell ref="A1651:G1651"/>
    <mergeCell ref="C1657:E1657"/>
    <mergeCell ref="A1677:B1677"/>
    <mergeCell ref="C1677:C1678"/>
    <mergeCell ref="D1677:D1678"/>
    <mergeCell ref="E1677:E1678"/>
    <mergeCell ref="F1677:F1678"/>
    <mergeCell ref="G1677:G1678"/>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792:B1792"/>
    <mergeCell ref="C1792:C1793"/>
    <mergeCell ref="D1792:D1793"/>
    <mergeCell ref="E1792:E1793"/>
    <mergeCell ref="F1792:F1793"/>
    <mergeCell ref="G1792:G1793"/>
    <mergeCell ref="A1726:G1726"/>
    <mergeCell ref="C1732:E1732"/>
    <mergeCell ref="A1752:B1752"/>
    <mergeCell ref="C1752:C1753"/>
    <mergeCell ref="D1752:D1753"/>
    <mergeCell ref="E1752:E1753"/>
    <mergeCell ref="F1752:F1753"/>
    <mergeCell ref="G1752:G1753"/>
    <mergeCell ref="A1766:B1766"/>
    <mergeCell ref="C1766:C1767"/>
    <mergeCell ref="D1766:D1767"/>
    <mergeCell ref="E1766:E1767"/>
    <mergeCell ref="F1766:F1767"/>
    <mergeCell ref="G1766:G1767"/>
    <mergeCell ref="A1852:B1852"/>
    <mergeCell ref="C1852:C1853"/>
    <mergeCell ref="D1852:D1853"/>
    <mergeCell ref="E1852:E1853"/>
    <mergeCell ref="F1852:F1853"/>
    <mergeCell ref="G1852:G1853"/>
    <mergeCell ref="A1867:B1867"/>
    <mergeCell ref="C1867:C1868"/>
    <mergeCell ref="D1867:D1868"/>
    <mergeCell ref="E1867:E1868"/>
    <mergeCell ref="F1867:F1868"/>
    <mergeCell ref="G1867:G1868"/>
    <mergeCell ref="A1801:G1801"/>
    <mergeCell ref="C1807:E1807"/>
    <mergeCell ref="A1827:B1827"/>
    <mergeCell ref="C1827:C1828"/>
    <mergeCell ref="D1827:D1828"/>
    <mergeCell ref="E1827:E1828"/>
    <mergeCell ref="F1827:F1828"/>
    <mergeCell ref="G1827:G1828"/>
    <mergeCell ref="A1841:B1841"/>
    <mergeCell ref="C1841:C1842"/>
    <mergeCell ref="D1841:D1842"/>
    <mergeCell ref="E1841:E1842"/>
    <mergeCell ref="F1841:F1842"/>
    <mergeCell ref="G1841:G1842"/>
    <mergeCell ref="A1927:B1927"/>
    <mergeCell ref="C1927:C1928"/>
    <mergeCell ref="D1927:D1928"/>
    <mergeCell ref="E1927:E1928"/>
    <mergeCell ref="F1927:F1928"/>
    <mergeCell ref="G1927:G1928"/>
    <mergeCell ref="A1942:B1942"/>
    <mergeCell ref="C1942:C1943"/>
    <mergeCell ref="D1942:D1943"/>
    <mergeCell ref="E1942:E1943"/>
    <mergeCell ref="F1942:F1943"/>
    <mergeCell ref="G1942:G1943"/>
    <mergeCell ref="A1876:G1876"/>
    <mergeCell ref="C1882:E1882"/>
    <mergeCell ref="A1902:B1902"/>
    <mergeCell ref="C1902:C1903"/>
    <mergeCell ref="D1902:D1903"/>
    <mergeCell ref="E1902:E1903"/>
    <mergeCell ref="F1902:F1903"/>
    <mergeCell ref="G1902:G1903"/>
    <mergeCell ref="A1916:B1916"/>
    <mergeCell ref="C1916:C1917"/>
    <mergeCell ref="D1916:D1917"/>
    <mergeCell ref="E1916:E1917"/>
    <mergeCell ref="F1916:F1917"/>
    <mergeCell ref="G1916:G1917"/>
    <mergeCell ref="A2002:B2002"/>
    <mergeCell ref="C2002:C2003"/>
    <mergeCell ref="D2002:D2003"/>
    <mergeCell ref="E2002:E2003"/>
    <mergeCell ref="F2002:F2003"/>
    <mergeCell ref="G2002:G2003"/>
    <mergeCell ref="A2017:B2017"/>
    <mergeCell ref="C2017:C2018"/>
    <mergeCell ref="D2017:D2018"/>
    <mergeCell ref="E2017:E2018"/>
    <mergeCell ref="F2017:F2018"/>
    <mergeCell ref="G2017:G2018"/>
    <mergeCell ref="A1951:G1951"/>
    <mergeCell ref="C1957:E1957"/>
    <mergeCell ref="A1977:B1977"/>
    <mergeCell ref="C1977:C1978"/>
    <mergeCell ref="D1977:D1978"/>
    <mergeCell ref="E1977:E1978"/>
    <mergeCell ref="F1977:F1978"/>
    <mergeCell ref="G1977:G1978"/>
    <mergeCell ref="A1991:B1991"/>
    <mergeCell ref="C1991:C1992"/>
    <mergeCell ref="D1991:D1992"/>
    <mergeCell ref="E1991:E1992"/>
    <mergeCell ref="F1991:F1992"/>
    <mergeCell ref="G1991:G1992"/>
    <mergeCell ref="A2077:B2077"/>
    <mergeCell ref="C2077:C2078"/>
    <mergeCell ref="D2077:D2078"/>
    <mergeCell ref="E2077:E2078"/>
    <mergeCell ref="F2077:F2078"/>
    <mergeCell ref="G2077:G2078"/>
    <mergeCell ref="A2092:B2092"/>
    <mergeCell ref="C2092:C2093"/>
    <mergeCell ref="D2092:D2093"/>
    <mergeCell ref="E2092:E2093"/>
    <mergeCell ref="F2092:F2093"/>
    <mergeCell ref="G2092:G2093"/>
    <mergeCell ref="A2026:G2026"/>
    <mergeCell ref="C2032:E2032"/>
    <mergeCell ref="A2052:B2052"/>
    <mergeCell ref="C2052:C2053"/>
    <mergeCell ref="D2052:D2053"/>
    <mergeCell ref="E2052:E2053"/>
    <mergeCell ref="F2052:F2053"/>
    <mergeCell ref="G2052:G2053"/>
    <mergeCell ref="A2066:B2066"/>
    <mergeCell ref="C2066:C2067"/>
    <mergeCell ref="D2066:D2067"/>
    <mergeCell ref="E2066:E2067"/>
    <mergeCell ref="F2066:F2067"/>
    <mergeCell ref="G2066:G2067"/>
    <mergeCell ref="A2152:B2152"/>
    <mergeCell ref="C2152:C2153"/>
    <mergeCell ref="D2152:D2153"/>
    <mergeCell ref="E2152:E2153"/>
    <mergeCell ref="F2152:F2153"/>
    <mergeCell ref="G2152:G2153"/>
    <mergeCell ref="A2167:B2167"/>
    <mergeCell ref="C2167:C2168"/>
    <mergeCell ref="D2167:D2168"/>
    <mergeCell ref="E2167:E2168"/>
    <mergeCell ref="F2167:F2168"/>
    <mergeCell ref="G2167:G2168"/>
    <mergeCell ref="A2101:G2101"/>
    <mergeCell ref="C2107:E2107"/>
    <mergeCell ref="A2127:B2127"/>
    <mergeCell ref="C2127:C2128"/>
    <mergeCell ref="D2127:D2128"/>
    <mergeCell ref="E2127:E2128"/>
    <mergeCell ref="F2127:F2128"/>
    <mergeCell ref="G2127:G2128"/>
    <mergeCell ref="A2141:B2141"/>
    <mergeCell ref="C2141:C2142"/>
    <mergeCell ref="D2141:D2142"/>
    <mergeCell ref="E2141:E2142"/>
    <mergeCell ref="F2141:F2142"/>
    <mergeCell ref="G2141:G2142"/>
    <mergeCell ref="A2227:B2227"/>
    <mergeCell ref="C2227:C2228"/>
    <mergeCell ref="D2227:D2228"/>
    <mergeCell ref="E2227:E2228"/>
    <mergeCell ref="F2227:F2228"/>
    <mergeCell ref="G2227:G2228"/>
    <mergeCell ref="A2242:B2242"/>
    <mergeCell ref="C2242:C2243"/>
    <mergeCell ref="D2242:D2243"/>
    <mergeCell ref="E2242:E2243"/>
    <mergeCell ref="F2242:F2243"/>
    <mergeCell ref="G2242:G2243"/>
    <mergeCell ref="A2176:G2176"/>
    <mergeCell ref="C2182:E2182"/>
    <mergeCell ref="A2202:B2202"/>
    <mergeCell ref="C2202:C2203"/>
    <mergeCell ref="D2202:D2203"/>
    <mergeCell ref="E2202:E2203"/>
    <mergeCell ref="F2202:F2203"/>
    <mergeCell ref="G2202:G2203"/>
    <mergeCell ref="A2216:B2216"/>
    <mergeCell ref="C2216:C2217"/>
    <mergeCell ref="D2216:D2217"/>
    <mergeCell ref="E2216:E2217"/>
    <mergeCell ref="F2216:F2217"/>
    <mergeCell ref="G2216:G2217"/>
    <mergeCell ref="A2302:B2302"/>
    <mergeCell ref="C2302:C2303"/>
    <mergeCell ref="D2302:D2303"/>
    <mergeCell ref="E2302:E2303"/>
    <mergeCell ref="F2302:F2303"/>
    <mergeCell ref="G2302:G2303"/>
    <mergeCell ref="A2317:B2317"/>
    <mergeCell ref="C2317:C2318"/>
    <mergeCell ref="D2317:D2318"/>
    <mergeCell ref="E2317:E2318"/>
    <mergeCell ref="F2317:F2318"/>
    <mergeCell ref="G2317:G2318"/>
    <mergeCell ref="A2251:G2251"/>
    <mergeCell ref="C2257:E2257"/>
    <mergeCell ref="A2277:B2277"/>
    <mergeCell ref="C2277:C2278"/>
    <mergeCell ref="D2277:D2278"/>
    <mergeCell ref="E2277:E2278"/>
    <mergeCell ref="F2277:F2278"/>
    <mergeCell ref="G2277:G2278"/>
    <mergeCell ref="A2291:B2291"/>
    <mergeCell ref="C2291:C2292"/>
    <mergeCell ref="D2291:D2292"/>
    <mergeCell ref="E2291:E2292"/>
    <mergeCell ref="F2291:F2292"/>
    <mergeCell ref="G2291:G2292"/>
    <mergeCell ref="A2377:B2377"/>
    <mergeCell ref="C2377:C2378"/>
    <mergeCell ref="D2377:D2378"/>
    <mergeCell ref="E2377:E2378"/>
    <mergeCell ref="F2377:F2378"/>
    <mergeCell ref="G2377:G2378"/>
    <mergeCell ref="A2392:B2392"/>
    <mergeCell ref="C2392:C2393"/>
    <mergeCell ref="D2392:D2393"/>
    <mergeCell ref="E2392:E2393"/>
    <mergeCell ref="F2392:F2393"/>
    <mergeCell ref="G2392:G2393"/>
    <mergeCell ref="A2326:G2326"/>
    <mergeCell ref="C2332:E2332"/>
    <mergeCell ref="A2352:B2352"/>
    <mergeCell ref="C2352:C2353"/>
    <mergeCell ref="D2352:D2353"/>
    <mergeCell ref="E2352:E2353"/>
    <mergeCell ref="F2352:F2353"/>
    <mergeCell ref="G2352:G2353"/>
    <mergeCell ref="A2366:B2366"/>
    <mergeCell ref="C2366:C2367"/>
    <mergeCell ref="D2366:D2367"/>
    <mergeCell ref="E2366:E2367"/>
    <mergeCell ref="F2366:F2367"/>
    <mergeCell ref="G2366:G2367"/>
    <mergeCell ref="A2452:B2452"/>
    <mergeCell ref="C2452:C2453"/>
    <mergeCell ref="D2452:D2453"/>
    <mergeCell ref="E2452:E2453"/>
    <mergeCell ref="F2452:F2453"/>
    <mergeCell ref="G2452:G2453"/>
    <mergeCell ref="A2467:B2467"/>
    <mergeCell ref="C2467:C2468"/>
    <mergeCell ref="D2467:D2468"/>
    <mergeCell ref="E2467:E2468"/>
    <mergeCell ref="F2467:F2468"/>
    <mergeCell ref="G2467:G2468"/>
    <mergeCell ref="A2401:G2401"/>
    <mergeCell ref="C2407:E2407"/>
    <mergeCell ref="A2427:B2427"/>
    <mergeCell ref="C2427:C2428"/>
    <mergeCell ref="D2427:D2428"/>
    <mergeCell ref="E2427:E2428"/>
    <mergeCell ref="F2427:F2428"/>
    <mergeCell ref="G2427:G2428"/>
    <mergeCell ref="A2441:B2441"/>
    <mergeCell ref="C2441:C2442"/>
    <mergeCell ref="D2441:D2442"/>
    <mergeCell ref="E2441:E2442"/>
    <mergeCell ref="F2441:F2442"/>
    <mergeCell ref="G2441:G2442"/>
    <mergeCell ref="A2527:B2527"/>
    <mergeCell ref="C2527:C2528"/>
    <mergeCell ref="D2527:D2528"/>
    <mergeCell ref="E2527:E2528"/>
    <mergeCell ref="F2527:F2528"/>
    <mergeCell ref="G2527:G2528"/>
    <mergeCell ref="A2542:B2542"/>
    <mergeCell ref="C2542:C2543"/>
    <mergeCell ref="D2542:D2543"/>
    <mergeCell ref="E2542:E2543"/>
    <mergeCell ref="F2542:F2543"/>
    <mergeCell ref="G2542:G2543"/>
    <mergeCell ref="A2476:G2476"/>
    <mergeCell ref="C2482:E2482"/>
    <mergeCell ref="A2502:B2502"/>
    <mergeCell ref="C2502:C2503"/>
    <mergeCell ref="D2502:D2503"/>
    <mergeCell ref="E2502:E2503"/>
    <mergeCell ref="F2502:F2503"/>
    <mergeCell ref="G2502:G2503"/>
    <mergeCell ref="A2516:B2516"/>
    <mergeCell ref="C2516:C2517"/>
    <mergeCell ref="D2516:D2517"/>
    <mergeCell ref="E2516:E2517"/>
    <mergeCell ref="F2516:F2517"/>
    <mergeCell ref="G2516:G2517"/>
    <mergeCell ref="A2602:B2602"/>
    <mergeCell ref="C2602:C2603"/>
    <mergeCell ref="D2602:D2603"/>
    <mergeCell ref="E2602:E2603"/>
    <mergeCell ref="F2602:F2603"/>
    <mergeCell ref="G2602:G2603"/>
    <mergeCell ref="A2617:B2617"/>
    <mergeCell ref="C2617:C2618"/>
    <mergeCell ref="D2617:D2618"/>
    <mergeCell ref="E2617:E2618"/>
    <mergeCell ref="F2617:F2618"/>
    <mergeCell ref="G2617:G2618"/>
    <mergeCell ref="A2551:G2551"/>
    <mergeCell ref="C2557:E2557"/>
    <mergeCell ref="A2577:B2577"/>
    <mergeCell ref="C2577:C2578"/>
    <mergeCell ref="D2577:D2578"/>
    <mergeCell ref="E2577:E2578"/>
    <mergeCell ref="F2577:F2578"/>
    <mergeCell ref="G2577:G2578"/>
    <mergeCell ref="A2591:B2591"/>
    <mergeCell ref="C2591:C2592"/>
    <mergeCell ref="D2591:D2592"/>
    <mergeCell ref="E2591:E2592"/>
    <mergeCell ref="F2591:F2592"/>
    <mergeCell ref="G2591:G2592"/>
    <mergeCell ref="A2677:B2677"/>
    <mergeCell ref="C2677:C2678"/>
    <mergeCell ref="D2677:D2678"/>
    <mergeCell ref="E2677:E2678"/>
    <mergeCell ref="F2677:F2678"/>
    <mergeCell ref="G2677:G2678"/>
    <mergeCell ref="A2692:B2692"/>
    <mergeCell ref="C2692:C2693"/>
    <mergeCell ref="D2692:D2693"/>
    <mergeCell ref="E2692:E2693"/>
    <mergeCell ref="F2692:F2693"/>
    <mergeCell ref="G2692:G2693"/>
    <mergeCell ref="A2626:G2626"/>
    <mergeCell ref="C2632:E2632"/>
    <mergeCell ref="A2652:B2652"/>
    <mergeCell ref="C2652:C2653"/>
    <mergeCell ref="D2652:D2653"/>
    <mergeCell ref="E2652:E2653"/>
    <mergeCell ref="F2652:F2653"/>
    <mergeCell ref="G2652:G2653"/>
    <mergeCell ref="A2666:B2666"/>
    <mergeCell ref="C2666:C2667"/>
    <mergeCell ref="D2666:D2667"/>
    <mergeCell ref="E2666:E2667"/>
    <mergeCell ref="F2666:F2667"/>
    <mergeCell ref="G2666:G2667"/>
    <mergeCell ref="A2752:B2752"/>
    <mergeCell ref="C2752:C2753"/>
    <mergeCell ref="D2752:D2753"/>
    <mergeCell ref="E2752:E2753"/>
    <mergeCell ref="F2752:F2753"/>
    <mergeCell ref="G2752:G2753"/>
    <mergeCell ref="A2767:B2767"/>
    <mergeCell ref="C2767:C2768"/>
    <mergeCell ref="D2767:D2768"/>
    <mergeCell ref="E2767:E2768"/>
    <mergeCell ref="F2767:F2768"/>
    <mergeCell ref="G2767:G2768"/>
    <mergeCell ref="A2701:G2701"/>
    <mergeCell ref="C2707:E2707"/>
    <mergeCell ref="A2727:B2727"/>
    <mergeCell ref="C2727:C2728"/>
    <mergeCell ref="D2727:D2728"/>
    <mergeCell ref="E2727:E2728"/>
    <mergeCell ref="F2727:F2728"/>
    <mergeCell ref="G2727:G2728"/>
    <mergeCell ref="A2741:B2741"/>
    <mergeCell ref="C2741:C2742"/>
    <mergeCell ref="D2741:D2742"/>
    <mergeCell ref="E2741:E2742"/>
    <mergeCell ref="F2741:F2742"/>
    <mergeCell ref="G2741:G2742"/>
    <mergeCell ref="A2827:B2827"/>
    <mergeCell ref="C2827:C2828"/>
    <mergeCell ref="D2827:D2828"/>
    <mergeCell ref="E2827:E2828"/>
    <mergeCell ref="F2827:F2828"/>
    <mergeCell ref="G2827:G2828"/>
    <mergeCell ref="A2842:B2842"/>
    <mergeCell ref="C2842:C2843"/>
    <mergeCell ref="D2842:D2843"/>
    <mergeCell ref="E2842:E2843"/>
    <mergeCell ref="F2842:F2843"/>
    <mergeCell ref="G2842:G2843"/>
    <mergeCell ref="A2776:G2776"/>
    <mergeCell ref="C2782:E2782"/>
    <mergeCell ref="A2802:B2802"/>
    <mergeCell ref="C2802:C2803"/>
    <mergeCell ref="D2802:D2803"/>
    <mergeCell ref="E2802:E2803"/>
    <mergeCell ref="F2802:F2803"/>
    <mergeCell ref="G2802:G2803"/>
    <mergeCell ref="A2816:B2816"/>
    <mergeCell ref="C2816:C2817"/>
    <mergeCell ref="D2816:D2817"/>
    <mergeCell ref="E2816:E2817"/>
    <mergeCell ref="F2816:F2817"/>
    <mergeCell ref="G2816:G2817"/>
    <mergeCell ref="A2902:B2902"/>
    <mergeCell ref="C2902:C2903"/>
    <mergeCell ref="D2902:D2903"/>
    <mergeCell ref="E2902:E2903"/>
    <mergeCell ref="F2902:F2903"/>
    <mergeCell ref="G2902:G2903"/>
    <mergeCell ref="A2917:B2917"/>
    <mergeCell ref="C2917:C2918"/>
    <mergeCell ref="D2917:D2918"/>
    <mergeCell ref="E2917:E2918"/>
    <mergeCell ref="F2917:F2918"/>
    <mergeCell ref="G2917:G2918"/>
    <mergeCell ref="A2851:G2851"/>
    <mergeCell ref="C2857:E2857"/>
    <mergeCell ref="A2877:B2877"/>
    <mergeCell ref="C2877:C2878"/>
    <mergeCell ref="D2877:D2878"/>
    <mergeCell ref="E2877:E2878"/>
    <mergeCell ref="F2877:F2878"/>
    <mergeCell ref="G2877:G2878"/>
    <mergeCell ref="A2891:B2891"/>
    <mergeCell ref="C2891:C2892"/>
    <mergeCell ref="D2891:D2892"/>
    <mergeCell ref="E2891:E2892"/>
    <mergeCell ref="F2891:F2892"/>
    <mergeCell ref="G2891:G2892"/>
    <mergeCell ref="A2977:B2977"/>
    <mergeCell ref="C2977:C2978"/>
    <mergeCell ref="D2977:D2978"/>
    <mergeCell ref="E2977:E2978"/>
    <mergeCell ref="F2977:F2978"/>
    <mergeCell ref="G2977:G2978"/>
    <mergeCell ref="A2992:B2992"/>
    <mergeCell ref="C2992:C2993"/>
    <mergeCell ref="D2992:D2993"/>
    <mergeCell ref="E2992:E2993"/>
    <mergeCell ref="F2992:F2993"/>
    <mergeCell ref="G2992:G2993"/>
    <mergeCell ref="A2926:G2926"/>
    <mergeCell ref="C2932:E2932"/>
    <mergeCell ref="A2952:B2952"/>
    <mergeCell ref="C2952:C2953"/>
    <mergeCell ref="D2952:D2953"/>
    <mergeCell ref="E2952:E2953"/>
    <mergeCell ref="F2952:F2953"/>
    <mergeCell ref="G2952:G2953"/>
    <mergeCell ref="A2966:B2966"/>
    <mergeCell ref="C2966:C2967"/>
    <mergeCell ref="D2966:D2967"/>
    <mergeCell ref="E2966:E2967"/>
    <mergeCell ref="F2966:F2967"/>
    <mergeCell ref="G2966:G2967"/>
    <mergeCell ref="A3052:B3052"/>
    <mergeCell ref="C3052:C3053"/>
    <mergeCell ref="D3052:D3053"/>
    <mergeCell ref="E3052:E3053"/>
    <mergeCell ref="F3052:F3053"/>
    <mergeCell ref="G3052:G3053"/>
    <mergeCell ref="A3067:B3067"/>
    <mergeCell ref="C3067:C3068"/>
    <mergeCell ref="D3067:D3068"/>
    <mergeCell ref="E3067:E3068"/>
    <mergeCell ref="F3067:F3068"/>
    <mergeCell ref="G3067:G3068"/>
    <mergeCell ref="A3001:G3001"/>
    <mergeCell ref="C3007:E3007"/>
    <mergeCell ref="A3027:B3027"/>
    <mergeCell ref="C3027:C3028"/>
    <mergeCell ref="D3027:D3028"/>
    <mergeCell ref="E3027:E3028"/>
    <mergeCell ref="F3027:F3028"/>
    <mergeCell ref="G3027:G3028"/>
    <mergeCell ref="A3041:B3041"/>
    <mergeCell ref="C3041:C3042"/>
    <mergeCell ref="D3041:D3042"/>
    <mergeCell ref="E3041:E3042"/>
    <mergeCell ref="F3041:F3042"/>
    <mergeCell ref="G3041:G3042"/>
    <mergeCell ref="A3127:B3127"/>
    <mergeCell ref="C3127:C3128"/>
    <mergeCell ref="D3127:D3128"/>
    <mergeCell ref="E3127:E3128"/>
    <mergeCell ref="F3127:F3128"/>
    <mergeCell ref="G3127:G3128"/>
    <mergeCell ref="A3142:B3142"/>
    <mergeCell ref="C3142:C3143"/>
    <mergeCell ref="D3142:D3143"/>
    <mergeCell ref="E3142:E3143"/>
    <mergeCell ref="F3142:F3143"/>
    <mergeCell ref="G3142:G3143"/>
    <mergeCell ref="A3076:G3076"/>
    <mergeCell ref="C3082:E3082"/>
    <mergeCell ref="A3102:B3102"/>
    <mergeCell ref="C3102:C3103"/>
    <mergeCell ref="D3102:D3103"/>
    <mergeCell ref="E3102:E3103"/>
    <mergeCell ref="F3102:F3103"/>
    <mergeCell ref="G3102:G3103"/>
    <mergeCell ref="A3116:B3116"/>
    <mergeCell ref="C3116:C3117"/>
    <mergeCell ref="D3116:D3117"/>
    <mergeCell ref="E3116:E3117"/>
    <mergeCell ref="F3116:F3117"/>
    <mergeCell ref="G3116:G3117"/>
    <mergeCell ref="A3202:B3202"/>
    <mergeCell ref="C3202:C3203"/>
    <mergeCell ref="D3202:D3203"/>
    <mergeCell ref="E3202:E3203"/>
    <mergeCell ref="F3202:F3203"/>
    <mergeCell ref="G3202:G3203"/>
    <mergeCell ref="A3217:B3217"/>
    <mergeCell ref="C3217:C3218"/>
    <mergeCell ref="D3217:D3218"/>
    <mergeCell ref="E3217:E3218"/>
    <mergeCell ref="F3217:F3218"/>
    <mergeCell ref="G3217:G3218"/>
    <mergeCell ref="A3151:G3151"/>
    <mergeCell ref="C3157:E3157"/>
    <mergeCell ref="A3177:B3177"/>
    <mergeCell ref="C3177:C3178"/>
    <mergeCell ref="D3177:D3178"/>
    <mergeCell ref="E3177:E3178"/>
    <mergeCell ref="F3177:F3178"/>
    <mergeCell ref="G3177:G3178"/>
    <mergeCell ref="A3191:B3191"/>
    <mergeCell ref="C3191:C3192"/>
    <mergeCell ref="D3191:D3192"/>
    <mergeCell ref="E3191:E3192"/>
    <mergeCell ref="F3191:F3192"/>
    <mergeCell ref="G3191:G3192"/>
    <mergeCell ref="A3277:B3277"/>
    <mergeCell ref="C3277:C3278"/>
    <mergeCell ref="D3277:D3278"/>
    <mergeCell ref="E3277:E3278"/>
    <mergeCell ref="F3277:F3278"/>
    <mergeCell ref="G3277:G3278"/>
    <mergeCell ref="A3292:B3292"/>
    <mergeCell ref="C3292:C3293"/>
    <mergeCell ref="D3292:D3293"/>
    <mergeCell ref="E3292:E3293"/>
    <mergeCell ref="F3292:F3293"/>
    <mergeCell ref="G3292:G3293"/>
    <mergeCell ref="A3226:G3226"/>
    <mergeCell ref="C3232:E3232"/>
    <mergeCell ref="A3252:B3252"/>
    <mergeCell ref="C3252:C3253"/>
    <mergeCell ref="D3252:D3253"/>
    <mergeCell ref="E3252:E3253"/>
    <mergeCell ref="F3252:F3253"/>
    <mergeCell ref="G3252:G3253"/>
    <mergeCell ref="A3266:B3266"/>
    <mergeCell ref="C3266:C3267"/>
    <mergeCell ref="D3266:D3267"/>
    <mergeCell ref="E3266:E3267"/>
    <mergeCell ref="F3266:F3267"/>
    <mergeCell ref="G3266:G3267"/>
    <mergeCell ref="A3352:B3352"/>
    <mergeCell ref="C3352:C3353"/>
    <mergeCell ref="D3352:D3353"/>
    <mergeCell ref="E3352:E3353"/>
    <mergeCell ref="F3352:F3353"/>
    <mergeCell ref="G3352:G3353"/>
    <mergeCell ref="A3367:B3367"/>
    <mergeCell ref="C3367:C3368"/>
    <mergeCell ref="D3367:D3368"/>
    <mergeCell ref="E3367:E3368"/>
    <mergeCell ref="F3367:F3368"/>
    <mergeCell ref="G3367:G3368"/>
    <mergeCell ref="A3301:G3301"/>
    <mergeCell ref="C3307:E3307"/>
    <mergeCell ref="A3327:B3327"/>
    <mergeCell ref="C3327:C3328"/>
    <mergeCell ref="D3327:D3328"/>
    <mergeCell ref="E3327:E3328"/>
    <mergeCell ref="F3327:F3328"/>
    <mergeCell ref="G3327:G3328"/>
    <mergeCell ref="A3341:B3341"/>
    <mergeCell ref="C3341:C3342"/>
    <mergeCell ref="D3341:D3342"/>
    <mergeCell ref="E3341:E3342"/>
    <mergeCell ref="F3341:F3342"/>
    <mergeCell ref="G3341:G3342"/>
  </mergeCells>
  <pageMargins left="1.1811023622047245" right="0.78740157480314965" top="1.1811023622047245" bottom="0.78740157480314965" header="0.39370078740157483" footer="0.39370078740157483"/>
  <pageSetup paperSize="9" scale="36" fitToHeight="0" orientation="portrait" r:id="rId1"/>
  <headerFooter>
    <oddHeader>&amp;C&amp;G</oddHeader>
  </headerFooter>
  <rowBreaks count="5" manualBreakCount="5">
    <brk id="75" max="6" man="1"/>
    <brk id="150" max="6" man="1"/>
    <brk id="225" max="6" man="1"/>
    <brk id="300" max="6" man="1"/>
    <brk id="800" max="6" man="1"/>
  </rowBreaks>
  <ignoredErrors>
    <ignoredError sqref="C1080:C1083 F43:F49 E12:E21"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CD52"/>
  <sheetViews>
    <sheetView showZeros="0" view="pageBreakPreview" zoomScaleNormal="100" zoomScaleSheetLayoutView="100" workbookViewId="0">
      <selection activeCell="D27" sqref="D27"/>
    </sheetView>
  </sheetViews>
  <sheetFormatPr baseColWidth="10" defaultColWidth="11.42578125" defaultRowHeight="20.100000000000001" customHeight="1" x14ac:dyDescent="0.2"/>
  <cols>
    <col min="1" max="1" width="11.42578125" style="664"/>
    <col min="2" max="2" width="8.7109375" style="8" customWidth="1"/>
    <col min="3" max="3" width="30.7109375" style="8" customWidth="1"/>
    <col min="4" max="4" width="32.28515625" style="8" customWidth="1"/>
    <col min="5" max="5" width="18.7109375" style="8" customWidth="1"/>
    <col min="6" max="11" width="15.7109375" style="8" customWidth="1"/>
    <col min="12" max="13" width="10.7109375" style="8" customWidth="1"/>
    <col min="14" max="33" width="10.7109375" style="60" customWidth="1"/>
    <col min="34" max="82" width="11.42578125" style="60"/>
    <col min="83" max="16384" width="11.42578125" style="8"/>
  </cols>
  <sheetData>
    <row r="1" spans="1:82" s="2" customFormat="1" ht="20.100000000000001" customHeight="1" x14ac:dyDescent="0.2">
      <c r="A1" s="689"/>
      <c r="B1" s="3" t="s">
        <v>8</v>
      </c>
      <c r="C1" s="3"/>
      <c r="D1" s="3" t="str">
        <f>Comitente</f>
        <v>DEPARTAMENTO DE HIDRAULICA</v>
      </c>
      <c r="E1" s="4"/>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row>
    <row r="2" spans="1:82" s="5" customFormat="1" ht="20.100000000000001" customHeight="1" x14ac:dyDescent="0.2">
      <c r="A2" s="663"/>
      <c r="B2" s="10" t="s">
        <v>9</v>
      </c>
      <c r="C2" s="10"/>
      <c r="D2" s="10" t="str">
        <f>Obra</f>
        <v>Encamisado Parcial del Canal de Calle América</v>
      </c>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row>
    <row r="3" spans="1:82" s="5" customFormat="1" ht="20.100000000000001" customHeight="1" x14ac:dyDescent="0.2">
      <c r="A3" s="663"/>
      <c r="B3" s="10" t="s">
        <v>13</v>
      </c>
      <c r="C3" s="10"/>
      <c r="D3" s="10" t="str">
        <f>Ubicación</f>
        <v>Departamento Rawson</v>
      </c>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row>
    <row r="4" spans="1:82" s="5" customFormat="1" ht="20.100000000000001" customHeight="1" x14ac:dyDescent="0.2">
      <c r="A4" s="663"/>
      <c r="B4" s="10" t="s">
        <v>12</v>
      </c>
      <c r="C4" s="11"/>
      <c r="D4" s="43" t="str">
        <f>Licitación_N°</f>
        <v>___/2023</v>
      </c>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row>
    <row r="5" spans="1:82" s="5" customFormat="1" ht="20.100000000000001" customHeight="1" x14ac:dyDescent="0.2">
      <c r="A5" s="663"/>
      <c r="B5" s="10" t="s">
        <v>1950</v>
      </c>
      <c r="C5" s="11"/>
      <c r="D5" s="44">
        <f>Plazo_Obra</f>
        <v>150</v>
      </c>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row>
    <row r="6" spans="1:82" s="5" customFormat="1" ht="20.100000000000001" customHeight="1" x14ac:dyDescent="0.2">
      <c r="A6" s="663"/>
      <c r="B6" s="10" t="s">
        <v>1952</v>
      </c>
      <c r="C6" s="10"/>
      <c r="D6" s="10">
        <f>Contratista</f>
        <v>0</v>
      </c>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row>
    <row r="7" spans="1:82" s="2" customFormat="1" ht="20.100000000000001" customHeight="1" x14ac:dyDescent="0.2">
      <c r="A7" s="689"/>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row>
    <row r="8" spans="1:82" s="2" customFormat="1" ht="20.100000000000001" customHeight="1" x14ac:dyDescent="0.2">
      <c r="A8" s="689"/>
      <c r="B8" s="736" t="s">
        <v>39</v>
      </c>
      <c r="C8" s="737"/>
      <c r="D8" s="737"/>
      <c r="E8" s="738"/>
      <c r="F8" s="7"/>
      <c r="G8" s="7"/>
      <c r="H8" s="7"/>
      <c r="I8" s="7"/>
      <c r="J8" s="7"/>
      <c r="K8" s="7"/>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row>
    <row r="9" spans="1:82" ht="20.100000000000001" customHeight="1" x14ac:dyDescent="0.2">
      <c r="B9" s="664"/>
      <c r="C9" s="664"/>
      <c r="D9" s="664"/>
      <c r="E9" s="664"/>
      <c r="F9" s="664"/>
      <c r="G9" s="664"/>
      <c r="H9" s="664"/>
      <c r="I9" s="664"/>
      <c r="J9" s="664"/>
      <c r="K9" s="664"/>
      <c r="L9" s="664"/>
    </row>
    <row r="10" spans="1:82" ht="20.100000000000001" customHeight="1" x14ac:dyDescent="0.2">
      <c r="B10" s="740" t="s">
        <v>892</v>
      </c>
      <c r="C10" s="741" t="s">
        <v>0</v>
      </c>
      <c r="D10" s="741"/>
      <c r="E10" s="742" t="s">
        <v>11</v>
      </c>
      <c r="F10" s="665"/>
      <c r="G10" s="741" t="s">
        <v>17</v>
      </c>
      <c r="H10" s="741"/>
      <c r="I10" s="741"/>
      <c r="J10" s="741"/>
      <c r="K10" s="741"/>
      <c r="L10" s="690"/>
      <c r="M10" s="739" t="s">
        <v>16</v>
      </c>
    </row>
    <row r="11" spans="1:82" ht="20.100000000000001" customHeight="1" x14ac:dyDescent="0.2">
      <c r="B11" s="740"/>
      <c r="C11" s="741"/>
      <c r="D11" s="741"/>
      <c r="E11" s="742"/>
      <c r="F11" s="665">
        <v>0</v>
      </c>
      <c r="G11" s="666">
        <v>1</v>
      </c>
      <c r="H11" s="666">
        <f>G11+1</f>
        <v>2</v>
      </c>
      <c r="I11" s="666">
        <f t="shared" ref="I11:K11" si="0">H11+1</f>
        <v>3</v>
      </c>
      <c r="J11" s="666">
        <f t="shared" si="0"/>
        <v>4</v>
      </c>
      <c r="K11" s="666">
        <f t="shared" si="0"/>
        <v>5</v>
      </c>
      <c r="L11" s="691"/>
      <c r="M11" s="739"/>
    </row>
    <row r="12" spans="1:82" ht="20.100000000000001" customHeight="1" x14ac:dyDescent="0.2">
      <c r="B12" s="667"/>
      <c r="C12" s="668"/>
      <c r="D12" s="668"/>
      <c r="E12" s="669"/>
      <c r="F12" s="665"/>
      <c r="G12" s="666"/>
      <c r="H12" s="666"/>
      <c r="I12" s="666"/>
      <c r="J12" s="666"/>
      <c r="K12" s="666"/>
      <c r="L12" s="691"/>
      <c r="M12" s="695"/>
    </row>
    <row r="13" spans="1:82" ht="20.100000000000001" customHeight="1" x14ac:dyDescent="0.2">
      <c r="B13" s="670">
        <f ca="1">INDIRECT("Datos!B"&amp;MATCH("RUBRO ITEM",Datos!B:B,0)+ROW()-MATCH("RUBRO ITEM",B:B,0)-1)</f>
        <v>1</v>
      </c>
      <c r="C13" s="671" t="str">
        <f t="shared" ref="C13:C23" ca="1" si="1">IFERROR(VLOOKUP(B13,T_Computo_Presupuesto,2,FALSE),"")</f>
        <v>PROYECTO EJECUTIVO</v>
      </c>
      <c r="D13" s="672"/>
      <c r="E13" s="673">
        <f t="shared" ref="E13:E23" ca="1" si="2">IFERROR(VLOOKUP(B13,T_Computo_Presupuesto,9,FALSE),0)</f>
        <v>0</v>
      </c>
      <c r="F13" s="674"/>
      <c r="G13" s="692"/>
      <c r="H13" s="692"/>
      <c r="I13" s="692"/>
      <c r="J13" s="692"/>
      <c r="K13" s="692"/>
      <c r="L13" s="664"/>
      <c r="M13" s="695">
        <f t="shared" ref="M13:M44" si="3">SUM(G13:K13)</f>
        <v>0</v>
      </c>
    </row>
    <row r="14" spans="1:82" ht="20.100000000000001" customHeight="1" x14ac:dyDescent="0.2">
      <c r="B14" s="670" t="str">
        <f ca="1">INDIRECT("Datos!B"&amp;MATCH("RUBRO ITEM",Datos!B:B,0)+ROW()-MATCH("RUBRO ITEM",B:B,0)-1)</f>
        <v>1.1</v>
      </c>
      <c r="C14" s="671" t="str">
        <f t="shared" ca="1" si="1"/>
        <v>Elaboración Proyecto Ejecutivo</v>
      </c>
      <c r="D14" s="672"/>
      <c r="E14" s="673">
        <f t="shared" ca="1" si="2"/>
        <v>0</v>
      </c>
      <c r="F14" s="675"/>
      <c r="G14" s="692"/>
      <c r="H14" s="692"/>
      <c r="I14" s="692"/>
      <c r="J14" s="692"/>
      <c r="K14" s="692"/>
      <c r="L14" s="676"/>
      <c r="M14" s="695">
        <f t="shared" si="3"/>
        <v>0</v>
      </c>
    </row>
    <row r="15" spans="1:82" ht="20.100000000000001" customHeight="1" x14ac:dyDescent="0.2">
      <c r="B15" s="670">
        <f ca="1">INDIRECT("Datos!B"&amp;MATCH("RUBRO ITEM",Datos!B:B,0)+ROW()-MATCH("RUBRO ITEM",B:B,0)-1)</f>
        <v>2</v>
      </c>
      <c r="C15" s="671" t="str">
        <f t="shared" ca="1" si="1"/>
        <v>CANAL AMÉRICA</v>
      </c>
      <c r="D15" s="672"/>
      <c r="E15" s="673">
        <f t="shared" ca="1" si="2"/>
        <v>0</v>
      </c>
      <c r="F15" s="675"/>
      <c r="G15" s="692"/>
      <c r="H15" s="692"/>
      <c r="I15" s="692"/>
      <c r="J15" s="692"/>
      <c r="K15" s="692"/>
      <c r="L15" s="676"/>
      <c r="M15" s="695">
        <f t="shared" si="3"/>
        <v>0</v>
      </c>
    </row>
    <row r="16" spans="1:82" ht="20.100000000000001" customHeight="1" x14ac:dyDescent="0.2">
      <c r="B16" s="670" t="str">
        <f ca="1">INDIRECT("Datos!B"&amp;MATCH("RUBRO ITEM",Datos!B:B,0)+ROW()-MATCH("RUBRO ITEM",B:B,0)-1)</f>
        <v>2.1</v>
      </c>
      <c r="C16" s="671" t="str">
        <f t="shared" ca="1" si="1"/>
        <v>Preparación y Limpieza del Terreno</v>
      </c>
      <c r="D16" s="672"/>
      <c r="E16" s="673">
        <f t="shared" ca="1" si="2"/>
        <v>0</v>
      </c>
      <c r="F16" s="675"/>
      <c r="G16" s="692"/>
      <c r="H16" s="692"/>
      <c r="I16" s="692"/>
      <c r="J16" s="692"/>
      <c r="K16" s="692"/>
      <c r="L16" s="676"/>
      <c r="M16" s="695">
        <f t="shared" si="3"/>
        <v>0</v>
      </c>
    </row>
    <row r="17" spans="2:13" ht="20.100000000000001" customHeight="1" x14ac:dyDescent="0.2">
      <c r="B17" s="670" t="str">
        <f ca="1">INDIRECT("Datos!B"&amp;MATCH("RUBRO ITEM",Datos!B:B,0)+ROW()-MATCH("RUBRO ITEM",B:B,0)-1)</f>
        <v>2.2</v>
      </c>
      <c r="C17" s="671" t="str">
        <f t="shared" ca="1" si="1"/>
        <v>Nivelación y Replanteo</v>
      </c>
      <c r="D17" s="672"/>
      <c r="E17" s="673">
        <f t="shared" ca="1" si="2"/>
        <v>0</v>
      </c>
      <c r="F17" s="675"/>
      <c r="G17" s="692"/>
      <c r="H17" s="692"/>
      <c r="I17" s="692"/>
      <c r="J17" s="692"/>
      <c r="K17" s="692"/>
      <c r="L17" s="676"/>
      <c r="M17" s="695">
        <f t="shared" si="3"/>
        <v>0</v>
      </c>
    </row>
    <row r="18" spans="2:13" ht="20.100000000000001" customHeight="1" x14ac:dyDescent="0.2">
      <c r="B18" s="670" t="str">
        <f ca="1">INDIRECT("Datos!B"&amp;MATCH("RUBRO ITEM",Datos!B:B,0)+ROW()-MATCH("RUBRO ITEM",B:B,0)-1)</f>
        <v>2.3</v>
      </c>
      <c r="C18" s="671" t="str">
        <f t="shared" ca="1" si="1"/>
        <v>Demolición de las Bocas del Sifón</v>
      </c>
      <c r="D18" s="672"/>
      <c r="E18" s="673">
        <f t="shared" ca="1" si="2"/>
        <v>0</v>
      </c>
      <c r="F18" s="675"/>
      <c r="G18" s="692"/>
      <c r="H18" s="692"/>
      <c r="I18" s="692"/>
      <c r="J18" s="692"/>
      <c r="K18" s="692"/>
      <c r="L18" s="676"/>
      <c r="M18" s="695">
        <f t="shared" si="3"/>
        <v>0</v>
      </c>
    </row>
    <row r="19" spans="2:13" ht="20.100000000000001" customHeight="1" x14ac:dyDescent="0.2">
      <c r="B19" s="670" t="str">
        <f ca="1">INDIRECT("Datos!B"&amp;MATCH("RUBRO ITEM",Datos!B:B,0)+ROW()-MATCH("RUBRO ITEM",B:B,0)-1)</f>
        <v>2.4</v>
      </c>
      <c r="C19" s="671" t="str">
        <f t="shared" ca="1" si="1"/>
        <v>Extracción de Membrana</v>
      </c>
      <c r="D19" s="672"/>
      <c r="E19" s="673">
        <f t="shared" ca="1" si="2"/>
        <v>0</v>
      </c>
      <c r="F19" s="675"/>
      <c r="G19" s="692"/>
      <c r="H19" s="692"/>
      <c r="I19" s="692"/>
      <c r="J19" s="692"/>
      <c r="K19" s="692"/>
      <c r="L19" s="676"/>
      <c r="M19" s="695">
        <f t="shared" si="3"/>
        <v>0</v>
      </c>
    </row>
    <row r="20" spans="2:13" ht="20.100000000000001" customHeight="1" x14ac:dyDescent="0.2">
      <c r="B20" s="670" t="str">
        <f ca="1">INDIRECT("Datos!B"&amp;MATCH("RUBRO ITEM",Datos!B:B,0)+ROW()-MATCH("RUBRO ITEM",B:B,0)-1)</f>
        <v>2.5</v>
      </c>
      <c r="C20" s="671" t="str">
        <f t="shared" ca="1" si="1"/>
        <v>Relleno y Compactación con Cama de Asiento</v>
      </c>
      <c r="D20" s="672"/>
      <c r="E20" s="673">
        <f t="shared" ca="1" si="2"/>
        <v>0</v>
      </c>
      <c r="F20" s="675"/>
      <c r="G20" s="692"/>
      <c r="H20" s="692"/>
      <c r="I20" s="692"/>
      <c r="J20" s="692"/>
      <c r="K20" s="692"/>
      <c r="L20" s="676"/>
      <c r="M20" s="695">
        <f t="shared" si="3"/>
        <v>0</v>
      </c>
    </row>
    <row r="21" spans="2:13" ht="20.100000000000001" customHeight="1" x14ac:dyDescent="0.2">
      <c r="B21" s="670" t="str">
        <f ca="1">INDIRECT("Datos!B"&amp;MATCH("RUBRO ITEM",Datos!B:B,0)+ROW()-MATCH("RUBRO ITEM",B:B,0)-1)</f>
        <v>2.6</v>
      </c>
      <c r="C21" s="671" t="str">
        <f t="shared" ca="1" si="1"/>
        <v>Excavación Caja del Canal</v>
      </c>
      <c r="D21" s="672"/>
      <c r="E21" s="673">
        <f t="shared" ca="1" si="2"/>
        <v>0</v>
      </c>
      <c r="F21" s="675"/>
      <c r="G21" s="692"/>
      <c r="H21" s="692"/>
      <c r="I21" s="692"/>
      <c r="J21" s="692"/>
      <c r="K21" s="692"/>
      <c r="L21" s="676"/>
      <c r="M21" s="695">
        <f t="shared" si="3"/>
        <v>0</v>
      </c>
    </row>
    <row r="22" spans="2:13" ht="20.100000000000001" customHeight="1" x14ac:dyDescent="0.2">
      <c r="B22" s="670" t="str">
        <f ca="1">INDIRECT("Datos!B"&amp;MATCH("RUBRO ITEM",Datos!B:B,0)+ROW()-MATCH("RUBRO ITEM",B:B,0)-1)</f>
        <v>2.7</v>
      </c>
      <c r="C22" s="671" t="str">
        <f t="shared" ca="1" si="1"/>
        <v>Hormigón de Limpieza</v>
      </c>
      <c r="D22" s="672"/>
      <c r="E22" s="673">
        <f t="shared" ca="1" si="2"/>
        <v>0</v>
      </c>
      <c r="F22" s="675"/>
      <c r="G22" s="692"/>
      <c r="H22" s="692"/>
      <c r="I22" s="692"/>
      <c r="J22" s="692"/>
      <c r="K22" s="692"/>
      <c r="L22" s="676"/>
      <c r="M22" s="695">
        <f t="shared" si="3"/>
        <v>0</v>
      </c>
    </row>
    <row r="23" spans="2:13" ht="20.100000000000001" customHeight="1" x14ac:dyDescent="0.2">
      <c r="B23" s="670" t="str">
        <f ca="1">INDIRECT("Datos!B"&amp;MATCH("RUBRO ITEM",Datos!B:B,0)+ROW()-MATCH("RUBRO ITEM",B:B,0)-1)</f>
        <v>2.8</v>
      </c>
      <c r="C23" s="671" t="str">
        <f t="shared" ca="1" si="1"/>
        <v>Hormigón H21</v>
      </c>
      <c r="D23" s="672"/>
      <c r="E23" s="673">
        <f t="shared" ca="1" si="2"/>
        <v>0</v>
      </c>
      <c r="F23" s="675"/>
      <c r="G23" s="692"/>
      <c r="H23" s="692"/>
      <c r="I23" s="692"/>
      <c r="J23" s="692"/>
      <c r="K23" s="692"/>
      <c r="L23" s="676"/>
      <c r="M23" s="695">
        <f t="shared" si="3"/>
        <v>0</v>
      </c>
    </row>
    <row r="24" spans="2:13" ht="20.100000000000001" customHeight="1" x14ac:dyDescent="0.2">
      <c r="B24" s="670" t="str">
        <f ca="1">INDIRECT("Datos!B"&amp;MATCH("RUBRO ITEM",Datos!B:B,0)+ROW()-MATCH("RUBRO ITEM",B:B,0)-1)</f>
        <v>2.9</v>
      </c>
      <c r="C24" s="671" t="str">
        <f t="shared" ref="C24:C31" ca="1" si="4">IFERROR(VLOOKUP(B24,T_Computo_Presupuesto,2,FALSE),"")</f>
        <v>Armadura Colocada en Obra</v>
      </c>
      <c r="D24" s="672"/>
      <c r="E24" s="673">
        <f t="shared" ref="E24:E31" ca="1" si="5">IFERROR(VLOOKUP(B24,T_Computo_Presupuesto,9,FALSE),0)</f>
        <v>0</v>
      </c>
      <c r="F24" s="675"/>
      <c r="G24" s="692"/>
      <c r="H24" s="692"/>
      <c r="I24" s="692"/>
      <c r="J24" s="692"/>
      <c r="K24" s="692"/>
      <c r="L24" s="676"/>
      <c r="M24" s="695">
        <f t="shared" si="3"/>
        <v>0</v>
      </c>
    </row>
    <row r="25" spans="2:13" ht="20.100000000000001" customHeight="1" x14ac:dyDescent="0.2">
      <c r="B25" s="670" t="str">
        <f ca="1">INDIRECT("Datos!B"&amp;MATCH("RUBRO ITEM",Datos!B:B,0)+ROW()-MATCH("RUBRO ITEM",B:B,0)-1)</f>
        <v>2.10</v>
      </c>
      <c r="C25" s="671" t="str">
        <f t="shared" ca="1" si="4"/>
        <v>Juntas de Contracción y Dilatación</v>
      </c>
      <c r="D25" s="672"/>
      <c r="E25" s="673">
        <f t="shared" ca="1" si="5"/>
        <v>0</v>
      </c>
      <c r="F25" s="675"/>
      <c r="G25" s="692"/>
      <c r="H25" s="692"/>
      <c r="I25" s="692"/>
      <c r="J25" s="692"/>
      <c r="K25" s="692"/>
      <c r="L25" s="676"/>
      <c r="M25" s="695">
        <f t="shared" si="3"/>
        <v>0</v>
      </c>
    </row>
    <row r="26" spans="2:13" ht="20.100000000000001" customHeight="1" x14ac:dyDescent="0.2">
      <c r="B26" s="670" t="str">
        <f ca="1">INDIRECT("Datos!B"&amp;MATCH("RUBRO ITEM",Datos!B:B,0)+ROW()-MATCH("RUBRO ITEM",B:B,0)-1)</f>
        <v>2.11</v>
      </c>
      <c r="C26" s="671" t="str">
        <f t="shared" ca="1" si="4"/>
        <v>Colocación de Membrana de 400 micrones</v>
      </c>
      <c r="D26" s="672"/>
      <c r="E26" s="673">
        <f t="shared" ca="1" si="5"/>
        <v>0</v>
      </c>
      <c r="F26" s="675"/>
      <c r="G26" s="692"/>
      <c r="H26" s="692"/>
      <c r="I26" s="692"/>
      <c r="J26" s="692"/>
      <c r="K26" s="692"/>
      <c r="L26" s="676"/>
      <c r="M26" s="695">
        <f t="shared" si="3"/>
        <v>0</v>
      </c>
    </row>
    <row r="27" spans="2:13" ht="20.100000000000001" customHeight="1" x14ac:dyDescent="0.2">
      <c r="B27" s="670">
        <f ca="1">INDIRECT("Datos!B"&amp;MATCH("RUBRO ITEM",Datos!B:B,0)+ROW()-MATCH("RUBRO ITEM",B:B,0)-1)</f>
        <v>3</v>
      </c>
      <c r="C27" s="671" t="str">
        <f t="shared" ca="1" si="4"/>
        <v>PUENTES DE HORMIGÓN</v>
      </c>
      <c r="D27" s="672"/>
      <c r="E27" s="673">
        <f t="shared" ca="1" si="5"/>
        <v>0</v>
      </c>
      <c r="F27" s="675"/>
      <c r="G27" s="692"/>
      <c r="H27" s="692"/>
      <c r="I27" s="692"/>
      <c r="J27" s="692"/>
      <c r="K27" s="692"/>
      <c r="L27" s="676"/>
      <c r="M27" s="695">
        <f t="shared" si="3"/>
        <v>0</v>
      </c>
    </row>
    <row r="28" spans="2:13" ht="20.100000000000001" customHeight="1" x14ac:dyDescent="0.2">
      <c r="B28" s="670" t="str">
        <f ca="1">INDIRECT("Datos!B"&amp;MATCH("RUBRO ITEM",Datos!B:B,0)+ROW()-MATCH("RUBRO ITEM",B:B,0)-1)</f>
        <v>3.1</v>
      </c>
      <c r="C28" s="671" t="str">
        <f t="shared" ca="1" si="4"/>
        <v>Preparación y Limpieza del Terreno</v>
      </c>
      <c r="D28" s="672"/>
      <c r="E28" s="673">
        <f t="shared" ca="1" si="5"/>
        <v>0</v>
      </c>
      <c r="F28" s="675"/>
      <c r="G28" s="692"/>
      <c r="H28" s="692"/>
      <c r="I28" s="692"/>
      <c r="J28" s="692"/>
      <c r="K28" s="692"/>
      <c r="L28" s="676"/>
      <c r="M28" s="695">
        <f t="shared" si="3"/>
        <v>0</v>
      </c>
    </row>
    <row r="29" spans="2:13" ht="20.100000000000001" customHeight="1" x14ac:dyDescent="0.2">
      <c r="B29" s="670" t="str">
        <f ca="1">INDIRECT("Datos!B"&amp;MATCH("RUBRO ITEM",Datos!B:B,0)+ROW()-MATCH("RUBRO ITEM",B:B,0)-1)</f>
        <v>3.2</v>
      </c>
      <c r="C29" s="671" t="str">
        <f t="shared" ca="1" si="4"/>
        <v>Nivelación y Replanteo</v>
      </c>
      <c r="D29" s="672"/>
      <c r="E29" s="673">
        <f t="shared" ca="1" si="5"/>
        <v>0</v>
      </c>
      <c r="F29" s="675"/>
      <c r="G29" s="692"/>
      <c r="H29" s="692"/>
      <c r="I29" s="692"/>
      <c r="J29" s="692"/>
      <c r="K29" s="692"/>
      <c r="L29" s="676"/>
      <c r="M29" s="695">
        <f t="shared" si="3"/>
        <v>0</v>
      </c>
    </row>
    <row r="30" spans="2:13" ht="20.100000000000001" customHeight="1" x14ac:dyDescent="0.2">
      <c r="B30" s="670" t="str">
        <f ca="1">INDIRECT("Datos!B"&amp;MATCH("RUBRO ITEM",Datos!B:B,0)+ROW()-MATCH("RUBRO ITEM",B:B,0)-1)</f>
        <v>3.3</v>
      </c>
      <c r="C30" s="671" t="str">
        <f t="shared" ca="1" si="4"/>
        <v>Demolición de Puentes</v>
      </c>
      <c r="D30" s="672"/>
      <c r="E30" s="673">
        <f t="shared" ca="1" si="5"/>
        <v>0</v>
      </c>
      <c r="F30" s="675"/>
      <c r="G30" s="692"/>
      <c r="H30" s="692"/>
      <c r="I30" s="692"/>
      <c r="J30" s="692"/>
      <c r="K30" s="692"/>
      <c r="L30" s="676"/>
      <c r="M30" s="695">
        <f t="shared" si="3"/>
        <v>0</v>
      </c>
    </row>
    <row r="31" spans="2:13" ht="20.100000000000001" customHeight="1" x14ac:dyDescent="0.2">
      <c r="B31" s="670" t="str">
        <f ca="1">INDIRECT("Datos!B"&amp;MATCH("RUBRO ITEM",Datos!B:B,0)+ROW()-MATCH("RUBRO ITEM",B:B,0)-1)</f>
        <v>3.4</v>
      </c>
      <c r="C31" s="671" t="str">
        <f t="shared" ca="1" si="4"/>
        <v>Relleno y Compactación con Cama de Asiento</v>
      </c>
      <c r="D31" s="672"/>
      <c r="E31" s="673">
        <f t="shared" ca="1" si="5"/>
        <v>0</v>
      </c>
      <c r="F31" s="675"/>
      <c r="G31" s="692"/>
      <c r="H31" s="692"/>
      <c r="I31" s="692"/>
      <c r="J31" s="692"/>
      <c r="K31" s="692"/>
      <c r="L31" s="676"/>
      <c r="M31" s="695">
        <f t="shared" si="3"/>
        <v>0</v>
      </c>
    </row>
    <row r="32" spans="2:13" ht="20.100000000000001" customHeight="1" x14ac:dyDescent="0.2">
      <c r="B32" s="670" t="str">
        <f ca="1">INDIRECT("Datos!B"&amp;MATCH("RUBRO ITEM",Datos!B:B,0)+ROW()-MATCH("RUBRO ITEM",B:B,0)-1)</f>
        <v>3.5</v>
      </c>
      <c r="C32" s="671" t="str">
        <f t="shared" ref="C32" ca="1" si="6">IFERROR(VLOOKUP(B32,T_Computo_Presupuesto,2,FALSE),"")</f>
        <v>Excavación Cimiento</v>
      </c>
      <c r="D32" s="672"/>
      <c r="E32" s="673">
        <f t="shared" ref="E32" ca="1" si="7">IFERROR(VLOOKUP(B32,T_Computo_Presupuesto,9,FALSE),0)</f>
        <v>0</v>
      </c>
      <c r="F32" s="675"/>
      <c r="G32" s="692"/>
      <c r="H32" s="692"/>
      <c r="I32" s="692"/>
      <c r="J32" s="692"/>
      <c r="K32" s="692"/>
      <c r="L32" s="676"/>
      <c r="M32" s="695">
        <f t="shared" si="3"/>
        <v>0</v>
      </c>
    </row>
    <row r="33" spans="2:13" ht="20.100000000000001" customHeight="1" x14ac:dyDescent="0.2">
      <c r="B33" s="670" t="str">
        <f ca="1">INDIRECT("Datos!B"&amp;MATCH("RUBRO ITEM",Datos!B:B,0)+ROW()-MATCH("RUBRO ITEM",B:B,0)-1)</f>
        <v>3.6</v>
      </c>
      <c r="C33" s="671" t="str">
        <f t="shared" ref="C33:C39" ca="1" si="8">IFERROR(VLOOKUP(B33,T_Computo_Presupuesto,2,FALSE),"")</f>
        <v>Hormigón de Limpieza</v>
      </c>
      <c r="D33" s="672"/>
      <c r="E33" s="673"/>
      <c r="F33" s="675"/>
      <c r="G33" s="692"/>
      <c r="H33" s="692"/>
      <c r="I33" s="692"/>
      <c r="J33" s="692"/>
      <c r="K33" s="692"/>
      <c r="L33" s="676"/>
      <c r="M33" s="695"/>
    </row>
    <row r="34" spans="2:13" ht="20.100000000000001" customHeight="1" x14ac:dyDescent="0.2">
      <c r="B34" s="670" t="str">
        <f ca="1">INDIRECT("Datos!B"&amp;MATCH("RUBRO ITEM",Datos!B:B,0)+ROW()-MATCH("RUBRO ITEM",B:B,0)-1)</f>
        <v>3.7</v>
      </c>
      <c r="C34" s="671" t="str">
        <f t="shared" ca="1" si="8"/>
        <v>Hormigón H21</v>
      </c>
      <c r="D34" s="672"/>
      <c r="E34" s="673"/>
      <c r="F34" s="675"/>
      <c r="G34" s="692"/>
      <c r="H34" s="692"/>
      <c r="I34" s="692"/>
      <c r="J34" s="692"/>
      <c r="K34" s="692"/>
      <c r="L34" s="676"/>
      <c r="M34" s="695"/>
    </row>
    <row r="35" spans="2:13" ht="20.100000000000001" customHeight="1" x14ac:dyDescent="0.2">
      <c r="B35" s="670" t="str">
        <f ca="1">INDIRECT("Datos!B"&amp;MATCH("RUBRO ITEM",Datos!B:B,0)+ROW()-MATCH("RUBRO ITEM",B:B,0)-1)</f>
        <v>3.8</v>
      </c>
      <c r="C35" s="671" t="str">
        <f t="shared" ca="1" si="8"/>
        <v>Armadura Colocada en Obra</v>
      </c>
      <c r="D35" s="672"/>
      <c r="E35" s="673"/>
      <c r="F35" s="675"/>
      <c r="G35" s="692"/>
      <c r="H35" s="692"/>
      <c r="I35" s="692"/>
      <c r="J35" s="692"/>
      <c r="K35" s="692"/>
      <c r="L35" s="676"/>
      <c r="M35" s="695"/>
    </row>
    <row r="36" spans="2:13" ht="20.100000000000001" customHeight="1" x14ac:dyDescent="0.2">
      <c r="B36" s="670">
        <f ca="1">INDIRECT("Datos!B"&amp;MATCH("RUBRO ITEM",Datos!B:B,0)+ROW()-MATCH("RUBRO ITEM",B:B,0)-1)</f>
        <v>4</v>
      </c>
      <c r="C36" s="671" t="str">
        <f t="shared" ca="1" si="8"/>
        <v>FORTALECIMIENTO INSTITUCIONAL</v>
      </c>
      <c r="D36" s="672"/>
      <c r="E36" s="673"/>
      <c r="F36" s="675"/>
      <c r="G36" s="692"/>
      <c r="H36" s="692"/>
      <c r="I36" s="692"/>
      <c r="J36" s="692"/>
      <c r="K36" s="692"/>
      <c r="L36" s="676"/>
      <c r="M36" s="695"/>
    </row>
    <row r="37" spans="2:13" ht="20.100000000000001" customHeight="1" x14ac:dyDescent="0.2">
      <c r="B37" s="670" t="str">
        <f ca="1">INDIRECT("Datos!B"&amp;MATCH("RUBRO ITEM",Datos!B:B,0)+ROW()-MATCH("RUBRO ITEM",B:B,0)-1)</f>
        <v>4.1</v>
      </c>
      <c r="C37" s="671" t="str">
        <f t="shared" ca="1" si="8"/>
        <v>Camioneta 0 km.</v>
      </c>
      <c r="D37" s="672"/>
      <c r="E37" s="673"/>
      <c r="F37" s="675"/>
      <c r="G37" s="692"/>
      <c r="H37" s="692"/>
      <c r="I37" s="692"/>
      <c r="J37" s="692"/>
      <c r="K37" s="692"/>
      <c r="L37" s="676"/>
      <c r="M37" s="695"/>
    </row>
    <row r="38" spans="2:13" ht="33.75" customHeight="1" x14ac:dyDescent="0.2">
      <c r="B38" s="670" t="str">
        <f ca="1">INDIRECT("Datos!B"&amp;MATCH("RUBRO ITEM",Datos!B:B,0)+ROW()-MATCH("RUBRO ITEM",B:B,0)-1)</f>
        <v>4.2</v>
      </c>
      <c r="C38" s="702" t="str">
        <f t="shared" ca="1" si="8"/>
        <v xml:space="preserve">Equipo de computación PC Core I7 10400 16gb RAM 240 Ssd + 2TR HD, con Monitor 24 W10 LISTA PARA USAR CON ANTIVIRUS con teclado y mouse inalámbrico. </v>
      </c>
      <c r="D38" s="703"/>
      <c r="E38" s="673"/>
      <c r="F38" s="675"/>
      <c r="G38" s="692"/>
      <c r="H38" s="692"/>
      <c r="I38" s="692"/>
      <c r="J38" s="692"/>
      <c r="K38" s="692"/>
      <c r="L38" s="676"/>
      <c r="M38" s="695"/>
    </row>
    <row r="39" spans="2:13" ht="20.100000000000001" customHeight="1" x14ac:dyDescent="0.2">
      <c r="B39" s="670" t="str">
        <f ca="1">INDIRECT("Datos!B"&amp;MATCH("RUBRO ITEM",Datos!B:B,0)+ROW()-MATCH("RUBRO ITEM",B:B,0)-1)</f>
        <v>4.3</v>
      </c>
      <c r="C39" s="671" t="str">
        <f t="shared" ca="1" si="8"/>
        <v>Dron</v>
      </c>
      <c r="D39" s="672"/>
      <c r="E39" s="673"/>
      <c r="F39" s="675"/>
      <c r="G39" s="692"/>
      <c r="H39" s="692"/>
      <c r="I39" s="692"/>
      <c r="J39" s="692"/>
      <c r="K39" s="692"/>
      <c r="L39" s="676"/>
      <c r="M39" s="695"/>
    </row>
    <row r="40" spans="2:13" ht="20.100000000000001" customHeight="1" x14ac:dyDescent="0.2">
      <c r="B40" s="670" t="str">
        <f ca="1">INDIRECT("Datos!B"&amp;MATCH("RUBRO ITEM",Datos!B:B,0)+ROW()-MATCH("RUBRO ITEM",B:B,0)-1)</f>
        <v>4.4</v>
      </c>
      <c r="C40" s="671" t="str">
        <f t="shared" ref="C40:C44" ca="1" si="9">IFERROR(VLOOKUP(B40,T_Computo_Presupuesto,2,FALSE),"")</f>
        <v>GPS diferencial</v>
      </c>
      <c r="D40" s="672"/>
      <c r="E40" s="673"/>
      <c r="F40" s="675"/>
      <c r="G40" s="692"/>
      <c r="H40" s="692"/>
      <c r="I40" s="692"/>
      <c r="J40" s="692"/>
      <c r="K40" s="692"/>
      <c r="L40" s="676"/>
      <c r="M40" s="695"/>
    </row>
    <row r="41" spans="2:13" ht="20.100000000000001" customHeight="1" x14ac:dyDescent="0.2">
      <c r="B41" s="670" t="str">
        <f ca="1">INDIRECT("Datos!B"&amp;MATCH("RUBRO ITEM",Datos!B:B,0)+ROW()-MATCH("RUBRO ITEM",B:B,0)-1)</f>
        <v>4.5</v>
      </c>
      <c r="C41" s="671" t="str">
        <f t="shared" ca="1" si="9"/>
        <v>Nivel Óptico</v>
      </c>
      <c r="D41" s="672"/>
      <c r="E41" s="673"/>
      <c r="F41" s="675"/>
      <c r="G41" s="692"/>
      <c r="H41" s="692"/>
      <c r="I41" s="692"/>
      <c r="J41" s="692"/>
      <c r="K41" s="692"/>
      <c r="L41" s="676"/>
      <c r="M41" s="695"/>
    </row>
    <row r="42" spans="2:13" ht="20.100000000000001" customHeight="1" x14ac:dyDescent="0.2">
      <c r="B42" s="670">
        <f ca="1">INDIRECT("Datos!B"&amp;MATCH("RUBRO ITEM",Datos!B:B,0)+ROW()-MATCH("RUBRO ITEM",B:B,0)-1)</f>
        <v>0</v>
      </c>
      <c r="C42" s="671" t="str">
        <f t="shared" ca="1" si="9"/>
        <v/>
      </c>
      <c r="D42" s="672"/>
      <c r="E42" s="673"/>
      <c r="F42" s="675"/>
      <c r="G42" s="692"/>
      <c r="H42" s="692"/>
      <c r="I42" s="692"/>
      <c r="J42" s="692"/>
      <c r="K42" s="692"/>
      <c r="L42" s="676"/>
      <c r="M42" s="695"/>
    </row>
    <row r="43" spans="2:13" ht="20.100000000000001" customHeight="1" x14ac:dyDescent="0.2">
      <c r="B43" s="670">
        <f ca="1">INDIRECT("Datos!B"&amp;MATCH("RUBRO ITEM",Datos!B:B,0)+ROW()-MATCH("RUBRO ITEM",B:B,0)-1)</f>
        <v>0</v>
      </c>
      <c r="C43" s="671" t="str">
        <f t="shared" ca="1" si="9"/>
        <v/>
      </c>
      <c r="D43" s="672"/>
      <c r="E43" s="673"/>
      <c r="F43" s="675"/>
      <c r="G43" s="692"/>
      <c r="H43" s="692"/>
      <c r="I43" s="692"/>
      <c r="J43" s="692"/>
      <c r="K43" s="692"/>
      <c r="L43" s="676"/>
      <c r="M43" s="695"/>
    </row>
    <row r="44" spans="2:13" ht="20.100000000000001" customHeight="1" x14ac:dyDescent="0.2">
      <c r="B44" s="670">
        <f ca="1">INDIRECT("Datos!B"&amp;MATCH("RUBRO ITEM",Datos!B:B,0)+ROW()-MATCH("RUBRO ITEM",B:B,0)-1)</f>
        <v>0</v>
      </c>
      <c r="C44" s="671" t="str">
        <f t="shared" ca="1" si="9"/>
        <v/>
      </c>
      <c r="D44" s="672"/>
      <c r="E44" s="673"/>
      <c r="F44" s="677"/>
      <c r="G44" s="678"/>
      <c r="H44" s="678"/>
      <c r="I44" s="678"/>
      <c r="J44" s="678"/>
      <c r="K44" s="678"/>
      <c r="L44" s="664"/>
      <c r="M44" s="695">
        <f t="shared" si="3"/>
        <v>0</v>
      </c>
    </row>
    <row r="45" spans="2:13" ht="20.100000000000001" customHeight="1" x14ac:dyDescent="0.2">
      <c r="B45" s="663"/>
      <c r="C45" s="663"/>
      <c r="D45" s="663"/>
      <c r="E45" s="663"/>
      <c r="F45" s="663"/>
      <c r="G45" s="663"/>
      <c r="H45" s="663"/>
      <c r="I45" s="663"/>
      <c r="J45" s="663"/>
      <c r="K45" s="663"/>
      <c r="L45" s="664"/>
    </row>
    <row r="46" spans="2:13" ht="20.100000000000001" customHeight="1" x14ac:dyDescent="0.2">
      <c r="B46" s="663"/>
      <c r="C46" s="663"/>
      <c r="D46" s="663"/>
      <c r="E46" s="679" t="s">
        <v>18</v>
      </c>
      <c r="F46" s="663">
        <v>0</v>
      </c>
      <c r="G46" s="680">
        <f ca="1">SUMPRODUCT($E$13:$E$23,G13:G23)</f>
        <v>0</v>
      </c>
      <c r="H46" s="680">
        <f ca="1">SUMPRODUCT($E$13:$E$23,H13:H23)</f>
        <v>0</v>
      </c>
      <c r="I46" s="680"/>
      <c r="J46" s="680"/>
      <c r="K46" s="680">
        <f ca="1">SUMPRODUCT($E$13:$E$23,K13:K23)</f>
        <v>0</v>
      </c>
      <c r="L46" s="681"/>
    </row>
    <row r="47" spans="2:13" ht="20.100000000000001" customHeight="1" x14ac:dyDescent="0.2">
      <c r="B47" s="663"/>
      <c r="C47" s="663"/>
      <c r="D47" s="663"/>
      <c r="E47" s="679" t="s">
        <v>19</v>
      </c>
      <c r="F47" s="663">
        <v>0</v>
      </c>
      <c r="G47" s="680">
        <f ca="1">F47+G46</f>
        <v>0</v>
      </c>
      <c r="H47" s="680">
        <f ca="1">G47+H46</f>
        <v>0</v>
      </c>
      <c r="I47" s="680"/>
      <c r="J47" s="680"/>
      <c r="K47" s="680"/>
      <c r="L47" s="681"/>
    </row>
    <row r="48" spans="2:13" ht="20.100000000000001" customHeight="1" x14ac:dyDescent="0.2">
      <c r="B48" s="663"/>
      <c r="C48" s="663"/>
      <c r="D48" s="663"/>
      <c r="E48" s="682"/>
      <c r="F48" s="683" t="s">
        <v>916</v>
      </c>
      <c r="G48" s="684"/>
      <c r="H48" s="684"/>
      <c r="I48" s="684"/>
      <c r="J48" s="684"/>
      <c r="K48" s="684"/>
      <c r="L48" s="664"/>
    </row>
    <row r="49" spans="2:13" ht="20.100000000000001" customHeight="1" x14ac:dyDescent="0.2">
      <c r="B49" s="663"/>
      <c r="C49" s="663"/>
      <c r="D49" s="663"/>
      <c r="E49" s="679" t="s">
        <v>20</v>
      </c>
      <c r="F49" s="685">
        <f ca="1">Anticipo_Financiero*Monto_Oferta</f>
        <v>0</v>
      </c>
      <c r="G49" s="685">
        <f ca="1">Monto_Oferta*G46</f>
        <v>0</v>
      </c>
      <c r="H49" s="685">
        <f ca="1">Monto_Oferta*H46</f>
        <v>0</v>
      </c>
      <c r="I49" s="685"/>
      <c r="J49" s="685"/>
      <c r="K49" s="685">
        <f ca="1">Monto_Oferta*K46</f>
        <v>0</v>
      </c>
      <c r="L49" s="686"/>
      <c r="M49" s="22"/>
    </row>
    <row r="50" spans="2:13" ht="20.100000000000001" customHeight="1" x14ac:dyDescent="0.2">
      <c r="B50" s="663"/>
      <c r="C50" s="663"/>
      <c r="D50" s="663"/>
      <c r="E50" s="679" t="s">
        <v>890</v>
      </c>
      <c r="F50" s="685">
        <f ca="1">F49</f>
        <v>0</v>
      </c>
      <c r="G50" s="685">
        <f t="shared" ref="G50" ca="1" si="10">F50+G49*(1-Anticipo_Financiero)</f>
        <v>0</v>
      </c>
      <c r="H50" s="685">
        <f ca="1">G50+H49*(1-Anticipo_Financiero)</f>
        <v>0</v>
      </c>
      <c r="I50" s="685"/>
      <c r="J50" s="685"/>
      <c r="K50" s="685"/>
      <c r="L50" s="686"/>
    </row>
    <row r="51" spans="2:13" ht="20.100000000000001" customHeight="1" x14ac:dyDescent="0.2">
      <c r="B51" s="664"/>
      <c r="C51" s="664"/>
      <c r="D51" s="664"/>
      <c r="E51" s="664"/>
      <c r="F51" s="687">
        <v>0</v>
      </c>
      <c r="G51" s="688"/>
      <c r="H51" s="688"/>
      <c r="I51" s="688"/>
      <c r="J51" s="688"/>
      <c r="K51" s="688"/>
      <c r="L51" s="664"/>
    </row>
    <row r="52" spans="2:13" ht="20.100000000000001" customHeight="1" x14ac:dyDescent="0.2">
      <c r="F52" s="21">
        <v>0</v>
      </c>
    </row>
  </sheetData>
  <mergeCells count="6">
    <mergeCell ref="B8:E8"/>
    <mergeCell ref="M10:M11"/>
    <mergeCell ref="B10:B11"/>
    <mergeCell ref="C10:D11"/>
    <mergeCell ref="E10:E11"/>
    <mergeCell ref="G10:K10"/>
  </mergeCells>
  <conditionalFormatting sqref="C13:C4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D13:D37 D39:D4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3:B44">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40"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9"/>
  <sheetViews>
    <sheetView workbookViewId="0">
      <selection activeCell="C20" sqref="C19:C20"/>
    </sheetView>
  </sheetViews>
  <sheetFormatPr baseColWidth="10" defaultRowHeight="19.5" customHeight="1" x14ac:dyDescent="0.2"/>
  <cols>
    <col min="2" max="2" width="43.28515625" customWidth="1"/>
    <col min="3" max="3" width="52.28515625" bestFit="1" customWidth="1"/>
  </cols>
  <sheetData>
    <row r="1" spans="1:4" ht="19.5" customHeight="1" x14ac:dyDescent="0.2">
      <c r="A1" s="571" t="s">
        <v>1952</v>
      </c>
      <c r="B1" s="571"/>
      <c r="C1" s="571" t="str">
        <f>+Contratista</f>
        <v>EMPRESA PRUEBA</v>
      </c>
      <c r="D1" s="571"/>
    </row>
    <row r="2" spans="1:4" ht="19.5" customHeight="1" x14ac:dyDescent="0.2">
      <c r="A2" s="571" t="s">
        <v>41</v>
      </c>
      <c r="B2" s="571"/>
      <c r="C2" s="572" t="e">
        <f ca="1">+Propuesta!G77</f>
        <v>#VALUE!</v>
      </c>
      <c r="D2" s="571"/>
    </row>
    <row r="3" spans="1:4" ht="19.5" customHeight="1" x14ac:dyDescent="0.2">
      <c r="A3" s="571"/>
      <c r="B3" s="571"/>
      <c r="C3" s="571"/>
      <c r="D3" s="571"/>
    </row>
    <row r="4" spans="1:4" ht="19.5" customHeight="1" x14ac:dyDescent="0.2">
      <c r="A4" s="743" t="s">
        <v>1935</v>
      </c>
      <c r="B4" s="743"/>
      <c r="C4" s="743"/>
      <c r="D4" s="743"/>
    </row>
    <row r="5" spans="1:4" ht="19.5" customHeight="1" thickBot="1" x14ac:dyDescent="0.25">
      <c r="A5" s="571"/>
      <c r="B5" s="571"/>
      <c r="C5" s="571"/>
      <c r="D5" s="571"/>
    </row>
    <row r="6" spans="1:4" ht="19.5" customHeight="1" thickBot="1" x14ac:dyDescent="0.25">
      <c r="A6" s="573" t="s">
        <v>1936</v>
      </c>
      <c r="B6" s="574" t="s">
        <v>898</v>
      </c>
      <c r="C6" s="574" t="s">
        <v>899</v>
      </c>
      <c r="D6" s="575" t="s">
        <v>1937</v>
      </c>
    </row>
    <row r="7" spans="1:4" ht="19.5" customHeight="1" x14ac:dyDescent="0.2">
      <c r="A7" s="576">
        <v>1</v>
      </c>
      <c r="B7" s="577" t="str">
        <f>+Indices!A759</f>
        <v>IIEE-SJ - 1</v>
      </c>
      <c r="C7" s="658" t="str">
        <f>+Indices!E759</f>
        <v>Mano de Obra</v>
      </c>
      <c r="D7" s="578">
        <v>0.77</v>
      </c>
    </row>
    <row r="8" spans="1:4" ht="19.5" customHeight="1" x14ac:dyDescent="0.2">
      <c r="A8" s="579">
        <v>2</v>
      </c>
      <c r="B8" s="657" t="str">
        <f>+Indices!A496</f>
        <v>INDEC-DCTO - Inciso p)</v>
      </c>
      <c r="C8" s="658" t="str">
        <f>+Indices!E496</f>
        <v>Gastos generales</v>
      </c>
      <c r="D8" s="580">
        <v>0.23</v>
      </c>
    </row>
    <row r="9" spans="1:4" ht="19.5" customHeight="1" x14ac:dyDescent="0.2">
      <c r="A9" t="s">
        <v>915</v>
      </c>
      <c r="D9" s="697"/>
    </row>
  </sheetData>
  <mergeCells count="1">
    <mergeCell ref="A4:D4"/>
  </mergeCells>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968"/>
  <sheetViews>
    <sheetView workbookViewId="0">
      <selection activeCell="A496" sqref="A496"/>
    </sheetView>
  </sheetViews>
  <sheetFormatPr baseColWidth="10" defaultRowHeight="12.75" x14ac:dyDescent="0.2"/>
  <cols>
    <col min="1" max="1" width="20.7109375" style="504" customWidth="1"/>
    <col min="2" max="4" width="8.7109375" style="505" customWidth="1"/>
    <col min="5" max="5" width="57" style="504" customWidth="1"/>
    <col min="6" max="6" width="15.85546875" style="504" customWidth="1"/>
    <col min="7" max="7" width="16.5703125" style="504" customWidth="1"/>
  </cols>
  <sheetData>
    <row r="1" spans="1:7" x14ac:dyDescent="0.2">
      <c r="A1" s="502"/>
      <c r="B1" s="503" t="s">
        <v>542</v>
      </c>
      <c r="C1" s="503"/>
      <c r="D1" s="503"/>
      <c r="E1" s="502"/>
      <c r="F1" s="502"/>
      <c r="G1" s="502"/>
    </row>
    <row r="3" spans="1:7" x14ac:dyDescent="0.2">
      <c r="A3" s="507" t="s">
        <v>343</v>
      </c>
      <c r="B3" s="505" t="s">
        <v>42</v>
      </c>
      <c r="C3" s="507"/>
      <c r="D3" s="507"/>
      <c r="E3" s="744" t="s">
        <v>43</v>
      </c>
      <c r="F3" s="507"/>
      <c r="G3" s="507"/>
    </row>
    <row r="4" spans="1:7" x14ac:dyDescent="0.2">
      <c r="A4" s="506"/>
      <c r="B4" s="505" t="s">
        <v>44</v>
      </c>
      <c r="C4" s="507"/>
      <c r="D4" s="507"/>
      <c r="E4" s="744"/>
      <c r="F4" s="507"/>
      <c r="G4" s="507"/>
    </row>
    <row r="5" spans="1:7" x14ac:dyDescent="0.2">
      <c r="A5" s="503"/>
      <c r="B5" s="503"/>
      <c r="C5" s="503"/>
      <c r="D5" s="503"/>
      <c r="E5" s="503"/>
      <c r="F5" s="503"/>
      <c r="G5" s="503"/>
    </row>
    <row r="6" spans="1:7" x14ac:dyDescent="0.2">
      <c r="A6" s="505" t="str">
        <f t="shared" ref="A6:A69" si="0">CONCATENATE("INDEC-CM - ",B6,C6,D6)</f>
        <v>INDEC-CM - 37210-51</v>
      </c>
      <c r="B6" s="505">
        <v>37210</v>
      </c>
      <c r="C6" s="505" t="s">
        <v>45</v>
      </c>
      <c r="D6" s="505">
        <v>51</v>
      </c>
      <c r="E6" s="504" t="s">
        <v>46</v>
      </c>
    </row>
    <row r="7" spans="1:7" x14ac:dyDescent="0.2">
      <c r="A7" s="505" t="str">
        <f t="shared" si="0"/>
        <v>INDEC-CM - 37210-52</v>
      </c>
      <c r="B7" s="505">
        <v>37210</v>
      </c>
      <c r="C7" s="505" t="s">
        <v>45</v>
      </c>
      <c r="D7" s="505">
        <v>52</v>
      </c>
      <c r="E7" s="504" t="s">
        <v>47</v>
      </c>
    </row>
    <row r="8" spans="1:7" x14ac:dyDescent="0.2">
      <c r="A8" s="505" t="str">
        <f t="shared" si="0"/>
        <v>INDEC-CM - 42911-81</v>
      </c>
      <c r="B8" s="505">
        <v>42911</v>
      </c>
      <c r="C8" s="505" t="s">
        <v>45</v>
      </c>
      <c r="D8" s="505">
        <v>81</v>
      </c>
      <c r="E8" s="509" t="s">
        <v>48</v>
      </c>
      <c r="F8" s="509"/>
      <c r="G8" s="509"/>
    </row>
    <row r="9" spans="1:7" x14ac:dyDescent="0.2">
      <c r="A9" s="505" t="str">
        <f t="shared" si="0"/>
        <v>INDEC-CM - 41242-11</v>
      </c>
      <c r="B9" s="505">
        <v>41242</v>
      </c>
      <c r="C9" s="505" t="s">
        <v>45</v>
      </c>
      <c r="D9" s="505">
        <v>11</v>
      </c>
      <c r="E9" s="509" t="s">
        <v>49</v>
      </c>
      <c r="F9" s="509"/>
      <c r="G9" s="509"/>
    </row>
    <row r="10" spans="1:7" x14ac:dyDescent="0.2">
      <c r="A10" s="505" t="str">
        <f t="shared" si="0"/>
        <v>INDEC-CM - 37440-21</v>
      </c>
      <c r="B10" s="505">
        <v>37440</v>
      </c>
      <c r="C10" s="505" t="s">
        <v>45</v>
      </c>
      <c r="D10" s="505">
        <v>21</v>
      </c>
      <c r="E10" s="504" t="s">
        <v>50</v>
      </c>
    </row>
    <row r="11" spans="1:7" x14ac:dyDescent="0.2">
      <c r="A11" s="505" t="str">
        <f t="shared" si="0"/>
        <v>INDEC-CM - 38130-13</v>
      </c>
      <c r="B11" s="505">
        <v>38130</v>
      </c>
      <c r="C11" s="505" t="s">
        <v>45</v>
      </c>
      <c r="D11" s="505">
        <v>13</v>
      </c>
      <c r="E11" s="509" t="s">
        <v>51</v>
      </c>
      <c r="F11" s="509"/>
      <c r="G11" s="509"/>
    </row>
    <row r="12" spans="1:7" x14ac:dyDescent="0.2">
      <c r="A12" s="505" t="str">
        <f t="shared" si="0"/>
        <v>INDEC-CM - 38130-12</v>
      </c>
      <c r="B12" s="505">
        <v>38130</v>
      </c>
      <c r="C12" s="505" t="s">
        <v>45</v>
      </c>
      <c r="D12" s="505">
        <v>12</v>
      </c>
      <c r="E12" s="509" t="s">
        <v>52</v>
      </c>
      <c r="F12" s="509"/>
      <c r="G12" s="509"/>
    </row>
    <row r="13" spans="1:7" x14ac:dyDescent="0.2">
      <c r="A13" s="505" t="str">
        <f t="shared" si="0"/>
        <v>INDEC-CM - 38130-11</v>
      </c>
      <c r="B13" s="505">
        <v>38130</v>
      </c>
      <c r="C13" s="505" t="s">
        <v>45</v>
      </c>
      <c r="D13" s="505">
        <v>11</v>
      </c>
      <c r="E13" s="509" t="s">
        <v>53</v>
      </c>
      <c r="F13" s="509"/>
      <c r="G13" s="509"/>
    </row>
    <row r="14" spans="1:7" x14ac:dyDescent="0.2">
      <c r="A14" s="505" t="str">
        <f t="shared" si="0"/>
        <v>INDEC-CM - 27230-11</v>
      </c>
      <c r="B14" s="505">
        <v>27230</v>
      </c>
      <c r="C14" s="505" t="s">
        <v>45</v>
      </c>
      <c r="D14" s="505">
        <v>11</v>
      </c>
      <c r="E14" s="509" t="s">
        <v>54</v>
      </c>
      <c r="F14" s="509"/>
      <c r="G14" s="509"/>
    </row>
    <row r="15" spans="1:7" x14ac:dyDescent="0.2">
      <c r="A15" s="505" t="str">
        <f t="shared" si="0"/>
        <v>INDEC-CM - 44821-11</v>
      </c>
      <c r="B15" s="505">
        <v>44821</v>
      </c>
      <c r="C15" s="505" t="s">
        <v>45</v>
      </c>
      <c r="D15" s="505">
        <v>11</v>
      </c>
      <c r="E15" s="504" t="s">
        <v>55</v>
      </c>
    </row>
    <row r="16" spans="1:7" x14ac:dyDescent="0.2">
      <c r="A16" s="505" t="str">
        <f t="shared" si="0"/>
        <v>INDEC-CM - 37560-11</v>
      </c>
      <c r="B16" s="505">
        <v>37560</v>
      </c>
      <c r="C16" s="505" t="s">
        <v>45</v>
      </c>
      <c r="D16" s="505">
        <v>11</v>
      </c>
      <c r="E16" s="509" t="s">
        <v>56</v>
      </c>
      <c r="F16" s="509"/>
      <c r="G16" s="509"/>
    </row>
    <row r="17" spans="1:7" x14ac:dyDescent="0.2">
      <c r="A17" s="505" t="str">
        <f t="shared" si="0"/>
        <v>INDEC-CM - 15400-11</v>
      </c>
      <c r="B17" s="505">
        <v>15400</v>
      </c>
      <c r="C17" s="505" t="s">
        <v>45</v>
      </c>
      <c r="D17" s="505">
        <v>11</v>
      </c>
      <c r="E17" s="509" t="s">
        <v>57</v>
      </c>
      <c r="F17" s="509"/>
      <c r="G17" s="509"/>
    </row>
    <row r="18" spans="1:7" x14ac:dyDescent="0.2">
      <c r="A18" s="505" t="str">
        <f t="shared" si="0"/>
        <v>INDEC-CM - 15310-11</v>
      </c>
      <c r="B18" s="505">
        <v>15310</v>
      </c>
      <c r="C18" s="505" t="s">
        <v>45</v>
      </c>
      <c r="D18" s="505">
        <v>11</v>
      </c>
      <c r="E18" s="504" t="s">
        <v>58</v>
      </c>
    </row>
    <row r="19" spans="1:7" x14ac:dyDescent="0.2">
      <c r="A19" s="505" t="str">
        <f t="shared" si="0"/>
        <v>INDEC-CM - 46531-11</v>
      </c>
      <c r="B19" s="505">
        <v>46531</v>
      </c>
      <c r="C19" s="505" t="s">
        <v>45</v>
      </c>
      <c r="D19" s="505">
        <v>11</v>
      </c>
      <c r="E19" s="509" t="s">
        <v>59</v>
      </c>
      <c r="F19" s="509"/>
      <c r="G19" s="509"/>
    </row>
    <row r="20" spans="1:7" x14ac:dyDescent="0.2">
      <c r="A20" s="505" t="str">
        <f t="shared" si="0"/>
        <v>INDEC-CM - 43540-11</v>
      </c>
      <c r="B20" s="505">
        <v>43540</v>
      </c>
      <c r="C20" s="505" t="s">
        <v>45</v>
      </c>
      <c r="D20" s="505">
        <v>11</v>
      </c>
      <c r="E20" s="504" t="s">
        <v>60</v>
      </c>
    </row>
    <row r="21" spans="1:7" x14ac:dyDescent="0.2">
      <c r="A21" s="505" t="str">
        <f t="shared" si="0"/>
        <v>INDEC-CM - 43540-12</v>
      </c>
      <c r="B21" s="505">
        <v>43540</v>
      </c>
      <c r="C21" s="505" t="s">
        <v>45</v>
      </c>
      <c r="D21" s="505">
        <v>12</v>
      </c>
      <c r="E21" s="504" t="s">
        <v>61</v>
      </c>
    </row>
    <row r="22" spans="1:7" x14ac:dyDescent="0.2">
      <c r="A22" s="510" t="str">
        <f t="shared" si="0"/>
        <v>INDEC-CM - 37370-21</v>
      </c>
      <c r="B22" s="510">
        <v>37370</v>
      </c>
      <c r="C22" s="510" t="s">
        <v>45</v>
      </c>
      <c r="D22" s="510">
        <v>21</v>
      </c>
      <c r="E22" s="511" t="s">
        <v>62</v>
      </c>
      <c r="F22" s="504" t="s">
        <v>1897</v>
      </c>
    </row>
    <row r="23" spans="1:7" x14ac:dyDescent="0.2">
      <c r="A23" s="510" t="str">
        <f t="shared" si="0"/>
        <v>INDEC-CM - 37370-11</v>
      </c>
      <c r="B23" s="510">
        <v>37370</v>
      </c>
      <c r="C23" s="510" t="s">
        <v>45</v>
      </c>
      <c r="D23" s="510">
        <v>11</v>
      </c>
      <c r="E23" s="511" t="s">
        <v>63</v>
      </c>
      <c r="F23" s="504" t="s">
        <v>1897</v>
      </c>
    </row>
    <row r="24" spans="1:7" x14ac:dyDescent="0.2">
      <c r="A24" s="510" t="str">
        <f t="shared" si="0"/>
        <v>INDEC-CM - 37370-12</v>
      </c>
      <c r="B24" s="510">
        <v>37370</v>
      </c>
      <c r="C24" s="510" t="s">
        <v>45</v>
      </c>
      <c r="D24" s="510">
        <v>12</v>
      </c>
      <c r="E24" s="511" t="s">
        <v>64</v>
      </c>
      <c r="F24" s="504" t="s">
        <v>1897</v>
      </c>
    </row>
    <row r="25" spans="1:7" x14ac:dyDescent="0.2">
      <c r="A25" s="505" t="str">
        <f t="shared" si="0"/>
        <v>INDEC-CM - 37690-11</v>
      </c>
      <c r="B25" s="505">
        <v>37690</v>
      </c>
      <c r="C25" s="505" t="s">
        <v>45</v>
      </c>
      <c r="D25" s="505">
        <v>11</v>
      </c>
      <c r="E25" s="504" t="s">
        <v>65</v>
      </c>
    </row>
    <row r="26" spans="1:7" x14ac:dyDescent="0.2">
      <c r="A26" s="505" t="str">
        <f t="shared" si="0"/>
        <v>INDEC-CM - 42911-11</v>
      </c>
      <c r="B26" s="505">
        <v>42911</v>
      </c>
      <c r="C26" s="505" t="s">
        <v>45</v>
      </c>
      <c r="D26" s="505">
        <v>11</v>
      </c>
      <c r="E26" s="504" t="s">
        <v>66</v>
      </c>
    </row>
    <row r="27" spans="1:7" x14ac:dyDescent="0.2">
      <c r="A27" s="505" t="str">
        <f t="shared" si="0"/>
        <v>INDEC-CM - 37129-11</v>
      </c>
      <c r="B27" s="505">
        <v>37129</v>
      </c>
      <c r="C27" s="505" t="s">
        <v>45</v>
      </c>
      <c r="D27" s="505">
        <v>11</v>
      </c>
      <c r="E27" s="504" t="s">
        <v>67</v>
      </c>
    </row>
    <row r="28" spans="1:7" x14ac:dyDescent="0.2">
      <c r="A28" s="505" t="str">
        <f t="shared" si="0"/>
        <v>INDEC-CM - 35110-41</v>
      </c>
      <c r="B28" s="505">
        <v>35110</v>
      </c>
      <c r="C28" s="505" t="s">
        <v>45</v>
      </c>
      <c r="D28" s="505">
        <v>41</v>
      </c>
      <c r="E28" s="504" t="s">
        <v>68</v>
      </c>
    </row>
    <row r="29" spans="1:7" x14ac:dyDescent="0.2">
      <c r="A29" s="505" t="str">
        <f t="shared" si="0"/>
        <v>INDEC-CM - 37210-23</v>
      </c>
      <c r="B29" s="505">
        <v>37210</v>
      </c>
      <c r="C29" s="505" t="s">
        <v>45</v>
      </c>
      <c r="D29" s="505">
        <v>23</v>
      </c>
      <c r="E29" s="504" t="s">
        <v>69</v>
      </c>
    </row>
    <row r="30" spans="1:7" x14ac:dyDescent="0.2">
      <c r="A30" s="505" t="str">
        <f t="shared" si="0"/>
        <v>INDEC-CM - 37210-22</v>
      </c>
      <c r="B30" s="505">
        <v>37210</v>
      </c>
      <c r="C30" s="505" t="s">
        <v>45</v>
      </c>
      <c r="D30" s="505">
        <v>22</v>
      </c>
      <c r="E30" s="504" t="s">
        <v>70</v>
      </c>
    </row>
    <row r="31" spans="1:7" x14ac:dyDescent="0.2">
      <c r="A31" s="505" t="str">
        <f t="shared" si="0"/>
        <v>INDEC-CM - 37210-21</v>
      </c>
      <c r="B31" s="505">
        <v>37210</v>
      </c>
      <c r="C31" s="505" t="s">
        <v>45</v>
      </c>
      <c r="D31" s="505">
        <v>21</v>
      </c>
      <c r="E31" s="504" t="s">
        <v>71</v>
      </c>
    </row>
    <row r="32" spans="1:7" x14ac:dyDescent="0.2">
      <c r="A32" s="505" t="str">
        <f t="shared" si="0"/>
        <v>INDEC-CM - 41543-21</v>
      </c>
      <c r="B32" s="505">
        <v>41543</v>
      </c>
      <c r="C32" s="505" t="s">
        <v>45</v>
      </c>
      <c r="D32" s="505">
        <v>21</v>
      </c>
      <c r="E32" s="504" t="s">
        <v>72</v>
      </c>
    </row>
    <row r="33" spans="1:6" x14ac:dyDescent="0.2">
      <c r="A33" s="505" t="str">
        <f t="shared" si="0"/>
        <v>INDEC-CM - 46340-31</v>
      </c>
      <c r="B33" s="505">
        <v>46340</v>
      </c>
      <c r="C33" s="505" t="s">
        <v>45</v>
      </c>
      <c r="D33" s="505">
        <v>31</v>
      </c>
      <c r="E33" s="504" t="s">
        <v>73</v>
      </c>
    </row>
    <row r="34" spans="1:6" x14ac:dyDescent="0.2">
      <c r="A34" s="505" t="str">
        <f t="shared" si="0"/>
        <v>INDEC-CM - 46320-11</v>
      </c>
      <c r="B34" s="505">
        <v>46320</v>
      </c>
      <c r="C34" s="505" t="s">
        <v>45</v>
      </c>
      <c r="D34" s="505">
        <v>11</v>
      </c>
      <c r="E34" s="504" t="s">
        <v>74</v>
      </c>
    </row>
    <row r="35" spans="1:6" x14ac:dyDescent="0.2">
      <c r="A35" s="505" t="str">
        <f t="shared" si="0"/>
        <v>INDEC-CM - 46340-11</v>
      </c>
      <c r="B35" s="505">
        <v>46340</v>
      </c>
      <c r="C35" s="505" t="s">
        <v>45</v>
      </c>
      <c r="D35" s="505">
        <v>11</v>
      </c>
      <c r="E35" s="504" t="s">
        <v>75</v>
      </c>
    </row>
    <row r="36" spans="1:6" x14ac:dyDescent="0.2">
      <c r="A36" s="505" t="str">
        <f t="shared" si="0"/>
        <v>INDEC-CM - 46340-12</v>
      </c>
      <c r="B36" s="505">
        <v>46340</v>
      </c>
      <c r="C36" s="505" t="s">
        <v>45</v>
      </c>
      <c r="D36" s="505">
        <v>12</v>
      </c>
      <c r="E36" s="504" t="s">
        <v>76</v>
      </c>
    </row>
    <row r="37" spans="1:6" x14ac:dyDescent="0.2">
      <c r="A37" s="505" t="str">
        <f t="shared" si="0"/>
        <v>INDEC-CM - 46340-21</v>
      </c>
      <c r="B37" s="505">
        <v>46340</v>
      </c>
      <c r="C37" s="505" t="s">
        <v>45</v>
      </c>
      <c r="D37" s="505">
        <v>21</v>
      </c>
      <c r="E37" s="504" t="s">
        <v>77</v>
      </c>
    </row>
    <row r="38" spans="1:6" x14ac:dyDescent="0.2">
      <c r="A38" s="505" t="str">
        <f t="shared" si="0"/>
        <v>INDEC-CM - 46212-21</v>
      </c>
      <c r="B38" s="505">
        <v>46212</v>
      </c>
      <c r="C38" s="505" t="s">
        <v>45</v>
      </c>
      <c r="D38" s="505">
        <v>21</v>
      </c>
      <c r="E38" s="504" t="s">
        <v>78</v>
      </c>
    </row>
    <row r="39" spans="1:6" x14ac:dyDescent="0.2">
      <c r="A39" s="505" t="str">
        <f t="shared" si="0"/>
        <v>INDEC-CM - 42999-23</v>
      </c>
      <c r="B39" s="505">
        <v>42999</v>
      </c>
      <c r="C39" s="505" t="s">
        <v>45</v>
      </c>
      <c r="D39" s="505">
        <v>23</v>
      </c>
      <c r="E39" s="504" t="s">
        <v>79</v>
      </c>
    </row>
    <row r="40" spans="1:6" x14ac:dyDescent="0.2">
      <c r="A40" s="505" t="str">
        <f t="shared" si="0"/>
        <v>INDEC-CM - 42999-21</v>
      </c>
      <c r="B40" s="505">
        <v>42999</v>
      </c>
      <c r="C40" s="505" t="s">
        <v>45</v>
      </c>
      <c r="D40" s="505">
        <v>21</v>
      </c>
      <c r="E40" s="504" t="s">
        <v>80</v>
      </c>
    </row>
    <row r="41" spans="1:6" x14ac:dyDescent="0.2">
      <c r="A41" s="505" t="str">
        <f t="shared" si="0"/>
        <v>INDEC-CM - 42999-31</v>
      </c>
      <c r="B41" s="505">
        <v>42999</v>
      </c>
      <c r="C41" s="505" t="s">
        <v>45</v>
      </c>
      <c r="D41" s="505">
        <v>31</v>
      </c>
      <c r="E41" s="504" t="s">
        <v>81</v>
      </c>
    </row>
    <row r="42" spans="1:6" x14ac:dyDescent="0.2">
      <c r="A42" s="505" t="str">
        <f t="shared" si="0"/>
        <v>INDEC-CM - 42999-22</v>
      </c>
      <c r="B42" s="505">
        <v>42999</v>
      </c>
      <c r="C42" s="505" t="s">
        <v>45</v>
      </c>
      <c r="D42" s="505">
        <v>22</v>
      </c>
      <c r="E42" s="504" t="s">
        <v>82</v>
      </c>
    </row>
    <row r="43" spans="1:6" x14ac:dyDescent="0.2">
      <c r="A43" s="510" t="str">
        <f t="shared" si="0"/>
        <v>INDEC-CM - 31600-63</v>
      </c>
      <c r="B43" s="510">
        <v>31600</v>
      </c>
      <c r="C43" s="510" t="s">
        <v>45</v>
      </c>
      <c r="D43" s="510">
        <v>63</v>
      </c>
      <c r="E43" s="511" t="s">
        <v>83</v>
      </c>
      <c r="F43" s="504" t="s">
        <v>1897</v>
      </c>
    </row>
    <row r="44" spans="1:6" x14ac:dyDescent="0.2">
      <c r="A44" s="510" t="str">
        <f t="shared" si="0"/>
        <v>INDEC-CM - 31600-62</v>
      </c>
      <c r="B44" s="510">
        <v>31600</v>
      </c>
      <c r="C44" s="510" t="s">
        <v>45</v>
      </c>
      <c r="D44" s="510">
        <v>62</v>
      </c>
      <c r="E44" s="511" t="s">
        <v>84</v>
      </c>
      <c r="F44" s="504" t="s">
        <v>1897</v>
      </c>
    </row>
    <row r="45" spans="1:6" x14ac:dyDescent="0.2">
      <c r="A45" s="510" t="str">
        <f t="shared" si="0"/>
        <v>INDEC-CM - 31600-61</v>
      </c>
      <c r="B45" s="510">
        <v>31600</v>
      </c>
      <c r="C45" s="510" t="s">
        <v>45</v>
      </c>
      <c r="D45" s="510">
        <v>61</v>
      </c>
      <c r="E45" s="511" t="s">
        <v>85</v>
      </c>
      <c r="F45" s="504" t="s">
        <v>1897</v>
      </c>
    </row>
    <row r="46" spans="1:6" x14ac:dyDescent="0.2">
      <c r="A46" s="505" t="str">
        <f t="shared" si="0"/>
        <v>INDEC-CM - 37420-11</v>
      </c>
      <c r="B46" s="505">
        <v>37420</v>
      </c>
      <c r="C46" s="505" t="s">
        <v>45</v>
      </c>
      <c r="D46" s="505">
        <v>11</v>
      </c>
      <c r="E46" s="504" t="s">
        <v>86</v>
      </c>
    </row>
    <row r="47" spans="1:6" x14ac:dyDescent="0.2">
      <c r="A47" s="505" t="str">
        <f t="shared" si="0"/>
        <v>INDEC-CM - 37420-12</v>
      </c>
      <c r="B47" s="505">
        <v>37420</v>
      </c>
      <c r="C47" s="505" t="s">
        <v>45</v>
      </c>
      <c r="D47" s="505">
        <v>12</v>
      </c>
      <c r="E47" s="504" t="s">
        <v>87</v>
      </c>
    </row>
    <row r="48" spans="1:6" x14ac:dyDescent="0.2">
      <c r="A48" s="505" t="str">
        <f t="shared" si="0"/>
        <v>INDEC-CM - 44822-11</v>
      </c>
      <c r="B48" s="505">
        <v>44822</v>
      </c>
      <c r="C48" s="505" t="s">
        <v>45</v>
      </c>
      <c r="D48" s="505">
        <v>11</v>
      </c>
      <c r="E48" s="504" t="s">
        <v>88</v>
      </c>
    </row>
    <row r="49" spans="1:5" x14ac:dyDescent="0.2">
      <c r="A49" s="505" t="str">
        <f t="shared" si="0"/>
        <v>INDEC-CM - 44826-11</v>
      </c>
      <c r="B49" s="505">
        <v>44826</v>
      </c>
      <c r="C49" s="505" t="s">
        <v>45</v>
      </c>
      <c r="D49" s="505">
        <v>11</v>
      </c>
      <c r="E49" s="504" t="s">
        <v>89</v>
      </c>
    </row>
    <row r="50" spans="1:5" x14ac:dyDescent="0.2">
      <c r="A50" s="505" t="str">
        <f t="shared" si="0"/>
        <v>INDEC-CM - 44826-12</v>
      </c>
      <c r="B50" s="505">
        <v>44826</v>
      </c>
      <c r="C50" s="505" t="s">
        <v>45</v>
      </c>
      <c r="D50" s="505">
        <v>12</v>
      </c>
      <c r="E50" s="504" t="s">
        <v>90</v>
      </c>
    </row>
    <row r="51" spans="1:5" x14ac:dyDescent="0.2">
      <c r="A51" s="505" t="str">
        <f t="shared" si="0"/>
        <v>INDEC-CM - 42911-21</v>
      </c>
      <c r="B51" s="505">
        <v>42911</v>
      </c>
      <c r="C51" s="505" t="s">
        <v>45</v>
      </c>
      <c r="D51" s="505">
        <v>21</v>
      </c>
      <c r="E51" s="504" t="s">
        <v>91</v>
      </c>
    </row>
    <row r="52" spans="1:5" x14ac:dyDescent="0.2">
      <c r="A52" s="505" t="str">
        <f t="shared" si="0"/>
        <v>INDEC-CM - 41277-21</v>
      </c>
      <c r="B52" s="505">
        <v>41277</v>
      </c>
      <c r="C52" s="505" t="s">
        <v>45</v>
      </c>
      <c r="D52" s="505">
        <v>21</v>
      </c>
      <c r="E52" s="504" t="s">
        <v>92</v>
      </c>
    </row>
    <row r="53" spans="1:5" x14ac:dyDescent="0.2">
      <c r="A53" s="505" t="str">
        <f t="shared" si="0"/>
        <v>INDEC-CM - 41277-11</v>
      </c>
      <c r="B53" s="505">
        <v>41277</v>
      </c>
      <c r="C53" s="505" t="s">
        <v>45</v>
      </c>
      <c r="D53" s="505">
        <v>11</v>
      </c>
      <c r="E53" s="504" t="s">
        <v>93</v>
      </c>
    </row>
    <row r="54" spans="1:5" x14ac:dyDescent="0.2">
      <c r="A54" s="505" t="str">
        <f t="shared" si="0"/>
        <v>INDEC-CM - 41516-11</v>
      </c>
      <c r="B54" s="505">
        <v>41516</v>
      </c>
      <c r="C54" s="505" t="s">
        <v>45</v>
      </c>
      <c r="D54" s="505">
        <v>11</v>
      </c>
      <c r="E54" s="504" t="s">
        <v>94</v>
      </c>
    </row>
    <row r="55" spans="1:5" x14ac:dyDescent="0.2">
      <c r="A55" s="505" t="str">
        <f t="shared" si="0"/>
        <v>INDEC-CM - 41516-12</v>
      </c>
      <c r="B55" s="505">
        <v>41516</v>
      </c>
      <c r="C55" s="505" t="s">
        <v>45</v>
      </c>
      <c r="D55" s="505">
        <v>12</v>
      </c>
      <c r="E55" s="504" t="s">
        <v>95</v>
      </c>
    </row>
    <row r="56" spans="1:5" x14ac:dyDescent="0.2">
      <c r="A56" s="505" t="str">
        <f t="shared" si="0"/>
        <v>INDEC-CM - 41273-11</v>
      </c>
      <c r="B56" s="505">
        <v>41273</v>
      </c>
      <c r="C56" s="505" t="s">
        <v>45</v>
      </c>
      <c r="D56" s="505">
        <v>11</v>
      </c>
      <c r="E56" s="504" t="s">
        <v>96</v>
      </c>
    </row>
    <row r="57" spans="1:5" x14ac:dyDescent="0.2">
      <c r="A57" s="505" t="str">
        <f t="shared" si="0"/>
        <v>INDEC-CM - 41273-12</v>
      </c>
      <c r="B57" s="505">
        <v>41273</v>
      </c>
      <c r="C57" s="505" t="s">
        <v>45</v>
      </c>
      <c r="D57" s="505">
        <v>12</v>
      </c>
      <c r="E57" s="504" t="s">
        <v>97</v>
      </c>
    </row>
    <row r="58" spans="1:5" x14ac:dyDescent="0.2">
      <c r="A58" s="505" t="str">
        <f t="shared" si="0"/>
        <v>INDEC-CM - 41277-41</v>
      </c>
      <c r="B58" s="505">
        <v>41277</v>
      </c>
      <c r="C58" s="505" t="s">
        <v>45</v>
      </c>
      <c r="D58" s="505">
        <v>41</v>
      </c>
      <c r="E58" s="504" t="s">
        <v>98</v>
      </c>
    </row>
    <row r="59" spans="1:5" x14ac:dyDescent="0.2">
      <c r="A59" s="505" t="str">
        <f t="shared" si="0"/>
        <v>INDEC-CM - 41277-31</v>
      </c>
      <c r="B59" s="505">
        <v>41277</v>
      </c>
      <c r="C59" s="505" t="s">
        <v>45</v>
      </c>
      <c r="D59" s="505">
        <v>31</v>
      </c>
      <c r="E59" s="504" t="s">
        <v>99</v>
      </c>
    </row>
    <row r="60" spans="1:5" x14ac:dyDescent="0.2">
      <c r="A60" s="505" t="str">
        <f t="shared" si="0"/>
        <v>INDEC-CM - 41543-11</v>
      </c>
      <c r="B60" s="505">
        <v>41543</v>
      </c>
      <c r="C60" s="505" t="s">
        <v>45</v>
      </c>
      <c r="D60" s="505">
        <v>11</v>
      </c>
      <c r="E60" s="504" t="s">
        <v>100</v>
      </c>
    </row>
    <row r="61" spans="1:5" x14ac:dyDescent="0.2">
      <c r="A61" s="505" t="str">
        <f t="shared" si="0"/>
        <v>INDEC-CM - 36320-21</v>
      </c>
      <c r="B61" s="505">
        <v>36320</v>
      </c>
      <c r="C61" s="505" t="s">
        <v>45</v>
      </c>
      <c r="D61" s="505">
        <v>21</v>
      </c>
      <c r="E61" s="504" t="s">
        <v>101</v>
      </c>
    </row>
    <row r="62" spans="1:5" x14ac:dyDescent="0.2">
      <c r="A62" s="505" t="str">
        <f t="shared" si="0"/>
        <v>INDEC-CM - 36320-22</v>
      </c>
      <c r="B62" s="505">
        <v>36320</v>
      </c>
      <c r="C62" s="505" t="s">
        <v>45</v>
      </c>
      <c r="D62" s="505">
        <v>22</v>
      </c>
      <c r="E62" s="504" t="s">
        <v>102</v>
      </c>
    </row>
    <row r="63" spans="1:5" x14ac:dyDescent="0.2">
      <c r="A63" s="505" t="str">
        <f t="shared" si="0"/>
        <v>INDEC-CM - 36320-11</v>
      </c>
      <c r="B63" s="505">
        <v>36320</v>
      </c>
      <c r="C63" s="505" t="s">
        <v>45</v>
      </c>
      <c r="D63" s="505">
        <v>11</v>
      </c>
      <c r="E63" s="504" t="s">
        <v>103</v>
      </c>
    </row>
    <row r="64" spans="1:5" x14ac:dyDescent="0.2">
      <c r="A64" s="505" t="str">
        <f t="shared" si="0"/>
        <v>INDEC-CM - 36320-12</v>
      </c>
      <c r="B64" s="505">
        <v>36320</v>
      </c>
      <c r="C64" s="505" t="s">
        <v>45</v>
      </c>
      <c r="D64" s="505">
        <v>12</v>
      </c>
      <c r="E64" s="504" t="s">
        <v>104</v>
      </c>
    </row>
    <row r="65" spans="1:7" x14ac:dyDescent="0.2">
      <c r="A65" s="505" t="str">
        <f t="shared" si="0"/>
        <v>INDEC-CM - 15320-11</v>
      </c>
      <c r="B65" s="505">
        <v>15320</v>
      </c>
      <c r="C65" s="505" t="s">
        <v>45</v>
      </c>
      <c r="D65" s="505">
        <v>11</v>
      </c>
      <c r="E65" s="504" t="s">
        <v>105</v>
      </c>
    </row>
    <row r="66" spans="1:7" x14ac:dyDescent="0.2">
      <c r="A66" s="505" t="str">
        <f t="shared" si="0"/>
        <v>INDEC-CM - 37350-61</v>
      </c>
      <c r="B66" s="505">
        <v>37350</v>
      </c>
      <c r="C66" s="505" t="s">
        <v>45</v>
      </c>
      <c r="D66" s="505">
        <v>61</v>
      </c>
      <c r="E66" s="509" t="s">
        <v>106</v>
      </c>
      <c r="F66" s="509"/>
      <c r="G66" s="509"/>
    </row>
    <row r="67" spans="1:7" x14ac:dyDescent="0.2">
      <c r="A67" s="505" t="str">
        <f t="shared" si="0"/>
        <v>INDEC-CM - 37440-31</v>
      </c>
      <c r="B67" s="505">
        <v>37440</v>
      </c>
      <c r="C67" s="505" t="s">
        <v>45</v>
      </c>
      <c r="D67" s="505">
        <v>31</v>
      </c>
      <c r="E67" s="504" t="s">
        <v>107</v>
      </c>
    </row>
    <row r="68" spans="1:7" x14ac:dyDescent="0.2">
      <c r="A68" s="505" t="str">
        <f t="shared" si="0"/>
        <v>INDEC-CM - 37440-11</v>
      </c>
      <c r="B68" s="505">
        <v>37440</v>
      </c>
      <c r="C68" s="505" t="s">
        <v>45</v>
      </c>
      <c r="D68" s="505">
        <v>11</v>
      </c>
      <c r="E68" s="504" t="s">
        <v>108</v>
      </c>
    </row>
    <row r="69" spans="1:7" x14ac:dyDescent="0.2">
      <c r="A69" s="505" t="str">
        <f t="shared" si="0"/>
        <v>INDEC-CM - 44821-21</v>
      </c>
      <c r="B69" s="505">
        <v>44821</v>
      </c>
      <c r="C69" s="505" t="s">
        <v>45</v>
      </c>
      <c r="D69" s="505">
        <v>21</v>
      </c>
      <c r="E69" s="504" t="s">
        <v>109</v>
      </c>
    </row>
    <row r="70" spans="1:7" x14ac:dyDescent="0.2">
      <c r="A70" s="505" t="str">
        <f t="shared" ref="A70:A133" si="1">CONCATENATE("INDEC-CM - ",B70,C70,D70)</f>
        <v>INDEC-CM - 36320-31</v>
      </c>
      <c r="B70" s="505">
        <v>36320</v>
      </c>
      <c r="C70" s="505" t="s">
        <v>45</v>
      </c>
      <c r="D70" s="505">
        <v>31</v>
      </c>
      <c r="E70" s="504" t="s">
        <v>110</v>
      </c>
    </row>
    <row r="71" spans="1:7" x14ac:dyDescent="0.2">
      <c r="A71" s="505" t="str">
        <f t="shared" si="1"/>
        <v>INDEC-CM - 41278-12</v>
      </c>
      <c r="B71" s="505">
        <v>41278</v>
      </c>
      <c r="C71" s="505" t="s">
        <v>45</v>
      </c>
      <c r="D71" s="505">
        <v>12</v>
      </c>
      <c r="E71" s="509" t="s">
        <v>111</v>
      </c>
      <c r="F71" s="509"/>
      <c r="G71" s="509"/>
    </row>
    <row r="72" spans="1:7" x14ac:dyDescent="0.2">
      <c r="A72" s="505" t="str">
        <f t="shared" si="1"/>
        <v>INDEC-CM - 41278-11</v>
      </c>
      <c r="B72" s="505">
        <v>41278</v>
      </c>
      <c r="C72" s="505" t="s">
        <v>45</v>
      </c>
      <c r="D72" s="505">
        <v>11</v>
      </c>
      <c r="E72" s="509" t="s">
        <v>112</v>
      </c>
      <c r="F72" s="509"/>
      <c r="G72" s="509"/>
    </row>
    <row r="73" spans="1:7" x14ac:dyDescent="0.2">
      <c r="A73" s="505" t="str">
        <f t="shared" si="1"/>
        <v>INDEC-CM - 36320-41</v>
      </c>
      <c r="B73" s="505">
        <v>36320</v>
      </c>
      <c r="C73" s="505" t="s">
        <v>45</v>
      </c>
      <c r="D73" s="505">
        <v>41</v>
      </c>
      <c r="E73" s="504" t="s">
        <v>113</v>
      </c>
    </row>
    <row r="74" spans="1:7" x14ac:dyDescent="0.2">
      <c r="A74" s="505" t="str">
        <f t="shared" si="1"/>
        <v>INDEC-CM - 41516-21</v>
      </c>
      <c r="B74" s="505">
        <v>41516</v>
      </c>
      <c r="C74" s="505" t="s">
        <v>45</v>
      </c>
      <c r="D74" s="505">
        <v>21</v>
      </c>
      <c r="E74" s="504" t="s">
        <v>114</v>
      </c>
    </row>
    <row r="75" spans="1:7" x14ac:dyDescent="0.2">
      <c r="A75" s="510" t="str">
        <f t="shared" si="1"/>
        <v>INDEC-CM - 41278-22</v>
      </c>
      <c r="B75" s="510">
        <v>41278</v>
      </c>
      <c r="C75" s="510" t="s">
        <v>45</v>
      </c>
      <c r="D75" s="510">
        <v>22</v>
      </c>
      <c r="E75" s="512" t="s">
        <v>115</v>
      </c>
      <c r="F75" s="504" t="s">
        <v>1897</v>
      </c>
    </row>
    <row r="76" spans="1:7" x14ac:dyDescent="0.2">
      <c r="A76" s="505" t="str">
        <f t="shared" si="1"/>
        <v>INDEC-CM - 46350-11</v>
      </c>
      <c r="B76" s="505">
        <v>46350</v>
      </c>
      <c r="C76" s="505" t="s">
        <v>45</v>
      </c>
      <c r="D76" s="505">
        <v>11</v>
      </c>
      <c r="E76" s="504" t="s">
        <v>116</v>
      </c>
    </row>
    <row r="77" spans="1:7" x14ac:dyDescent="0.2">
      <c r="A77" s="505" t="str">
        <f t="shared" si="1"/>
        <v>INDEC-CM - 41278-41</v>
      </c>
      <c r="B77" s="505">
        <v>41278</v>
      </c>
      <c r="C77" s="505" t="s">
        <v>45</v>
      </c>
      <c r="D77" s="505">
        <v>41</v>
      </c>
      <c r="E77" s="509" t="s">
        <v>117</v>
      </c>
      <c r="F77" s="509"/>
      <c r="G77" s="509"/>
    </row>
    <row r="78" spans="1:7" x14ac:dyDescent="0.2">
      <c r="A78" s="505" t="str">
        <f t="shared" si="1"/>
        <v>INDEC-CM - 42999-11</v>
      </c>
      <c r="B78" s="505">
        <v>42999</v>
      </c>
      <c r="C78" s="505" t="s">
        <v>45</v>
      </c>
      <c r="D78" s="505">
        <v>11</v>
      </c>
      <c r="E78" s="504" t="s">
        <v>118</v>
      </c>
    </row>
    <row r="79" spans="1:7" x14ac:dyDescent="0.2">
      <c r="A79" s="505" t="str">
        <f t="shared" si="1"/>
        <v>INDEC-CM - 36320-51</v>
      </c>
      <c r="B79" s="505">
        <v>36320</v>
      </c>
      <c r="C79" s="505" t="s">
        <v>45</v>
      </c>
      <c r="D79" s="505">
        <v>51</v>
      </c>
      <c r="E79" s="504" t="s">
        <v>119</v>
      </c>
    </row>
    <row r="80" spans="1:7" x14ac:dyDescent="0.2">
      <c r="A80" s="505" t="str">
        <f t="shared" si="1"/>
        <v>INDEC-CM - 31600-12</v>
      </c>
      <c r="B80" s="505">
        <v>31600</v>
      </c>
      <c r="C80" s="505" t="s">
        <v>45</v>
      </c>
      <c r="D80" s="505">
        <v>12</v>
      </c>
      <c r="E80" s="504" t="s">
        <v>120</v>
      </c>
    </row>
    <row r="81" spans="1:7" x14ac:dyDescent="0.2">
      <c r="A81" s="505" t="str">
        <f t="shared" si="1"/>
        <v>INDEC-CM - 36950-11</v>
      </c>
      <c r="B81" s="505">
        <v>36950</v>
      </c>
      <c r="C81" s="505" t="s">
        <v>45</v>
      </c>
      <c r="D81" s="505">
        <v>11</v>
      </c>
      <c r="E81" s="504" t="s">
        <v>121</v>
      </c>
    </row>
    <row r="82" spans="1:7" x14ac:dyDescent="0.2">
      <c r="A82" s="505" t="str">
        <f t="shared" si="1"/>
        <v>INDEC-CM - 31600-11</v>
      </c>
      <c r="B82" s="505">
        <v>31600</v>
      </c>
      <c r="C82" s="505" t="s">
        <v>45</v>
      </c>
      <c r="D82" s="505">
        <v>11</v>
      </c>
      <c r="E82" s="504" t="s">
        <v>122</v>
      </c>
    </row>
    <row r="83" spans="1:7" x14ac:dyDescent="0.2">
      <c r="A83" s="505" t="str">
        <f t="shared" si="1"/>
        <v>INDEC-CM - 37112-11</v>
      </c>
      <c r="B83" s="505">
        <v>37112</v>
      </c>
      <c r="C83" s="505" t="s">
        <v>45</v>
      </c>
      <c r="D83" s="505">
        <v>11</v>
      </c>
      <c r="E83" s="504" t="s">
        <v>123</v>
      </c>
    </row>
    <row r="84" spans="1:7" x14ac:dyDescent="0.2">
      <c r="A84" s="505" t="str">
        <f t="shared" si="1"/>
        <v>INDEC-CM - 41278-31</v>
      </c>
      <c r="B84" s="505">
        <v>41278</v>
      </c>
      <c r="C84" s="505" t="s">
        <v>45</v>
      </c>
      <c r="D84" s="505">
        <v>31</v>
      </c>
      <c r="E84" s="509" t="s">
        <v>124</v>
      </c>
      <c r="F84" s="509"/>
      <c r="G84" s="509"/>
    </row>
    <row r="85" spans="1:7" x14ac:dyDescent="0.2">
      <c r="A85" s="505" t="str">
        <f t="shared" si="1"/>
        <v>INDEC-CM - 41278-13</v>
      </c>
      <c r="B85" s="505">
        <v>41278</v>
      </c>
      <c r="C85" s="505" t="s">
        <v>45</v>
      </c>
      <c r="D85" s="505">
        <v>13</v>
      </c>
      <c r="E85" s="509" t="s">
        <v>125</v>
      </c>
      <c r="F85" s="509"/>
      <c r="G85" s="509"/>
    </row>
    <row r="86" spans="1:7" x14ac:dyDescent="0.2">
      <c r="A86" s="505" t="str">
        <f t="shared" si="1"/>
        <v>INDEC-CM - 37570-11</v>
      </c>
      <c r="B86" s="505">
        <v>37570</v>
      </c>
      <c r="C86" s="505" t="s">
        <v>45</v>
      </c>
      <c r="D86" s="505">
        <v>11</v>
      </c>
      <c r="E86" s="509" t="s">
        <v>126</v>
      </c>
      <c r="F86" s="509"/>
      <c r="G86" s="509"/>
    </row>
    <row r="87" spans="1:7" x14ac:dyDescent="0.2">
      <c r="A87" s="505" t="str">
        <f t="shared" si="1"/>
        <v>INDEC-CM - 43220-11</v>
      </c>
      <c r="B87" s="505">
        <v>43220</v>
      </c>
      <c r="C87" s="505" t="s">
        <v>45</v>
      </c>
      <c r="D87" s="505">
        <v>11</v>
      </c>
      <c r="E87" s="504" t="s">
        <v>127</v>
      </c>
    </row>
    <row r="88" spans="1:7" x14ac:dyDescent="0.2">
      <c r="A88" s="505" t="str">
        <f t="shared" si="1"/>
        <v>INDEC-CM - 43220-12</v>
      </c>
      <c r="B88" s="505">
        <v>43220</v>
      </c>
      <c r="C88" s="505" t="s">
        <v>45</v>
      </c>
      <c r="D88" s="505">
        <v>12</v>
      </c>
      <c r="E88" s="504" t="s">
        <v>128</v>
      </c>
    </row>
    <row r="89" spans="1:7" x14ac:dyDescent="0.2">
      <c r="A89" s="505" t="str">
        <f t="shared" si="1"/>
        <v>INDEC-CM - 43220-21</v>
      </c>
      <c r="B89" s="505">
        <v>43220</v>
      </c>
      <c r="C89" s="505" t="s">
        <v>45</v>
      </c>
      <c r="D89" s="505">
        <v>21</v>
      </c>
      <c r="E89" s="504" t="s">
        <v>129</v>
      </c>
    </row>
    <row r="90" spans="1:7" x14ac:dyDescent="0.2">
      <c r="A90" s="505" t="str">
        <f t="shared" si="1"/>
        <v>INDEC-CM - 43220-22</v>
      </c>
      <c r="B90" s="505">
        <v>43220</v>
      </c>
      <c r="C90" s="505" t="s">
        <v>45</v>
      </c>
      <c r="D90" s="505">
        <v>22</v>
      </c>
      <c r="E90" s="504" t="s">
        <v>130</v>
      </c>
    </row>
    <row r="91" spans="1:7" x14ac:dyDescent="0.2">
      <c r="A91" s="505" t="str">
        <f t="shared" si="1"/>
        <v>INDEC-CM - 43220-23</v>
      </c>
      <c r="B91" s="505">
        <v>43220</v>
      </c>
      <c r="C91" s="505" t="s">
        <v>45</v>
      </c>
      <c r="D91" s="505">
        <v>23</v>
      </c>
      <c r="E91" s="504" t="s">
        <v>131</v>
      </c>
    </row>
    <row r="92" spans="1:7" x14ac:dyDescent="0.2">
      <c r="A92" s="505" t="str">
        <f t="shared" si="1"/>
        <v>INDEC-CM - 43220-31</v>
      </c>
      <c r="B92" s="505">
        <v>43220</v>
      </c>
      <c r="C92" s="505" t="s">
        <v>45</v>
      </c>
      <c r="D92" s="505">
        <v>31</v>
      </c>
      <c r="E92" s="504" t="s">
        <v>132</v>
      </c>
    </row>
    <row r="93" spans="1:7" x14ac:dyDescent="0.2">
      <c r="A93" s="505" t="str">
        <f t="shared" si="1"/>
        <v>INDEC-CM - 43220-32</v>
      </c>
      <c r="B93" s="505">
        <v>43220</v>
      </c>
      <c r="C93" s="505" t="s">
        <v>45</v>
      </c>
      <c r="D93" s="505">
        <v>32</v>
      </c>
      <c r="E93" s="504" t="s">
        <v>133</v>
      </c>
    </row>
    <row r="94" spans="1:7" x14ac:dyDescent="0.2">
      <c r="A94" s="505" t="str">
        <f t="shared" si="1"/>
        <v>INDEC-CM - 41278-32</v>
      </c>
      <c r="B94" s="505">
        <v>41278</v>
      </c>
      <c r="C94" s="505" t="s">
        <v>45</v>
      </c>
      <c r="D94" s="505">
        <v>32</v>
      </c>
      <c r="E94" s="509" t="s">
        <v>134</v>
      </c>
      <c r="F94" s="509"/>
      <c r="G94" s="509"/>
    </row>
    <row r="95" spans="1:7" x14ac:dyDescent="0.2">
      <c r="A95" s="505" t="str">
        <f t="shared" si="1"/>
        <v>INDEC-CM - 36320-32</v>
      </c>
      <c r="B95" s="505">
        <v>36320</v>
      </c>
      <c r="C95" s="505" t="s">
        <v>45</v>
      </c>
      <c r="D95" s="505">
        <v>32</v>
      </c>
      <c r="E95" s="504" t="s">
        <v>135</v>
      </c>
    </row>
    <row r="96" spans="1:7" x14ac:dyDescent="0.2">
      <c r="A96" s="510" t="str">
        <f t="shared" si="1"/>
        <v>INDEC-CM - 41278-23</v>
      </c>
      <c r="B96" s="510">
        <v>41278</v>
      </c>
      <c r="C96" s="510" t="s">
        <v>45</v>
      </c>
      <c r="D96" s="510">
        <v>23</v>
      </c>
      <c r="E96" s="512" t="s">
        <v>136</v>
      </c>
      <c r="F96" s="504" t="s">
        <v>1897</v>
      </c>
    </row>
    <row r="97" spans="1:6" x14ac:dyDescent="0.2">
      <c r="A97" s="505" t="str">
        <f t="shared" si="1"/>
        <v>INDEC-CM - 35110-11</v>
      </c>
      <c r="B97" s="505">
        <v>35110</v>
      </c>
      <c r="C97" s="505" t="s">
        <v>45</v>
      </c>
      <c r="D97" s="505">
        <v>11</v>
      </c>
      <c r="E97" s="504" t="s">
        <v>137</v>
      </c>
    </row>
    <row r="98" spans="1:6" x14ac:dyDescent="0.2">
      <c r="A98" s="505" t="str">
        <f t="shared" si="1"/>
        <v>INDEC-CM - 35110-12</v>
      </c>
      <c r="B98" s="505">
        <v>35110</v>
      </c>
      <c r="C98" s="505" t="s">
        <v>45</v>
      </c>
      <c r="D98" s="505">
        <v>12</v>
      </c>
      <c r="E98" s="504" t="s">
        <v>138</v>
      </c>
    </row>
    <row r="99" spans="1:6" x14ac:dyDescent="0.2">
      <c r="A99" s="505" t="str">
        <f t="shared" si="1"/>
        <v>INDEC-CM - 35110-21</v>
      </c>
      <c r="B99" s="505">
        <v>35110</v>
      </c>
      <c r="C99" s="505" t="s">
        <v>45</v>
      </c>
      <c r="D99" s="505">
        <v>21</v>
      </c>
      <c r="E99" s="504" t="s">
        <v>139</v>
      </c>
    </row>
    <row r="100" spans="1:6" x14ac:dyDescent="0.2">
      <c r="A100" s="505" t="str">
        <f t="shared" si="1"/>
        <v>INDEC-CM - 35110-22</v>
      </c>
      <c r="B100" s="505">
        <v>35110</v>
      </c>
      <c r="C100" s="505" t="s">
        <v>45</v>
      </c>
      <c r="D100" s="505">
        <v>22</v>
      </c>
      <c r="E100" s="504" t="s">
        <v>140</v>
      </c>
    </row>
    <row r="101" spans="1:6" x14ac:dyDescent="0.2">
      <c r="A101" s="505" t="str">
        <f t="shared" si="1"/>
        <v>INDEC-CM - 41547-11</v>
      </c>
      <c r="B101" s="505">
        <v>41547</v>
      </c>
      <c r="C101" s="505" t="s">
        <v>45</v>
      </c>
      <c r="D101" s="505">
        <v>11</v>
      </c>
      <c r="E101" s="504" t="s">
        <v>141</v>
      </c>
    </row>
    <row r="102" spans="1:6" x14ac:dyDescent="0.2">
      <c r="A102" s="510" t="str">
        <f t="shared" si="1"/>
        <v>INDEC-CM - 31600-73</v>
      </c>
      <c r="B102" s="510">
        <v>31600</v>
      </c>
      <c r="C102" s="510" t="s">
        <v>45</v>
      </c>
      <c r="D102" s="510">
        <v>73</v>
      </c>
      <c r="E102" s="511" t="s">
        <v>142</v>
      </c>
      <c r="F102" s="504" t="s">
        <v>1897</v>
      </c>
    </row>
    <row r="103" spans="1:6" x14ac:dyDescent="0.2">
      <c r="A103" s="510" t="str">
        <f t="shared" si="1"/>
        <v>INDEC-CM - 31600-72</v>
      </c>
      <c r="B103" s="510">
        <v>31600</v>
      </c>
      <c r="C103" s="510" t="s">
        <v>45</v>
      </c>
      <c r="D103" s="510">
        <v>72</v>
      </c>
      <c r="E103" s="511" t="s">
        <v>143</v>
      </c>
      <c r="F103" s="504" t="s">
        <v>1897</v>
      </c>
    </row>
    <row r="104" spans="1:6" x14ac:dyDescent="0.2">
      <c r="A104" s="510" t="str">
        <f t="shared" si="1"/>
        <v>INDEC-CM - 31600-71</v>
      </c>
      <c r="B104" s="510">
        <v>31600</v>
      </c>
      <c r="C104" s="510" t="s">
        <v>45</v>
      </c>
      <c r="D104" s="510">
        <v>71</v>
      </c>
      <c r="E104" s="511" t="s">
        <v>144</v>
      </c>
      <c r="F104" s="504" t="s">
        <v>1897</v>
      </c>
    </row>
    <row r="105" spans="1:6" x14ac:dyDescent="0.2">
      <c r="A105" s="505" t="str">
        <f t="shared" si="1"/>
        <v>INDEC-CM - 35110-61</v>
      </c>
      <c r="B105" s="505">
        <v>35110</v>
      </c>
      <c r="C105" s="505" t="s">
        <v>45</v>
      </c>
      <c r="D105" s="505">
        <v>61</v>
      </c>
      <c r="E105" s="504" t="s">
        <v>145</v>
      </c>
    </row>
    <row r="106" spans="1:6" x14ac:dyDescent="0.2">
      <c r="A106" s="505" t="str">
        <f t="shared" si="1"/>
        <v>INDEC-CM - 31600-53</v>
      </c>
      <c r="B106" s="505">
        <v>31600</v>
      </c>
      <c r="C106" s="505" t="s">
        <v>45</v>
      </c>
      <c r="D106" s="505">
        <v>53</v>
      </c>
      <c r="E106" s="504" t="s">
        <v>146</v>
      </c>
    </row>
    <row r="107" spans="1:6" x14ac:dyDescent="0.2">
      <c r="A107" s="505" t="str">
        <f t="shared" si="1"/>
        <v>INDEC-CM - 31600-51</v>
      </c>
      <c r="B107" s="505">
        <v>31600</v>
      </c>
      <c r="C107" s="505" t="s">
        <v>45</v>
      </c>
      <c r="D107" s="505">
        <v>51</v>
      </c>
      <c r="E107" s="504" t="s">
        <v>147</v>
      </c>
    </row>
    <row r="108" spans="1:6" x14ac:dyDescent="0.2">
      <c r="A108" s="505" t="str">
        <f t="shared" si="1"/>
        <v>INDEC-CM - 37550-21</v>
      </c>
      <c r="B108" s="505">
        <v>37550</v>
      </c>
      <c r="C108" s="505" t="s">
        <v>45</v>
      </c>
      <c r="D108" s="505">
        <v>21</v>
      </c>
      <c r="E108" s="504" t="s">
        <v>148</v>
      </c>
    </row>
    <row r="109" spans="1:6" x14ac:dyDescent="0.2">
      <c r="A109" s="505" t="str">
        <f t="shared" si="1"/>
        <v>INDEC-CM - 42999-41</v>
      </c>
      <c r="B109" s="505">
        <v>42999</v>
      </c>
      <c r="C109" s="505" t="s">
        <v>45</v>
      </c>
      <c r="D109" s="505">
        <v>41</v>
      </c>
      <c r="E109" s="504" t="s">
        <v>149</v>
      </c>
    </row>
    <row r="110" spans="1:6" x14ac:dyDescent="0.2">
      <c r="A110" s="505" t="str">
        <f t="shared" si="1"/>
        <v>INDEC-CM - 42911-53</v>
      </c>
      <c r="B110" s="505">
        <v>42911</v>
      </c>
      <c r="C110" s="505" t="s">
        <v>45</v>
      </c>
      <c r="D110" s="505">
        <v>53</v>
      </c>
      <c r="E110" s="504" t="s">
        <v>150</v>
      </c>
    </row>
    <row r="111" spans="1:6" x14ac:dyDescent="0.2">
      <c r="A111" s="505" t="str">
        <f t="shared" si="1"/>
        <v>INDEC-CM - 42911-52</v>
      </c>
      <c r="B111" s="505">
        <v>42911</v>
      </c>
      <c r="C111" s="505" t="s">
        <v>45</v>
      </c>
      <c r="D111" s="505">
        <v>52</v>
      </c>
      <c r="E111" s="504" t="s">
        <v>151</v>
      </c>
    </row>
    <row r="112" spans="1:6" x14ac:dyDescent="0.2">
      <c r="A112" s="505" t="str">
        <f t="shared" si="1"/>
        <v>INDEC-CM - 42911-51</v>
      </c>
      <c r="B112" s="505">
        <v>42911</v>
      </c>
      <c r="C112" s="505" t="s">
        <v>45</v>
      </c>
      <c r="D112" s="505">
        <v>51</v>
      </c>
      <c r="E112" s="504" t="s">
        <v>152</v>
      </c>
    </row>
    <row r="113" spans="1:7" x14ac:dyDescent="0.2">
      <c r="A113" s="505" t="str">
        <f t="shared" si="1"/>
        <v>INDEC-CM - 42911-43</v>
      </c>
      <c r="B113" s="505">
        <v>42911</v>
      </c>
      <c r="C113" s="505" t="s">
        <v>45</v>
      </c>
      <c r="D113" s="505">
        <v>43</v>
      </c>
      <c r="E113" s="504" t="s">
        <v>153</v>
      </c>
    </row>
    <row r="114" spans="1:7" x14ac:dyDescent="0.2">
      <c r="A114" s="505" t="str">
        <f t="shared" si="1"/>
        <v>INDEC-CM - 42911-42</v>
      </c>
      <c r="B114" s="505">
        <v>42911</v>
      </c>
      <c r="C114" s="505" t="s">
        <v>45</v>
      </c>
      <c r="D114" s="505">
        <v>42</v>
      </c>
      <c r="E114" s="504" t="s">
        <v>154</v>
      </c>
    </row>
    <row r="115" spans="1:7" x14ac:dyDescent="0.2">
      <c r="A115" s="505" t="str">
        <f t="shared" si="1"/>
        <v>INDEC-CM - 42911-41</v>
      </c>
      <c r="B115" s="505">
        <v>42911</v>
      </c>
      <c r="C115" s="505" t="s">
        <v>45</v>
      </c>
      <c r="D115" s="505">
        <v>41</v>
      </c>
      <c r="E115" s="504" t="s">
        <v>155</v>
      </c>
    </row>
    <row r="116" spans="1:7" x14ac:dyDescent="0.2">
      <c r="A116" s="505" t="str">
        <f t="shared" si="1"/>
        <v>INDEC-CM - 42911-56</v>
      </c>
      <c r="B116" s="505">
        <v>42911</v>
      </c>
      <c r="C116" s="505" t="s">
        <v>45</v>
      </c>
      <c r="D116" s="505">
        <v>56</v>
      </c>
      <c r="E116" s="504" t="s">
        <v>156</v>
      </c>
    </row>
    <row r="117" spans="1:7" x14ac:dyDescent="0.2">
      <c r="A117" s="505" t="str">
        <f t="shared" si="1"/>
        <v>INDEC-CM - 42911-55</v>
      </c>
      <c r="B117" s="505">
        <v>42911</v>
      </c>
      <c r="C117" s="505" t="s">
        <v>45</v>
      </c>
      <c r="D117" s="505">
        <v>55</v>
      </c>
      <c r="E117" s="504" t="s">
        <v>157</v>
      </c>
    </row>
    <row r="118" spans="1:7" x14ac:dyDescent="0.2">
      <c r="A118" s="505" t="str">
        <f t="shared" si="1"/>
        <v>INDEC-CM - 42911-54</v>
      </c>
      <c r="B118" s="505">
        <v>42911</v>
      </c>
      <c r="C118" s="505" t="s">
        <v>45</v>
      </c>
      <c r="D118" s="505">
        <v>54</v>
      </c>
      <c r="E118" s="504" t="s">
        <v>158</v>
      </c>
    </row>
    <row r="119" spans="1:7" x14ac:dyDescent="0.2">
      <c r="A119" s="505" t="str">
        <f t="shared" si="1"/>
        <v>INDEC-CM - 42911-32</v>
      </c>
      <c r="B119" s="505">
        <v>42911</v>
      </c>
      <c r="C119" s="505" t="s">
        <v>45</v>
      </c>
      <c r="D119" s="505">
        <v>32</v>
      </c>
      <c r="E119" s="504" t="s">
        <v>159</v>
      </c>
    </row>
    <row r="120" spans="1:7" x14ac:dyDescent="0.2">
      <c r="A120" s="505" t="str">
        <f t="shared" si="1"/>
        <v>INDEC-CM - 42911-31</v>
      </c>
      <c r="B120" s="505">
        <v>42911</v>
      </c>
      <c r="C120" s="505" t="s">
        <v>45</v>
      </c>
      <c r="D120" s="505">
        <v>31</v>
      </c>
      <c r="E120" s="504" t="s">
        <v>160</v>
      </c>
    </row>
    <row r="121" spans="1:7" x14ac:dyDescent="0.2">
      <c r="A121" s="505" t="str">
        <f t="shared" si="1"/>
        <v>INDEC-CM - 42911-59</v>
      </c>
      <c r="B121" s="505">
        <v>42911</v>
      </c>
      <c r="C121" s="505" t="s">
        <v>45</v>
      </c>
      <c r="D121" s="505">
        <v>59</v>
      </c>
      <c r="E121" s="504" t="s">
        <v>161</v>
      </c>
    </row>
    <row r="122" spans="1:7" x14ac:dyDescent="0.2">
      <c r="A122" s="505" t="str">
        <f t="shared" si="1"/>
        <v>INDEC-CM - 42911-58</v>
      </c>
      <c r="B122" s="505">
        <v>42911</v>
      </c>
      <c r="C122" s="505" t="s">
        <v>45</v>
      </c>
      <c r="D122" s="505">
        <v>58</v>
      </c>
      <c r="E122" s="509" t="s">
        <v>162</v>
      </c>
      <c r="F122" s="509"/>
      <c r="G122" s="509"/>
    </row>
    <row r="123" spans="1:7" x14ac:dyDescent="0.2">
      <c r="A123" s="505" t="str">
        <f t="shared" si="1"/>
        <v>INDEC-CM - 42911-57</v>
      </c>
      <c r="B123" s="505">
        <v>42911</v>
      </c>
      <c r="C123" s="505" t="s">
        <v>45</v>
      </c>
      <c r="D123" s="505">
        <v>57</v>
      </c>
      <c r="E123" s="509" t="s">
        <v>163</v>
      </c>
      <c r="F123" s="509"/>
      <c r="G123" s="509"/>
    </row>
    <row r="124" spans="1:7" x14ac:dyDescent="0.2">
      <c r="A124" s="505" t="str">
        <f t="shared" si="1"/>
        <v>INDEC-CM - 43923-21</v>
      </c>
      <c r="B124" s="505">
        <v>43923</v>
      </c>
      <c r="C124" s="505" t="s">
        <v>45</v>
      </c>
      <c r="D124" s="505">
        <v>21</v>
      </c>
      <c r="E124" s="509" t="s">
        <v>164</v>
      </c>
      <c r="F124" s="509"/>
      <c r="G124" s="509"/>
    </row>
    <row r="125" spans="1:7" x14ac:dyDescent="0.2">
      <c r="A125" s="642" t="str">
        <f t="shared" si="1"/>
        <v>INDEC-CM - 37510-11</v>
      </c>
      <c r="B125" s="642">
        <v>37510</v>
      </c>
      <c r="C125" s="642" t="s">
        <v>45</v>
      </c>
      <c r="D125" s="642">
        <v>11</v>
      </c>
      <c r="E125" s="645" t="s">
        <v>165</v>
      </c>
    </row>
    <row r="126" spans="1:7" x14ac:dyDescent="0.2">
      <c r="A126" s="505" t="str">
        <f t="shared" si="1"/>
        <v>INDEC-CM - 44821-31</v>
      </c>
      <c r="B126" s="505">
        <v>44821</v>
      </c>
      <c r="C126" s="505" t="s">
        <v>45</v>
      </c>
      <c r="D126" s="505">
        <v>31</v>
      </c>
      <c r="E126" s="504" t="s">
        <v>166</v>
      </c>
    </row>
    <row r="127" spans="1:7" x14ac:dyDescent="0.2">
      <c r="A127" s="505" t="str">
        <f t="shared" si="1"/>
        <v>INDEC-CM - 46531-12</v>
      </c>
      <c r="B127" s="505">
        <v>46531</v>
      </c>
      <c r="C127" s="505" t="s">
        <v>45</v>
      </c>
      <c r="D127" s="505">
        <v>12</v>
      </c>
      <c r="E127" s="509" t="s">
        <v>167</v>
      </c>
      <c r="F127" s="509"/>
      <c r="G127" s="509"/>
    </row>
    <row r="128" spans="1:7" x14ac:dyDescent="0.2">
      <c r="A128" s="505" t="str">
        <f t="shared" si="1"/>
        <v>INDEC-CM - 37210-13</v>
      </c>
      <c r="B128" s="505">
        <v>37210</v>
      </c>
      <c r="C128" s="505" t="s">
        <v>45</v>
      </c>
      <c r="D128" s="505">
        <v>13</v>
      </c>
      <c r="E128" s="504" t="s">
        <v>168</v>
      </c>
    </row>
    <row r="129" spans="1:7" x14ac:dyDescent="0.2">
      <c r="A129" s="505" t="str">
        <f t="shared" si="1"/>
        <v>INDEC-CM - 37210-12</v>
      </c>
      <c r="B129" s="505">
        <v>37210</v>
      </c>
      <c r="C129" s="505" t="s">
        <v>45</v>
      </c>
      <c r="D129" s="505">
        <v>12</v>
      </c>
      <c r="E129" s="504" t="s">
        <v>169</v>
      </c>
    </row>
    <row r="130" spans="1:7" x14ac:dyDescent="0.2">
      <c r="A130" s="505" t="str">
        <f t="shared" si="1"/>
        <v>INDEC-CM - 37210-11</v>
      </c>
      <c r="B130" s="505">
        <v>37210</v>
      </c>
      <c r="C130" s="505" t="s">
        <v>45</v>
      </c>
      <c r="D130" s="505">
        <v>11</v>
      </c>
      <c r="E130" s="509" t="s">
        <v>170</v>
      </c>
      <c r="F130" s="509"/>
      <c r="G130" s="509"/>
    </row>
    <row r="131" spans="1:7" x14ac:dyDescent="0.2">
      <c r="A131" s="505" t="str">
        <f t="shared" si="1"/>
        <v>INDEC-CM - 46212-11</v>
      </c>
      <c r="B131" s="505">
        <v>46212</v>
      </c>
      <c r="C131" s="505" t="s">
        <v>45</v>
      </c>
      <c r="D131" s="505">
        <v>11</v>
      </c>
      <c r="E131" s="504" t="s">
        <v>171</v>
      </c>
    </row>
    <row r="132" spans="1:7" x14ac:dyDescent="0.2">
      <c r="A132" s="505" t="str">
        <f t="shared" si="1"/>
        <v>INDEC-CM - 46212-51</v>
      </c>
      <c r="B132" s="505">
        <v>46212</v>
      </c>
      <c r="C132" s="505" t="s">
        <v>45</v>
      </c>
      <c r="D132" s="505">
        <v>51</v>
      </c>
      <c r="E132" s="504" t="s">
        <v>172</v>
      </c>
    </row>
    <row r="133" spans="1:7" x14ac:dyDescent="0.2">
      <c r="A133" s="505" t="str">
        <f t="shared" si="1"/>
        <v>INDEC-CM - 46212-31</v>
      </c>
      <c r="B133" s="505">
        <v>46212</v>
      </c>
      <c r="C133" s="505" t="s">
        <v>45</v>
      </c>
      <c r="D133" s="505">
        <v>31</v>
      </c>
      <c r="E133" s="504" t="s">
        <v>173</v>
      </c>
    </row>
    <row r="134" spans="1:7" x14ac:dyDescent="0.2">
      <c r="A134" s="505" t="str">
        <f t="shared" ref="A134:A197" si="2">CONCATENATE("INDEC-CM - ",B134,C134,D134)</f>
        <v>INDEC-CM - 46212-41</v>
      </c>
      <c r="B134" s="505">
        <v>46212</v>
      </c>
      <c r="C134" s="505" t="s">
        <v>45</v>
      </c>
      <c r="D134" s="505">
        <v>41</v>
      </c>
      <c r="E134" s="504" t="s">
        <v>174</v>
      </c>
    </row>
    <row r="135" spans="1:7" x14ac:dyDescent="0.2">
      <c r="A135" s="505" t="str">
        <f t="shared" si="2"/>
        <v>INDEC-CM - 42999-51</v>
      </c>
      <c r="B135" s="505">
        <v>42999</v>
      </c>
      <c r="C135" s="505" t="s">
        <v>45</v>
      </c>
      <c r="D135" s="505">
        <v>51</v>
      </c>
      <c r="E135" s="504" t="s">
        <v>175</v>
      </c>
    </row>
    <row r="136" spans="1:7" x14ac:dyDescent="0.2">
      <c r="A136" s="505" t="str">
        <f t="shared" si="2"/>
        <v>INDEC-CM - 35110-51</v>
      </c>
      <c r="B136" s="505">
        <v>35110</v>
      </c>
      <c r="C136" s="505" t="s">
        <v>45</v>
      </c>
      <c r="D136" s="505">
        <v>51</v>
      </c>
      <c r="E136" s="504" t="s">
        <v>176</v>
      </c>
    </row>
    <row r="137" spans="1:7" x14ac:dyDescent="0.2">
      <c r="A137" s="505" t="str">
        <f t="shared" si="2"/>
        <v>INDEC-CM - 37350-11</v>
      </c>
      <c r="B137" s="505">
        <v>37350</v>
      </c>
      <c r="C137" s="505" t="s">
        <v>45</v>
      </c>
      <c r="D137" s="505">
        <v>11</v>
      </c>
      <c r="E137" s="504" t="s">
        <v>177</v>
      </c>
    </row>
    <row r="138" spans="1:7" x14ac:dyDescent="0.2">
      <c r="A138" s="505" t="str">
        <f t="shared" si="2"/>
        <v>INDEC-CM - 37350-41</v>
      </c>
      <c r="B138" s="505">
        <v>37350</v>
      </c>
      <c r="C138" s="505" t="s">
        <v>45</v>
      </c>
      <c r="D138" s="505">
        <v>41</v>
      </c>
      <c r="E138" s="504" t="s">
        <v>178</v>
      </c>
    </row>
    <row r="139" spans="1:7" x14ac:dyDescent="0.2">
      <c r="A139" s="505" t="str">
        <f t="shared" si="2"/>
        <v>INDEC-CM - 37350-21</v>
      </c>
      <c r="B139" s="505">
        <v>37350</v>
      </c>
      <c r="C139" s="505" t="s">
        <v>45</v>
      </c>
      <c r="D139" s="505">
        <v>21</v>
      </c>
      <c r="E139" s="504" t="s">
        <v>179</v>
      </c>
    </row>
    <row r="140" spans="1:7" x14ac:dyDescent="0.2">
      <c r="A140" s="505" t="str">
        <f t="shared" si="2"/>
        <v>INDEC-CM - 37350-31</v>
      </c>
      <c r="B140" s="505">
        <v>37350</v>
      </c>
      <c r="C140" s="505" t="s">
        <v>45</v>
      </c>
      <c r="D140" s="505">
        <v>31</v>
      </c>
      <c r="E140" s="504" t="s">
        <v>180</v>
      </c>
    </row>
    <row r="141" spans="1:7" x14ac:dyDescent="0.2">
      <c r="A141" s="505" t="str">
        <f t="shared" si="2"/>
        <v>INDEC-CM - 37210-32</v>
      </c>
      <c r="B141" s="505">
        <v>37210</v>
      </c>
      <c r="C141" s="505" t="s">
        <v>45</v>
      </c>
      <c r="D141" s="505">
        <v>32</v>
      </c>
      <c r="E141" s="504" t="s">
        <v>181</v>
      </c>
    </row>
    <row r="142" spans="1:7" x14ac:dyDescent="0.2">
      <c r="A142" s="505" t="str">
        <f t="shared" si="2"/>
        <v>INDEC-CM - 37210-31</v>
      </c>
      <c r="B142" s="505">
        <v>37210</v>
      </c>
      <c r="C142" s="505" t="s">
        <v>45</v>
      </c>
      <c r="D142" s="505">
        <v>31</v>
      </c>
      <c r="E142" s="504" t="s">
        <v>182</v>
      </c>
    </row>
    <row r="143" spans="1:7" x14ac:dyDescent="0.2">
      <c r="A143" s="505" t="str">
        <f t="shared" si="2"/>
        <v>INDEC-CM - 37210-33</v>
      </c>
      <c r="B143" s="505">
        <v>37210</v>
      </c>
      <c r="C143" s="505" t="s">
        <v>45</v>
      </c>
      <c r="D143" s="505">
        <v>33</v>
      </c>
      <c r="E143" s="504" t="s">
        <v>183</v>
      </c>
    </row>
    <row r="144" spans="1:7" x14ac:dyDescent="0.2">
      <c r="A144" s="505" t="str">
        <f t="shared" si="2"/>
        <v>INDEC-CM - 31210-41</v>
      </c>
      <c r="B144" s="505">
        <v>31210</v>
      </c>
      <c r="C144" s="505" t="s">
        <v>45</v>
      </c>
      <c r="D144" s="505">
        <v>41</v>
      </c>
      <c r="E144" s="504" t="s">
        <v>184</v>
      </c>
    </row>
    <row r="145" spans="1:7" x14ac:dyDescent="0.2">
      <c r="A145" s="505" t="str">
        <f t="shared" si="2"/>
        <v>INDEC-CM - 43240-21</v>
      </c>
      <c r="B145" s="505">
        <v>43240</v>
      </c>
      <c r="C145" s="505" t="s">
        <v>45</v>
      </c>
      <c r="D145" s="505">
        <v>21</v>
      </c>
      <c r="E145" s="504" t="s">
        <v>185</v>
      </c>
    </row>
    <row r="146" spans="1:7" x14ac:dyDescent="0.2">
      <c r="A146" s="505" t="str">
        <f t="shared" si="2"/>
        <v>INDEC-CM - 43240-32</v>
      </c>
      <c r="B146" s="505">
        <v>43240</v>
      </c>
      <c r="C146" s="505" t="s">
        <v>45</v>
      </c>
      <c r="D146" s="505">
        <v>32</v>
      </c>
      <c r="E146" s="504" t="s">
        <v>186</v>
      </c>
    </row>
    <row r="147" spans="1:7" x14ac:dyDescent="0.2">
      <c r="A147" s="505" t="str">
        <f t="shared" si="2"/>
        <v>INDEC-CM - 43240-31</v>
      </c>
      <c r="B147" s="505">
        <v>43240</v>
      </c>
      <c r="C147" s="505" t="s">
        <v>45</v>
      </c>
      <c r="D147" s="505">
        <v>31</v>
      </c>
      <c r="E147" s="504" t="s">
        <v>187</v>
      </c>
    </row>
    <row r="148" spans="1:7" x14ac:dyDescent="0.2">
      <c r="A148" s="505" t="str">
        <f t="shared" si="2"/>
        <v>INDEC-CM - 43240-41</v>
      </c>
      <c r="B148" s="505">
        <v>43240</v>
      </c>
      <c r="C148" s="505" t="s">
        <v>45</v>
      </c>
      <c r="D148" s="505">
        <v>41</v>
      </c>
      <c r="E148" s="504" t="s">
        <v>188</v>
      </c>
    </row>
    <row r="149" spans="1:7" x14ac:dyDescent="0.2">
      <c r="A149" s="505" t="str">
        <f t="shared" si="2"/>
        <v>INDEC-CM - 37540-32</v>
      </c>
      <c r="B149" s="505">
        <v>37540</v>
      </c>
      <c r="C149" s="505" t="s">
        <v>45</v>
      </c>
      <c r="D149" s="505">
        <v>32</v>
      </c>
      <c r="E149" s="509" t="s">
        <v>189</v>
      </c>
      <c r="F149" s="509"/>
      <c r="G149" s="509"/>
    </row>
    <row r="150" spans="1:7" x14ac:dyDescent="0.2">
      <c r="A150" s="505" t="str">
        <f t="shared" si="2"/>
        <v>INDEC-CM - 37540-31</v>
      </c>
      <c r="B150" s="505">
        <v>37540</v>
      </c>
      <c r="C150" s="505" t="s">
        <v>45</v>
      </c>
      <c r="D150" s="505">
        <v>31</v>
      </c>
      <c r="E150" s="504" t="s">
        <v>190</v>
      </c>
    </row>
    <row r="151" spans="1:7" x14ac:dyDescent="0.2">
      <c r="A151" s="505" t="str">
        <f t="shared" si="2"/>
        <v>INDEC-CM - 31210-21</v>
      </c>
      <c r="B151" s="505">
        <v>31210</v>
      </c>
      <c r="C151" s="505" t="s">
        <v>45</v>
      </c>
      <c r="D151" s="505">
        <v>21</v>
      </c>
      <c r="E151" s="509" t="s">
        <v>191</v>
      </c>
      <c r="F151" s="509"/>
      <c r="G151" s="509"/>
    </row>
    <row r="152" spans="1:7" x14ac:dyDescent="0.2">
      <c r="A152" s="505" t="str">
        <f t="shared" si="2"/>
        <v>INDEC-CM - 42911-61</v>
      </c>
      <c r="B152" s="505">
        <v>42911</v>
      </c>
      <c r="C152" s="505" t="s">
        <v>45</v>
      </c>
      <c r="D152" s="505">
        <v>61</v>
      </c>
      <c r="E152" s="509" t="s">
        <v>192</v>
      </c>
      <c r="F152" s="509"/>
      <c r="G152" s="509"/>
    </row>
    <row r="153" spans="1:7" x14ac:dyDescent="0.2">
      <c r="A153" s="505" t="str">
        <f t="shared" si="2"/>
        <v>INDEC-CM - 43923-11</v>
      </c>
      <c r="B153" s="505">
        <v>43923</v>
      </c>
      <c r="C153" s="505" t="s">
        <v>45</v>
      </c>
      <c r="D153" s="505">
        <v>11</v>
      </c>
      <c r="E153" s="509" t="s">
        <v>193</v>
      </c>
      <c r="F153" s="509"/>
      <c r="G153" s="509"/>
    </row>
    <row r="154" spans="1:7" x14ac:dyDescent="0.2">
      <c r="A154" s="505" t="str">
        <f t="shared" si="2"/>
        <v>INDEC-CM - 37930-12</v>
      </c>
      <c r="B154" s="505">
        <v>37930</v>
      </c>
      <c r="C154" s="505" t="s">
        <v>45</v>
      </c>
      <c r="D154" s="505">
        <v>12</v>
      </c>
      <c r="E154" s="504" t="s">
        <v>194</v>
      </c>
    </row>
    <row r="155" spans="1:7" x14ac:dyDescent="0.2">
      <c r="A155" s="505" t="str">
        <f t="shared" si="2"/>
        <v>INDEC-CM - 37930-11</v>
      </c>
      <c r="B155" s="505">
        <v>37930</v>
      </c>
      <c r="C155" s="505" t="s">
        <v>45</v>
      </c>
      <c r="D155" s="505">
        <v>11</v>
      </c>
      <c r="E155" s="504" t="s">
        <v>195</v>
      </c>
    </row>
    <row r="156" spans="1:7" x14ac:dyDescent="0.2">
      <c r="A156" s="505" t="str">
        <f t="shared" si="2"/>
        <v>INDEC-CM - 42999-61</v>
      </c>
      <c r="B156" s="505">
        <v>42999</v>
      </c>
      <c r="C156" s="505" t="s">
        <v>45</v>
      </c>
      <c r="D156" s="505">
        <v>61</v>
      </c>
      <c r="E156" s="509" t="s">
        <v>196</v>
      </c>
      <c r="F156" s="509"/>
      <c r="G156" s="509"/>
    </row>
    <row r="157" spans="1:7" x14ac:dyDescent="0.2">
      <c r="A157" s="505" t="str">
        <f t="shared" si="2"/>
        <v>INDEC-CM - 42999-62</v>
      </c>
      <c r="B157" s="505">
        <v>42999</v>
      </c>
      <c r="C157" s="505" t="s">
        <v>45</v>
      </c>
      <c r="D157" s="505">
        <v>62</v>
      </c>
      <c r="E157" s="509" t="s">
        <v>197</v>
      </c>
      <c r="F157" s="509"/>
      <c r="G157" s="509"/>
    </row>
    <row r="158" spans="1:7" x14ac:dyDescent="0.2">
      <c r="A158" s="505" t="str">
        <f t="shared" si="2"/>
        <v>INDEC-CM - 37610-11</v>
      </c>
      <c r="B158" s="505">
        <v>37610</v>
      </c>
      <c r="C158" s="505" t="s">
        <v>45</v>
      </c>
      <c r="D158" s="505">
        <v>11</v>
      </c>
      <c r="E158" s="509" t="s">
        <v>198</v>
      </c>
      <c r="F158" s="509"/>
      <c r="G158" s="509"/>
    </row>
    <row r="159" spans="1:7" x14ac:dyDescent="0.2">
      <c r="A159" s="505" t="str">
        <f t="shared" si="2"/>
        <v>INDEC-CM - 37610-12</v>
      </c>
      <c r="B159" s="505">
        <v>37610</v>
      </c>
      <c r="C159" s="505" t="s">
        <v>45</v>
      </c>
      <c r="D159" s="505">
        <v>12</v>
      </c>
      <c r="E159" s="509" t="s">
        <v>199</v>
      </c>
      <c r="F159" s="509"/>
      <c r="G159" s="509"/>
    </row>
    <row r="160" spans="1:7" x14ac:dyDescent="0.2">
      <c r="A160" s="505" t="str">
        <f t="shared" si="2"/>
        <v>INDEC-CM - 42943-11</v>
      </c>
      <c r="B160" s="505">
        <v>42943</v>
      </c>
      <c r="C160" s="505" t="s">
        <v>45</v>
      </c>
      <c r="D160" s="505">
        <v>11</v>
      </c>
      <c r="E160" s="509" t="s">
        <v>200</v>
      </c>
      <c r="F160" s="509"/>
      <c r="G160" s="509"/>
    </row>
    <row r="161" spans="1:7" x14ac:dyDescent="0.2">
      <c r="A161" s="505" t="str">
        <f t="shared" si="2"/>
        <v>INDEC-CM - 37540-11</v>
      </c>
      <c r="B161" s="505">
        <v>37540</v>
      </c>
      <c r="C161" s="505" t="s">
        <v>45</v>
      </c>
      <c r="D161" s="505">
        <v>11</v>
      </c>
      <c r="E161" s="504" t="s">
        <v>201</v>
      </c>
    </row>
    <row r="162" spans="1:7" x14ac:dyDescent="0.2">
      <c r="A162" s="505" t="str">
        <f t="shared" si="2"/>
        <v>INDEC-CM - 38130-16</v>
      </c>
      <c r="B162" s="505">
        <v>38130</v>
      </c>
      <c r="C162" s="505" t="s">
        <v>45</v>
      </c>
      <c r="D162" s="505">
        <v>16</v>
      </c>
      <c r="E162" s="509" t="s">
        <v>202</v>
      </c>
      <c r="F162" s="509"/>
      <c r="G162" s="509"/>
    </row>
    <row r="163" spans="1:7" x14ac:dyDescent="0.2">
      <c r="A163" s="505" t="str">
        <f t="shared" si="2"/>
        <v>INDEC-CM - 38130-15</v>
      </c>
      <c r="B163" s="505">
        <v>38130</v>
      </c>
      <c r="C163" s="505" t="s">
        <v>45</v>
      </c>
      <c r="D163" s="505">
        <v>15</v>
      </c>
      <c r="E163" s="509" t="s">
        <v>203</v>
      </c>
      <c r="F163" s="509"/>
      <c r="G163" s="509"/>
    </row>
    <row r="164" spans="1:7" x14ac:dyDescent="0.2">
      <c r="A164" s="505" t="str">
        <f t="shared" si="2"/>
        <v>INDEC-CM - 38130-14</v>
      </c>
      <c r="B164" s="505">
        <v>38130</v>
      </c>
      <c r="C164" s="505" t="s">
        <v>45</v>
      </c>
      <c r="D164" s="505">
        <v>14</v>
      </c>
      <c r="E164" s="509" t="s">
        <v>204</v>
      </c>
      <c r="F164" s="509"/>
      <c r="G164" s="509"/>
    </row>
    <row r="165" spans="1:7" x14ac:dyDescent="0.2">
      <c r="A165" s="505" t="str">
        <f t="shared" si="2"/>
        <v>INDEC-CM - 35490-11</v>
      </c>
      <c r="B165" s="505">
        <v>35490</v>
      </c>
      <c r="C165" s="505" t="s">
        <v>45</v>
      </c>
      <c r="D165" s="505">
        <v>11</v>
      </c>
      <c r="E165" s="504" t="s">
        <v>205</v>
      </c>
    </row>
    <row r="166" spans="1:7" x14ac:dyDescent="0.2">
      <c r="A166" s="505" t="str">
        <f t="shared" si="2"/>
        <v>INDEC-CM - 41251-11</v>
      </c>
      <c r="B166" s="505">
        <v>41251</v>
      </c>
      <c r="C166" s="505" t="s">
        <v>45</v>
      </c>
      <c r="D166" s="505">
        <v>11</v>
      </c>
      <c r="E166" s="509" t="s">
        <v>206</v>
      </c>
      <c r="F166" s="509"/>
      <c r="G166" s="509"/>
    </row>
    <row r="167" spans="1:7" x14ac:dyDescent="0.2">
      <c r="A167" s="510" t="str">
        <f t="shared" si="2"/>
        <v>INDEC-CM - 41278-21</v>
      </c>
      <c r="B167" s="510">
        <v>41278</v>
      </c>
      <c r="C167" s="510" t="s">
        <v>45</v>
      </c>
      <c r="D167" s="510">
        <v>21</v>
      </c>
      <c r="E167" s="512" t="s">
        <v>207</v>
      </c>
      <c r="F167" s="504" t="s">
        <v>1897</v>
      </c>
    </row>
    <row r="168" spans="1:7" x14ac:dyDescent="0.2">
      <c r="A168" s="505" t="str">
        <f t="shared" si="2"/>
        <v>INDEC-CM - 42911-71</v>
      </c>
      <c r="B168" s="505">
        <v>42911</v>
      </c>
      <c r="C168" s="505" t="s">
        <v>45</v>
      </c>
      <c r="D168" s="505">
        <v>71</v>
      </c>
      <c r="E168" s="509" t="s">
        <v>208</v>
      </c>
      <c r="F168" s="509"/>
      <c r="G168" s="509"/>
    </row>
    <row r="169" spans="1:7" x14ac:dyDescent="0.2">
      <c r="A169" s="505" t="str">
        <f t="shared" si="2"/>
        <v>INDEC-CM - 37210-42</v>
      </c>
      <c r="B169" s="505">
        <v>37210</v>
      </c>
      <c r="C169" s="505" t="s">
        <v>45</v>
      </c>
      <c r="D169" s="505">
        <v>42</v>
      </c>
      <c r="E169" s="509" t="s">
        <v>209</v>
      </c>
      <c r="F169" s="509"/>
      <c r="G169" s="509"/>
    </row>
    <row r="170" spans="1:7" x14ac:dyDescent="0.2">
      <c r="A170" s="505" t="str">
        <f t="shared" si="2"/>
        <v>INDEC-CM - 37210-41</v>
      </c>
      <c r="B170" s="505">
        <v>37210</v>
      </c>
      <c r="C170" s="505" t="s">
        <v>45</v>
      </c>
      <c r="D170" s="505">
        <v>41</v>
      </c>
      <c r="E170" s="509" t="s">
        <v>210</v>
      </c>
      <c r="F170" s="509"/>
      <c r="G170" s="509"/>
    </row>
    <row r="171" spans="1:7" x14ac:dyDescent="0.2">
      <c r="A171" s="505" t="str">
        <f t="shared" si="2"/>
        <v>INDEC-CM - 36930-11</v>
      </c>
      <c r="B171" s="505">
        <v>36930</v>
      </c>
      <c r="C171" s="505" t="s">
        <v>45</v>
      </c>
      <c r="D171" s="505">
        <v>11</v>
      </c>
      <c r="E171" s="504" t="s">
        <v>211</v>
      </c>
    </row>
    <row r="172" spans="1:7" x14ac:dyDescent="0.2">
      <c r="A172" s="505" t="str">
        <f t="shared" si="2"/>
        <v>INDEC-CM - 36950-21</v>
      </c>
      <c r="B172" s="505">
        <v>36950</v>
      </c>
      <c r="C172" s="505" t="s">
        <v>45</v>
      </c>
      <c r="D172" s="505">
        <v>21</v>
      </c>
      <c r="E172" s="504" t="s">
        <v>212</v>
      </c>
    </row>
    <row r="173" spans="1:7" x14ac:dyDescent="0.2">
      <c r="A173" s="505" t="str">
        <f t="shared" si="2"/>
        <v>INDEC-CM - 35110-31</v>
      </c>
      <c r="B173" s="505">
        <v>35110</v>
      </c>
      <c r="C173" s="505" t="s">
        <v>45</v>
      </c>
      <c r="D173" s="505">
        <v>31</v>
      </c>
      <c r="E173" s="504" t="s">
        <v>213</v>
      </c>
    </row>
    <row r="174" spans="1:7" x14ac:dyDescent="0.2">
      <c r="A174" s="505" t="str">
        <f t="shared" si="2"/>
        <v>INDEC-CM - 35110-32</v>
      </c>
      <c r="B174" s="505">
        <v>35110</v>
      </c>
      <c r="C174" s="505" t="s">
        <v>45</v>
      </c>
      <c r="D174" s="505">
        <v>32</v>
      </c>
      <c r="E174" s="504" t="s">
        <v>214</v>
      </c>
    </row>
    <row r="175" spans="1:7" x14ac:dyDescent="0.2">
      <c r="A175" s="505" t="str">
        <f t="shared" si="2"/>
        <v>INDEC-CM - 37940-11</v>
      </c>
      <c r="B175" s="505">
        <v>37940</v>
      </c>
      <c r="C175" s="505" t="s">
        <v>45</v>
      </c>
      <c r="D175" s="505">
        <v>11</v>
      </c>
      <c r="E175" s="504" t="s">
        <v>215</v>
      </c>
    </row>
    <row r="176" spans="1:7" x14ac:dyDescent="0.2">
      <c r="A176" s="505" t="str">
        <f t="shared" si="2"/>
        <v>INDEC-CM - 35110-71</v>
      </c>
      <c r="B176" s="505">
        <v>35110</v>
      </c>
      <c r="C176" s="505" t="s">
        <v>45</v>
      </c>
      <c r="D176" s="505">
        <v>71</v>
      </c>
      <c r="E176" s="504" t="s">
        <v>216</v>
      </c>
    </row>
    <row r="177" spans="1:7" x14ac:dyDescent="0.2">
      <c r="A177" s="505" t="str">
        <f t="shared" si="2"/>
        <v>INDEC-CM - 31210-31</v>
      </c>
      <c r="B177" s="505">
        <v>31210</v>
      </c>
      <c r="C177" s="505" t="s">
        <v>45</v>
      </c>
      <c r="D177" s="505">
        <v>31</v>
      </c>
      <c r="E177" s="504" t="s">
        <v>217</v>
      </c>
    </row>
    <row r="178" spans="1:7" x14ac:dyDescent="0.2">
      <c r="A178" s="505" t="str">
        <f t="shared" si="2"/>
        <v>INDEC-CM - 31210-32</v>
      </c>
      <c r="B178" s="505">
        <v>31210</v>
      </c>
      <c r="C178" s="505" t="s">
        <v>45</v>
      </c>
      <c r="D178" s="505">
        <v>32</v>
      </c>
      <c r="E178" s="504" t="s">
        <v>218</v>
      </c>
    </row>
    <row r="179" spans="1:7" x14ac:dyDescent="0.2">
      <c r="A179" s="505" t="str">
        <f t="shared" si="2"/>
        <v>INDEC-CM - 41541-11</v>
      </c>
      <c r="B179" s="505">
        <v>41541</v>
      </c>
      <c r="C179" s="505" t="s">
        <v>45</v>
      </c>
      <c r="D179" s="505">
        <v>11</v>
      </c>
      <c r="E179" s="504" t="s">
        <v>219</v>
      </c>
    </row>
    <row r="180" spans="1:7" x14ac:dyDescent="0.2">
      <c r="A180" s="505" t="str">
        <f t="shared" si="2"/>
        <v>INDEC-CM - 34720-11</v>
      </c>
      <c r="B180" s="505">
        <v>34720</v>
      </c>
      <c r="C180" s="505" t="s">
        <v>45</v>
      </c>
      <c r="D180" s="505">
        <v>11</v>
      </c>
      <c r="E180" s="509" t="s">
        <v>220</v>
      </c>
      <c r="F180" s="509"/>
      <c r="G180" s="509"/>
    </row>
    <row r="181" spans="1:7" x14ac:dyDescent="0.2">
      <c r="A181" s="505" t="str">
        <f t="shared" si="2"/>
        <v>INDEC-CM - 47220-11</v>
      </c>
      <c r="B181" s="505">
        <v>47220</v>
      </c>
      <c r="C181" s="505" t="s">
        <v>45</v>
      </c>
      <c r="D181" s="505">
        <v>11</v>
      </c>
      <c r="E181" s="509" t="s">
        <v>221</v>
      </c>
      <c r="F181" s="509"/>
      <c r="G181" s="509"/>
    </row>
    <row r="182" spans="1:7" x14ac:dyDescent="0.2">
      <c r="A182" s="505" t="str">
        <f t="shared" si="2"/>
        <v>INDEC-CM - 31600-81</v>
      </c>
      <c r="B182" s="505">
        <v>31600</v>
      </c>
      <c r="C182" s="505" t="s">
        <v>45</v>
      </c>
      <c r="D182" s="505">
        <v>81</v>
      </c>
      <c r="E182" s="504" t="s">
        <v>222</v>
      </c>
    </row>
    <row r="183" spans="1:7" x14ac:dyDescent="0.2">
      <c r="A183" s="505" t="str">
        <f t="shared" si="2"/>
        <v>INDEC-CM - 42120-31</v>
      </c>
      <c r="B183" s="505">
        <v>42120</v>
      </c>
      <c r="C183" s="505" t="s">
        <v>45</v>
      </c>
      <c r="D183" s="505">
        <v>31</v>
      </c>
      <c r="E183" s="504" t="s">
        <v>223</v>
      </c>
    </row>
    <row r="184" spans="1:7" x14ac:dyDescent="0.2">
      <c r="A184" s="505" t="str">
        <f t="shared" si="2"/>
        <v>INDEC-CM - 35490-21</v>
      </c>
      <c r="B184" s="505">
        <v>35490</v>
      </c>
      <c r="C184" s="505" t="s">
        <v>45</v>
      </c>
      <c r="D184" s="505">
        <v>21</v>
      </c>
      <c r="E184" s="509" t="s">
        <v>224</v>
      </c>
      <c r="F184" s="509"/>
      <c r="G184" s="509"/>
    </row>
    <row r="185" spans="1:7" x14ac:dyDescent="0.2">
      <c r="A185" s="505" t="str">
        <f t="shared" si="2"/>
        <v>INDEC-CM - 31600-41</v>
      </c>
      <c r="B185" s="505">
        <v>31600</v>
      </c>
      <c r="C185" s="505" t="s">
        <v>45</v>
      </c>
      <c r="D185" s="505">
        <v>41</v>
      </c>
      <c r="E185" s="509" t="s">
        <v>225</v>
      </c>
      <c r="F185" s="509"/>
      <c r="G185" s="509"/>
    </row>
    <row r="186" spans="1:7" x14ac:dyDescent="0.2">
      <c r="A186" s="505" t="str">
        <f t="shared" si="2"/>
        <v>INDEC-CM - 42120-21</v>
      </c>
      <c r="B186" s="505">
        <v>42120</v>
      </c>
      <c r="C186" s="505" t="s">
        <v>45</v>
      </c>
      <c r="D186" s="505">
        <v>21</v>
      </c>
      <c r="E186" s="509" t="s">
        <v>226</v>
      </c>
      <c r="F186" s="509"/>
      <c r="G186" s="509"/>
    </row>
    <row r="187" spans="1:7" x14ac:dyDescent="0.2">
      <c r="A187" s="505" t="str">
        <f t="shared" si="2"/>
        <v>INDEC-CM - 42120-22</v>
      </c>
      <c r="B187" s="505">
        <v>42120</v>
      </c>
      <c r="C187" s="505" t="s">
        <v>45</v>
      </c>
      <c r="D187" s="505">
        <v>22</v>
      </c>
      <c r="E187" s="509" t="s">
        <v>227</v>
      </c>
      <c r="F187" s="509"/>
      <c r="G187" s="509"/>
    </row>
    <row r="188" spans="1:7" x14ac:dyDescent="0.2">
      <c r="A188" s="505" t="str">
        <f t="shared" si="2"/>
        <v>INDEC-CM - 31600-33</v>
      </c>
      <c r="B188" s="505">
        <v>31600</v>
      </c>
      <c r="C188" s="505" t="s">
        <v>45</v>
      </c>
      <c r="D188" s="505">
        <v>33</v>
      </c>
      <c r="E188" s="504" t="s">
        <v>228</v>
      </c>
    </row>
    <row r="189" spans="1:7" x14ac:dyDescent="0.2">
      <c r="A189" s="505" t="str">
        <f t="shared" si="2"/>
        <v>INDEC-CM - 31600-32</v>
      </c>
      <c r="B189" s="505">
        <v>31600</v>
      </c>
      <c r="C189" s="505" t="s">
        <v>45</v>
      </c>
      <c r="D189" s="505">
        <v>32</v>
      </c>
      <c r="E189" s="504" t="s">
        <v>229</v>
      </c>
    </row>
    <row r="190" spans="1:7" x14ac:dyDescent="0.2">
      <c r="A190" s="505" t="str">
        <f t="shared" si="2"/>
        <v>INDEC-CM - 31600-31</v>
      </c>
      <c r="B190" s="505">
        <v>31600</v>
      </c>
      <c r="C190" s="505" t="s">
        <v>45</v>
      </c>
      <c r="D190" s="505">
        <v>31</v>
      </c>
      <c r="E190" s="504" t="s">
        <v>230</v>
      </c>
    </row>
    <row r="191" spans="1:7" x14ac:dyDescent="0.2">
      <c r="A191" s="505" t="str">
        <f t="shared" si="2"/>
        <v>INDEC-CM - 42120-11</v>
      </c>
      <c r="B191" s="505">
        <v>42120</v>
      </c>
      <c r="C191" s="505" t="s">
        <v>45</v>
      </c>
      <c r="D191" s="505">
        <v>11</v>
      </c>
      <c r="E191" s="504" t="s">
        <v>231</v>
      </c>
    </row>
    <row r="192" spans="1:7" x14ac:dyDescent="0.2">
      <c r="A192" s="505" t="str">
        <f t="shared" si="2"/>
        <v>INDEC-CM - 31600-23</v>
      </c>
      <c r="B192" s="505">
        <v>31600</v>
      </c>
      <c r="C192" s="505" t="s">
        <v>45</v>
      </c>
      <c r="D192" s="505">
        <v>23</v>
      </c>
      <c r="E192" s="504" t="s">
        <v>232</v>
      </c>
    </row>
    <row r="193" spans="1:7" x14ac:dyDescent="0.2">
      <c r="A193" s="505" t="str">
        <f t="shared" si="2"/>
        <v>INDEC-CM - 31600-22</v>
      </c>
      <c r="B193" s="505">
        <v>31600</v>
      </c>
      <c r="C193" s="505" t="s">
        <v>45</v>
      </c>
      <c r="D193" s="505">
        <v>22</v>
      </c>
      <c r="E193" s="504" t="s">
        <v>233</v>
      </c>
    </row>
    <row r="194" spans="1:7" x14ac:dyDescent="0.2">
      <c r="A194" s="505" t="str">
        <f t="shared" si="2"/>
        <v>INDEC-CM - 31600-21</v>
      </c>
      <c r="B194" s="505">
        <v>31600</v>
      </c>
      <c r="C194" s="505" t="s">
        <v>45</v>
      </c>
      <c r="D194" s="505">
        <v>21</v>
      </c>
      <c r="E194" s="504" t="s">
        <v>234</v>
      </c>
    </row>
    <row r="195" spans="1:7" x14ac:dyDescent="0.2">
      <c r="A195" s="505" t="str">
        <f t="shared" si="2"/>
        <v>INDEC-CM - 41278-33</v>
      </c>
      <c r="B195" s="505">
        <v>41278</v>
      </c>
      <c r="C195" s="505" t="s">
        <v>45</v>
      </c>
      <c r="D195" s="505">
        <v>33</v>
      </c>
      <c r="E195" s="509" t="s">
        <v>235</v>
      </c>
      <c r="F195" s="509"/>
      <c r="G195" s="509"/>
    </row>
    <row r="196" spans="1:7" x14ac:dyDescent="0.2">
      <c r="A196" s="505" t="str">
        <f t="shared" si="2"/>
        <v>INDEC-CM - 36320-33</v>
      </c>
      <c r="B196" s="505">
        <v>36320</v>
      </c>
      <c r="C196" s="505" t="s">
        <v>45</v>
      </c>
      <c r="D196" s="505">
        <v>33</v>
      </c>
      <c r="E196" s="504" t="s">
        <v>236</v>
      </c>
    </row>
    <row r="197" spans="1:7" x14ac:dyDescent="0.2">
      <c r="A197" s="505" t="str">
        <f t="shared" si="2"/>
        <v>INDEC-CM - 48270-11</v>
      </c>
      <c r="B197" s="505">
        <v>48270</v>
      </c>
      <c r="C197" s="505" t="s">
        <v>45</v>
      </c>
      <c r="D197" s="505">
        <v>11</v>
      </c>
      <c r="E197" s="509" t="s">
        <v>237</v>
      </c>
      <c r="F197" s="509"/>
      <c r="G197" s="509"/>
    </row>
    <row r="198" spans="1:7" x14ac:dyDescent="0.2">
      <c r="A198" s="505" t="str">
        <f t="shared" ref="A198:A220" si="3">CONCATENATE("INDEC-CM - ",B198,C198,D198)</f>
        <v>INDEC-CM - 42190-11</v>
      </c>
      <c r="B198" s="505">
        <v>42190</v>
      </c>
      <c r="C198" s="505" t="s">
        <v>45</v>
      </c>
      <c r="D198" s="505">
        <v>11</v>
      </c>
      <c r="E198" s="504" t="s">
        <v>238</v>
      </c>
    </row>
    <row r="199" spans="1:7" x14ac:dyDescent="0.2">
      <c r="A199" s="505" t="str">
        <f t="shared" si="3"/>
        <v>INDEC-CM - 43923-31</v>
      </c>
      <c r="B199" s="505">
        <v>43923</v>
      </c>
      <c r="C199" s="505" t="s">
        <v>45</v>
      </c>
      <c r="D199" s="505">
        <v>31</v>
      </c>
      <c r="E199" s="509" t="s">
        <v>239</v>
      </c>
      <c r="F199" s="509"/>
      <c r="G199" s="509"/>
    </row>
    <row r="200" spans="1:7" x14ac:dyDescent="0.2">
      <c r="A200" s="505" t="str">
        <f t="shared" si="3"/>
        <v>INDEC-CM - 31210-11</v>
      </c>
      <c r="B200" s="505">
        <v>31210</v>
      </c>
      <c r="C200" s="505" t="s">
        <v>45</v>
      </c>
      <c r="D200" s="505">
        <v>11</v>
      </c>
      <c r="E200" s="509" t="s">
        <v>240</v>
      </c>
      <c r="F200" s="509"/>
      <c r="G200" s="509"/>
    </row>
    <row r="201" spans="1:7" x14ac:dyDescent="0.2">
      <c r="A201" s="505" t="str">
        <f t="shared" si="3"/>
        <v>INDEC-CM - 37129-21</v>
      </c>
      <c r="B201" s="505">
        <v>37129</v>
      </c>
      <c r="C201" s="505" t="s">
        <v>45</v>
      </c>
      <c r="D201" s="505">
        <v>21</v>
      </c>
      <c r="E201" s="504" t="s">
        <v>241</v>
      </c>
    </row>
    <row r="202" spans="1:7" x14ac:dyDescent="0.2">
      <c r="A202" s="505" t="str">
        <f t="shared" si="3"/>
        <v>INDEC-CM - 37560-21</v>
      </c>
      <c r="B202" s="505">
        <v>37560</v>
      </c>
      <c r="C202" s="505" t="s">
        <v>45</v>
      </c>
      <c r="D202" s="505">
        <v>21</v>
      </c>
      <c r="E202" s="509" t="s">
        <v>242</v>
      </c>
      <c r="F202" s="509"/>
      <c r="G202" s="509"/>
    </row>
    <row r="203" spans="1:7" x14ac:dyDescent="0.2">
      <c r="A203" s="505" t="str">
        <f t="shared" si="3"/>
        <v>INDEC-CM - 42999-71</v>
      </c>
      <c r="B203" s="505">
        <v>42999</v>
      </c>
      <c r="C203" s="505" t="s">
        <v>45</v>
      </c>
      <c r="D203" s="505">
        <v>71</v>
      </c>
      <c r="E203" s="504" t="s">
        <v>243</v>
      </c>
    </row>
    <row r="204" spans="1:7" x14ac:dyDescent="0.2">
      <c r="A204" s="505" t="str">
        <f t="shared" si="3"/>
        <v>INDEC-CM - 41516-22</v>
      </c>
      <c r="B204" s="505">
        <v>41516</v>
      </c>
      <c r="C204" s="505" t="s">
        <v>45</v>
      </c>
      <c r="D204" s="505">
        <v>22</v>
      </c>
      <c r="E204" s="504" t="s">
        <v>244</v>
      </c>
    </row>
    <row r="205" spans="1:7" x14ac:dyDescent="0.2">
      <c r="A205" s="505" t="str">
        <f t="shared" si="3"/>
        <v>INDEC-CM - 37350-51</v>
      </c>
      <c r="B205" s="505">
        <v>37350</v>
      </c>
      <c r="C205" s="505" t="s">
        <v>45</v>
      </c>
      <c r="D205" s="505">
        <v>51</v>
      </c>
      <c r="E205" s="504" t="s">
        <v>245</v>
      </c>
    </row>
    <row r="206" spans="1:7" x14ac:dyDescent="0.2">
      <c r="A206" s="505" t="str">
        <f t="shared" si="3"/>
        <v>INDEC-CM - 44826-21</v>
      </c>
      <c r="B206" s="505">
        <v>44826</v>
      </c>
      <c r="C206" s="505" t="s">
        <v>45</v>
      </c>
      <c r="D206" s="505">
        <v>21</v>
      </c>
      <c r="E206" s="504" t="s">
        <v>246</v>
      </c>
    </row>
    <row r="207" spans="1:7" x14ac:dyDescent="0.2">
      <c r="A207" s="505" t="str">
        <f t="shared" si="3"/>
        <v>INDEC-CM - 31210-22</v>
      </c>
      <c r="B207" s="505">
        <v>31210</v>
      </c>
      <c r="C207" s="505" t="s">
        <v>45</v>
      </c>
      <c r="D207" s="505">
        <v>22</v>
      </c>
      <c r="E207" s="504" t="s">
        <v>247</v>
      </c>
    </row>
    <row r="208" spans="1:7" x14ac:dyDescent="0.2">
      <c r="A208" s="505" t="str">
        <f t="shared" si="3"/>
        <v>INDEC-CM - 31100-11</v>
      </c>
      <c r="B208" s="505">
        <v>31100</v>
      </c>
      <c r="C208" s="505" t="s">
        <v>45</v>
      </c>
      <c r="D208" s="505">
        <v>11</v>
      </c>
      <c r="E208" s="504" t="s">
        <v>248</v>
      </c>
    </row>
    <row r="209" spans="1:7" x14ac:dyDescent="0.2">
      <c r="A209" s="505" t="str">
        <f t="shared" si="3"/>
        <v>INDEC-CM - 46212-53</v>
      </c>
      <c r="B209" s="505">
        <v>46212</v>
      </c>
      <c r="C209" s="505" t="s">
        <v>45</v>
      </c>
      <c r="D209" s="505">
        <v>53</v>
      </c>
      <c r="E209" s="504" t="s">
        <v>249</v>
      </c>
    </row>
    <row r="210" spans="1:7" x14ac:dyDescent="0.2">
      <c r="A210" s="505" t="str">
        <f t="shared" si="3"/>
        <v>INDEC-CM - 46212-52</v>
      </c>
      <c r="B210" s="505">
        <v>46212</v>
      </c>
      <c r="C210" s="505" t="s">
        <v>45</v>
      </c>
      <c r="D210" s="505">
        <v>52</v>
      </c>
      <c r="E210" s="509" t="s">
        <v>250</v>
      </c>
      <c r="F210" s="509"/>
      <c r="G210" s="509"/>
    </row>
    <row r="211" spans="1:7" x14ac:dyDescent="0.2">
      <c r="A211" s="505" t="str">
        <f t="shared" si="3"/>
        <v>INDEC-CM - 15400-21</v>
      </c>
      <c r="B211" s="505">
        <v>15400</v>
      </c>
      <c r="C211" s="505" t="s">
        <v>45</v>
      </c>
      <c r="D211" s="505">
        <v>21</v>
      </c>
      <c r="E211" s="504" t="s">
        <v>251</v>
      </c>
    </row>
    <row r="212" spans="1:7" x14ac:dyDescent="0.2">
      <c r="A212" s="505" t="str">
        <f t="shared" si="3"/>
        <v>INDEC-CM - 43240-11</v>
      </c>
      <c r="B212" s="505">
        <v>43240</v>
      </c>
      <c r="C212" s="505" t="s">
        <v>45</v>
      </c>
      <c r="D212" s="505">
        <v>11</v>
      </c>
      <c r="E212" s="504" t="s">
        <v>252</v>
      </c>
    </row>
    <row r="213" spans="1:7" x14ac:dyDescent="0.2">
      <c r="A213" s="505" t="str">
        <f t="shared" si="3"/>
        <v>INDEC-CM - 31600-42</v>
      </c>
      <c r="B213" s="505">
        <v>31600</v>
      </c>
      <c r="C213" s="505" t="s">
        <v>45</v>
      </c>
      <c r="D213" s="505">
        <v>42</v>
      </c>
      <c r="E213" s="509" t="s">
        <v>253</v>
      </c>
      <c r="F213" s="509"/>
      <c r="G213" s="509"/>
    </row>
    <row r="214" spans="1:7" x14ac:dyDescent="0.2">
      <c r="A214" s="510" t="str">
        <f t="shared" si="3"/>
        <v>INDEC-CM - 42120-42</v>
      </c>
      <c r="B214" s="510">
        <v>42120</v>
      </c>
      <c r="C214" s="510" t="s">
        <v>45</v>
      </c>
      <c r="D214" s="510">
        <v>42</v>
      </c>
      <c r="E214" s="512" t="s">
        <v>254</v>
      </c>
      <c r="F214" s="504" t="s">
        <v>1897</v>
      </c>
    </row>
    <row r="215" spans="1:7" x14ac:dyDescent="0.2">
      <c r="A215" s="510" t="str">
        <f t="shared" si="3"/>
        <v>INDEC-CM - 42120-41</v>
      </c>
      <c r="B215" s="510">
        <v>42120</v>
      </c>
      <c r="C215" s="510" t="s">
        <v>45</v>
      </c>
      <c r="D215" s="510">
        <v>41</v>
      </c>
      <c r="E215" s="512" t="s">
        <v>255</v>
      </c>
      <c r="F215" s="504" t="s">
        <v>1897</v>
      </c>
    </row>
    <row r="216" spans="1:7" x14ac:dyDescent="0.2">
      <c r="A216" s="510" t="str">
        <f t="shared" si="3"/>
        <v>INDEC-CM - 42120-51</v>
      </c>
      <c r="B216" s="510">
        <v>42120</v>
      </c>
      <c r="C216" s="510" t="s">
        <v>45</v>
      </c>
      <c r="D216" s="510">
        <v>51</v>
      </c>
      <c r="E216" s="511" t="s">
        <v>256</v>
      </c>
      <c r="F216" s="504" t="s">
        <v>1897</v>
      </c>
    </row>
    <row r="217" spans="1:7" x14ac:dyDescent="0.2">
      <c r="A217" s="505" t="str">
        <f t="shared" si="3"/>
        <v>INDEC-CM - 37550-11</v>
      </c>
      <c r="B217" s="505">
        <v>37550</v>
      </c>
      <c r="C217" s="505" t="s">
        <v>45</v>
      </c>
      <c r="D217" s="505">
        <v>11</v>
      </c>
      <c r="E217" s="504" t="s">
        <v>257</v>
      </c>
    </row>
    <row r="218" spans="1:7" x14ac:dyDescent="0.2">
      <c r="A218" s="505" t="str">
        <f t="shared" si="3"/>
        <v>INDEC-CM - 37410-11</v>
      </c>
      <c r="B218" s="505">
        <v>37410</v>
      </c>
      <c r="C218" s="505" t="s">
        <v>45</v>
      </c>
      <c r="D218" s="505">
        <v>11</v>
      </c>
      <c r="E218" s="504" t="s">
        <v>258</v>
      </c>
    </row>
    <row r="219" spans="1:7" x14ac:dyDescent="0.2">
      <c r="A219" s="505" t="str">
        <f t="shared" si="3"/>
        <v>INDEC-CM - 31210-33</v>
      </c>
      <c r="B219" s="505">
        <v>31210</v>
      </c>
      <c r="C219" s="505" t="s">
        <v>45</v>
      </c>
      <c r="D219" s="505">
        <v>33</v>
      </c>
      <c r="E219" s="504" t="s">
        <v>259</v>
      </c>
    </row>
    <row r="220" spans="1:7" x14ac:dyDescent="0.2">
      <c r="A220" s="505" t="str">
        <f t="shared" si="3"/>
        <v>INDEC-CM - 37540-21</v>
      </c>
      <c r="B220" s="505">
        <v>37540</v>
      </c>
      <c r="C220" s="505" t="s">
        <v>45</v>
      </c>
      <c r="D220" s="505">
        <v>21</v>
      </c>
      <c r="E220" s="504" t="s">
        <v>260</v>
      </c>
    </row>
    <row r="223" spans="1:7" x14ac:dyDescent="0.2">
      <c r="A223" s="16"/>
      <c r="B223" s="503" t="s">
        <v>535</v>
      </c>
      <c r="C223" s="15"/>
      <c r="D223" s="15"/>
      <c r="E223" s="16"/>
    </row>
    <row r="224" spans="1:7" x14ac:dyDescent="0.2">
      <c r="A224" s="16"/>
      <c r="B224" s="513"/>
      <c r="C224" s="15"/>
      <c r="D224" s="15"/>
      <c r="E224" s="16"/>
    </row>
    <row r="225" spans="1:5" x14ac:dyDescent="0.2">
      <c r="A225" s="744" t="s">
        <v>343</v>
      </c>
      <c r="B225" s="744" t="s">
        <v>42</v>
      </c>
      <c r="C225" s="744"/>
      <c r="D225" s="744"/>
      <c r="E225" s="744" t="s">
        <v>43</v>
      </c>
    </row>
    <row r="226" spans="1:5" x14ac:dyDescent="0.2">
      <c r="A226" s="744"/>
      <c r="B226" s="744" t="s">
        <v>44</v>
      </c>
      <c r="C226" s="744"/>
      <c r="D226" s="744"/>
      <c r="E226" s="744"/>
    </row>
    <row r="227" spans="1:5" x14ac:dyDescent="0.2">
      <c r="A227" s="505" t="str">
        <f>CONCATENATE(B227,C227,D227)</f>
        <v/>
      </c>
      <c r="B227" s="514"/>
      <c r="C227" s="15"/>
      <c r="D227" s="15"/>
      <c r="E227" s="16"/>
    </row>
    <row r="228" spans="1:5" x14ac:dyDescent="0.2">
      <c r="A228" s="505" t="str">
        <f>CONCATENATE("INDEC-CM - ",B228,C228,D228)</f>
        <v>INDEC-CM - 37370-0</v>
      </c>
      <c r="B228" s="15">
        <v>37370</v>
      </c>
      <c r="C228" s="15" t="s">
        <v>45</v>
      </c>
      <c r="D228" s="15">
        <v>0</v>
      </c>
      <c r="E228" s="16" t="s">
        <v>536</v>
      </c>
    </row>
    <row r="229" spans="1:5" x14ac:dyDescent="0.2">
      <c r="A229" s="505" t="str">
        <f>CONCATENATE("INDEC-CM - ",B229,C229,D229)</f>
        <v>INDEC-CM - 31600-6</v>
      </c>
      <c r="B229" s="15">
        <v>31600</v>
      </c>
      <c r="C229" s="15" t="s">
        <v>45</v>
      </c>
      <c r="D229" s="15">
        <v>6</v>
      </c>
      <c r="E229" s="16" t="s">
        <v>537</v>
      </c>
    </row>
    <row r="230" spans="1:5" x14ac:dyDescent="0.2">
      <c r="A230" s="505" t="str">
        <f>CONCATENATE("INDEC-CM - ",B230,C230,D230)</f>
        <v>INDEC-CM - 41278-0</v>
      </c>
      <c r="B230" s="15">
        <v>41278</v>
      </c>
      <c r="C230" s="15" t="s">
        <v>45</v>
      </c>
      <c r="D230" s="15">
        <v>0</v>
      </c>
      <c r="E230" s="16" t="s">
        <v>538</v>
      </c>
    </row>
    <row r="231" spans="1:5" x14ac:dyDescent="0.2">
      <c r="A231" s="505" t="str">
        <f>CONCATENATE("INDEC-CM - ",B231,C231,D231)</f>
        <v>INDEC-CM - 31600-7</v>
      </c>
      <c r="B231" s="15">
        <v>31600</v>
      </c>
      <c r="C231" s="15" t="s">
        <v>45</v>
      </c>
      <c r="D231" s="15">
        <v>7</v>
      </c>
      <c r="E231" s="16" t="s">
        <v>539</v>
      </c>
    </row>
    <row r="232" spans="1:5" x14ac:dyDescent="0.2">
      <c r="A232" s="505" t="str">
        <f>CONCATENATE("INDEC-CM - ",B232,C232,D232)</f>
        <v>INDEC-CM - 42120-41/42/51</v>
      </c>
      <c r="B232" s="15">
        <v>42120</v>
      </c>
      <c r="C232" s="15" t="s">
        <v>45</v>
      </c>
      <c r="D232" s="15" t="s">
        <v>540</v>
      </c>
      <c r="E232" s="16" t="s">
        <v>541</v>
      </c>
    </row>
    <row r="235" spans="1:5" x14ac:dyDescent="0.2">
      <c r="A235" s="503"/>
      <c r="B235" s="503" t="s">
        <v>543</v>
      </c>
      <c r="C235" s="503"/>
      <c r="D235" s="503"/>
      <c r="E235" s="503"/>
    </row>
    <row r="236" spans="1:5" x14ac:dyDescent="0.2">
      <c r="A236" s="509"/>
      <c r="D236" s="515"/>
    </row>
    <row r="237" spans="1:5" x14ac:dyDescent="0.2">
      <c r="A237" s="744" t="s">
        <v>343</v>
      </c>
      <c r="B237" s="744" t="s">
        <v>42</v>
      </c>
      <c r="C237" s="744"/>
      <c r="D237" s="744"/>
      <c r="E237" s="744" t="s">
        <v>331</v>
      </c>
    </row>
    <row r="238" spans="1:5" x14ac:dyDescent="0.2">
      <c r="A238" s="744"/>
      <c r="B238" s="744"/>
      <c r="C238" s="744"/>
      <c r="D238" s="744"/>
      <c r="E238" s="744"/>
    </row>
    <row r="239" spans="1:5" x14ac:dyDescent="0.2">
      <c r="E239" s="516" t="s">
        <v>267</v>
      </c>
    </row>
    <row r="240" spans="1:5" x14ac:dyDescent="0.2">
      <c r="E240" s="516"/>
    </row>
    <row r="241" spans="1:5" x14ac:dyDescent="0.2">
      <c r="A241" s="509"/>
      <c r="D241" s="515"/>
      <c r="E241" s="502" t="s">
        <v>332</v>
      </c>
    </row>
    <row r="242" spans="1:5" x14ac:dyDescent="0.2">
      <c r="A242" s="509"/>
      <c r="D242" s="515"/>
      <c r="E242" s="502"/>
    </row>
    <row r="243" spans="1:5" x14ac:dyDescent="0.2">
      <c r="B243" s="515"/>
      <c r="E243" s="502" t="s">
        <v>333</v>
      </c>
    </row>
    <row r="244" spans="1:5" x14ac:dyDescent="0.2">
      <c r="A244" s="505" t="str">
        <f>CONCATENATE("INDEC-MO - ",B244,C244,D244)</f>
        <v>INDEC-MO - 51560-11</v>
      </c>
      <c r="B244" s="505">
        <v>51560</v>
      </c>
      <c r="C244" s="505" t="s">
        <v>45</v>
      </c>
      <c r="D244" s="505">
        <v>11</v>
      </c>
      <c r="E244" s="508" t="s">
        <v>1726</v>
      </c>
    </row>
    <row r="245" spans="1:5" x14ac:dyDescent="0.2">
      <c r="A245" s="505" t="str">
        <f>CONCATENATE("INDEC-MO - ",B245,C245,D245)</f>
        <v>INDEC-MO - 51560-12</v>
      </c>
      <c r="B245" s="505">
        <v>51560</v>
      </c>
      <c r="C245" s="505" t="s">
        <v>45</v>
      </c>
      <c r="D245" s="505">
        <v>12</v>
      </c>
      <c r="E245" s="508" t="s">
        <v>901</v>
      </c>
    </row>
    <row r="246" spans="1:5" x14ac:dyDescent="0.2">
      <c r="A246" s="505" t="str">
        <f>CONCATENATE("INDEC-MO - ",B246,C246,D246)</f>
        <v>INDEC-MO - 51560-13</v>
      </c>
      <c r="B246" s="505">
        <v>51560</v>
      </c>
      <c r="C246" s="505" t="s">
        <v>45</v>
      </c>
      <c r="D246" s="505">
        <v>13</v>
      </c>
      <c r="E246" s="508" t="s">
        <v>981</v>
      </c>
    </row>
    <row r="247" spans="1:5" x14ac:dyDescent="0.2">
      <c r="A247" s="505" t="str">
        <f>CONCATENATE("INDEC-MO - ",B247,C247,D247)</f>
        <v>INDEC-MO - 51560-14</v>
      </c>
      <c r="B247" s="505">
        <v>51560</v>
      </c>
      <c r="C247" s="505" t="s">
        <v>45</v>
      </c>
      <c r="D247" s="505">
        <v>14</v>
      </c>
      <c r="E247" s="508" t="s">
        <v>717</v>
      </c>
    </row>
    <row r="248" spans="1:5" x14ac:dyDescent="0.2">
      <c r="A248" s="505" t="str">
        <f>CONCATENATE(B248,C248,D248)</f>
        <v/>
      </c>
    </row>
    <row r="249" spans="1:5" x14ac:dyDescent="0.2">
      <c r="A249" s="505" t="str">
        <f>CONCATENATE("INDEC-MO - ",B249,C249,D249)</f>
        <v>INDEC-MO - 51560-32</v>
      </c>
      <c r="B249" s="505">
        <v>51560</v>
      </c>
      <c r="C249" s="505" t="s">
        <v>45</v>
      </c>
      <c r="D249" s="505">
        <v>32</v>
      </c>
      <c r="E249" s="502" t="s">
        <v>334</v>
      </c>
    </row>
    <row r="250" spans="1:5" x14ac:dyDescent="0.2">
      <c r="A250" s="505" t="str">
        <f>CONCATENATE(B250,C250,D250)</f>
        <v/>
      </c>
    </row>
    <row r="251" spans="1:5" x14ac:dyDescent="0.2">
      <c r="A251" s="505" t="str">
        <f>CONCATENATE("INDEC-MO - ",B251,C251,D251)</f>
        <v>INDEC-MO - 81291-1</v>
      </c>
      <c r="B251" s="505">
        <v>81291</v>
      </c>
      <c r="C251" s="505" t="s">
        <v>45</v>
      </c>
      <c r="D251" s="505">
        <v>1</v>
      </c>
      <c r="E251" s="516" t="s">
        <v>335</v>
      </c>
    </row>
    <row r="252" spans="1:5" x14ac:dyDescent="0.2">
      <c r="A252" s="505" t="str">
        <f>CONCATENATE(B252,C252,D252)</f>
        <v/>
      </c>
    </row>
    <row r="253" spans="1:5" x14ac:dyDescent="0.2">
      <c r="A253" s="505" t="str">
        <f>CONCATENATE(B253,C253,D253)</f>
        <v/>
      </c>
      <c r="E253" s="516" t="s">
        <v>336</v>
      </c>
    </row>
    <row r="254" spans="1:5" x14ac:dyDescent="0.2">
      <c r="A254" s="505" t="str">
        <f t="shared" ref="A254:A259" si="4">CONCATENATE("INDEC-MO - ",B254,C254,D254)</f>
        <v>INDEC-MO - 51641-1</v>
      </c>
      <c r="B254" s="505">
        <v>51641</v>
      </c>
      <c r="C254" s="505" t="s">
        <v>45</v>
      </c>
      <c r="D254" s="505">
        <v>1</v>
      </c>
      <c r="E254" s="508" t="s">
        <v>337</v>
      </c>
    </row>
    <row r="255" spans="1:5" x14ac:dyDescent="0.2">
      <c r="A255" s="505" t="str">
        <f t="shared" si="4"/>
        <v>INDEC-MO - 51620-1</v>
      </c>
      <c r="B255" s="505">
        <v>51620</v>
      </c>
      <c r="C255" s="505" t="s">
        <v>45</v>
      </c>
      <c r="D255" s="505">
        <v>1</v>
      </c>
      <c r="E255" s="508" t="s">
        <v>338</v>
      </c>
    </row>
    <row r="256" spans="1:5" x14ac:dyDescent="0.2">
      <c r="A256" s="505" t="str">
        <f t="shared" si="4"/>
        <v>INDEC-MO - 51690-1</v>
      </c>
      <c r="B256" s="505">
        <v>51690</v>
      </c>
      <c r="C256" s="505" t="s">
        <v>45</v>
      </c>
      <c r="D256" s="505">
        <v>1</v>
      </c>
      <c r="E256" s="508" t="s">
        <v>339</v>
      </c>
    </row>
    <row r="257" spans="1:7" x14ac:dyDescent="0.2">
      <c r="A257" s="505" t="str">
        <f t="shared" si="4"/>
        <v>INDEC-MO - 51630-1</v>
      </c>
      <c r="B257" s="505">
        <v>51630</v>
      </c>
      <c r="C257" s="505" t="s">
        <v>45</v>
      </c>
      <c r="D257" s="505">
        <v>1</v>
      </c>
      <c r="E257" s="508" t="s">
        <v>340</v>
      </c>
    </row>
    <row r="258" spans="1:7" x14ac:dyDescent="0.2">
      <c r="A258" s="510" t="str">
        <f t="shared" si="4"/>
        <v>INDEC-MO - 51720-1</v>
      </c>
      <c r="B258" s="510">
        <v>51720</v>
      </c>
      <c r="C258" s="510" t="s">
        <v>45</v>
      </c>
      <c r="D258" s="510">
        <v>1</v>
      </c>
      <c r="E258" s="517" t="s">
        <v>341</v>
      </c>
      <c r="F258" s="504" t="s">
        <v>1897</v>
      </c>
    </row>
    <row r="259" spans="1:7" x14ac:dyDescent="0.2">
      <c r="A259" s="505" t="str">
        <f t="shared" si="4"/>
        <v>INDEC-MO - 51730-1</v>
      </c>
      <c r="B259" s="505">
        <v>51730</v>
      </c>
      <c r="C259" s="505" t="s">
        <v>45</v>
      </c>
      <c r="D259" s="505">
        <v>1</v>
      </c>
      <c r="E259" s="508" t="s">
        <v>342</v>
      </c>
    </row>
    <row r="262" spans="1:7" x14ac:dyDescent="0.2">
      <c r="A262" s="513"/>
      <c r="B262" s="503" t="s">
        <v>544</v>
      </c>
      <c r="C262" s="15"/>
      <c r="D262" s="15"/>
      <c r="E262" s="15"/>
      <c r="F262" s="15"/>
      <c r="G262" s="513"/>
    </row>
    <row r="263" spans="1:7" x14ac:dyDescent="0.2">
      <c r="A263" s="518"/>
      <c r="B263" s="15"/>
      <c r="C263" s="15"/>
      <c r="D263" s="519"/>
      <c r="E263" s="16"/>
      <c r="F263" s="16"/>
      <c r="G263" s="520"/>
    </row>
    <row r="264" spans="1:7" x14ac:dyDescent="0.2">
      <c r="A264" s="744" t="s">
        <v>343</v>
      </c>
      <c r="B264" s="744" t="s">
        <v>42</v>
      </c>
      <c r="C264" s="744"/>
      <c r="D264" s="744"/>
      <c r="E264" s="744" t="s">
        <v>331</v>
      </c>
      <c r="F264" s="521"/>
      <c r="G264" s="521"/>
    </row>
    <row r="265" spans="1:7" x14ac:dyDescent="0.2">
      <c r="A265" s="744"/>
      <c r="B265" s="744"/>
      <c r="C265" s="744"/>
      <c r="D265" s="744"/>
      <c r="E265" s="744"/>
      <c r="F265" s="521"/>
      <c r="G265" s="521"/>
    </row>
    <row r="266" spans="1:7" x14ac:dyDescent="0.2">
      <c r="A266" s="16"/>
      <c r="B266" s="15"/>
      <c r="C266" s="15"/>
      <c r="D266" s="15"/>
      <c r="E266" s="16"/>
      <c r="F266" s="16"/>
      <c r="G266" s="16"/>
    </row>
    <row r="267" spans="1:7" x14ac:dyDescent="0.2">
      <c r="A267" s="505" t="str">
        <f>CONCATENATE("INDEC-MO - ",B267,C267,D267)</f>
        <v>INDEC-MO - 51720-1</v>
      </c>
      <c r="B267" s="505">
        <v>51720</v>
      </c>
      <c r="C267" s="505" t="s">
        <v>45</v>
      </c>
      <c r="D267" s="505">
        <v>1</v>
      </c>
      <c r="E267" s="14" t="s">
        <v>545</v>
      </c>
      <c r="F267" s="16"/>
      <c r="G267" s="16"/>
    </row>
    <row r="268" spans="1:7" x14ac:dyDescent="0.2">
      <c r="A268" s="16"/>
      <c r="B268" s="15"/>
      <c r="C268" s="15"/>
      <c r="D268" s="15"/>
      <c r="E268" s="16"/>
      <c r="F268" s="16"/>
      <c r="G268" s="16"/>
    </row>
    <row r="271" spans="1:7" x14ac:dyDescent="0.2">
      <c r="A271" s="502"/>
      <c r="B271" s="503" t="s">
        <v>344</v>
      </c>
      <c r="C271" s="503"/>
      <c r="D271" s="503"/>
    </row>
    <row r="273" spans="1:6" x14ac:dyDescent="0.2">
      <c r="A273" s="744" t="s">
        <v>343</v>
      </c>
      <c r="B273" s="744" t="s">
        <v>42</v>
      </c>
      <c r="C273" s="744"/>
      <c r="D273" s="744"/>
      <c r="E273" s="744" t="s">
        <v>345</v>
      </c>
    </row>
    <row r="274" spans="1:6" x14ac:dyDescent="0.2">
      <c r="A274" s="744"/>
      <c r="B274" s="744" t="s">
        <v>44</v>
      </c>
      <c r="C274" s="744"/>
      <c r="D274" s="744"/>
      <c r="E274" s="744"/>
    </row>
    <row r="275" spans="1:6" x14ac:dyDescent="0.2">
      <c r="E275" s="507"/>
    </row>
    <row r="276" spans="1:6" x14ac:dyDescent="0.2">
      <c r="A276" s="505" t="str">
        <f t="shared" ref="A276:A283" si="5">CONCATENATE("INDEC-EC - ",B276,C276,D276)</f>
        <v>INDEC-EC - 43520-11</v>
      </c>
      <c r="B276" s="505">
        <v>43520</v>
      </c>
      <c r="C276" s="505" t="s">
        <v>45</v>
      </c>
      <c r="D276" s="505">
        <v>11</v>
      </c>
      <c r="E276" s="508" t="s">
        <v>346</v>
      </c>
    </row>
    <row r="277" spans="1:6" x14ac:dyDescent="0.2">
      <c r="A277" s="505" t="str">
        <f t="shared" si="5"/>
        <v>INDEC-EC - 44440-2</v>
      </c>
      <c r="B277" s="505">
        <v>44440</v>
      </c>
      <c r="C277" s="505" t="s">
        <v>45</v>
      </c>
      <c r="D277" s="505">
        <v>2</v>
      </c>
      <c r="E277" s="508" t="s">
        <v>347</v>
      </c>
    </row>
    <row r="278" spans="1:6" x14ac:dyDescent="0.2">
      <c r="A278" s="505" t="str">
        <f t="shared" si="5"/>
        <v>INDEC-EC - 44221-11</v>
      </c>
      <c r="B278" s="505">
        <v>44221</v>
      </c>
      <c r="C278" s="505" t="s">
        <v>45</v>
      </c>
      <c r="D278" s="505">
        <v>11</v>
      </c>
      <c r="E278" s="508" t="s">
        <v>348</v>
      </c>
    </row>
    <row r="279" spans="1:6" x14ac:dyDescent="0.2">
      <c r="A279" s="505" t="str">
        <f t="shared" si="5"/>
        <v>INDEC-EC - 44221-12</v>
      </c>
      <c r="B279" s="505">
        <v>44221</v>
      </c>
      <c r="C279" s="505" t="s">
        <v>45</v>
      </c>
      <c r="D279" s="505">
        <v>12</v>
      </c>
      <c r="E279" s="508" t="s">
        <v>349</v>
      </c>
    </row>
    <row r="280" spans="1:6" x14ac:dyDescent="0.2">
      <c r="A280" s="505" t="str">
        <f t="shared" si="5"/>
        <v>INDEC-EC - 43520-21</v>
      </c>
      <c r="B280" s="505">
        <v>43520</v>
      </c>
      <c r="C280" s="505" t="s">
        <v>45</v>
      </c>
      <c r="D280" s="505">
        <v>21</v>
      </c>
      <c r="E280" s="508" t="s">
        <v>350</v>
      </c>
    </row>
    <row r="281" spans="1:6" x14ac:dyDescent="0.2">
      <c r="A281" s="505" t="str">
        <f t="shared" si="5"/>
        <v>INDEC-EC - 44231-21</v>
      </c>
      <c r="B281" s="505">
        <v>44231</v>
      </c>
      <c r="C281" s="505" t="s">
        <v>45</v>
      </c>
      <c r="D281" s="505">
        <v>21</v>
      </c>
      <c r="E281" s="508" t="s">
        <v>351</v>
      </c>
    </row>
    <row r="282" spans="1:6" x14ac:dyDescent="0.2">
      <c r="A282" s="510" t="str">
        <f t="shared" si="5"/>
        <v>INDEC-EC - 44440-11</v>
      </c>
      <c r="B282" s="510">
        <v>44440</v>
      </c>
      <c r="C282" s="510" t="s">
        <v>45</v>
      </c>
      <c r="D282" s="510">
        <v>11</v>
      </c>
      <c r="E282" s="517" t="s">
        <v>352</v>
      </c>
      <c r="F282" s="504" t="s">
        <v>1897</v>
      </c>
    </row>
    <row r="283" spans="1:6" x14ac:dyDescent="0.2">
      <c r="A283" s="505" t="str">
        <f t="shared" si="5"/>
        <v>INDEC-EC - 44231-11</v>
      </c>
      <c r="B283" s="505">
        <v>44231</v>
      </c>
      <c r="C283" s="505" t="s">
        <v>45</v>
      </c>
      <c r="D283" s="505">
        <v>11</v>
      </c>
      <c r="E283" s="508" t="s">
        <v>353</v>
      </c>
    </row>
    <row r="286" spans="1:6" x14ac:dyDescent="0.2">
      <c r="A286" s="502"/>
      <c r="B286" s="503" t="s">
        <v>354</v>
      </c>
      <c r="C286" s="503"/>
      <c r="D286" s="503"/>
    </row>
    <row r="288" spans="1:6" x14ac:dyDescent="0.2">
      <c r="A288" s="744" t="s">
        <v>343</v>
      </c>
      <c r="B288" s="744" t="s">
        <v>42</v>
      </c>
      <c r="C288" s="744"/>
      <c r="D288" s="744"/>
      <c r="E288" s="744" t="s">
        <v>355</v>
      </c>
    </row>
    <row r="289" spans="1:7" x14ac:dyDescent="0.2">
      <c r="A289" s="744"/>
      <c r="B289" s="744" t="s">
        <v>44</v>
      </c>
      <c r="C289" s="744"/>
      <c r="D289" s="744"/>
      <c r="E289" s="744"/>
    </row>
    <row r="290" spans="1:7" x14ac:dyDescent="0.2">
      <c r="E290" s="507"/>
    </row>
    <row r="291" spans="1:7" x14ac:dyDescent="0.2">
      <c r="A291" s="505" t="str">
        <f t="shared" ref="A291:A298" si="6">CONCATENATE("INDEC-SA - ",B291,C291,D291)</f>
        <v>INDEC-SA - 83107-1</v>
      </c>
      <c r="B291" s="505">
        <v>83107</v>
      </c>
      <c r="C291" s="505" t="s">
        <v>45</v>
      </c>
      <c r="D291" s="505">
        <v>1</v>
      </c>
      <c r="E291" s="504" t="s">
        <v>356</v>
      </c>
    </row>
    <row r="292" spans="1:7" x14ac:dyDescent="0.2">
      <c r="A292" s="505" t="str">
        <f t="shared" si="6"/>
        <v>INDEC-SA - 71240-21</v>
      </c>
      <c r="B292" s="505">
        <v>71240</v>
      </c>
      <c r="C292" s="505" t="s">
        <v>45</v>
      </c>
      <c r="D292" s="505">
        <v>21</v>
      </c>
      <c r="E292" s="504" t="s">
        <v>357</v>
      </c>
    </row>
    <row r="293" spans="1:7" x14ac:dyDescent="0.2">
      <c r="A293" s="505" t="str">
        <f t="shared" si="6"/>
        <v>INDEC-SA - 71240-31</v>
      </c>
      <c r="B293" s="505">
        <v>71240</v>
      </c>
      <c r="C293" s="505" t="s">
        <v>45</v>
      </c>
      <c r="D293" s="505">
        <v>31</v>
      </c>
      <c r="E293" s="504" t="s">
        <v>358</v>
      </c>
    </row>
    <row r="294" spans="1:7" x14ac:dyDescent="0.2">
      <c r="A294" s="642" t="str">
        <f t="shared" si="6"/>
        <v>INDEC-SA - 71240-11</v>
      </c>
      <c r="B294" s="642">
        <v>71240</v>
      </c>
      <c r="C294" s="642" t="s">
        <v>45</v>
      </c>
      <c r="D294" s="642">
        <v>11</v>
      </c>
      <c r="E294" s="645" t="s">
        <v>359</v>
      </c>
    </row>
    <row r="295" spans="1:7" x14ac:dyDescent="0.2">
      <c r="A295" s="505" t="str">
        <f t="shared" si="6"/>
        <v>INDEC-SA - 74110-11</v>
      </c>
      <c r="B295" s="505">
        <v>74110</v>
      </c>
      <c r="C295" s="505" t="s">
        <v>45</v>
      </c>
      <c r="D295" s="505">
        <v>11</v>
      </c>
      <c r="E295" s="504" t="s">
        <v>360</v>
      </c>
    </row>
    <row r="296" spans="1:7" x14ac:dyDescent="0.2">
      <c r="A296" s="505" t="str">
        <f t="shared" si="6"/>
        <v>INDEC-SA - 71233-11</v>
      </c>
      <c r="B296" s="505">
        <v>71233</v>
      </c>
      <c r="C296" s="505" t="s">
        <v>45</v>
      </c>
      <c r="D296" s="505">
        <v>11</v>
      </c>
      <c r="E296" s="504" t="s">
        <v>361</v>
      </c>
    </row>
    <row r="297" spans="1:7" x14ac:dyDescent="0.2">
      <c r="A297" s="505" t="str">
        <f t="shared" si="6"/>
        <v>INDEC-SA - 51800-11</v>
      </c>
      <c r="B297" s="505">
        <v>51800</v>
      </c>
      <c r="C297" s="505" t="s">
        <v>45</v>
      </c>
      <c r="D297" s="505">
        <v>11</v>
      </c>
      <c r="E297" s="522" t="s">
        <v>362</v>
      </c>
    </row>
    <row r="298" spans="1:7" x14ac:dyDescent="0.2">
      <c r="A298" s="505" t="str">
        <f t="shared" si="6"/>
        <v>INDEC-SA - 51800-21</v>
      </c>
      <c r="B298" s="505">
        <v>51800</v>
      </c>
      <c r="C298" s="505" t="s">
        <v>45</v>
      </c>
      <c r="D298" s="505">
        <v>21</v>
      </c>
      <c r="E298" s="504" t="s">
        <v>363</v>
      </c>
    </row>
    <row r="301" spans="1:7" x14ac:dyDescent="0.2">
      <c r="A301" s="523"/>
      <c r="B301" s="503" t="s">
        <v>503</v>
      </c>
      <c r="C301" s="524"/>
      <c r="D301" s="524"/>
      <c r="E301" s="523"/>
      <c r="F301" s="523"/>
      <c r="G301" s="523"/>
    </row>
    <row r="303" spans="1:7" x14ac:dyDescent="0.2">
      <c r="A303" s="744" t="s">
        <v>343</v>
      </c>
      <c r="B303" s="744" t="s">
        <v>42</v>
      </c>
      <c r="C303" s="744"/>
      <c r="D303" s="744"/>
      <c r="E303" s="744" t="s">
        <v>43</v>
      </c>
    </row>
    <row r="304" spans="1:7" x14ac:dyDescent="0.2">
      <c r="A304" s="744"/>
      <c r="B304" s="744" t="s">
        <v>44</v>
      </c>
      <c r="C304" s="744"/>
      <c r="D304" s="744"/>
      <c r="E304" s="744"/>
    </row>
    <row r="305" spans="1:6" x14ac:dyDescent="0.2">
      <c r="A305" s="507"/>
      <c r="B305" s="507"/>
      <c r="C305" s="507"/>
      <c r="D305" s="507"/>
      <c r="E305" s="507"/>
    </row>
    <row r="306" spans="1:6" x14ac:dyDescent="0.2">
      <c r="A306" s="505" t="str">
        <f t="shared" ref="A306:A369" si="7">CONCATENATE("INDEC-PB - ",B306,C306,D306)</f>
        <v>INDEC-PB - 42120-1</v>
      </c>
      <c r="B306" s="505">
        <v>42120</v>
      </c>
      <c r="C306" s="505" t="s">
        <v>45</v>
      </c>
      <c r="D306" s="505">
        <v>1</v>
      </c>
      <c r="E306" s="525" t="s">
        <v>364</v>
      </c>
    </row>
    <row r="307" spans="1:6" x14ac:dyDescent="0.2">
      <c r="A307" s="505" t="str">
        <f t="shared" si="7"/>
        <v>INDEC-PB - 42120-2</v>
      </c>
      <c r="B307" s="505">
        <v>42120</v>
      </c>
      <c r="C307" s="505" t="s">
        <v>45</v>
      </c>
      <c r="D307" s="505">
        <v>2</v>
      </c>
      <c r="E307" s="525" t="s">
        <v>365</v>
      </c>
    </row>
    <row r="308" spans="1:6" x14ac:dyDescent="0.2">
      <c r="A308" s="505" t="str">
        <f t="shared" si="7"/>
        <v>INDEC-PB - 37910-1</v>
      </c>
      <c r="B308" s="505">
        <v>37910</v>
      </c>
      <c r="C308" s="505" t="s">
        <v>45</v>
      </c>
      <c r="D308" s="505">
        <v>1</v>
      </c>
      <c r="E308" s="525" t="s">
        <v>366</v>
      </c>
    </row>
    <row r="309" spans="1:6" x14ac:dyDescent="0.2">
      <c r="A309" s="505" t="str">
        <f t="shared" si="7"/>
        <v>INDEC-PB - 42921-4</v>
      </c>
      <c r="B309" s="505">
        <v>42921</v>
      </c>
      <c r="C309" s="505" t="s">
        <v>45</v>
      </c>
      <c r="D309" s="505">
        <v>4</v>
      </c>
      <c r="E309" s="525" t="s">
        <v>367</v>
      </c>
    </row>
    <row r="310" spans="1:6" x14ac:dyDescent="0.2">
      <c r="A310" s="505" t="str">
        <f t="shared" si="7"/>
        <v>INDEC-PB - 44251-1</v>
      </c>
      <c r="B310" s="505">
        <v>44251</v>
      </c>
      <c r="C310" s="505" t="s">
        <v>45</v>
      </c>
      <c r="D310" s="505">
        <v>1</v>
      </c>
      <c r="E310" s="525" t="s">
        <v>368</v>
      </c>
    </row>
    <row r="311" spans="1:6" x14ac:dyDescent="0.2">
      <c r="A311" s="505" t="str">
        <f t="shared" si="7"/>
        <v>INDEC-PB - 42922-1</v>
      </c>
      <c r="B311" s="505">
        <v>42922</v>
      </c>
      <c r="C311" s="505" t="s">
        <v>45</v>
      </c>
      <c r="D311" s="505">
        <v>1</v>
      </c>
      <c r="E311" s="525" t="s">
        <v>369</v>
      </c>
    </row>
    <row r="312" spans="1:6" x14ac:dyDescent="0.2">
      <c r="A312" s="505" t="str">
        <f t="shared" si="7"/>
        <v>INDEC-PB - 33380-1</v>
      </c>
      <c r="B312" s="505">
        <v>33380</v>
      </c>
      <c r="C312" s="505" t="s">
        <v>45</v>
      </c>
      <c r="D312" s="505">
        <v>1</v>
      </c>
      <c r="E312" s="525" t="s">
        <v>370</v>
      </c>
    </row>
    <row r="313" spans="1:6" x14ac:dyDescent="0.2">
      <c r="A313" s="505" t="str">
        <f t="shared" si="7"/>
        <v>INDEC-PB - 49229-1</v>
      </c>
      <c r="B313" s="505">
        <v>49229</v>
      </c>
      <c r="C313" s="505" t="s">
        <v>45</v>
      </c>
      <c r="D313" s="505">
        <v>1</v>
      </c>
      <c r="E313" s="525" t="s">
        <v>371</v>
      </c>
    </row>
    <row r="314" spans="1:6" x14ac:dyDescent="0.2">
      <c r="A314" s="505" t="str">
        <f t="shared" si="7"/>
        <v>INDEC-PB - 46420-1</v>
      </c>
      <c r="B314" s="505">
        <v>46420</v>
      </c>
      <c r="C314" s="505" t="s">
        <v>45</v>
      </c>
      <c r="D314" s="505">
        <v>1</v>
      </c>
      <c r="E314" s="525" t="s">
        <v>372</v>
      </c>
    </row>
    <row r="315" spans="1:6" x14ac:dyDescent="0.2">
      <c r="A315" s="505" t="str">
        <f t="shared" si="7"/>
        <v>INDEC-PB - 41263-1</v>
      </c>
      <c r="B315" s="505">
        <v>41263</v>
      </c>
      <c r="C315" s="505" t="s">
        <v>45</v>
      </c>
      <c r="D315" s="505">
        <v>1</v>
      </c>
      <c r="E315" s="525" t="s">
        <v>373</v>
      </c>
    </row>
    <row r="316" spans="1:6" x14ac:dyDescent="0.2">
      <c r="A316" s="510" t="str">
        <f t="shared" si="7"/>
        <v>INDEC-PB - 41241-1</v>
      </c>
      <c r="B316" s="510">
        <v>41241</v>
      </c>
      <c r="C316" s="510" t="s">
        <v>45</v>
      </c>
      <c r="D316" s="510">
        <v>1</v>
      </c>
      <c r="E316" s="526" t="s">
        <v>374</v>
      </c>
      <c r="F316" s="504" t="s">
        <v>1897</v>
      </c>
    </row>
    <row r="317" spans="1:6" x14ac:dyDescent="0.2">
      <c r="A317" s="505" t="str">
        <f t="shared" si="7"/>
        <v>INDEC-PB - 44216-1</v>
      </c>
      <c r="B317" s="505">
        <v>44216</v>
      </c>
      <c r="C317" s="505" t="s">
        <v>45</v>
      </c>
      <c r="D317" s="505">
        <v>1</v>
      </c>
      <c r="E317" s="525" t="s">
        <v>375</v>
      </c>
    </row>
    <row r="318" spans="1:6" x14ac:dyDescent="0.2">
      <c r="A318" s="505" t="str">
        <f t="shared" si="7"/>
        <v>INDEC-PB - 15400-1</v>
      </c>
      <c r="B318" s="505">
        <v>15400</v>
      </c>
      <c r="C318" s="505" t="s">
        <v>45</v>
      </c>
      <c r="D318" s="505">
        <v>1</v>
      </c>
      <c r="E318" s="525" t="s">
        <v>376</v>
      </c>
    </row>
    <row r="319" spans="1:6" x14ac:dyDescent="0.2">
      <c r="A319" s="505" t="str">
        <f t="shared" si="7"/>
        <v>INDEC-PB - 15310-1</v>
      </c>
      <c r="B319" s="505">
        <v>15310</v>
      </c>
      <c r="C319" s="505" t="s">
        <v>45</v>
      </c>
      <c r="D319" s="505">
        <v>1</v>
      </c>
      <c r="E319" s="525" t="s">
        <v>377</v>
      </c>
    </row>
    <row r="320" spans="1:6" x14ac:dyDescent="0.2">
      <c r="A320" s="510" t="str">
        <f t="shared" si="7"/>
        <v>INDEC-PB - 37210-1</v>
      </c>
      <c r="B320" s="510">
        <v>37210</v>
      </c>
      <c r="C320" s="510" t="s">
        <v>45</v>
      </c>
      <c r="D320" s="510">
        <v>1</v>
      </c>
      <c r="E320" s="526" t="s">
        <v>378</v>
      </c>
      <c r="F320" s="504" t="s">
        <v>1897</v>
      </c>
    </row>
    <row r="321" spans="1:6" x14ac:dyDescent="0.2">
      <c r="A321" s="510" t="str">
        <f t="shared" si="7"/>
        <v>INDEC-PB - 37540-2</v>
      </c>
      <c r="B321" s="510">
        <v>37540</v>
      </c>
      <c r="C321" s="510" t="s">
        <v>45</v>
      </c>
      <c r="D321" s="510">
        <v>2</v>
      </c>
      <c r="E321" s="526" t="s">
        <v>379</v>
      </c>
      <c r="F321" s="504" t="s">
        <v>1897</v>
      </c>
    </row>
    <row r="322" spans="1:6" x14ac:dyDescent="0.2">
      <c r="A322" s="505" t="str">
        <f t="shared" si="7"/>
        <v>INDEC-PB - 49113-1</v>
      </c>
      <c r="B322" s="505">
        <v>49113</v>
      </c>
      <c r="C322" s="505" t="s">
        <v>45</v>
      </c>
      <c r="D322" s="505">
        <v>1</v>
      </c>
      <c r="E322" s="525" t="s">
        <v>380</v>
      </c>
    </row>
    <row r="323" spans="1:6" x14ac:dyDescent="0.2">
      <c r="A323" s="505" t="str">
        <f t="shared" si="7"/>
        <v>INDEC-PB - 36270-1</v>
      </c>
      <c r="B323" s="505">
        <v>36270</v>
      </c>
      <c r="C323" s="505" t="s">
        <v>45</v>
      </c>
      <c r="D323" s="505">
        <v>1</v>
      </c>
      <c r="E323" s="525" t="s">
        <v>381</v>
      </c>
    </row>
    <row r="324" spans="1:6" x14ac:dyDescent="0.2">
      <c r="A324" s="505" t="str">
        <f t="shared" si="7"/>
        <v>INDEC-PB - 46539-1</v>
      </c>
      <c r="B324" s="505">
        <v>46539</v>
      </c>
      <c r="C324" s="505" t="s">
        <v>45</v>
      </c>
      <c r="D324" s="505">
        <v>1</v>
      </c>
      <c r="E324" s="525" t="s">
        <v>382</v>
      </c>
    </row>
    <row r="325" spans="1:6" x14ac:dyDescent="0.2">
      <c r="A325" s="505" t="str">
        <f t="shared" si="7"/>
        <v>INDEC-PB - 37370-1</v>
      </c>
      <c r="B325" s="505">
        <v>37370</v>
      </c>
      <c r="C325" s="505" t="s">
        <v>45</v>
      </c>
      <c r="D325" s="505">
        <v>1</v>
      </c>
      <c r="E325" s="525" t="s">
        <v>383</v>
      </c>
    </row>
    <row r="326" spans="1:6" x14ac:dyDescent="0.2">
      <c r="A326" s="505" t="str">
        <f t="shared" si="7"/>
        <v>INDEC-PB - 35110-4</v>
      </c>
      <c r="B326" s="505">
        <v>35110</v>
      </c>
      <c r="C326" s="505" t="s">
        <v>45</v>
      </c>
      <c r="D326" s="505">
        <v>4</v>
      </c>
      <c r="E326" s="525" t="s">
        <v>384</v>
      </c>
    </row>
    <row r="327" spans="1:6" x14ac:dyDescent="0.2">
      <c r="A327" s="505" t="str">
        <f t="shared" si="7"/>
        <v>INDEC-PB - 41261-1</v>
      </c>
      <c r="B327" s="505">
        <v>41261</v>
      </c>
      <c r="C327" s="505" t="s">
        <v>45</v>
      </c>
      <c r="D327" s="505">
        <v>1</v>
      </c>
      <c r="E327" s="525" t="s">
        <v>385</v>
      </c>
    </row>
    <row r="328" spans="1:6" x14ac:dyDescent="0.2">
      <c r="A328" s="505" t="str">
        <f t="shared" si="7"/>
        <v>INDEC-PB - 36490-6</v>
      </c>
      <c r="B328" s="505">
        <v>36490</v>
      </c>
      <c r="C328" s="505" t="s">
        <v>45</v>
      </c>
      <c r="D328" s="505">
        <v>6</v>
      </c>
      <c r="E328" s="525" t="s">
        <v>386</v>
      </c>
    </row>
    <row r="329" spans="1:6" x14ac:dyDescent="0.2">
      <c r="A329" s="505" t="str">
        <f t="shared" si="7"/>
        <v>INDEC-PB - 42944-1</v>
      </c>
      <c r="B329" s="505">
        <v>42944</v>
      </c>
      <c r="C329" s="505" t="s">
        <v>45</v>
      </c>
      <c r="D329" s="505">
        <v>1</v>
      </c>
      <c r="E329" s="525" t="s">
        <v>387</v>
      </c>
    </row>
    <row r="330" spans="1:6" x14ac:dyDescent="0.2">
      <c r="A330" s="505" t="str">
        <f t="shared" si="7"/>
        <v>INDEC-PB - 42320-1</v>
      </c>
      <c r="B330" s="505">
        <v>42320</v>
      </c>
      <c r="C330" s="505" t="s">
        <v>45</v>
      </c>
      <c r="D330" s="505">
        <v>1</v>
      </c>
      <c r="E330" s="525" t="s">
        <v>388</v>
      </c>
    </row>
    <row r="331" spans="1:6" x14ac:dyDescent="0.2">
      <c r="A331" s="505" t="str">
        <f t="shared" si="7"/>
        <v>INDEC-PB - 37420-1</v>
      </c>
      <c r="B331" s="505">
        <v>37420</v>
      </c>
      <c r="C331" s="505" t="s">
        <v>45</v>
      </c>
      <c r="D331" s="505">
        <v>1</v>
      </c>
      <c r="E331" s="525" t="s">
        <v>389</v>
      </c>
    </row>
    <row r="332" spans="1:6" x14ac:dyDescent="0.2">
      <c r="A332" s="510" t="str">
        <f t="shared" si="7"/>
        <v>INDEC-PB - 49115-2</v>
      </c>
      <c r="B332" s="510">
        <v>49115</v>
      </c>
      <c r="C332" s="510" t="s">
        <v>45</v>
      </c>
      <c r="D332" s="510">
        <v>2</v>
      </c>
      <c r="E332" s="526" t="s">
        <v>390</v>
      </c>
      <c r="F332" s="504" t="s">
        <v>1897</v>
      </c>
    </row>
    <row r="333" spans="1:6" x14ac:dyDescent="0.2">
      <c r="A333" s="510" t="str">
        <f t="shared" si="7"/>
        <v>INDEC-PB - 36320-3</v>
      </c>
      <c r="B333" s="510">
        <v>36320</v>
      </c>
      <c r="C333" s="510" t="s">
        <v>45</v>
      </c>
      <c r="D333" s="510">
        <v>3</v>
      </c>
      <c r="E333" s="526" t="s">
        <v>391</v>
      </c>
      <c r="F333" s="504" t="s">
        <v>1897</v>
      </c>
    </row>
    <row r="334" spans="1:6" x14ac:dyDescent="0.2">
      <c r="A334" s="510" t="str">
        <f t="shared" si="7"/>
        <v>INDEC-PB - 36320-2</v>
      </c>
      <c r="B334" s="510">
        <v>36320</v>
      </c>
      <c r="C334" s="510" t="s">
        <v>45</v>
      </c>
      <c r="D334" s="510">
        <v>2</v>
      </c>
      <c r="E334" s="526" t="s">
        <v>392</v>
      </c>
      <c r="F334" s="504" t="s">
        <v>1897</v>
      </c>
    </row>
    <row r="335" spans="1:6" x14ac:dyDescent="0.2">
      <c r="A335" s="505" t="str">
        <f t="shared" si="7"/>
        <v>INDEC-PB - 36320-1</v>
      </c>
      <c r="B335" s="505">
        <v>36320</v>
      </c>
      <c r="C335" s="505" t="s">
        <v>45</v>
      </c>
      <c r="D335" s="505">
        <v>1</v>
      </c>
      <c r="E335" s="525" t="s">
        <v>393</v>
      </c>
    </row>
    <row r="336" spans="1:6" x14ac:dyDescent="0.2">
      <c r="A336" s="505" t="str">
        <f t="shared" si="7"/>
        <v>INDEC-PB - 46220-1</v>
      </c>
      <c r="B336" s="505">
        <v>46220</v>
      </c>
      <c r="C336" s="505" t="s">
        <v>45</v>
      </c>
      <c r="D336" s="505">
        <v>1</v>
      </c>
      <c r="E336" s="525" t="s">
        <v>394</v>
      </c>
    </row>
    <row r="337" spans="1:6" x14ac:dyDescent="0.2">
      <c r="A337" s="510" t="str">
        <f t="shared" si="7"/>
        <v>INDEC-PB - 34800-1</v>
      </c>
      <c r="B337" s="510">
        <v>34800</v>
      </c>
      <c r="C337" s="510" t="s">
        <v>45</v>
      </c>
      <c r="D337" s="510">
        <v>1</v>
      </c>
      <c r="E337" s="526" t="s">
        <v>395</v>
      </c>
      <c r="F337" s="504" t="s">
        <v>1897</v>
      </c>
    </row>
    <row r="338" spans="1:6" x14ac:dyDescent="0.2">
      <c r="A338" s="505" t="str">
        <f t="shared" si="7"/>
        <v>INDEC-PB - 37440-1</v>
      </c>
      <c r="B338" s="505">
        <v>37440</v>
      </c>
      <c r="C338" s="505" t="s">
        <v>45</v>
      </c>
      <c r="D338" s="505">
        <v>1</v>
      </c>
      <c r="E338" s="525" t="s">
        <v>396</v>
      </c>
    </row>
    <row r="339" spans="1:6" x14ac:dyDescent="0.2">
      <c r="A339" s="505" t="str">
        <f t="shared" si="7"/>
        <v>INDEC-PB - 42992-1</v>
      </c>
      <c r="B339" s="505">
        <v>42992</v>
      </c>
      <c r="C339" s="505" t="s">
        <v>45</v>
      </c>
      <c r="D339" s="505">
        <v>1</v>
      </c>
      <c r="E339" s="525" t="s">
        <v>397</v>
      </c>
    </row>
    <row r="340" spans="1:6" x14ac:dyDescent="0.2">
      <c r="A340" s="505" t="str">
        <f t="shared" si="7"/>
        <v>INDEC-PB - 42999-2</v>
      </c>
      <c r="B340" s="505">
        <v>42999</v>
      </c>
      <c r="C340" s="505" t="s">
        <v>45</v>
      </c>
      <c r="D340" s="505">
        <v>2</v>
      </c>
      <c r="E340" s="525" t="s">
        <v>398</v>
      </c>
    </row>
    <row r="341" spans="1:6" x14ac:dyDescent="0.2">
      <c r="A341" s="505" t="str">
        <f t="shared" si="7"/>
        <v>INDEC-PB - 42944-2</v>
      </c>
      <c r="B341" s="505">
        <v>42944</v>
      </c>
      <c r="C341" s="505" t="s">
        <v>45</v>
      </c>
      <c r="D341" s="505">
        <v>2</v>
      </c>
      <c r="E341" s="525" t="s">
        <v>399</v>
      </c>
    </row>
    <row r="342" spans="1:6" x14ac:dyDescent="0.2">
      <c r="A342" s="505" t="str">
        <f t="shared" si="7"/>
        <v>INDEC-PB - 43230-1</v>
      </c>
      <c r="B342" s="505">
        <v>43230</v>
      </c>
      <c r="C342" s="505" t="s">
        <v>45</v>
      </c>
      <c r="D342" s="505">
        <v>1</v>
      </c>
      <c r="E342" s="525" t="s">
        <v>400</v>
      </c>
    </row>
    <row r="343" spans="1:6" x14ac:dyDescent="0.2">
      <c r="A343" s="505" t="str">
        <f t="shared" si="7"/>
        <v>INDEC-PB - 46340-1</v>
      </c>
      <c r="B343" s="505">
        <v>46340</v>
      </c>
      <c r="C343" s="505" t="s">
        <v>45</v>
      </c>
      <c r="D343" s="505">
        <v>1</v>
      </c>
      <c r="E343" s="525" t="s">
        <v>401</v>
      </c>
    </row>
    <row r="344" spans="1:6" x14ac:dyDescent="0.2">
      <c r="A344" s="510" t="str">
        <f t="shared" si="7"/>
        <v>INDEC-PB - 36270-2</v>
      </c>
      <c r="B344" s="510">
        <v>36270</v>
      </c>
      <c r="C344" s="510" t="s">
        <v>45</v>
      </c>
      <c r="D344" s="510">
        <v>2</v>
      </c>
      <c r="E344" s="526" t="s">
        <v>402</v>
      </c>
      <c r="F344" s="504" t="s">
        <v>1897</v>
      </c>
    </row>
    <row r="345" spans="1:6" x14ac:dyDescent="0.2">
      <c r="A345" s="505" t="str">
        <f t="shared" si="7"/>
        <v>INDEC-PB - 42190-2</v>
      </c>
      <c r="B345" s="505">
        <v>42190</v>
      </c>
      <c r="C345" s="505" t="s">
        <v>45</v>
      </c>
      <c r="D345" s="505">
        <v>2</v>
      </c>
      <c r="E345" s="525" t="s">
        <v>403</v>
      </c>
    </row>
    <row r="346" spans="1:6" x14ac:dyDescent="0.2">
      <c r="A346" s="505" t="str">
        <f t="shared" si="7"/>
        <v>INDEC-PB - 36990-2</v>
      </c>
      <c r="B346" s="505">
        <v>36990</v>
      </c>
      <c r="C346" s="505" t="s">
        <v>45</v>
      </c>
      <c r="D346" s="505">
        <v>2</v>
      </c>
      <c r="E346" s="525" t="s">
        <v>404</v>
      </c>
    </row>
    <row r="347" spans="1:6" x14ac:dyDescent="0.2">
      <c r="A347" s="510" t="str">
        <f t="shared" si="7"/>
        <v>INDEC-PB - 31600-1</v>
      </c>
      <c r="B347" s="510">
        <v>31600</v>
      </c>
      <c r="C347" s="510" t="s">
        <v>45</v>
      </c>
      <c r="D347" s="510">
        <v>1</v>
      </c>
      <c r="E347" s="526" t="s">
        <v>405</v>
      </c>
      <c r="F347" s="504" t="s">
        <v>1897</v>
      </c>
    </row>
    <row r="348" spans="1:6" x14ac:dyDescent="0.2">
      <c r="A348" s="505" t="str">
        <f t="shared" si="7"/>
        <v>INDEC-PB - 32600-1</v>
      </c>
      <c r="B348" s="505">
        <v>32600</v>
      </c>
      <c r="C348" s="505" t="s">
        <v>45</v>
      </c>
      <c r="D348" s="505">
        <v>1</v>
      </c>
      <c r="E348" s="525" t="s">
        <v>406</v>
      </c>
    </row>
    <row r="349" spans="1:6" x14ac:dyDescent="0.2">
      <c r="A349" s="505" t="str">
        <f t="shared" si="7"/>
        <v>INDEC-PB - 36111-3</v>
      </c>
      <c r="B349" s="505">
        <v>36111</v>
      </c>
      <c r="C349" s="505" t="s">
        <v>45</v>
      </c>
      <c r="D349" s="505">
        <v>3</v>
      </c>
      <c r="E349" s="525" t="s">
        <v>407</v>
      </c>
    </row>
    <row r="350" spans="1:6" x14ac:dyDescent="0.2">
      <c r="A350" s="505" t="str">
        <f t="shared" si="7"/>
        <v>INDEC-PB - 36111-2</v>
      </c>
      <c r="B350" s="505">
        <v>36111</v>
      </c>
      <c r="C350" s="505" t="s">
        <v>45</v>
      </c>
      <c r="D350" s="505">
        <v>2</v>
      </c>
      <c r="E350" s="525" t="s">
        <v>408</v>
      </c>
    </row>
    <row r="351" spans="1:6" x14ac:dyDescent="0.2">
      <c r="A351" s="510" t="str">
        <f t="shared" si="7"/>
        <v>INDEC-PB - 36111-1</v>
      </c>
      <c r="B351" s="510">
        <v>36111</v>
      </c>
      <c r="C351" s="510" t="s">
        <v>45</v>
      </c>
      <c r="D351" s="510">
        <v>1</v>
      </c>
      <c r="E351" s="526" t="s">
        <v>409</v>
      </c>
      <c r="F351" s="504" t="s">
        <v>1897</v>
      </c>
    </row>
    <row r="352" spans="1:6" x14ac:dyDescent="0.2">
      <c r="A352" s="505" t="str">
        <f t="shared" si="7"/>
        <v>INDEC-PB - 42921-1</v>
      </c>
      <c r="B352" s="505">
        <v>42921</v>
      </c>
      <c r="C352" s="505" t="s">
        <v>45</v>
      </c>
      <c r="D352" s="505">
        <v>1</v>
      </c>
      <c r="E352" s="525" t="s">
        <v>410</v>
      </c>
    </row>
    <row r="353" spans="1:6" x14ac:dyDescent="0.2">
      <c r="A353" s="510" t="str">
        <f t="shared" si="7"/>
        <v>INDEC-PB - 34800-2</v>
      </c>
      <c r="B353" s="510">
        <v>34800</v>
      </c>
      <c r="C353" s="510" t="s">
        <v>45</v>
      </c>
      <c r="D353" s="510">
        <v>2</v>
      </c>
      <c r="E353" s="526" t="s">
        <v>411</v>
      </c>
      <c r="F353" s="504" t="s">
        <v>1897</v>
      </c>
    </row>
    <row r="354" spans="1:6" x14ac:dyDescent="0.2">
      <c r="A354" s="505" t="str">
        <f t="shared" si="7"/>
        <v>INDEC-PB - 49129-1</v>
      </c>
      <c r="B354" s="505">
        <v>49129</v>
      </c>
      <c r="C354" s="505" t="s">
        <v>45</v>
      </c>
      <c r="D354" s="505">
        <v>1</v>
      </c>
      <c r="E354" s="525" t="s">
        <v>412</v>
      </c>
    </row>
    <row r="355" spans="1:6" x14ac:dyDescent="0.2">
      <c r="A355" s="505" t="str">
        <f t="shared" si="7"/>
        <v>INDEC-PB - 43220-1</v>
      </c>
      <c r="B355" s="505">
        <v>43220</v>
      </c>
      <c r="C355" s="505" t="s">
        <v>45</v>
      </c>
      <c r="D355" s="505">
        <v>1</v>
      </c>
      <c r="E355" s="525" t="s">
        <v>413</v>
      </c>
    </row>
    <row r="356" spans="1:6" x14ac:dyDescent="0.2">
      <c r="A356" s="505" t="str">
        <f t="shared" si="7"/>
        <v>INDEC-PB - 35110-1</v>
      </c>
      <c r="B356" s="505">
        <v>35110</v>
      </c>
      <c r="C356" s="505" t="s">
        <v>45</v>
      </c>
      <c r="D356" s="505">
        <v>1</v>
      </c>
      <c r="E356" s="525" t="s">
        <v>414</v>
      </c>
    </row>
    <row r="357" spans="1:6" x14ac:dyDescent="0.2">
      <c r="A357" s="505" t="str">
        <f t="shared" si="7"/>
        <v>INDEC-PB - 17100-1</v>
      </c>
      <c r="B357" s="505">
        <v>17100</v>
      </c>
      <c r="C357" s="505" t="s">
        <v>45</v>
      </c>
      <c r="D357" s="505">
        <v>1</v>
      </c>
      <c r="E357" s="525" t="s">
        <v>415</v>
      </c>
    </row>
    <row r="358" spans="1:6" x14ac:dyDescent="0.2">
      <c r="A358" s="505" t="str">
        <f t="shared" si="7"/>
        <v>INDEC-PB - 49129-3</v>
      </c>
      <c r="B358" s="505">
        <v>49129</v>
      </c>
      <c r="C358" s="505" t="s">
        <v>45</v>
      </c>
      <c r="D358" s="505">
        <v>3</v>
      </c>
      <c r="E358" s="525" t="s">
        <v>416</v>
      </c>
    </row>
    <row r="359" spans="1:6" x14ac:dyDescent="0.2">
      <c r="A359" s="505" t="str">
        <f t="shared" si="7"/>
        <v>INDEC-PB - 35110-2</v>
      </c>
      <c r="B359" s="505">
        <v>35110</v>
      </c>
      <c r="C359" s="505" t="s">
        <v>45</v>
      </c>
      <c r="D359" s="505">
        <v>2</v>
      </c>
      <c r="E359" s="525" t="s">
        <v>417</v>
      </c>
    </row>
    <row r="360" spans="1:6" x14ac:dyDescent="0.2">
      <c r="A360" s="505" t="str">
        <f t="shared" si="7"/>
        <v>INDEC-PB - 37129-1</v>
      </c>
      <c r="B360" s="505">
        <v>37129</v>
      </c>
      <c r="C360" s="505" t="s">
        <v>45</v>
      </c>
      <c r="D360" s="505">
        <v>1</v>
      </c>
      <c r="E360" s="525" t="s">
        <v>418</v>
      </c>
    </row>
    <row r="361" spans="1:6" x14ac:dyDescent="0.2">
      <c r="A361" s="505" t="str">
        <f t="shared" si="7"/>
        <v>INDEC-PB - 36490-4</v>
      </c>
      <c r="B361" s="505">
        <v>36490</v>
      </c>
      <c r="C361" s="505" t="s">
        <v>45</v>
      </c>
      <c r="D361" s="505">
        <v>4</v>
      </c>
      <c r="E361" s="525" t="s">
        <v>419</v>
      </c>
    </row>
    <row r="362" spans="1:6" x14ac:dyDescent="0.2">
      <c r="A362" s="505" t="str">
        <f t="shared" si="7"/>
        <v>INDEC-PB - 33370-1</v>
      </c>
      <c r="B362" s="505">
        <v>33370</v>
      </c>
      <c r="C362" s="505" t="s">
        <v>45</v>
      </c>
      <c r="D362" s="505">
        <v>1</v>
      </c>
      <c r="E362" s="525" t="s">
        <v>420</v>
      </c>
    </row>
    <row r="363" spans="1:6" x14ac:dyDescent="0.2">
      <c r="A363" s="505" t="str">
        <f t="shared" si="7"/>
        <v>INDEC-PB - 12020-1</v>
      </c>
      <c r="B363" s="505">
        <v>12020</v>
      </c>
      <c r="C363" s="505" t="s">
        <v>45</v>
      </c>
      <c r="D363" s="505">
        <v>1</v>
      </c>
      <c r="E363" s="525" t="s">
        <v>421</v>
      </c>
    </row>
    <row r="364" spans="1:6" x14ac:dyDescent="0.2">
      <c r="A364" s="505" t="str">
        <f t="shared" si="7"/>
        <v>INDEC-PB - 33360-1</v>
      </c>
      <c r="B364" s="505">
        <v>33360</v>
      </c>
      <c r="C364" s="505" t="s">
        <v>45</v>
      </c>
      <c r="D364" s="505">
        <v>1</v>
      </c>
      <c r="E364" s="525" t="s">
        <v>422</v>
      </c>
    </row>
    <row r="365" spans="1:6" x14ac:dyDescent="0.2">
      <c r="A365" s="505" t="str">
        <f t="shared" si="7"/>
        <v>INDEC-PB - 33410-1</v>
      </c>
      <c r="B365" s="505">
        <v>33410</v>
      </c>
      <c r="C365" s="505" t="s">
        <v>45</v>
      </c>
      <c r="D365" s="505">
        <v>1</v>
      </c>
      <c r="E365" s="525" t="s">
        <v>423</v>
      </c>
    </row>
    <row r="366" spans="1:6" x14ac:dyDescent="0.2">
      <c r="A366" s="505" t="str">
        <f t="shared" si="7"/>
        <v>INDEC-PB - 42911-1</v>
      </c>
      <c r="B366" s="505">
        <v>42911</v>
      </c>
      <c r="C366" s="505" t="s">
        <v>45</v>
      </c>
      <c r="D366" s="505">
        <v>1</v>
      </c>
      <c r="E366" s="525" t="s">
        <v>424</v>
      </c>
    </row>
    <row r="367" spans="1:6" x14ac:dyDescent="0.2">
      <c r="A367" s="505" t="str">
        <f t="shared" si="7"/>
        <v>INDEC-PB - 46113-1</v>
      </c>
      <c r="B367" s="505">
        <v>46113</v>
      </c>
      <c r="C367" s="505" t="s">
        <v>45</v>
      </c>
      <c r="D367" s="505">
        <v>1</v>
      </c>
      <c r="E367" s="525" t="s">
        <v>425</v>
      </c>
    </row>
    <row r="368" spans="1:6" x14ac:dyDescent="0.2">
      <c r="A368" s="505" t="str">
        <f t="shared" si="7"/>
        <v>INDEC-PB - 42921-2</v>
      </c>
      <c r="B368" s="505">
        <v>42921</v>
      </c>
      <c r="C368" s="505" t="s">
        <v>45</v>
      </c>
      <c r="D368" s="505">
        <v>2</v>
      </c>
      <c r="E368" s="525" t="s">
        <v>426</v>
      </c>
    </row>
    <row r="369" spans="1:6" x14ac:dyDescent="0.2">
      <c r="A369" s="505" t="str">
        <f t="shared" si="7"/>
        <v>INDEC-PB - 37990-1</v>
      </c>
      <c r="B369" s="505">
        <v>37990</v>
      </c>
      <c r="C369" s="505" t="s">
        <v>45</v>
      </c>
      <c r="D369" s="505">
        <v>1</v>
      </c>
      <c r="E369" s="525" t="s">
        <v>427</v>
      </c>
    </row>
    <row r="370" spans="1:6" x14ac:dyDescent="0.2">
      <c r="A370" s="505" t="str">
        <f t="shared" ref="A370:A425" si="8">CONCATENATE("INDEC-PB - ",B370,C370,D370)</f>
        <v>INDEC-PB - 41242-1</v>
      </c>
      <c r="B370" s="505">
        <v>41242</v>
      </c>
      <c r="C370" s="505" t="s">
        <v>45</v>
      </c>
      <c r="D370" s="505">
        <v>1</v>
      </c>
      <c r="E370" s="525" t="s">
        <v>428</v>
      </c>
    </row>
    <row r="371" spans="1:6" x14ac:dyDescent="0.2">
      <c r="A371" s="505" t="str">
        <f t="shared" si="8"/>
        <v>INDEC-PB - 37510-1</v>
      </c>
      <c r="B371" s="505">
        <v>37510</v>
      </c>
      <c r="C371" s="505" t="s">
        <v>45</v>
      </c>
      <c r="D371" s="505">
        <v>1</v>
      </c>
      <c r="E371" s="525" t="s">
        <v>429</v>
      </c>
    </row>
    <row r="372" spans="1:6" x14ac:dyDescent="0.2">
      <c r="A372" s="505" t="str">
        <f t="shared" si="8"/>
        <v>INDEC-PB - 44440-1</v>
      </c>
      <c r="B372" s="505">
        <v>44440</v>
      </c>
      <c r="C372" s="505" t="s">
        <v>45</v>
      </c>
      <c r="D372" s="505">
        <v>1</v>
      </c>
      <c r="E372" s="525" t="s">
        <v>430</v>
      </c>
    </row>
    <row r="373" spans="1:6" x14ac:dyDescent="0.2">
      <c r="A373" s="505" t="str">
        <f t="shared" si="8"/>
        <v>INDEC-PB - 35110-5</v>
      </c>
      <c r="B373" s="505">
        <v>35110</v>
      </c>
      <c r="C373" s="505" t="s">
        <v>45</v>
      </c>
      <c r="D373" s="505">
        <v>5</v>
      </c>
      <c r="E373" s="525" t="s">
        <v>431</v>
      </c>
    </row>
    <row r="374" spans="1:6" x14ac:dyDescent="0.2">
      <c r="A374" s="505" t="str">
        <f t="shared" si="8"/>
        <v>INDEC-PB - 46212-1</v>
      </c>
      <c r="B374" s="505">
        <v>46212</v>
      </c>
      <c r="C374" s="505" t="s">
        <v>45</v>
      </c>
      <c r="D374" s="505">
        <v>1</v>
      </c>
      <c r="E374" s="525" t="s">
        <v>432</v>
      </c>
    </row>
    <row r="375" spans="1:6" x14ac:dyDescent="0.2">
      <c r="A375" s="510" t="str">
        <f t="shared" si="8"/>
        <v>INDEC-PB - 33340-1</v>
      </c>
      <c r="B375" s="510">
        <v>33340</v>
      </c>
      <c r="C375" s="510" t="s">
        <v>45</v>
      </c>
      <c r="D375" s="510">
        <v>1</v>
      </c>
      <c r="E375" s="526" t="s">
        <v>433</v>
      </c>
      <c r="F375" s="504" t="s">
        <v>1897</v>
      </c>
    </row>
    <row r="376" spans="1:6" x14ac:dyDescent="0.2">
      <c r="A376" s="505" t="str">
        <f t="shared" si="8"/>
        <v>INDEC-PB - 37350-1</v>
      </c>
      <c r="B376" s="505">
        <v>37350</v>
      </c>
      <c r="C376" s="505" t="s">
        <v>45</v>
      </c>
      <c r="D376" s="505">
        <v>1</v>
      </c>
      <c r="E376" s="525" t="s">
        <v>434</v>
      </c>
    </row>
    <row r="377" spans="1:6" x14ac:dyDescent="0.2">
      <c r="A377" s="505" t="str">
        <f t="shared" si="8"/>
        <v>INDEC-PB - 37320-1</v>
      </c>
      <c r="B377" s="505">
        <v>37320</v>
      </c>
      <c r="C377" s="505" t="s">
        <v>45</v>
      </c>
      <c r="D377" s="505">
        <v>1</v>
      </c>
      <c r="E377" s="525" t="s">
        <v>435</v>
      </c>
    </row>
    <row r="378" spans="1:6" x14ac:dyDescent="0.2">
      <c r="A378" s="505" t="str">
        <f t="shared" si="8"/>
        <v>INDEC-PB - 41532-11</v>
      </c>
      <c r="B378" s="505">
        <v>41532</v>
      </c>
      <c r="C378" s="505" t="s">
        <v>45</v>
      </c>
      <c r="D378" s="505">
        <v>11</v>
      </c>
      <c r="E378" s="525" t="s">
        <v>436</v>
      </c>
    </row>
    <row r="379" spans="1:6" x14ac:dyDescent="0.2">
      <c r="A379" s="505" t="str">
        <f t="shared" si="8"/>
        <v>INDEC-PB - 41532-1</v>
      </c>
      <c r="B379" s="505">
        <v>41532</v>
      </c>
      <c r="C379" s="505" t="s">
        <v>45</v>
      </c>
      <c r="D379" s="505">
        <v>1</v>
      </c>
      <c r="E379" s="525" t="s">
        <v>437</v>
      </c>
    </row>
    <row r="380" spans="1:6" x14ac:dyDescent="0.2">
      <c r="A380" s="505" t="str">
        <f t="shared" si="8"/>
        <v>INDEC-PB - 31430-1</v>
      </c>
      <c r="B380" s="505">
        <v>31430</v>
      </c>
      <c r="C380" s="505" t="s">
        <v>45</v>
      </c>
      <c r="D380" s="505">
        <v>1</v>
      </c>
      <c r="E380" s="525" t="s">
        <v>438</v>
      </c>
    </row>
    <row r="381" spans="1:6" x14ac:dyDescent="0.2">
      <c r="A381" s="505" t="str">
        <f t="shared" si="8"/>
        <v>INDEC-PB - 31100-1</v>
      </c>
      <c r="B381" s="505">
        <v>31100</v>
      </c>
      <c r="C381" s="505" t="s">
        <v>45</v>
      </c>
      <c r="D381" s="505">
        <v>1</v>
      </c>
      <c r="E381" s="525" t="s">
        <v>439</v>
      </c>
    </row>
    <row r="382" spans="1:6" x14ac:dyDescent="0.2">
      <c r="A382" s="505" t="str">
        <f t="shared" si="8"/>
        <v>INDEC-PB - 31420-1</v>
      </c>
      <c r="B382" s="505">
        <v>31420</v>
      </c>
      <c r="C382" s="505" t="s">
        <v>45</v>
      </c>
      <c r="D382" s="505">
        <v>1</v>
      </c>
      <c r="E382" s="525" t="s">
        <v>440</v>
      </c>
    </row>
    <row r="383" spans="1:6" x14ac:dyDescent="0.2">
      <c r="A383" s="505" t="str">
        <f t="shared" si="8"/>
        <v>INDEC-PB - 31420-2</v>
      </c>
      <c r="B383" s="505">
        <v>31420</v>
      </c>
      <c r="C383" s="505" t="s">
        <v>45</v>
      </c>
      <c r="D383" s="505">
        <v>2</v>
      </c>
      <c r="E383" s="525" t="s">
        <v>441</v>
      </c>
    </row>
    <row r="384" spans="1:6" x14ac:dyDescent="0.2">
      <c r="A384" s="510" t="str">
        <f t="shared" si="8"/>
        <v>INDEC-PB - 44222-1</v>
      </c>
      <c r="B384" s="510">
        <v>44222</v>
      </c>
      <c r="C384" s="510" t="s">
        <v>45</v>
      </c>
      <c r="D384" s="510">
        <v>1</v>
      </c>
      <c r="E384" s="526" t="s">
        <v>442</v>
      </c>
      <c r="F384" s="504" t="s">
        <v>1897</v>
      </c>
    </row>
    <row r="385" spans="1:6" x14ac:dyDescent="0.2">
      <c r="A385" s="510" t="str">
        <f t="shared" si="8"/>
        <v>INDEC-PB - 44427-1</v>
      </c>
      <c r="B385" s="510">
        <v>44427</v>
      </c>
      <c r="C385" s="510" t="s">
        <v>45</v>
      </c>
      <c r="D385" s="510">
        <v>1</v>
      </c>
      <c r="E385" s="526" t="s">
        <v>443</v>
      </c>
      <c r="F385" s="504" t="s">
        <v>1897</v>
      </c>
    </row>
    <row r="386" spans="1:6" x14ac:dyDescent="0.2">
      <c r="A386" s="505" t="str">
        <f t="shared" si="8"/>
        <v>INDEC-PB - 44430-1</v>
      </c>
      <c r="B386" s="505">
        <v>44430</v>
      </c>
      <c r="C386" s="505" t="s">
        <v>45</v>
      </c>
      <c r="D386" s="505">
        <v>1</v>
      </c>
      <c r="E386" s="525" t="s">
        <v>444</v>
      </c>
    </row>
    <row r="387" spans="1:6" x14ac:dyDescent="0.2">
      <c r="A387" s="505" t="str">
        <f t="shared" si="8"/>
        <v>INDEC-PB - 37930-1</v>
      </c>
      <c r="B387" s="505">
        <v>37930</v>
      </c>
      <c r="C387" s="505" t="s">
        <v>45</v>
      </c>
      <c r="D387" s="505">
        <v>1</v>
      </c>
      <c r="E387" s="525" t="s">
        <v>445</v>
      </c>
    </row>
    <row r="388" spans="1:6" x14ac:dyDescent="0.2">
      <c r="A388" s="505" t="str">
        <f t="shared" si="8"/>
        <v>INDEC-PB - 37330-1</v>
      </c>
      <c r="B388" s="505">
        <v>37330</v>
      </c>
      <c r="C388" s="505" t="s">
        <v>45</v>
      </c>
      <c r="D388" s="505">
        <v>1</v>
      </c>
      <c r="E388" s="525" t="s">
        <v>446</v>
      </c>
    </row>
    <row r="389" spans="1:6" x14ac:dyDescent="0.2">
      <c r="A389" s="505" t="str">
        <f t="shared" si="8"/>
        <v>INDEC-PB - 37540-1</v>
      </c>
      <c r="B389" s="505">
        <v>37540</v>
      </c>
      <c r="C389" s="505" t="s">
        <v>45</v>
      </c>
      <c r="D389" s="505">
        <v>1</v>
      </c>
      <c r="E389" s="525" t="s">
        <v>447</v>
      </c>
    </row>
    <row r="390" spans="1:6" x14ac:dyDescent="0.2">
      <c r="A390" s="505" t="str">
        <f t="shared" si="8"/>
        <v>INDEC-PB - 43121-1</v>
      </c>
      <c r="B390" s="505">
        <v>43121</v>
      </c>
      <c r="C390" s="505" t="s">
        <v>45</v>
      </c>
      <c r="D390" s="505">
        <v>1</v>
      </c>
      <c r="E390" s="525" t="s">
        <v>448</v>
      </c>
    </row>
    <row r="391" spans="1:6" x14ac:dyDescent="0.2">
      <c r="A391" s="505" t="str">
        <f t="shared" si="8"/>
        <v>INDEC-PB - 46112-1</v>
      </c>
      <c r="B391" s="505">
        <v>46112</v>
      </c>
      <c r="C391" s="505" t="s">
        <v>45</v>
      </c>
      <c r="D391" s="505">
        <v>1</v>
      </c>
      <c r="E391" s="525" t="s">
        <v>449</v>
      </c>
    </row>
    <row r="392" spans="1:6" x14ac:dyDescent="0.2">
      <c r="A392" s="510" t="str">
        <f t="shared" si="8"/>
        <v>INDEC-PB - 43122-1</v>
      </c>
      <c r="B392" s="510">
        <v>43122</v>
      </c>
      <c r="C392" s="510" t="s">
        <v>45</v>
      </c>
      <c r="D392" s="510">
        <v>1</v>
      </c>
      <c r="E392" s="526" t="s">
        <v>450</v>
      </c>
      <c r="F392" s="504" t="s">
        <v>1897</v>
      </c>
    </row>
    <row r="393" spans="1:6" x14ac:dyDescent="0.2">
      <c r="A393" s="505" t="str">
        <f t="shared" si="8"/>
        <v>INDEC-PB - 49911-1</v>
      </c>
      <c r="B393" s="505">
        <v>49911</v>
      </c>
      <c r="C393" s="505" t="s">
        <v>45</v>
      </c>
      <c r="D393" s="505">
        <v>1</v>
      </c>
      <c r="E393" s="525" t="s">
        <v>451</v>
      </c>
    </row>
    <row r="394" spans="1:6" x14ac:dyDescent="0.2">
      <c r="A394" s="505" t="str">
        <f t="shared" si="8"/>
        <v>INDEC-PB - 33310-1</v>
      </c>
      <c r="B394" s="505">
        <v>33310</v>
      </c>
      <c r="C394" s="505" t="s">
        <v>45</v>
      </c>
      <c r="D394" s="505">
        <v>1</v>
      </c>
      <c r="E394" s="525" t="s">
        <v>452</v>
      </c>
    </row>
    <row r="395" spans="1:6" x14ac:dyDescent="0.2">
      <c r="A395" s="505" t="str">
        <f t="shared" si="8"/>
        <v>INDEC-PB - 32129-1</v>
      </c>
      <c r="B395" s="505">
        <v>32129</v>
      </c>
      <c r="C395" s="505" t="s">
        <v>45</v>
      </c>
      <c r="D395" s="505">
        <v>1</v>
      </c>
      <c r="E395" s="525" t="s">
        <v>453</v>
      </c>
    </row>
    <row r="396" spans="1:6" x14ac:dyDescent="0.2">
      <c r="A396" s="505" t="str">
        <f t="shared" si="8"/>
        <v>INDEC-PB - 37990-2</v>
      </c>
      <c r="B396" s="505">
        <v>37990</v>
      </c>
      <c r="C396" s="505" t="s">
        <v>45</v>
      </c>
      <c r="D396" s="505">
        <v>2</v>
      </c>
      <c r="E396" s="525" t="s">
        <v>454</v>
      </c>
    </row>
    <row r="397" spans="1:6" x14ac:dyDescent="0.2">
      <c r="A397" s="505" t="str">
        <f t="shared" si="8"/>
        <v>INDEC-PB - 41251-1</v>
      </c>
      <c r="B397" s="505">
        <v>41251</v>
      </c>
      <c r="C397" s="505" t="s">
        <v>45</v>
      </c>
      <c r="D397" s="505">
        <v>1</v>
      </c>
      <c r="E397" s="525" t="s">
        <v>455</v>
      </c>
    </row>
    <row r="398" spans="1:6" x14ac:dyDescent="0.2">
      <c r="A398" s="505" t="str">
        <f t="shared" si="8"/>
        <v>INDEC-PB - 12010-1</v>
      </c>
      <c r="B398" s="505">
        <v>12010</v>
      </c>
      <c r="C398" s="505" t="s">
        <v>45</v>
      </c>
      <c r="D398" s="505">
        <v>1</v>
      </c>
      <c r="E398" s="525" t="s">
        <v>456</v>
      </c>
    </row>
    <row r="399" spans="1:6" x14ac:dyDescent="0.2">
      <c r="A399" s="505" t="str">
        <f t="shared" si="8"/>
        <v>INDEC-PB - 15320-1</v>
      </c>
      <c r="B399" s="505">
        <v>15320</v>
      </c>
      <c r="C399" s="505" t="s">
        <v>45</v>
      </c>
      <c r="D399" s="505">
        <v>1</v>
      </c>
      <c r="E399" s="525" t="s">
        <v>457</v>
      </c>
    </row>
    <row r="400" spans="1:6" x14ac:dyDescent="0.2">
      <c r="A400" s="505" t="str">
        <f t="shared" si="8"/>
        <v>INDEC-PB - 41116-1</v>
      </c>
      <c r="B400" s="505">
        <v>41116</v>
      </c>
      <c r="C400" s="505" t="s">
        <v>45</v>
      </c>
      <c r="D400" s="505">
        <v>1</v>
      </c>
      <c r="E400" s="525" t="s">
        <v>458</v>
      </c>
    </row>
    <row r="401" spans="1:6" x14ac:dyDescent="0.2">
      <c r="A401" s="505" t="str">
        <f t="shared" si="8"/>
        <v>INDEC-PB - 42999-1</v>
      </c>
      <c r="B401" s="505">
        <v>42999</v>
      </c>
      <c r="C401" s="505" t="s">
        <v>45</v>
      </c>
      <c r="D401" s="505">
        <v>1</v>
      </c>
      <c r="E401" s="525" t="s">
        <v>459</v>
      </c>
    </row>
    <row r="402" spans="1:6" x14ac:dyDescent="0.2">
      <c r="A402" s="505" t="str">
        <f t="shared" si="8"/>
        <v>INDEC-PB - 35110-3</v>
      </c>
      <c r="B402" s="505">
        <v>35110</v>
      </c>
      <c r="C402" s="505" t="s">
        <v>45</v>
      </c>
      <c r="D402" s="505">
        <v>3</v>
      </c>
      <c r="E402" s="525" t="s">
        <v>460</v>
      </c>
    </row>
    <row r="403" spans="1:6" x14ac:dyDescent="0.2">
      <c r="A403" s="505" t="str">
        <f t="shared" si="8"/>
        <v>INDEC-PB - 34740-6</v>
      </c>
      <c r="B403" s="505">
        <v>34740</v>
      </c>
      <c r="C403" s="505" t="s">
        <v>45</v>
      </c>
      <c r="D403" s="505">
        <v>6</v>
      </c>
      <c r="E403" s="525" t="s">
        <v>461</v>
      </c>
    </row>
    <row r="404" spans="1:6" x14ac:dyDescent="0.2">
      <c r="A404" s="505" t="str">
        <f t="shared" si="8"/>
        <v>INDEC-PB - 34730-1</v>
      </c>
      <c r="B404" s="505">
        <v>34730</v>
      </c>
      <c r="C404" s="505" t="s">
        <v>45</v>
      </c>
      <c r="D404" s="505">
        <v>1</v>
      </c>
      <c r="E404" s="525" t="s">
        <v>462</v>
      </c>
    </row>
    <row r="405" spans="1:6" x14ac:dyDescent="0.2">
      <c r="A405" s="510" t="str">
        <f t="shared" si="8"/>
        <v>INDEC-PB - 34720-1</v>
      </c>
      <c r="B405" s="510">
        <v>34720</v>
      </c>
      <c r="C405" s="510" t="s">
        <v>45</v>
      </c>
      <c r="D405" s="510">
        <v>1</v>
      </c>
      <c r="E405" s="526" t="s">
        <v>463</v>
      </c>
      <c r="F405" s="504" t="s">
        <v>1897</v>
      </c>
    </row>
    <row r="406" spans="1:6" x14ac:dyDescent="0.2">
      <c r="A406" s="505" t="str">
        <f t="shared" si="8"/>
        <v>INDEC-PB - 34710-1</v>
      </c>
      <c r="B406" s="505">
        <v>34710</v>
      </c>
      <c r="C406" s="505" t="s">
        <v>45</v>
      </c>
      <c r="D406" s="505">
        <v>1</v>
      </c>
      <c r="E406" s="525" t="s">
        <v>464</v>
      </c>
    </row>
    <row r="407" spans="1:6" x14ac:dyDescent="0.2">
      <c r="A407" s="505" t="str">
        <f t="shared" si="8"/>
        <v>INDEC-PB - 41530-1</v>
      </c>
      <c r="B407" s="505">
        <v>41530</v>
      </c>
      <c r="C407" s="505" t="s">
        <v>45</v>
      </c>
      <c r="D407" s="505">
        <v>1</v>
      </c>
      <c r="E407" s="525" t="s">
        <v>465</v>
      </c>
    </row>
    <row r="408" spans="1:6" x14ac:dyDescent="0.2">
      <c r="A408" s="505" t="str">
        <f t="shared" si="8"/>
        <v>INDEC-PB - 41510-1</v>
      </c>
      <c r="B408" s="505">
        <v>41510</v>
      </c>
      <c r="C408" s="505" t="s">
        <v>45</v>
      </c>
      <c r="D408" s="505">
        <v>1</v>
      </c>
      <c r="E408" s="525" t="s">
        <v>466</v>
      </c>
    </row>
    <row r="409" spans="1:6" x14ac:dyDescent="0.2">
      <c r="A409" s="505" t="str">
        <f t="shared" si="8"/>
        <v>INDEC-PB - 31600-2</v>
      </c>
      <c r="B409" s="505">
        <v>31600</v>
      </c>
      <c r="C409" s="505" t="s">
        <v>45</v>
      </c>
      <c r="D409" s="505">
        <v>2</v>
      </c>
      <c r="E409" s="525" t="s">
        <v>467</v>
      </c>
    </row>
    <row r="410" spans="1:6" x14ac:dyDescent="0.2">
      <c r="A410" s="505" t="str">
        <f t="shared" si="8"/>
        <v>INDEC-PB - 49129-2</v>
      </c>
      <c r="B410" s="505">
        <v>49129</v>
      </c>
      <c r="C410" s="505" t="s">
        <v>45</v>
      </c>
      <c r="D410" s="505">
        <v>2</v>
      </c>
      <c r="E410" s="525" t="s">
        <v>468</v>
      </c>
    </row>
    <row r="411" spans="1:6" x14ac:dyDescent="0.2">
      <c r="A411" s="505" t="str">
        <f t="shared" si="8"/>
        <v>INDEC-PB - 34740-1</v>
      </c>
      <c r="B411" s="505">
        <v>34740</v>
      </c>
      <c r="C411" s="505" t="s">
        <v>45</v>
      </c>
      <c r="D411" s="505">
        <v>1</v>
      </c>
      <c r="E411" s="525" t="s">
        <v>469</v>
      </c>
    </row>
    <row r="412" spans="1:6" x14ac:dyDescent="0.2">
      <c r="A412" s="510" t="str">
        <f t="shared" si="8"/>
        <v>INDEC-PB - 43310-1</v>
      </c>
      <c r="B412" s="510">
        <v>43310</v>
      </c>
      <c r="C412" s="510" t="s">
        <v>45</v>
      </c>
      <c r="D412" s="510">
        <v>1</v>
      </c>
      <c r="E412" s="526" t="s">
        <v>470</v>
      </c>
      <c r="F412" s="504" t="s">
        <v>1897</v>
      </c>
    </row>
    <row r="413" spans="1:6" x14ac:dyDescent="0.2">
      <c r="A413" s="505" t="str">
        <f t="shared" si="8"/>
        <v>INDEC-PB - 44240-1</v>
      </c>
      <c r="B413" s="505">
        <v>44240</v>
      </c>
      <c r="C413" s="505" t="s">
        <v>45</v>
      </c>
      <c r="D413" s="505">
        <v>1</v>
      </c>
      <c r="E413" s="525" t="s">
        <v>471</v>
      </c>
    </row>
    <row r="414" spans="1:6" x14ac:dyDescent="0.2">
      <c r="A414" s="505" t="str">
        <f t="shared" si="8"/>
        <v>INDEC-PB - 33500-1</v>
      </c>
      <c r="B414" s="505">
        <v>33500</v>
      </c>
      <c r="C414" s="505" t="s">
        <v>45</v>
      </c>
      <c r="D414" s="505">
        <v>1</v>
      </c>
      <c r="E414" s="525" t="s">
        <v>472</v>
      </c>
    </row>
    <row r="415" spans="1:6" x14ac:dyDescent="0.2">
      <c r="A415" s="505" t="str">
        <f t="shared" si="8"/>
        <v>INDEC-PB - 44214-1</v>
      </c>
      <c r="B415" s="505">
        <v>44214</v>
      </c>
      <c r="C415" s="505" t="s">
        <v>45</v>
      </c>
      <c r="D415" s="505">
        <v>1</v>
      </c>
      <c r="E415" s="525" t="s">
        <v>473</v>
      </c>
    </row>
    <row r="416" spans="1:6" x14ac:dyDescent="0.2">
      <c r="A416" s="505" t="str">
        <f t="shared" si="8"/>
        <v>INDEC-PB - 37350-2</v>
      </c>
      <c r="B416" s="505">
        <v>37350</v>
      </c>
      <c r="C416" s="505" t="s">
        <v>45</v>
      </c>
      <c r="D416" s="505">
        <v>2</v>
      </c>
      <c r="E416" s="525" t="s">
        <v>474</v>
      </c>
    </row>
    <row r="417" spans="1:6" x14ac:dyDescent="0.2">
      <c r="A417" s="505" t="str">
        <f t="shared" si="8"/>
        <v>INDEC-PB - 42943-1</v>
      </c>
      <c r="B417" s="505">
        <v>42943</v>
      </c>
      <c r="C417" s="505" t="s">
        <v>45</v>
      </c>
      <c r="D417" s="505">
        <v>1</v>
      </c>
      <c r="E417" s="525" t="s">
        <v>475</v>
      </c>
    </row>
    <row r="418" spans="1:6" x14ac:dyDescent="0.2">
      <c r="A418" s="505" t="str">
        <f t="shared" si="8"/>
        <v>INDEC-PB - 36990-1</v>
      </c>
      <c r="B418" s="505">
        <v>36990</v>
      </c>
      <c r="C418" s="505" t="s">
        <v>45</v>
      </c>
      <c r="D418" s="505">
        <v>1</v>
      </c>
      <c r="E418" s="525" t="s">
        <v>476</v>
      </c>
    </row>
    <row r="419" spans="1:6" x14ac:dyDescent="0.2">
      <c r="A419" s="505" t="str">
        <f t="shared" si="8"/>
        <v>INDEC-PB - 46121-1</v>
      </c>
      <c r="B419" s="505">
        <v>46121</v>
      </c>
      <c r="C419" s="505" t="s">
        <v>45</v>
      </c>
      <c r="D419" s="505">
        <v>1</v>
      </c>
      <c r="E419" s="525" t="s">
        <v>477</v>
      </c>
    </row>
    <row r="420" spans="1:6" x14ac:dyDescent="0.2">
      <c r="A420" s="505" t="str">
        <f t="shared" si="8"/>
        <v>INDEC-PB - 49115-1</v>
      </c>
      <c r="B420" s="505">
        <v>49115</v>
      </c>
      <c r="C420" s="505" t="s">
        <v>45</v>
      </c>
      <c r="D420" s="505">
        <v>1</v>
      </c>
      <c r="E420" s="525" t="s">
        <v>478</v>
      </c>
    </row>
    <row r="421" spans="1:6" x14ac:dyDescent="0.2">
      <c r="A421" s="510" t="str">
        <f t="shared" si="8"/>
        <v>INDEC-PB - 37113-1</v>
      </c>
      <c r="B421" s="510">
        <v>37113</v>
      </c>
      <c r="C421" s="510" t="s">
        <v>45</v>
      </c>
      <c r="D421" s="510">
        <v>1</v>
      </c>
      <c r="E421" s="526" t="s">
        <v>479</v>
      </c>
      <c r="F421" s="504" t="s">
        <v>1897</v>
      </c>
    </row>
    <row r="422" spans="1:6" x14ac:dyDescent="0.2">
      <c r="A422" s="510" t="str">
        <f t="shared" si="8"/>
        <v>INDEC-PB - 37199-3</v>
      </c>
      <c r="B422" s="510">
        <v>37199</v>
      </c>
      <c r="C422" s="510" t="s">
        <v>45</v>
      </c>
      <c r="D422" s="510">
        <v>3</v>
      </c>
      <c r="E422" s="526" t="s">
        <v>480</v>
      </c>
      <c r="F422" s="504" t="s">
        <v>1897</v>
      </c>
    </row>
    <row r="423" spans="1:6" x14ac:dyDescent="0.2">
      <c r="A423" s="510" t="str">
        <f t="shared" si="8"/>
        <v>INDEC-PB - 37199-1</v>
      </c>
      <c r="B423" s="510">
        <v>37199</v>
      </c>
      <c r="C423" s="510" t="s">
        <v>45</v>
      </c>
      <c r="D423" s="510">
        <v>1</v>
      </c>
      <c r="E423" s="526" t="s">
        <v>481</v>
      </c>
      <c r="F423" s="504" t="s">
        <v>1897</v>
      </c>
    </row>
    <row r="424" spans="1:6" x14ac:dyDescent="0.2">
      <c r="A424" s="510" t="str">
        <f t="shared" si="8"/>
        <v>INDEC-PB - 37199-2</v>
      </c>
      <c r="B424" s="510">
        <v>37199</v>
      </c>
      <c r="C424" s="510" t="s">
        <v>45</v>
      </c>
      <c r="D424" s="510">
        <v>2</v>
      </c>
      <c r="E424" s="526" t="s">
        <v>482</v>
      </c>
      <c r="F424" s="504" t="s">
        <v>1897</v>
      </c>
    </row>
    <row r="425" spans="1:6" x14ac:dyDescent="0.2">
      <c r="A425" s="505" t="str">
        <f t="shared" si="8"/>
        <v>INDEC-PB - 15200-1</v>
      </c>
      <c r="B425" s="505">
        <v>15200</v>
      </c>
      <c r="C425" s="505" t="s">
        <v>45</v>
      </c>
      <c r="D425" s="505">
        <v>1</v>
      </c>
      <c r="E425" s="525" t="s">
        <v>483</v>
      </c>
    </row>
    <row r="426" spans="1:6" x14ac:dyDescent="0.2">
      <c r="A426" s="527"/>
      <c r="E426" s="528"/>
    </row>
    <row r="427" spans="1:6" x14ac:dyDescent="0.2">
      <c r="A427" s="529"/>
      <c r="E427" s="528" t="s">
        <v>484</v>
      </c>
    </row>
    <row r="428" spans="1:6" x14ac:dyDescent="0.2">
      <c r="A428" s="505" t="str">
        <f t="shared" ref="A428:A445" si="9">CONCATENATE("INDEC-PB - ",B428,C428,D428)</f>
        <v>INDEC-PB - 94920-1</v>
      </c>
      <c r="B428" s="505">
        <v>94920</v>
      </c>
      <c r="C428" s="505" t="s">
        <v>45</v>
      </c>
      <c r="D428" s="505">
        <v>1</v>
      </c>
      <c r="E428" s="525" t="s">
        <v>485</v>
      </c>
    </row>
    <row r="429" spans="1:6" x14ac:dyDescent="0.2">
      <c r="A429" s="505" t="str">
        <f t="shared" si="9"/>
        <v>INDEC-PB - 91223-1</v>
      </c>
      <c r="B429" s="505">
        <v>91223</v>
      </c>
      <c r="C429" s="505" t="s">
        <v>45</v>
      </c>
      <c r="D429" s="505">
        <v>1</v>
      </c>
      <c r="E429" s="525" t="s">
        <v>486</v>
      </c>
    </row>
    <row r="430" spans="1:6" x14ac:dyDescent="0.2">
      <c r="A430" s="505" t="str">
        <f t="shared" si="9"/>
        <v>INDEC-PB - 91211-11</v>
      </c>
      <c r="B430" s="505">
        <v>91211</v>
      </c>
      <c r="C430" s="505" t="s">
        <v>45</v>
      </c>
      <c r="D430" s="505">
        <v>11</v>
      </c>
      <c r="E430" s="525" t="s">
        <v>487</v>
      </c>
    </row>
    <row r="431" spans="1:6" x14ac:dyDescent="0.2">
      <c r="A431" s="505" t="str">
        <f t="shared" si="9"/>
        <v>INDEC-PB - 91211-1</v>
      </c>
      <c r="B431" s="505">
        <v>91211</v>
      </c>
      <c r="C431" s="505" t="s">
        <v>45</v>
      </c>
      <c r="D431" s="505">
        <v>1</v>
      </c>
      <c r="E431" s="525" t="s">
        <v>488</v>
      </c>
    </row>
    <row r="432" spans="1:6" x14ac:dyDescent="0.2">
      <c r="A432" s="510" t="str">
        <f t="shared" si="9"/>
        <v>INDEC-PB - 91511-1</v>
      </c>
      <c r="B432" s="510">
        <v>91511</v>
      </c>
      <c r="C432" s="510" t="s">
        <v>45</v>
      </c>
      <c r="D432" s="510">
        <v>1</v>
      </c>
      <c r="E432" s="526" t="s">
        <v>489</v>
      </c>
      <c r="F432" s="504" t="s">
        <v>1897</v>
      </c>
    </row>
    <row r="433" spans="1:6" x14ac:dyDescent="0.2">
      <c r="A433" s="505" t="str">
        <f t="shared" si="9"/>
        <v>INDEC-PB - 91547-1</v>
      </c>
      <c r="B433" s="505">
        <v>91547</v>
      </c>
      <c r="C433" s="505" t="s">
        <v>45</v>
      </c>
      <c r="D433" s="505">
        <v>1</v>
      </c>
      <c r="E433" s="525" t="s">
        <v>490</v>
      </c>
    </row>
    <row r="434" spans="1:6" x14ac:dyDescent="0.2">
      <c r="A434" s="505" t="str">
        <f t="shared" si="9"/>
        <v>INDEC-PB - 81100-1</v>
      </c>
      <c r="B434" s="505">
        <v>81100</v>
      </c>
      <c r="C434" s="505" t="s">
        <v>45</v>
      </c>
      <c r="D434" s="505">
        <v>1</v>
      </c>
      <c r="E434" s="525" t="s">
        <v>491</v>
      </c>
    </row>
    <row r="435" spans="1:6" x14ac:dyDescent="0.2">
      <c r="A435" s="510" t="str">
        <f t="shared" si="9"/>
        <v>INDEC-PB - 91601-2</v>
      </c>
      <c r="B435" s="510">
        <v>91601</v>
      </c>
      <c r="C435" s="510" t="s">
        <v>45</v>
      </c>
      <c r="D435" s="510">
        <v>2</v>
      </c>
      <c r="E435" s="526" t="s">
        <v>492</v>
      </c>
      <c r="F435" s="504" t="s">
        <v>1897</v>
      </c>
    </row>
    <row r="436" spans="1:6" x14ac:dyDescent="0.2">
      <c r="A436" s="505" t="str">
        <f t="shared" si="9"/>
        <v>INDEC-PB - 94214-1</v>
      </c>
      <c r="B436" s="505">
        <v>94214</v>
      </c>
      <c r="C436" s="505" t="s">
        <v>45</v>
      </c>
      <c r="D436" s="505">
        <v>1</v>
      </c>
      <c r="E436" s="525" t="s">
        <v>493</v>
      </c>
    </row>
    <row r="437" spans="1:6" x14ac:dyDescent="0.2">
      <c r="A437" s="505" t="str">
        <f t="shared" si="9"/>
        <v>INDEC-PB - 94216-1</v>
      </c>
      <c r="B437" s="505">
        <v>94216</v>
      </c>
      <c r="C437" s="505" t="s">
        <v>45</v>
      </c>
      <c r="D437" s="505">
        <v>1</v>
      </c>
      <c r="E437" s="525" t="s">
        <v>494</v>
      </c>
    </row>
    <row r="438" spans="1:6" x14ac:dyDescent="0.2">
      <c r="A438" s="510" t="str">
        <f t="shared" si="9"/>
        <v>INDEC-PB - 93310-2</v>
      </c>
      <c r="B438" s="510">
        <v>93310</v>
      </c>
      <c r="C438" s="510" t="s">
        <v>45</v>
      </c>
      <c r="D438" s="510">
        <v>2</v>
      </c>
      <c r="E438" s="526" t="s">
        <v>495</v>
      </c>
      <c r="F438" s="504" t="s">
        <v>1897</v>
      </c>
    </row>
    <row r="439" spans="1:6" x14ac:dyDescent="0.2">
      <c r="A439" s="505" t="str">
        <f t="shared" si="9"/>
        <v>INDEC-PB - 82129-1</v>
      </c>
      <c r="B439" s="505">
        <v>82129</v>
      </c>
      <c r="C439" s="505" t="s">
        <v>45</v>
      </c>
      <c r="D439" s="505">
        <v>1</v>
      </c>
      <c r="E439" s="525" t="s">
        <v>496</v>
      </c>
    </row>
    <row r="440" spans="1:6" x14ac:dyDescent="0.2">
      <c r="A440" s="510" t="str">
        <f t="shared" si="9"/>
        <v>INDEC-PB - 91251-1</v>
      </c>
      <c r="B440" s="510">
        <v>91251</v>
      </c>
      <c r="C440" s="510" t="s">
        <v>45</v>
      </c>
      <c r="D440" s="510">
        <v>1</v>
      </c>
      <c r="E440" s="526" t="s">
        <v>497</v>
      </c>
      <c r="F440" s="504" t="s">
        <v>1897</v>
      </c>
    </row>
    <row r="441" spans="1:6" x14ac:dyDescent="0.2">
      <c r="A441" s="505" t="str">
        <f t="shared" si="9"/>
        <v>INDEC-PB - 93310-1</v>
      </c>
      <c r="B441" s="505">
        <v>93310</v>
      </c>
      <c r="C441" s="505" t="s">
        <v>45</v>
      </c>
      <c r="D441" s="505">
        <v>1</v>
      </c>
      <c r="E441" s="525" t="s">
        <v>498</v>
      </c>
    </row>
    <row r="442" spans="1:6" x14ac:dyDescent="0.2">
      <c r="A442" s="510" t="str">
        <f t="shared" si="9"/>
        <v>INDEC-PB - 84710-1</v>
      </c>
      <c r="B442" s="510">
        <v>84710</v>
      </c>
      <c r="C442" s="510" t="s">
        <v>45</v>
      </c>
      <c r="D442" s="510">
        <v>1</v>
      </c>
      <c r="E442" s="526" t="s">
        <v>499</v>
      </c>
      <c r="F442" s="504" t="s">
        <v>1897</v>
      </c>
    </row>
    <row r="443" spans="1:6" x14ac:dyDescent="0.2">
      <c r="A443" s="510" t="str">
        <f t="shared" si="9"/>
        <v>INDEC-PB - 84740-1</v>
      </c>
      <c r="B443" s="510">
        <v>84740</v>
      </c>
      <c r="C443" s="510" t="s">
        <v>45</v>
      </c>
      <c r="D443" s="510">
        <v>1</v>
      </c>
      <c r="E443" s="526" t="s">
        <v>500</v>
      </c>
      <c r="F443" s="504" t="s">
        <v>1897</v>
      </c>
    </row>
    <row r="444" spans="1:6" x14ac:dyDescent="0.2">
      <c r="A444" s="510" t="str">
        <f t="shared" si="9"/>
        <v>INDEC-PB - 84230-1</v>
      </c>
      <c r="B444" s="510">
        <v>84230</v>
      </c>
      <c r="C444" s="510" t="s">
        <v>45</v>
      </c>
      <c r="D444" s="510">
        <v>1</v>
      </c>
      <c r="E444" s="526" t="s">
        <v>501</v>
      </c>
      <c r="F444" s="504" t="s">
        <v>1897</v>
      </c>
    </row>
    <row r="445" spans="1:6" x14ac:dyDescent="0.2">
      <c r="A445" s="505" t="str">
        <f t="shared" si="9"/>
        <v>INDEC-PB - 85490-1</v>
      </c>
      <c r="B445" s="505">
        <v>85490</v>
      </c>
      <c r="C445" s="505" t="s">
        <v>45</v>
      </c>
      <c r="D445" s="505">
        <v>1</v>
      </c>
      <c r="E445" s="525" t="s">
        <v>502</v>
      </c>
    </row>
    <row r="448" spans="1:6" x14ac:dyDescent="0.2">
      <c r="A448" s="525"/>
      <c r="B448" s="503" t="s">
        <v>504</v>
      </c>
      <c r="C448" s="17"/>
      <c r="D448" s="17"/>
    </row>
    <row r="449" spans="1:5" x14ac:dyDescent="0.2">
      <c r="A449" s="525"/>
      <c r="B449" s="513"/>
      <c r="C449" s="17"/>
      <c r="D449" s="17"/>
    </row>
    <row r="450" spans="1:5" x14ac:dyDescent="0.2">
      <c r="A450" s="744" t="s">
        <v>343</v>
      </c>
      <c r="B450" s="744" t="s">
        <v>505</v>
      </c>
      <c r="C450" s="744"/>
      <c r="D450" s="744"/>
      <c r="E450" s="744" t="s">
        <v>43</v>
      </c>
    </row>
    <row r="451" spans="1:5" x14ac:dyDescent="0.2">
      <c r="A451" s="744"/>
      <c r="B451" s="744" t="s">
        <v>506</v>
      </c>
      <c r="C451" s="744"/>
      <c r="D451" s="744"/>
      <c r="E451" s="744"/>
    </row>
    <row r="452" spans="1:5" x14ac:dyDescent="0.2">
      <c r="B452" s="15"/>
      <c r="C452" s="17"/>
      <c r="D452" s="17"/>
      <c r="E452" s="530"/>
    </row>
    <row r="453" spans="1:5" x14ac:dyDescent="0.2">
      <c r="B453" s="15"/>
      <c r="C453" s="17"/>
      <c r="D453" s="17"/>
      <c r="E453" s="528" t="s">
        <v>507</v>
      </c>
    </row>
    <row r="454" spans="1:5" x14ac:dyDescent="0.2">
      <c r="A454" s="505" t="str">
        <f t="shared" ref="A454:A474" si="10">CONCATENATE("INDEC-PB - ",B454,C454,D454)</f>
        <v>INDEC-PB - 2811-1</v>
      </c>
      <c r="B454" s="17">
        <v>2811</v>
      </c>
      <c r="C454" s="505" t="s">
        <v>45</v>
      </c>
      <c r="D454" s="505">
        <v>1</v>
      </c>
      <c r="E454" s="16" t="s">
        <v>508</v>
      </c>
    </row>
    <row r="455" spans="1:5" x14ac:dyDescent="0.2">
      <c r="A455" s="505" t="str">
        <f t="shared" si="10"/>
        <v>INDEC-PB - 2710-1</v>
      </c>
      <c r="B455" s="17">
        <v>2710</v>
      </c>
      <c r="C455" s="505" t="s">
        <v>45</v>
      </c>
      <c r="D455" s="505">
        <v>1</v>
      </c>
      <c r="E455" s="16" t="s">
        <v>509</v>
      </c>
    </row>
    <row r="456" spans="1:5" x14ac:dyDescent="0.2">
      <c r="A456" s="505" t="str">
        <f t="shared" si="10"/>
        <v>INDEC-PB - 2922-1</v>
      </c>
      <c r="B456" s="17">
        <v>2922</v>
      </c>
      <c r="C456" s="505" t="s">
        <v>45</v>
      </c>
      <c r="D456" s="505">
        <v>1</v>
      </c>
      <c r="E456" s="16" t="s">
        <v>510</v>
      </c>
    </row>
    <row r="457" spans="1:5" x14ac:dyDescent="0.2">
      <c r="A457" s="505" t="str">
        <f t="shared" si="10"/>
        <v>INDEC-PB - 2691-</v>
      </c>
      <c r="B457" s="17">
        <v>2691</v>
      </c>
      <c r="C457" s="505" t="s">
        <v>45</v>
      </c>
      <c r="E457" s="16" t="s">
        <v>511</v>
      </c>
    </row>
    <row r="458" spans="1:5" x14ac:dyDescent="0.2">
      <c r="A458" s="505" t="str">
        <f t="shared" si="10"/>
        <v>INDEC-PB - 2695-</v>
      </c>
      <c r="B458" s="17">
        <v>2695</v>
      </c>
      <c r="C458" s="505" t="s">
        <v>45</v>
      </c>
      <c r="E458" s="16" t="s">
        <v>512</v>
      </c>
    </row>
    <row r="459" spans="1:5" x14ac:dyDescent="0.2">
      <c r="A459" s="505" t="str">
        <f t="shared" si="10"/>
        <v>INDEC-PB - 3410-2</v>
      </c>
      <c r="B459" s="17">
        <v>3410</v>
      </c>
      <c r="C459" s="505" t="s">
        <v>45</v>
      </c>
      <c r="D459" s="505">
        <v>2</v>
      </c>
      <c r="E459" s="16" t="s">
        <v>513</v>
      </c>
    </row>
    <row r="460" spans="1:5" x14ac:dyDescent="0.2">
      <c r="A460" s="505" t="str">
        <f t="shared" si="10"/>
        <v>INDEC-PB - 2520-1</v>
      </c>
      <c r="B460" s="17">
        <v>2520</v>
      </c>
      <c r="C460" s="505" t="s">
        <v>45</v>
      </c>
      <c r="D460" s="505">
        <v>1</v>
      </c>
      <c r="E460" s="525" t="s">
        <v>514</v>
      </c>
    </row>
    <row r="461" spans="1:5" x14ac:dyDescent="0.2">
      <c r="A461" s="505" t="str">
        <f t="shared" si="10"/>
        <v>INDEC-PB - 2413-3</v>
      </c>
      <c r="B461" s="17">
        <v>2413</v>
      </c>
      <c r="C461" s="505" t="s">
        <v>45</v>
      </c>
      <c r="D461" s="505">
        <v>3</v>
      </c>
      <c r="E461" s="525" t="s">
        <v>515</v>
      </c>
    </row>
    <row r="462" spans="1:5" x14ac:dyDescent="0.2">
      <c r="A462" s="505" t="str">
        <f t="shared" si="10"/>
        <v>INDEC-PB - 2519-1</v>
      </c>
      <c r="B462" s="17">
        <v>2519</v>
      </c>
      <c r="C462" s="505" t="s">
        <v>45</v>
      </c>
      <c r="D462" s="505">
        <v>1</v>
      </c>
      <c r="E462" s="525" t="s">
        <v>516</v>
      </c>
    </row>
    <row r="463" spans="1:5" x14ac:dyDescent="0.2">
      <c r="A463" s="505" t="str">
        <f t="shared" si="10"/>
        <v>INDEC-PB - 2520-3</v>
      </c>
      <c r="B463" s="17">
        <v>2520</v>
      </c>
      <c r="C463" s="505" t="s">
        <v>45</v>
      </c>
      <c r="D463" s="505">
        <v>3</v>
      </c>
      <c r="E463" s="525" t="s">
        <v>517</v>
      </c>
    </row>
    <row r="464" spans="1:5" x14ac:dyDescent="0.2">
      <c r="A464" s="505" t="str">
        <f t="shared" si="10"/>
        <v>INDEC-PB - 2022-1</v>
      </c>
      <c r="B464" s="17">
        <v>2022</v>
      </c>
      <c r="C464" s="505" t="s">
        <v>45</v>
      </c>
      <c r="D464" s="505">
        <v>1</v>
      </c>
      <c r="E464" s="525" t="s">
        <v>518</v>
      </c>
    </row>
    <row r="465" spans="1:5" x14ac:dyDescent="0.2">
      <c r="A465" s="505" t="str">
        <f t="shared" si="10"/>
        <v>INDEC-PB - 2511-1</v>
      </c>
      <c r="B465" s="17">
        <v>2511</v>
      </c>
      <c r="C465" s="505" t="s">
        <v>45</v>
      </c>
      <c r="D465" s="505">
        <v>1</v>
      </c>
      <c r="E465" s="525" t="s">
        <v>519</v>
      </c>
    </row>
    <row r="466" spans="1:5" x14ac:dyDescent="0.2">
      <c r="A466" s="505" t="str">
        <f t="shared" si="10"/>
        <v>INDEC-PB - 2899-</v>
      </c>
      <c r="B466" s="17">
        <v>2899</v>
      </c>
      <c r="C466" s="505" t="s">
        <v>45</v>
      </c>
      <c r="E466" s="525" t="s">
        <v>520</v>
      </c>
    </row>
    <row r="467" spans="1:5" x14ac:dyDescent="0.2">
      <c r="A467" s="505" t="str">
        <f t="shared" si="10"/>
        <v>INDEC-PB - 3110-1</v>
      </c>
      <c r="B467" s="17">
        <v>3110</v>
      </c>
      <c r="C467" s="505" t="s">
        <v>45</v>
      </c>
      <c r="D467" s="505">
        <v>1</v>
      </c>
      <c r="E467" s="525" t="s">
        <v>521</v>
      </c>
    </row>
    <row r="468" spans="1:5" x14ac:dyDescent="0.2">
      <c r="A468" s="505" t="str">
        <f t="shared" si="10"/>
        <v>INDEC-PB - 2320-1</v>
      </c>
      <c r="B468" s="17">
        <v>2320</v>
      </c>
      <c r="C468" s="505" t="s">
        <v>45</v>
      </c>
      <c r="D468" s="505">
        <v>1</v>
      </c>
      <c r="E468" s="525" t="s">
        <v>522</v>
      </c>
    </row>
    <row r="469" spans="1:5" x14ac:dyDescent="0.2">
      <c r="A469" s="505" t="str">
        <f t="shared" si="10"/>
        <v>INDEC-PB - 2924-1</v>
      </c>
      <c r="B469" s="17">
        <v>2924</v>
      </c>
      <c r="C469" s="505" t="s">
        <v>45</v>
      </c>
      <c r="D469" s="505">
        <v>1</v>
      </c>
      <c r="E469" s="525" t="s">
        <v>523</v>
      </c>
    </row>
    <row r="470" spans="1:5" x14ac:dyDescent="0.2">
      <c r="A470" s="505" t="str">
        <f t="shared" si="10"/>
        <v>INDEC-PB - 2692-1</v>
      </c>
      <c r="B470" s="17">
        <v>2692</v>
      </c>
      <c r="C470" s="505" t="s">
        <v>45</v>
      </c>
      <c r="D470" s="505">
        <v>1</v>
      </c>
      <c r="E470" s="525" t="s">
        <v>524</v>
      </c>
    </row>
    <row r="471" spans="1:5" x14ac:dyDescent="0.2">
      <c r="A471" s="505" t="str">
        <f t="shared" si="10"/>
        <v>INDEC-PB - 3410-</v>
      </c>
      <c r="B471" s="17">
        <v>3410</v>
      </c>
      <c r="C471" s="505" t="s">
        <v>45</v>
      </c>
      <c r="E471" s="525" t="s">
        <v>525</v>
      </c>
    </row>
    <row r="472" spans="1:5" x14ac:dyDescent="0.2">
      <c r="A472" s="505" t="str">
        <f t="shared" si="10"/>
        <v>INDEC-PB - 2413-1</v>
      </c>
      <c r="B472" s="17">
        <v>2413</v>
      </c>
      <c r="C472" s="505" t="s">
        <v>45</v>
      </c>
      <c r="D472" s="505">
        <v>1</v>
      </c>
      <c r="E472" s="525" t="s">
        <v>526</v>
      </c>
    </row>
    <row r="473" spans="1:5" x14ac:dyDescent="0.2">
      <c r="A473" s="505" t="str">
        <f t="shared" si="10"/>
        <v>INDEC-PB - 291-</v>
      </c>
      <c r="B473" s="17">
        <v>291</v>
      </c>
      <c r="C473" s="505" t="s">
        <v>45</v>
      </c>
      <c r="E473" s="16" t="s">
        <v>527</v>
      </c>
    </row>
    <row r="474" spans="1:5" x14ac:dyDescent="0.2">
      <c r="A474" s="505" t="str">
        <f t="shared" si="10"/>
        <v>INDEC-PB - 2610-1</v>
      </c>
      <c r="B474" s="17">
        <v>2610</v>
      </c>
      <c r="C474" s="505" t="s">
        <v>45</v>
      </c>
      <c r="D474" s="505">
        <v>1</v>
      </c>
      <c r="E474" s="16" t="s">
        <v>528</v>
      </c>
    </row>
    <row r="475" spans="1:5" x14ac:dyDescent="0.2">
      <c r="A475" s="17"/>
      <c r="B475" s="514"/>
      <c r="C475" s="17"/>
      <c r="E475" s="16"/>
    </row>
    <row r="476" spans="1:5" x14ac:dyDescent="0.2">
      <c r="A476" s="17"/>
      <c r="B476" s="514"/>
      <c r="C476" s="17"/>
      <c r="E476" s="528" t="s">
        <v>484</v>
      </c>
    </row>
    <row r="477" spans="1:5" x14ac:dyDescent="0.2">
      <c r="A477" s="505" t="str">
        <f t="shared" ref="A477:A482" si="11">CONCATENATE("INDEC-PB - ",B477,C477,D477)</f>
        <v>INDEC-PB - 2710-1</v>
      </c>
      <c r="B477" s="17">
        <v>2710</v>
      </c>
      <c r="C477" s="505" t="s">
        <v>45</v>
      </c>
      <c r="D477" s="17">
        <v>1</v>
      </c>
      <c r="E477" s="16" t="s">
        <v>529</v>
      </c>
    </row>
    <row r="478" spans="1:5" x14ac:dyDescent="0.2">
      <c r="A478" s="505" t="str">
        <f t="shared" si="11"/>
        <v>INDEC-PB - 2720-1</v>
      </c>
      <c r="B478" s="17">
        <v>2720</v>
      </c>
      <c r="C478" s="505" t="s">
        <v>45</v>
      </c>
      <c r="D478" s="17">
        <v>1</v>
      </c>
      <c r="E478" s="16" t="s">
        <v>530</v>
      </c>
    </row>
    <row r="479" spans="1:5" x14ac:dyDescent="0.2">
      <c r="A479" s="505" t="str">
        <f t="shared" si="11"/>
        <v>INDEC-PB - 2922-1</v>
      </c>
      <c r="B479" s="17">
        <v>2922</v>
      </c>
      <c r="C479" s="505" t="s">
        <v>45</v>
      </c>
      <c r="D479" s="17">
        <v>1</v>
      </c>
      <c r="E479" s="16" t="s">
        <v>531</v>
      </c>
    </row>
    <row r="480" spans="1:5" x14ac:dyDescent="0.2">
      <c r="A480" s="505" t="str">
        <f t="shared" si="11"/>
        <v>INDEC-PB - 2913-1</v>
      </c>
      <c r="B480" s="17">
        <v>2913</v>
      </c>
      <c r="C480" s="505" t="s">
        <v>45</v>
      </c>
      <c r="D480" s="17">
        <v>1</v>
      </c>
      <c r="E480" s="16" t="s">
        <v>532</v>
      </c>
    </row>
    <row r="481" spans="1:8" x14ac:dyDescent="0.2">
      <c r="A481" s="505" t="str">
        <f t="shared" si="11"/>
        <v>INDEC-PB - 2413-11</v>
      </c>
      <c r="B481" s="17">
        <v>2413</v>
      </c>
      <c r="C481" s="505" t="s">
        <v>45</v>
      </c>
      <c r="D481" s="17">
        <v>11</v>
      </c>
      <c r="E481" s="16" t="s">
        <v>533</v>
      </c>
    </row>
    <row r="482" spans="1:8" x14ac:dyDescent="0.2">
      <c r="A482" s="505" t="str">
        <f t="shared" si="11"/>
        <v>INDEC-PB - 2411-1</v>
      </c>
      <c r="B482" s="17">
        <v>2411</v>
      </c>
      <c r="C482" s="505" t="s">
        <v>45</v>
      </c>
      <c r="D482" s="17">
        <v>1</v>
      </c>
      <c r="E482" s="16" t="s">
        <v>534</v>
      </c>
    </row>
    <row r="485" spans="1:8" x14ac:dyDescent="0.2">
      <c r="A485" s="531"/>
      <c r="B485" s="503" t="s">
        <v>570</v>
      </c>
      <c r="C485" s="532"/>
      <c r="D485" s="532"/>
    </row>
    <row r="487" spans="1:8" x14ac:dyDescent="0.2">
      <c r="A487" s="507"/>
      <c r="B487" s="744" t="s">
        <v>261</v>
      </c>
      <c r="C487" s="507"/>
      <c r="D487" s="507"/>
      <c r="E487" s="744" t="s">
        <v>262</v>
      </c>
      <c r="F487" s="744" t="s">
        <v>263</v>
      </c>
      <c r="G487" s="744" t="s">
        <v>264</v>
      </c>
    </row>
    <row r="488" spans="1:8" x14ac:dyDescent="0.2">
      <c r="A488" s="507"/>
      <c r="B488" s="744"/>
      <c r="C488" s="507"/>
      <c r="D488" s="507"/>
      <c r="E488" s="744"/>
      <c r="F488" s="744" t="s">
        <v>265</v>
      </c>
      <c r="G488" s="744"/>
    </row>
    <row r="490" spans="1:8" x14ac:dyDescent="0.2">
      <c r="A490" s="505" t="str">
        <f t="shared" ref="A490:A500" si="12">CONCATENATE("INDEC-DCTO - Inciso ",B490)</f>
        <v>INDEC-DCTO - Inciso a)</v>
      </c>
      <c r="B490" s="505" t="s">
        <v>266</v>
      </c>
      <c r="E490" s="504" t="s">
        <v>267</v>
      </c>
      <c r="F490" s="505" t="s">
        <v>268</v>
      </c>
      <c r="G490" s="504" t="s">
        <v>269</v>
      </c>
    </row>
    <row r="491" spans="1:8" x14ac:dyDescent="0.2">
      <c r="A491" s="505" t="str">
        <f t="shared" si="12"/>
        <v>INDEC-DCTO - Inciso b)</v>
      </c>
      <c r="B491" s="505" t="s">
        <v>270</v>
      </c>
      <c r="E491" s="504" t="s">
        <v>271</v>
      </c>
      <c r="F491" s="505" t="s">
        <v>272</v>
      </c>
      <c r="G491" s="504" t="s">
        <v>273</v>
      </c>
    </row>
    <row r="492" spans="1:8" x14ac:dyDescent="0.2">
      <c r="A492" s="505" t="str">
        <f t="shared" si="12"/>
        <v>INDEC-DCTO - Inciso d)</v>
      </c>
      <c r="B492" s="505" t="s">
        <v>274</v>
      </c>
      <c r="E492" s="504" t="s">
        <v>275</v>
      </c>
      <c r="F492" s="505" t="s">
        <v>272</v>
      </c>
      <c r="G492" s="504" t="s">
        <v>276</v>
      </c>
    </row>
    <row r="493" spans="1:8" x14ac:dyDescent="0.2">
      <c r="A493" s="505" t="str">
        <f t="shared" si="12"/>
        <v>INDEC-DCTO - Inciso f)</v>
      </c>
      <c r="B493" s="505" t="s">
        <v>277</v>
      </c>
      <c r="E493" s="504" t="s">
        <v>278</v>
      </c>
      <c r="F493" s="505" t="s">
        <v>279</v>
      </c>
      <c r="G493" s="504" t="s">
        <v>280</v>
      </c>
    </row>
    <row r="494" spans="1:8" x14ac:dyDescent="0.2">
      <c r="A494" s="505" t="str">
        <f t="shared" si="12"/>
        <v>INDEC-DCTO - Inciso g)</v>
      </c>
      <c r="B494" s="505" t="s">
        <v>281</v>
      </c>
      <c r="E494" s="504" t="s">
        <v>282</v>
      </c>
      <c r="F494" s="505" t="s">
        <v>272</v>
      </c>
      <c r="G494" s="504" t="s">
        <v>283</v>
      </c>
    </row>
    <row r="495" spans="1:8" x14ac:dyDescent="0.2">
      <c r="A495" s="505" t="str">
        <f t="shared" si="12"/>
        <v>INDEC-DCTO - Inciso h)</v>
      </c>
      <c r="B495" s="505" t="s">
        <v>284</v>
      </c>
      <c r="E495" s="504" t="s">
        <v>285</v>
      </c>
      <c r="F495" s="505" t="s">
        <v>286</v>
      </c>
      <c r="G495" s="504" t="s">
        <v>287</v>
      </c>
    </row>
    <row r="496" spans="1:8" x14ac:dyDescent="0.2">
      <c r="A496" s="642" t="str">
        <f t="shared" si="12"/>
        <v>INDEC-DCTO - Inciso p)</v>
      </c>
      <c r="B496" s="642" t="s">
        <v>288</v>
      </c>
      <c r="C496" s="642"/>
      <c r="D496" s="642"/>
      <c r="E496" s="645" t="s">
        <v>289</v>
      </c>
      <c r="F496" s="642" t="s">
        <v>268</v>
      </c>
      <c r="G496" s="645" t="s">
        <v>290</v>
      </c>
      <c r="H496" s="646"/>
    </row>
    <row r="497" spans="1:7" x14ac:dyDescent="0.2">
      <c r="A497" s="505" t="str">
        <f t="shared" si="12"/>
        <v>INDEC-DCTO - Inciso r)</v>
      </c>
      <c r="B497" s="505" t="s">
        <v>291</v>
      </c>
      <c r="E497" s="504" t="s">
        <v>292</v>
      </c>
      <c r="F497" s="505" t="s">
        <v>272</v>
      </c>
      <c r="G497" s="504" t="s">
        <v>293</v>
      </c>
    </row>
    <row r="498" spans="1:7" x14ac:dyDescent="0.2">
      <c r="A498" s="505" t="str">
        <f t="shared" si="12"/>
        <v>INDEC-DCTO - Inciso s)</v>
      </c>
      <c r="B498" s="505" t="s">
        <v>294</v>
      </c>
      <c r="E498" s="504" t="s">
        <v>295</v>
      </c>
      <c r="F498" s="505" t="s">
        <v>286</v>
      </c>
      <c r="G498" s="504" t="s">
        <v>165</v>
      </c>
    </row>
    <row r="499" spans="1:7" x14ac:dyDescent="0.2">
      <c r="A499" s="505" t="str">
        <f t="shared" si="12"/>
        <v>INDEC-DCTO - Inciso u)</v>
      </c>
      <c r="B499" s="505" t="s">
        <v>296</v>
      </c>
      <c r="E499" s="504" t="s">
        <v>297</v>
      </c>
      <c r="F499" s="505">
        <v>4324041</v>
      </c>
      <c r="G499" s="504" t="s">
        <v>188</v>
      </c>
    </row>
    <row r="500" spans="1:7" x14ac:dyDescent="0.2">
      <c r="A500" s="505" t="str">
        <f t="shared" si="12"/>
        <v>INDEC-DCTO - Inciso v)</v>
      </c>
      <c r="B500" s="505" t="s">
        <v>298</v>
      </c>
      <c r="E500" s="504" t="s">
        <v>299</v>
      </c>
      <c r="F500" s="505">
        <v>4322032</v>
      </c>
      <c r="G500" s="504" t="s">
        <v>133</v>
      </c>
    </row>
    <row r="501" spans="1:7" x14ac:dyDescent="0.2">
      <c r="A501" s="505"/>
      <c r="F501" s="505"/>
    </row>
    <row r="502" spans="1:7" x14ac:dyDescent="0.2">
      <c r="A502" s="505" t="str">
        <f>CONCATENATE("INDEC-DCTO - Inciso ",B502)</f>
        <v>INDEC-DCTO - Inciso c)</v>
      </c>
      <c r="B502" s="505" t="s">
        <v>300</v>
      </c>
      <c r="E502" s="504" t="s">
        <v>301</v>
      </c>
      <c r="F502" s="505"/>
      <c r="G502" s="504" t="s">
        <v>571</v>
      </c>
    </row>
    <row r="503" spans="1:7" x14ac:dyDescent="0.2">
      <c r="A503" s="505" t="str">
        <f>CONCATENATE("INDEC-DCTO - Inciso ",B503)</f>
        <v>INDEC-DCTO - Inciso m)</v>
      </c>
      <c r="B503" s="505" t="s">
        <v>302</v>
      </c>
      <c r="E503" s="504" t="s">
        <v>303</v>
      </c>
      <c r="F503" s="505"/>
      <c r="G503" s="504" t="s">
        <v>572</v>
      </c>
    </row>
    <row r="504" spans="1:7" x14ac:dyDescent="0.2">
      <c r="A504" s="505" t="str">
        <f>CONCATENATE("INDEC-DCTO - Inciso ",B504)</f>
        <v>INDEC-DCTO - Inciso n)</v>
      </c>
      <c r="B504" s="505" t="s">
        <v>304</v>
      </c>
      <c r="E504" s="504" t="s">
        <v>305</v>
      </c>
      <c r="F504" s="505"/>
      <c r="G504" s="504" t="s">
        <v>573</v>
      </c>
    </row>
    <row r="505" spans="1:7" x14ac:dyDescent="0.2">
      <c r="A505" s="505" t="str">
        <f>CONCATENATE("INDEC-DCTO - Inciso ",B505)</f>
        <v>INDEC-DCTO - Inciso q)</v>
      </c>
      <c r="B505" s="505" t="s">
        <v>306</v>
      </c>
      <c r="E505" s="504" t="s">
        <v>307</v>
      </c>
      <c r="F505" s="505"/>
      <c r="G505" s="504" t="s">
        <v>574</v>
      </c>
    </row>
    <row r="508" spans="1:7" x14ac:dyDescent="0.2">
      <c r="B508" s="503" t="s">
        <v>575</v>
      </c>
    </row>
    <row r="511" spans="1:7" x14ac:dyDescent="0.2">
      <c r="A511" s="507"/>
      <c r="B511" s="744" t="s">
        <v>261</v>
      </c>
      <c r="C511" s="507"/>
      <c r="D511" s="507"/>
      <c r="E511" s="744" t="s">
        <v>262</v>
      </c>
      <c r="F511" s="744" t="s">
        <v>263</v>
      </c>
      <c r="G511" s="744" t="s">
        <v>264</v>
      </c>
    </row>
    <row r="512" spans="1:7" x14ac:dyDescent="0.2">
      <c r="A512" s="507"/>
      <c r="B512" s="744"/>
      <c r="C512" s="507"/>
      <c r="D512" s="507"/>
      <c r="E512" s="744"/>
      <c r="F512" s="744" t="s">
        <v>265</v>
      </c>
      <c r="G512" s="744"/>
    </row>
    <row r="513" spans="1:7" x14ac:dyDescent="0.2">
      <c r="A513" s="16"/>
      <c r="B513" s="15"/>
      <c r="C513" s="15"/>
      <c r="D513" s="15"/>
      <c r="E513" s="16"/>
      <c r="F513" s="16"/>
      <c r="G513" s="16"/>
    </row>
    <row r="514" spans="1:7" x14ac:dyDescent="0.2">
      <c r="A514" s="16"/>
      <c r="B514" s="15"/>
      <c r="C514" s="15"/>
      <c r="D514" s="15"/>
      <c r="E514" s="520" t="s">
        <v>507</v>
      </c>
      <c r="F514" s="16"/>
      <c r="G514" s="16"/>
    </row>
    <row r="515" spans="1:7" x14ac:dyDescent="0.2">
      <c r="A515" s="505" t="str">
        <f>CONCATENATE("INDEC-DCTO - Inciso ",B515)</f>
        <v>INDEC-DCTO - Inciso e)</v>
      </c>
      <c r="B515" s="505" t="s">
        <v>564</v>
      </c>
      <c r="C515" s="15"/>
      <c r="D515" s="15"/>
      <c r="E515" s="16" t="s">
        <v>546</v>
      </c>
      <c r="F515" s="15" t="s">
        <v>547</v>
      </c>
      <c r="G515" s="16" t="s">
        <v>548</v>
      </c>
    </row>
    <row r="516" spans="1:7" x14ac:dyDescent="0.2">
      <c r="A516" s="505" t="str">
        <f>CONCATENATE("INDEC-DCTO - Inciso ",B516)</f>
        <v>INDEC-DCTO - Inciso i)</v>
      </c>
      <c r="B516" s="505" t="s">
        <v>565</v>
      </c>
      <c r="C516" s="15"/>
      <c r="D516" s="15"/>
      <c r="E516" s="16" t="s">
        <v>549</v>
      </c>
      <c r="F516" s="15" t="s">
        <v>550</v>
      </c>
      <c r="G516" s="16" t="s">
        <v>551</v>
      </c>
    </row>
    <row r="517" spans="1:7" x14ac:dyDescent="0.2">
      <c r="A517" s="642" t="str">
        <f>CONCATENATE("INDEC-DCTO - Inciso ",B517)</f>
        <v>INDEC-DCTO - Inciso k)</v>
      </c>
      <c r="B517" s="642" t="s">
        <v>566</v>
      </c>
      <c r="C517" s="643"/>
      <c r="D517" s="643"/>
      <c r="E517" s="644" t="s">
        <v>552</v>
      </c>
      <c r="F517" s="643" t="s">
        <v>553</v>
      </c>
      <c r="G517" s="644" t="s">
        <v>554</v>
      </c>
    </row>
    <row r="518" spans="1:7" x14ac:dyDescent="0.2">
      <c r="A518" s="505" t="str">
        <f>CONCATENATE("INDEC-DCTO - Inciso ",B518)</f>
        <v>INDEC-DCTO - Inciso t)</v>
      </c>
      <c r="B518" s="505" t="s">
        <v>567</v>
      </c>
      <c r="C518" s="15"/>
      <c r="D518" s="15"/>
      <c r="E518" s="16" t="s">
        <v>555</v>
      </c>
      <c r="F518" s="15" t="s">
        <v>556</v>
      </c>
      <c r="G518" s="16" t="s">
        <v>557</v>
      </c>
    </row>
    <row r="519" spans="1:7" x14ac:dyDescent="0.2">
      <c r="A519" s="505" t="str">
        <f>CONCATENATE("INDEC-DCTO - Inciso ",B519)</f>
        <v>INDEC-DCTO - Inciso w)</v>
      </c>
      <c r="B519" s="505" t="s">
        <v>568</v>
      </c>
      <c r="C519" s="15"/>
      <c r="D519" s="15"/>
      <c r="E519" s="16" t="s">
        <v>558</v>
      </c>
      <c r="F519" s="15" t="s">
        <v>559</v>
      </c>
      <c r="G519" s="16" t="s">
        <v>560</v>
      </c>
    </row>
    <row r="520" spans="1:7" x14ac:dyDescent="0.2">
      <c r="A520" s="16"/>
      <c r="C520" s="15"/>
      <c r="D520" s="15"/>
      <c r="E520" s="16"/>
      <c r="F520" s="15"/>
      <c r="G520" s="16"/>
    </row>
    <row r="521" spans="1:7" x14ac:dyDescent="0.2">
      <c r="A521" s="16"/>
      <c r="C521" s="15"/>
      <c r="D521" s="15"/>
      <c r="E521" s="520" t="s">
        <v>484</v>
      </c>
      <c r="F521" s="15"/>
      <c r="G521" s="16"/>
    </row>
    <row r="522" spans="1:7" x14ac:dyDescent="0.2">
      <c r="A522" s="642" t="str">
        <f>CONCATENATE("INDEC-DCTO - Inciso ",B522)</f>
        <v>INDEC-DCTO - Inciso j)</v>
      </c>
      <c r="B522" s="642" t="s">
        <v>569</v>
      </c>
      <c r="C522" s="643"/>
      <c r="D522" s="643"/>
      <c r="E522" s="644" t="s">
        <v>561</v>
      </c>
      <c r="F522" s="643" t="s">
        <v>562</v>
      </c>
      <c r="G522" s="644" t="s">
        <v>563</v>
      </c>
    </row>
    <row r="523" spans="1:7" x14ac:dyDescent="0.2">
      <c r="A523" s="15"/>
      <c r="B523" s="15"/>
      <c r="C523" s="15"/>
      <c r="D523" s="15"/>
      <c r="E523" s="16"/>
      <c r="F523" s="15"/>
      <c r="G523" s="16"/>
    </row>
    <row r="526" spans="1:7" x14ac:dyDescent="0.2">
      <c r="A526" s="16"/>
      <c r="B526" s="514"/>
      <c r="C526" s="15"/>
      <c r="D526" s="15"/>
      <c r="E526" s="16"/>
    </row>
    <row r="528" spans="1:7" x14ac:dyDescent="0.2">
      <c r="A528" s="502"/>
      <c r="B528" s="503" t="s">
        <v>308</v>
      </c>
      <c r="C528" s="503"/>
      <c r="D528" s="503"/>
    </row>
    <row r="530" spans="1:5" x14ac:dyDescent="0.2">
      <c r="A530" s="744" t="s">
        <v>343</v>
      </c>
      <c r="B530" s="744" t="s">
        <v>42</v>
      </c>
      <c r="C530" s="744"/>
      <c r="D530" s="744"/>
      <c r="E530" s="744" t="s">
        <v>43</v>
      </c>
    </row>
    <row r="531" spans="1:5" x14ac:dyDescent="0.2">
      <c r="A531" s="744"/>
      <c r="B531" s="744" t="s">
        <v>44</v>
      </c>
      <c r="C531" s="744"/>
      <c r="D531" s="744"/>
      <c r="E531" s="744"/>
    </row>
    <row r="532" spans="1:5" x14ac:dyDescent="0.2">
      <c r="A532" s="505" t="str">
        <f t="shared" ref="A532:A553" si="13">CONCATENATE("INDEC-GG ",B532,C532,D532)</f>
        <v>INDEC-GG 18000-1</v>
      </c>
      <c r="B532" s="505">
        <v>18000</v>
      </c>
      <c r="C532" s="505" t="s">
        <v>45</v>
      </c>
      <c r="D532" s="505">
        <v>1</v>
      </c>
      <c r="E532" s="508" t="s">
        <v>309</v>
      </c>
    </row>
    <row r="533" spans="1:5" x14ac:dyDescent="0.2">
      <c r="A533" s="505" t="str">
        <f t="shared" si="13"/>
        <v>INDEC-GG 83107-1</v>
      </c>
      <c r="B533" s="505">
        <v>83107</v>
      </c>
      <c r="C533" s="505" t="s">
        <v>45</v>
      </c>
      <c r="D533" s="505">
        <v>1</v>
      </c>
      <c r="E533" s="508" t="s">
        <v>310</v>
      </c>
    </row>
    <row r="534" spans="1:5" x14ac:dyDescent="0.2">
      <c r="A534" s="505" t="str">
        <f t="shared" si="13"/>
        <v>INDEC-GG 71240-11</v>
      </c>
      <c r="B534" s="505">
        <v>71240</v>
      </c>
      <c r="C534" s="505" t="s">
        <v>45</v>
      </c>
      <c r="D534" s="505">
        <v>11</v>
      </c>
      <c r="E534" s="509" t="s">
        <v>311</v>
      </c>
    </row>
    <row r="535" spans="1:5" x14ac:dyDescent="0.2">
      <c r="A535" s="505" t="str">
        <f t="shared" si="13"/>
        <v>INDEC-GG 71233-11</v>
      </c>
      <c r="B535" s="505">
        <v>71233</v>
      </c>
      <c r="C535" s="505" t="s">
        <v>45</v>
      </c>
      <c r="D535" s="505">
        <v>11</v>
      </c>
      <c r="E535" s="509" t="s">
        <v>312</v>
      </c>
    </row>
    <row r="536" spans="1:5" x14ac:dyDescent="0.2">
      <c r="A536" s="505" t="str">
        <f t="shared" si="13"/>
        <v>INDEC-GG 51800-11</v>
      </c>
      <c r="B536" s="505">
        <v>51800</v>
      </c>
      <c r="C536" s="505" t="s">
        <v>45</v>
      </c>
      <c r="D536" s="505">
        <v>11</v>
      </c>
      <c r="E536" s="509" t="s">
        <v>313</v>
      </c>
    </row>
    <row r="537" spans="1:5" x14ac:dyDescent="0.2">
      <c r="A537" s="505" t="str">
        <f t="shared" si="13"/>
        <v>INDEC-GG 51800-21</v>
      </c>
      <c r="B537" s="505">
        <v>51800</v>
      </c>
      <c r="C537" s="505" t="s">
        <v>45</v>
      </c>
      <c r="D537" s="505">
        <v>21</v>
      </c>
      <c r="E537" s="508" t="s">
        <v>314</v>
      </c>
    </row>
    <row r="538" spans="1:5" x14ac:dyDescent="0.2">
      <c r="A538" s="505" t="str">
        <f t="shared" si="13"/>
        <v>INDEC-GG 74110-11</v>
      </c>
      <c r="B538" s="505">
        <v>74110</v>
      </c>
      <c r="C538" s="505" t="s">
        <v>45</v>
      </c>
      <c r="D538" s="505">
        <v>11</v>
      </c>
      <c r="E538" s="509" t="s">
        <v>315</v>
      </c>
    </row>
    <row r="539" spans="1:5" x14ac:dyDescent="0.2">
      <c r="A539" s="505" t="str">
        <f t="shared" si="13"/>
        <v>INDEC-GG 51560-31</v>
      </c>
      <c r="B539" s="505">
        <v>51560</v>
      </c>
      <c r="C539" s="505" t="s">
        <v>45</v>
      </c>
      <c r="D539" s="505">
        <v>31</v>
      </c>
      <c r="E539" s="508" t="s">
        <v>316</v>
      </c>
    </row>
    <row r="540" spans="1:5" x14ac:dyDescent="0.2">
      <c r="A540" s="505" t="str">
        <f t="shared" si="13"/>
        <v>INDEC-GG 53111-1</v>
      </c>
      <c r="B540" s="505">
        <v>53111</v>
      </c>
      <c r="C540" s="505" t="s">
        <v>45</v>
      </c>
      <c r="D540" s="505">
        <v>1</v>
      </c>
      <c r="E540" s="509" t="s">
        <v>317</v>
      </c>
    </row>
    <row r="541" spans="1:5" x14ac:dyDescent="0.2">
      <c r="A541" s="505" t="str">
        <f t="shared" si="13"/>
        <v>INDEC-GG 54400-1</v>
      </c>
      <c r="B541" s="505">
        <v>54400</v>
      </c>
      <c r="C541" s="505" t="s">
        <v>45</v>
      </c>
      <c r="D541" s="505">
        <v>1</v>
      </c>
      <c r="E541" s="509" t="s">
        <v>318</v>
      </c>
    </row>
    <row r="542" spans="1:5" x14ac:dyDescent="0.2">
      <c r="A542" s="505" t="str">
        <f t="shared" si="13"/>
        <v>INDEC-GG 18000-21</v>
      </c>
      <c r="B542" s="505">
        <v>18000</v>
      </c>
      <c r="C542" s="505" t="s">
        <v>45</v>
      </c>
      <c r="D542" s="505">
        <v>21</v>
      </c>
      <c r="E542" s="509" t="s">
        <v>319</v>
      </c>
    </row>
    <row r="543" spans="1:5" x14ac:dyDescent="0.2">
      <c r="A543" s="505" t="str">
        <f t="shared" si="13"/>
        <v>INDEC-GG 18000-22</v>
      </c>
      <c r="B543" s="505">
        <v>18000</v>
      </c>
      <c r="C543" s="505" t="s">
        <v>45</v>
      </c>
      <c r="D543" s="505">
        <v>22</v>
      </c>
      <c r="E543" s="509" t="s">
        <v>320</v>
      </c>
    </row>
    <row r="544" spans="1:5" x14ac:dyDescent="0.2">
      <c r="A544" s="505" t="str">
        <f t="shared" si="13"/>
        <v>INDEC-GG 88700-2</v>
      </c>
      <c r="B544" s="505">
        <v>88700</v>
      </c>
      <c r="C544" s="505" t="s">
        <v>45</v>
      </c>
      <c r="D544" s="505">
        <v>2</v>
      </c>
      <c r="E544" s="509" t="s">
        <v>321</v>
      </c>
    </row>
    <row r="545" spans="1:5" x14ac:dyDescent="0.2">
      <c r="A545" s="505" t="str">
        <f t="shared" si="13"/>
        <v>INDEC-GG 88700-31</v>
      </c>
      <c r="B545" s="505">
        <v>88700</v>
      </c>
      <c r="C545" s="505" t="s">
        <v>45</v>
      </c>
      <c r="D545" s="505">
        <v>31</v>
      </c>
      <c r="E545" s="508" t="s">
        <v>322</v>
      </c>
    </row>
    <row r="546" spans="1:5" x14ac:dyDescent="0.2">
      <c r="A546" s="505" t="str">
        <f t="shared" si="13"/>
        <v>INDEC-GG DEP-EQ</v>
      </c>
      <c r="B546" s="505" t="s">
        <v>909</v>
      </c>
      <c r="E546" s="508" t="s">
        <v>323</v>
      </c>
    </row>
    <row r="547" spans="1:5" x14ac:dyDescent="0.2">
      <c r="A547" s="505" t="str">
        <f t="shared" si="13"/>
        <v>INDEC-GG 88700-1</v>
      </c>
      <c r="B547" s="505">
        <v>88700</v>
      </c>
      <c r="C547" s="505" t="s">
        <v>45</v>
      </c>
      <c r="D547" s="505">
        <v>1</v>
      </c>
      <c r="E547" s="508" t="s">
        <v>324</v>
      </c>
    </row>
    <row r="548" spans="1:5" x14ac:dyDescent="0.2">
      <c r="A548" s="505" t="str">
        <f t="shared" si="13"/>
        <v>INDEC-GG 31210-11</v>
      </c>
      <c r="B548" s="505">
        <v>31210</v>
      </c>
      <c r="C548" s="505" t="s">
        <v>45</v>
      </c>
      <c r="D548" s="505">
        <v>11</v>
      </c>
      <c r="E548" s="508" t="s">
        <v>325</v>
      </c>
    </row>
    <row r="549" spans="1:5" x14ac:dyDescent="0.2">
      <c r="A549" s="505" t="str">
        <f t="shared" si="13"/>
        <v>INDEC-GG 81295-1</v>
      </c>
      <c r="B549" s="505">
        <v>81295</v>
      </c>
      <c r="C549" s="505" t="s">
        <v>45</v>
      </c>
      <c r="D549" s="505">
        <v>1</v>
      </c>
      <c r="E549" s="508" t="s">
        <v>326</v>
      </c>
    </row>
    <row r="550" spans="1:5" x14ac:dyDescent="0.2">
      <c r="A550" s="505" t="str">
        <f t="shared" si="13"/>
        <v>INDEC-GG 81297-1</v>
      </c>
      <c r="B550" s="505">
        <v>81297</v>
      </c>
      <c r="C550" s="505" t="s">
        <v>45</v>
      </c>
      <c r="D550" s="505">
        <v>1</v>
      </c>
      <c r="E550" s="509" t="s">
        <v>327</v>
      </c>
    </row>
    <row r="551" spans="1:5" x14ac:dyDescent="0.2">
      <c r="A551" s="505" t="str">
        <f t="shared" si="13"/>
        <v>INDEC-GG 51560-21</v>
      </c>
      <c r="B551" s="505">
        <v>51560</v>
      </c>
      <c r="C551" s="505" t="s">
        <v>45</v>
      </c>
      <c r="D551" s="505">
        <v>21</v>
      </c>
      <c r="E551" s="508" t="s">
        <v>328</v>
      </c>
    </row>
    <row r="552" spans="1:5" x14ac:dyDescent="0.2">
      <c r="A552" s="505" t="str">
        <f t="shared" si="13"/>
        <v>INDEC-GG 31100-11</v>
      </c>
      <c r="B552" s="505">
        <v>31100</v>
      </c>
      <c r="C552" s="505" t="s">
        <v>45</v>
      </c>
      <c r="D552" s="505">
        <v>11</v>
      </c>
      <c r="E552" s="508" t="s">
        <v>329</v>
      </c>
    </row>
    <row r="553" spans="1:5" x14ac:dyDescent="0.2">
      <c r="A553" s="505" t="str">
        <f t="shared" si="13"/>
        <v>INDEC-GG 53211-11</v>
      </c>
      <c r="B553" s="505">
        <v>53211</v>
      </c>
      <c r="C553" s="505" t="s">
        <v>45</v>
      </c>
      <c r="D553" s="505">
        <v>11</v>
      </c>
      <c r="E553" s="509" t="s">
        <v>330</v>
      </c>
    </row>
    <row r="556" spans="1:5" x14ac:dyDescent="0.2">
      <c r="B556" s="503" t="s">
        <v>718</v>
      </c>
    </row>
    <row r="557" spans="1:5" x14ac:dyDescent="0.2">
      <c r="B557" s="503" t="s">
        <v>719</v>
      </c>
    </row>
    <row r="559" spans="1:5" x14ac:dyDescent="0.2">
      <c r="A559" s="505" t="str">
        <f t="shared" ref="A559:A622" si="14">CONCATENATE("DNV-T I - ",B559)</f>
        <v>DNV-T I - 1</v>
      </c>
      <c r="B559" s="505">
        <v>1</v>
      </c>
      <c r="E559" s="504" t="s">
        <v>267</v>
      </c>
    </row>
    <row r="560" spans="1:5" x14ac:dyDescent="0.2">
      <c r="A560" s="505" t="str">
        <f t="shared" si="14"/>
        <v>DNV-T I - 2</v>
      </c>
      <c r="B560" s="505">
        <v>2</v>
      </c>
      <c r="E560" s="504" t="s">
        <v>720</v>
      </c>
    </row>
    <row r="561" spans="1:5" x14ac:dyDescent="0.2">
      <c r="A561" s="505" t="str">
        <f t="shared" si="14"/>
        <v>DNV-T I - 3</v>
      </c>
      <c r="B561" s="505">
        <v>3</v>
      </c>
      <c r="E561" s="504" t="s">
        <v>721</v>
      </c>
    </row>
    <row r="562" spans="1:5" x14ac:dyDescent="0.2">
      <c r="A562" s="505" t="str">
        <f t="shared" si="14"/>
        <v>DNV-T I - 4</v>
      </c>
      <c r="B562" s="505">
        <v>4</v>
      </c>
      <c r="E562" s="504" t="s">
        <v>722</v>
      </c>
    </row>
    <row r="563" spans="1:5" x14ac:dyDescent="0.2">
      <c r="A563" s="505" t="str">
        <f t="shared" si="14"/>
        <v>DNV-T I - 5</v>
      </c>
      <c r="B563" s="505">
        <v>5</v>
      </c>
      <c r="E563" s="504" t="s">
        <v>723</v>
      </c>
    </row>
    <row r="564" spans="1:5" x14ac:dyDescent="0.2">
      <c r="A564" s="505" t="str">
        <f t="shared" si="14"/>
        <v>DNV-T I - 6</v>
      </c>
      <c r="B564" s="505">
        <v>6</v>
      </c>
      <c r="E564" s="504" t="s">
        <v>724</v>
      </c>
    </row>
    <row r="565" spans="1:5" x14ac:dyDescent="0.2">
      <c r="A565" s="505" t="str">
        <f t="shared" si="14"/>
        <v>DNV-T I - 7</v>
      </c>
      <c r="B565" s="505">
        <v>7</v>
      </c>
      <c r="E565" s="504" t="s">
        <v>725</v>
      </c>
    </row>
    <row r="566" spans="1:5" x14ac:dyDescent="0.2">
      <c r="A566" s="505" t="str">
        <f t="shared" si="14"/>
        <v>DNV-T I - 8</v>
      </c>
      <c r="B566" s="505">
        <v>8</v>
      </c>
      <c r="E566" s="504" t="s">
        <v>726</v>
      </c>
    </row>
    <row r="567" spans="1:5" x14ac:dyDescent="0.2">
      <c r="A567" s="505" t="str">
        <f t="shared" si="14"/>
        <v>DNV-T I - 9</v>
      </c>
      <c r="B567" s="505">
        <v>9</v>
      </c>
      <c r="E567" s="504" t="s">
        <v>727</v>
      </c>
    </row>
    <row r="568" spans="1:5" x14ac:dyDescent="0.2">
      <c r="A568" s="505" t="str">
        <f t="shared" si="14"/>
        <v>DNV-T I - 10</v>
      </c>
      <c r="B568" s="505">
        <v>10</v>
      </c>
      <c r="E568" s="504" t="s">
        <v>728</v>
      </c>
    </row>
    <row r="569" spans="1:5" x14ac:dyDescent="0.2">
      <c r="A569" s="505" t="str">
        <f t="shared" si="14"/>
        <v>DNV-T I - 11</v>
      </c>
      <c r="B569" s="505">
        <v>11</v>
      </c>
      <c r="E569" s="504" t="s">
        <v>729</v>
      </c>
    </row>
    <row r="570" spans="1:5" x14ac:dyDescent="0.2">
      <c r="A570" s="505" t="str">
        <f t="shared" si="14"/>
        <v>DNV-T I - 12</v>
      </c>
      <c r="B570" s="505">
        <v>12</v>
      </c>
      <c r="E570" s="504" t="s">
        <v>730</v>
      </c>
    </row>
    <row r="571" spans="1:5" x14ac:dyDescent="0.2">
      <c r="A571" s="505" t="str">
        <f t="shared" si="14"/>
        <v>DNV-T I - 13</v>
      </c>
      <c r="B571" s="505">
        <v>13</v>
      </c>
      <c r="E571" s="504" t="s">
        <v>731</v>
      </c>
    </row>
    <row r="572" spans="1:5" x14ac:dyDescent="0.2">
      <c r="A572" s="505" t="str">
        <f t="shared" si="14"/>
        <v>DNV-T I - 14</v>
      </c>
      <c r="B572" s="505">
        <v>14</v>
      </c>
      <c r="E572" s="504" t="s">
        <v>732</v>
      </c>
    </row>
    <row r="573" spans="1:5" x14ac:dyDescent="0.2">
      <c r="A573" s="505" t="str">
        <f t="shared" si="14"/>
        <v>DNV-T I - 15</v>
      </c>
      <c r="B573" s="505">
        <v>15</v>
      </c>
      <c r="E573" s="504" t="s">
        <v>733</v>
      </c>
    </row>
    <row r="574" spans="1:5" x14ac:dyDescent="0.2">
      <c r="A574" s="505" t="str">
        <f t="shared" si="14"/>
        <v>DNV-T I - 16</v>
      </c>
      <c r="B574" s="505">
        <v>16</v>
      </c>
      <c r="E574" s="504" t="s">
        <v>734</v>
      </c>
    </row>
    <row r="575" spans="1:5" x14ac:dyDescent="0.2">
      <c r="A575" s="505" t="str">
        <f t="shared" si="14"/>
        <v>DNV-T I - 17</v>
      </c>
      <c r="B575" s="505">
        <v>17</v>
      </c>
      <c r="E575" s="504" t="s">
        <v>735</v>
      </c>
    </row>
    <row r="576" spans="1:5" x14ac:dyDescent="0.2">
      <c r="A576" s="505" t="str">
        <f t="shared" si="14"/>
        <v>DNV-T I - 18</v>
      </c>
      <c r="B576" s="505">
        <v>18</v>
      </c>
      <c r="E576" s="504" t="s">
        <v>736</v>
      </c>
    </row>
    <row r="577" spans="1:5" x14ac:dyDescent="0.2">
      <c r="A577" s="505" t="str">
        <f t="shared" si="14"/>
        <v>DNV-T I - 19</v>
      </c>
      <c r="B577" s="505">
        <v>19</v>
      </c>
      <c r="E577" s="504" t="s">
        <v>737</v>
      </c>
    </row>
    <row r="578" spans="1:5" x14ac:dyDescent="0.2">
      <c r="A578" s="505" t="str">
        <f t="shared" si="14"/>
        <v>DNV-T I - 20</v>
      </c>
      <c r="B578" s="505">
        <v>20</v>
      </c>
      <c r="E578" s="504" t="s">
        <v>738</v>
      </c>
    </row>
    <row r="579" spans="1:5" x14ac:dyDescent="0.2">
      <c r="A579" s="505" t="str">
        <f t="shared" si="14"/>
        <v>DNV-T I - 21</v>
      </c>
      <c r="B579" s="505">
        <v>21</v>
      </c>
      <c r="E579" s="504" t="s">
        <v>739</v>
      </c>
    </row>
    <row r="580" spans="1:5" x14ac:dyDescent="0.2">
      <c r="A580" s="505" t="str">
        <f t="shared" si="14"/>
        <v>DNV-T I - 22</v>
      </c>
      <c r="B580" s="505">
        <v>22</v>
      </c>
      <c r="E580" s="504" t="s">
        <v>740</v>
      </c>
    </row>
    <row r="581" spans="1:5" x14ac:dyDescent="0.2">
      <c r="A581" s="505" t="str">
        <f t="shared" si="14"/>
        <v>DNV-T I - 23</v>
      </c>
      <c r="B581" s="505">
        <v>23</v>
      </c>
      <c r="E581" s="504" t="s">
        <v>741</v>
      </c>
    </row>
    <row r="582" spans="1:5" x14ac:dyDescent="0.2">
      <c r="A582" s="505" t="str">
        <f t="shared" si="14"/>
        <v>DNV-T I - 24</v>
      </c>
      <c r="B582" s="505">
        <v>24</v>
      </c>
      <c r="E582" s="504" t="s">
        <v>742</v>
      </c>
    </row>
    <row r="583" spans="1:5" x14ac:dyDescent="0.2">
      <c r="A583" s="505" t="str">
        <f t="shared" si="14"/>
        <v>DNV-T I - 25</v>
      </c>
      <c r="B583" s="505">
        <v>25</v>
      </c>
      <c r="E583" s="504" t="s">
        <v>743</v>
      </c>
    </row>
    <row r="584" spans="1:5" x14ac:dyDescent="0.2">
      <c r="A584" s="505" t="str">
        <f t="shared" si="14"/>
        <v>DNV-T I - 26</v>
      </c>
      <c r="B584" s="505">
        <v>26</v>
      </c>
      <c r="E584" s="504" t="s">
        <v>744</v>
      </c>
    </row>
    <row r="585" spans="1:5" x14ac:dyDescent="0.2">
      <c r="A585" s="505" t="str">
        <f t="shared" si="14"/>
        <v>DNV-T I - 27</v>
      </c>
      <c r="B585" s="505">
        <v>27</v>
      </c>
      <c r="E585" s="504" t="s">
        <v>745</v>
      </c>
    </row>
    <row r="586" spans="1:5" x14ac:dyDescent="0.2">
      <c r="A586" s="505" t="str">
        <f t="shared" si="14"/>
        <v>DNV-T I - 28</v>
      </c>
      <c r="B586" s="505">
        <v>28</v>
      </c>
      <c r="E586" s="504" t="s">
        <v>746</v>
      </c>
    </row>
    <row r="587" spans="1:5" x14ac:dyDescent="0.2">
      <c r="A587" s="505" t="str">
        <f t="shared" si="14"/>
        <v>DNV-T I - 29</v>
      </c>
      <c r="B587" s="505">
        <v>29</v>
      </c>
      <c r="E587" s="504" t="s">
        <v>747</v>
      </c>
    </row>
    <row r="588" spans="1:5" x14ac:dyDescent="0.2">
      <c r="A588" s="505" t="str">
        <f t="shared" si="14"/>
        <v>DNV-T I - 30</v>
      </c>
      <c r="B588" s="505">
        <v>30</v>
      </c>
      <c r="E588" s="504" t="s">
        <v>748</v>
      </c>
    </row>
    <row r="589" spans="1:5" x14ac:dyDescent="0.2">
      <c r="A589" s="505" t="str">
        <f t="shared" si="14"/>
        <v>DNV-T I - 31</v>
      </c>
      <c r="B589" s="505">
        <v>31</v>
      </c>
      <c r="E589" s="504" t="s">
        <v>749</v>
      </c>
    </row>
    <row r="590" spans="1:5" x14ac:dyDescent="0.2">
      <c r="A590" s="505" t="str">
        <f t="shared" si="14"/>
        <v>DNV-T I - 32</v>
      </c>
      <c r="B590" s="505">
        <v>32</v>
      </c>
      <c r="E590" s="504" t="s">
        <v>750</v>
      </c>
    </row>
    <row r="591" spans="1:5" x14ac:dyDescent="0.2">
      <c r="A591" s="505" t="str">
        <f t="shared" si="14"/>
        <v>DNV-T I - 33</v>
      </c>
      <c r="B591" s="505">
        <v>33</v>
      </c>
      <c r="E591" s="504" t="s">
        <v>751</v>
      </c>
    </row>
    <row r="592" spans="1:5" x14ac:dyDescent="0.2">
      <c r="A592" s="505" t="str">
        <f t="shared" si="14"/>
        <v>DNV-T I - 34</v>
      </c>
      <c r="B592" s="505">
        <v>34</v>
      </c>
      <c r="E592" s="504" t="s">
        <v>752</v>
      </c>
    </row>
    <row r="593" spans="1:5" x14ac:dyDescent="0.2">
      <c r="A593" s="505" t="str">
        <f t="shared" si="14"/>
        <v>DNV-T I - 35</v>
      </c>
      <c r="B593" s="505">
        <v>35</v>
      </c>
      <c r="E593" s="504" t="s">
        <v>753</v>
      </c>
    </row>
    <row r="594" spans="1:5" x14ac:dyDescent="0.2">
      <c r="A594" s="505" t="str">
        <f t="shared" si="14"/>
        <v>DNV-T I - 36</v>
      </c>
      <c r="B594" s="505">
        <v>36</v>
      </c>
      <c r="E594" s="504" t="s">
        <v>754</v>
      </c>
    </row>
    <row r="595" spans="1:5" x14ac:dyDescent="0.2">
      <c r="A595" s="505" t="str">
        <f t="shared" si="14"/>
        <v>DNV-T I - 37</v>
      </c>
      <c r="B595" s="505">
        <v>37</v>
      </c>
      <c r="E595" s="504" t="s">
        <v>755</v>
      </c>
    </row>
    <row r="596" spans="1:5" x14ac:dyDescent="0.2">
      <c r="A596" s="505" t="str">
        <f t="shared" si="14"/>
        <v>DNV-T I - 38</v>
      </c>
      <c r="B596" s="505">
        <v>38</v>
      </c>
      <c r="E596" s="504" t="s">
        <v>756</v>
      </c>
    </row>
    <row r="597" spans="1:5" x14ac:dyDescent="0.2">
      <c r="A597" s="505" t="str">
        <f t="shared" si="14"/>
        <v>DNV-T I - 39</v>
      </c>
      <c r="B597" s="505">
        <v>39</v>
      </c>
      <c r="E597" s="504" t="s">
        <v>757</v>
      </c>
    </row>
    <row r="598" spans="1:5" x14ac:dyDescent="0.2">
      <c r="A598" s="505" t="str">
        <f t="shared" si="14"/>
        <v>DNV-T I - 40</v>
      </c>
      <c r="B598" s="505">
        <v>40</v>
      </c>
      <c r="E598" s="504" t="s">
        <v>758</v>
      </c>
    </row>
    <row r="599" spans="1:5" x14ac:dyDescent="0.2">
      <c r="A599" s="505" t="str">
        <f t="shared" si="14"/>
        <v>DNV-T I - 41</v>
      </c>
      <c r="B599" s="505">
        <v>41</v>
      </c>
      <c r="E599" s="504" t="s">
        <v>759</v>
      </c>
    </row>
    <row r="600" spans="1:5" x14ac:dyDescent="0.2">
      <c r="A600" s="505" t="str">
        <f t="shared" si="14"/>
        <v>DNV-T I - 42</v>
      </c>
      <c r="B600" s="505">
        <v>42</v>
      </c>
      <c r="E600" s="504" t="s">
        <v>760</v>
      </c>
    </row>
    <row r="601" spans="1:5" x14ac:dyDescent="0.2">
      <c r="A601" s="505" t="str">
        <f t="shared" si="14"/>
        <v>DNV-T I - 43</v>
      </c>
      <c r="B601" s="505">
        <v>43</v>
      </c>
      <c r="E601" s="504" t="s">
        <v>761</v>
      </c>
    </row>
    <row r="602" spans="1:5" x14ac:dyDescent="0.2">
      <c r="A602" s="505" t="str">
        <f t="shared" si="14"/>
        <v>DNV-T I - 44</v>
      </c>
      <c r="B602" s="505">
        <v>44</v>
      </c>
      <c r="E602" s="504" t="s">
        <v>762</v>
      </c>
    </row>
    <row r="603" spans="1:5" x14ac:dyDescent="0.2">
      <c r="A603" s="505" t="str">
        <f t="shared" si="14"/>
        <v>DNV-T I - 45</v>
      </c>
      <c r="B603" s="505">
        <v>45</v>
      </c>
      <c r="E603" s="504" t="s">
        <v>763</v>
      </c>
    </row>
    <row r="604" spans="1:5" x14ac:dyDescent="0.2">
      <c r="A604" s="505" t="str">
        <f t="shared" si="14"/>
        <v>DNV-T I - 46</v>
      </c>
      <c r="B604" s="505">
        <v>46</v>
      </c>
      <c r="E604" s="504" t="s">
        <v>764</v>
      </c>
    </row>
    <row r="605" spans="1:5" x14ac:dyDescent="0.2">
      <c r="A605" s="505" t="str">
        <f t="shared" si="14"/>
        <v>DNV-T I - 47</v>
      </c>
      <c r="B605" s="505">
        <v>47</v>
      </c>
      <c r="E605" s="504" t="s">
        <v>765</v>
      </c>
    </row>
    <row r="606" spans="1:5" x14ac:dyDescent="0.2">
      <c r="A606" s="505" t="str">
        <f t="shared" si="14"/>
        <v>DNV-T I - 48</v>
      </c>
      <c r="B606" s="505">
        <v>48</v>
      </c>
      <c r="E606" s="504" t="s">
        <v>766</v>
      </c>
    </row>
    <row r="607" spans="1:5" x14ac:dyDescent="0.2">
      <c r="A607" s="505" t="str">
        <f t="shared" si="14"/>
        <v>DNV-T I - 49</v>
      </c>
      <c r="B607" s="505">
        <v>49</v>
      </c>
      <c r="E607" s="504" t="s">
        <v>767</v>
      </c>
    </row>
    <row r="608" spans="1:5" x14ac:dyDescent="0.2">
      <c r="A608" s="505" t="str">
        <f t="shared" si="14"/>
        <v>DNV-T I - 50</v>
      </c>
      <c r="B608" s="505">
        <v>50</v>
      </c>
      <c r="E608" s="504" t="s">
        <v>768</v>
      </c>
    </row>
    <row r="609" spans="1:5" x14ac:dyDescent="0.2">
      <c r="A609" s="505" t="str">
        <f t="shared" si="14"/>
        <v>DNV-T I - 51</v>
      </c>
      <c r="B609" s="505">
        <v>51</v>
      </c>
      <c r="E609" s="504" t="s">
        <v>769</v>
      </c>
    </row>
    <row r="610" spans="1:5" x14ac:dyDescent="0.2">
      <c r="A610" s="505" t="str">
        <f t="shared" si="14"/>
        <v>DNV-T I - 52</v>
      </c>
      <c r="B610" s="505">
        <v>52</v>
      </c>
      <c r="E610" s="504" t="s">
        <v>770</v>
      </c>
    </row>
    <row r="611" spans="1:5" x14ac:dyDescent="0.2">
      <c r="A611" s="505" t="str">
        <f t="shared" si="14"/>
        <v>DNV-T I - 53</v>
      </c>
      <c r="B611" s="505">
        <v>53</v>
      </c>
      <c r="E611" s="504" t="s">
        <v>771</v>
      </c>
    </row>
    <row r="612" spans="1:5" x14ac:dyDescent="0.2">
      <c r="A612" s="505" t="str">
        <f t="shared" si="14"/>
        <v>DNV-T I - 54</v>
      </c>
      <c r="B612" s="505">
        <v>54</v>
      </c>
      <c r="E612" s="504" t="s">
        <v>772</v>
      </c>
    </row>
    <row r="613" spans="1:5" x14ac:dyDescent="0.2">
      <c r="A613" s="505" t="str">
        <f t="shared" si="14"/>
        <v>DNV-T I - 55</v>
      </c>
      <c r="B613" s="505">
        <v>55</v>
      </c>
      <c r="E613" s="504" t="s">
        <v>773</v>
      </c>
    </row>
    <row r="614" spans="1:5" x14ac:dyDescent="0.2">
      <c r="A614" s="505" t="str">
        <f t="shared" si="14"/>
        <v>DNV-T I - 56</v>
      </c>
      <c r="B614" s="505">
        <v>56</v>
      </c>
      <c r="E614" s="504" t="s">
        <v>774</v>
      </c>
    </row>
    <row r="615" spans="1:5" x14ac:dyDescent="0.2">
      <c r="A615" s="505" t="str">
        <f t="shared" si="14"/>
        <v>DNV-T I - 57</v>
      </c>
      <c r="B615" s="505">
        <v>57</v>
      </c>
      <c r="E615" s="504" t="s">
        <v>775</v>
      </c>
    </row>
    <row r="616" spans="1:5" x14ac:dyDescent="0.2">
      <c r="A616" s="505" t="str">
        <f t="shared" si="14"/>
        <v>DNV-T I - 58</v>
      </c>
      <c r="B616" s="505">
        <v>58</v>
      </c>
      <c r="E616" s="504" t="s">
        <v>776</v>
      </c>
    </row>
    <row r="617" spans="1:5" x14ac:dyDescent="0.2">
      <c r="A617" s="505" t="str">
        <f t="shared" si="14"/>
        <v>DNV-T I - 59</v>
      </c>
      <c r="B617" s="505">
        <v>59</v>
      </c>
      <c r="E617" s="504" t="s">
        <v>777</v>
      </c>
    </row>
    <row r="618" spans="1:5" x14ac:dyDescent="0.2">
      <c r="A618" s="505" t="str">
        <f t="shared" si="14"/>
        <v>DNV-T I - 60</v>
      </c>
      <c r="B618" s="505">
        <v>60</v>
      </c>
      <c r="E618" s="504" t="s">
        <v>778</v>
      </c>
    </row>
    <row r="619" spans="1:5" x14ac:dyDescent="0.2">
      <c r="A619" s="505" t="str">
        <f t="shared" si="14"/>
        <v>DNV-T I - 61</v>
      </c>
      <c r="B619" s="505">
        <v>61</v>
      </c>
      <c r="E619" s="504" t="s">
        <v>779</v>
      </c>
    </row>
    <row r="620" spans="1:5" x14ac:dyDescent="0.2">
      <c r="A620" s="505" t="str">
        <f t="shared" si="14"/>
        <v>DNV-T I - 62</v>
      </c>
      <c r="B620" s="505">
        <v>62</v>
      </c>
      <c r="E620" s="504" t="s">
        <v>780</v>
      </c>
    </row>
    <row r="621" spans="1:5" x14ac:dyDescent="0.2">
      <c r="A621" s="505" t="str">
        <f t="shared" si="14"/>
        <v>DNV-T I - 63</v>
      </c>
      <c r="B621" s="505">
        <v>63</v>
      </c>
      <c r="E621" s="504" t="s">
        <v>781</v>
      </c>
    </row>
    <row r="622" spans="1:5" x14ac:dyDescent="0.2">
      <c r="A622" s="505" t="str">
        <f t="shared" si="14"/>
        <v>DNV-T I - 64</v>
      </c>
      <c r="B622" s="505">
        <v>64</v>
      </c>
      <c r="E622" s="504" t="s">
        <v>782</v>
      </c>
    </row>
    <row r="623" spans="1:5" x14ac:dyDescent="0.2">
      <c r="A623" s="505" t="str">
        <f t="shared" ref="A623:A676" si="15">CONCATENATE("DNV-T I - ",B623)</f>
        <v>DNV-T I - 65</v>
      </c>
      <c r="B623" s="505">
        <v>65</v>
      </c>
      <c r="E623" s="504" t="s">
        <v>783</v>
      </c>
    </row>
    <row r="624" spans="1:5" x14ac:dyDescent="0.2">
      <c r="A624" s="505" t="str">
        <f t="shared" si="15"/>
        <v>DNV-T I - 66</v>
      </c>
      <c r="B624" s="505">
        <v>66</v>
      </c>
      <c r="E624" s="504" t="s">
        <v>784</v>
      </c>
    </row>
    <row r="625" spans="1:5" x14ac:dyDescent="0.2">
      <c r="A625" s="505" t="str">
        <f t="shared" si="15"/>
        <v>DNV-T I - 67</v>
      </c>
      <c r="B625" s="505">
        <v>67</v>
      </c>
      <c r="E625" s="504" t="s">
        <v>785</v>
      </c>
    </row>
    <row r="626" spans="1:5" x14ac:dyDescent="0.2">
      <c r="A626" s="505" t="str">
        <f t="shared" si="15"/>
        <v>DNV-T I - 68</v>
      </c>
      <c r="B626" s="505">
        <v>68</v>
      </c>
      <c r="E626" s="504" t="s">
        <v>786</v>
      </c>
    </row>
    <row r="627" spans="1:5" x14ac:dyDescent="0.2">
      <c r="A627" s="505" t="str">
        <f t="shared" si="15"/>
        <v>DNV-T I - 69</v>
      </c>
      <c r="B627" s="505">
        <v>69</v>
      </c>
      <c r="E627" s="504" t="s">
        <v>787</v>
      </c>
    </row>
    <row r="628" spans="1:5" x14ac:dyDescent="0.2">
      <c r="A628" s="505" t="str">
        <f t="shared" si="15"/>
        <v>DNV-T I - 70</v>
      </c>
      <c r="B628" s="505">
        <v>70</v>
      </c>
      <c r="E628" s="504" t="s">
        <v>788</v>
      </c>
    </row>
    <row r="629" spans="1:5" x14ac:dyDescent="0.2">
      <c r="A629" s="505" t="str">
        <f t="shared" si="15"/>
        <v>DNV-T I - 71</v>
      </c>
      <c r="B629" s="505">
        <v>71</v>
      </c>
      <c r="E629" s="504" t="s">
        <v>789</v>
      </c>
    </row>
    <row r="630" spans="1:5" x14ac:dyDescent="0.2">
      <c r="A630" s="505" t="str">
        <f t="shared" si="15"/>
        <v>DNV-T I - 72</v>
      </c>
      <c r="B630" s="505">
        <v>72</v>
      </c>
      <c r="E630" s="504" t="s">
        <v>790</v>
      </c>
    </row>
    <row r="631" spans="1:5" x14ac:dyDescent="0.2">
      <c r="A631" s="505" t="str">
        <f t="shared" si="15"/>
        <v>DNV-T I - 73</v>
      </c>
      <c r="B631" s="505">
        <v>73</v>
      </c>
      <c r="E631" s="504" t="s">
        <v>791</v>
      </c>
    </row>
    <row r="632" spans="1:5" x14ac:dyDescent="0.2">
      <c r="A632" s="505" t="str">
        <f t="shared" si="15"/>
        <v>DNV-T I - 74</v>
      </c>
      <c r="B632" s="505">
        <v>74</v>
      </c>
      <c r="E632" s="504" t="s">
        <v>792</v>
      </c>
    </row>
    <row r="633" spans="1:5" x14ac:dyDescent="0.2">
      <c r="A633" s="505" t="str">
        <f t="shared" si="15"/>
        <v>DNV-T I - 75</v>
      </c>
      <c r="B633" s="505">
        <v>75</v>
      </c>
      <c r="E633" s="504" t="s">
        <v>793</v>
      </c>
    </row>
    <row r="634" spans="1:5" x14ac:dyDescent="0.2">
      <c r="A634" s="505" t="str">
        <f t="shared" si="15"/>
        <v>DNV-T I - 76</v>
      </c>
      <c r="B634" s="505">
        <v>76</v>
      </c>
      <c r="E634" s="504" t="s">
        <v>794</v>
      </c>
    </row>
    <row r="635" spans="1:5" x14ac:dyDescent="0.2">
      <c r="A635" s="505" t="str">
        <f t="shared" si="15"/>
        <v>DNV-T I - 77</v>
      </c>
      <c r="B635" s="505">
        <v>77</v>
      </c>
      <c r="E635" s="504" t="s">
        <v>795</v>
      </c>
    </row>
    <row r="636" spans="1:5" x14ac:dyDescent="0.2">
      <c r="A636" s="505" t="str">
        <f t="shared" si="15"/>
        <v>DNV-T I - 78</v>
      </c>
      <c r="B636" s="505">
        <v>78</v>
      </c>
      <c r="E636" s="504" t="s">
        <v>796</v>
      </c>
    </row>
    <row r="637" spans="1:5" x14ac:dyDescent="0.2">
      <c r="A637" s="505" t="str">
        <f t="shared" si="15"/>
        <v>DNV-T I - 79</v>
      </c>
      <c r="B637" s="505">
        <v>79</v>
      </c>
      <c r="E637" s="504" t="s">
        <v>797</v>
      </c>
    </row>
    <row r="638" spans="1:5" x14ac:dyDescent="0.2">
      <c r="A638" s="505" t="str">
        <f t="shared" si="15"/>
        <v>DNV-T I - 80</v>
      </c>
      <c r="B638" s="505">
        <v>80</v>
      </c>
      <c r="E638" s="504" t="s">
        <v>798</v>
      </c>
    </row>
    <row r="639" spans="1:5" x14ac:dyDescent="0.2">
      <c r="A639" s="505" t="str">
        <f t="shared" si="15"/>
        <v>DNV-T I - 81</v>
      </c>
      <c r="B639" s="505">
        <v>81</v>
      </c>
      <c r="E639" s="504" t="s">
        <v>799</v>
      </c>
    </row>
    <row r="640" spans="1:5" x14ac:dyDescent="0.2">
      <c r="A640" s="505" t="str">
        <f t="shared" si="15"/>
        <v>DNV-T I - 82</v>
      </c>
      <c r="B640" s="505">
        <v>82</v>
      </c>
      <c r="E640" s="504" t="s">
        <v>800</v>
      </c>
    </row>
    <row r="641" spans="1:5" x14ac:dyDescent="0.2">
      <c r="A641" s="505" t="str">
        <f t="shared" si="15"/>
        <v>DNV-T I - 83</v>
      </c>
      <c r="B641" s="505">
        <v>83</v>
      </c>
      <c r="E641" s="504" t="s">
        <v>801</v>
      </c>
    </row>
    <row r="642" spans="1:5" x14ac:dyDescent="0.2">
      <c r="A642" s="505" t="str">
        <f t="shared" si="15"/>
        <v>DNV-T I - 84</v>
      </c>
      <c r="B642" s="505">
        <v>84</v>
      </c>
      <c r="E642" s="504" t="s">
        <v>802</v>
      </c>
    </row>
    <row r="643" spans="1:5" x14ac:dyDescent="0.2">
      <c r="A643" s="505" t="str">
        <f t="shared" si="15"/>
        <v>DNV-T I - 85</v>
      </c>
      <c r="B643" s="505">
        <v>85</v>
      </c>
      <c r="E643" s="504" t="s">
        <v>803</v>
      </c>
    </row>
    <row r="644" spans="1:5" x14ac:dyDescent="0.2">
      <c r="A644" s="505" t="str">
        <f t="shared" si="15"/>
        <v>DNV-T I - 86</v>
      </c>
      <c r="B644" s="505">
        <v>86</v>
      </c>
      <c r="E644" s="504" t="s">
        <v>804</v>
      </c>
    </row>
    <row r="645" spans="1:5" x14ac:dyDescent="0.2">
      <c r="A645" s="505" t="str">
        <f t="shared" si="15"/>
        <v>DNV-T I - 86.1</v>
      </c>
      <c r="B645" s="505" t="s">
        <v>805</v>
      </c>
      <c r="E645" s="504" t="s">
        <v>806</v>
      </c>
    </row>
    <row r="646" spans="1:5" x14ac:dyDescent="0.2">
      <c r="A646" s="505" t="str">
        <f t="shared" si="15"/>
        <v>DNV-T I - 86.1.1</v>
      </c>
      <c r="B646" s="505" t="s">
        <v>807</v>
      </c>
      <c r="E646" s="504" t="s">
        <v>808</v>
      </c>
    </row>
    <row r="647" spans="1:5" x14ac:dyDescent="0.2">
      <c r="A647" s="505" t="str">
        <f t="shared" si="15"/>
        <v>DNV-T I - 86.1.2</v>
      </c>
      <c r="B647" s="505" t="s">
        <v>809</v>
      </c>
      <c r="E647" s="504" t="s">
        <v>810</v>
      </c>
    </row>
    <row r="648" spans="1:5" x14ac:dyDescent="0.2">
      <c r="A648" s="505" t="str">
        <f t="shared" si="15"/>
        <v>DNV-T I - 86.1.3</v>
      </c>
      <c r="B648" s="505" t="s">
        <v>811</v>
      </c>
      <c r="E648" s="504" t="s">
        <v>812</v>
      </c>
    </row>
    <row r="649" spans="1:5" x14ac:dyDescent="0.2">
      <c r="A649" s="505" t="str">
        <f t="shared" si="15"/>
        <v>DNV-T I - 86.1.4</v>
      </c>
      <c r="B649" s="505" t="s">
        <v>813</v>
      </c>
      <c r="E649" s="504" t="s">
        <v>814</v>
      </c>
    </row>
    <row r="650" spans="1:5" x14ac:dyDescent="0.2">
      <c r="A650" s="505" t="str">
        <f t="shared" si="15"/>
        <v>DNV-T I - 86.1.5</v>
      </c>
      <c r="B650" s="505" t="s">
        <v>815</v>
      </c>
      <c r="E650" s="504" t="s">
        <v>816</v>
      </c>
    </row>
    <row r="651" spans="1:5" x14ac:dyDescent="0.2">
      <c r="A651" s="505" t="str">
        <f t="shared" si="15"/>
        <v>DNV-T I - 86.2</v>
      </c>
      <c r="B651" s="505" t="s">
        <v>817</v>
      </c>
      <c r="E651" s="504" t="s">
        <v>818</v>
      </c>
    </row>
    <row r="652" spans="1:5" x14ac:dyDescent="0.2">
      <c r="A652" s="505" t="str">
        <f t="shared" si="15"/>
        <v>DNV-T I - 86.2.1</v>
      </c>
      <c r="B652" s="505" t="s">
        <v>819</v>
      </c>
      <c r="E652" s="504" t="s">
        <v>808</v>
      </c>
    </row>
    <row r="653" spans="1:5" x14ac:dyDescent="0.2">
      <c r="A653" s="505" t="str">
        <f t="shared" si="15"/>
        <v>DNV-T I - 86.2.2</v>
      </c>
      <c r="B653" s="505" t="s">
        <v>820</v>
      </c>
      <c r="E653" s="504" t="s">
        <v>821</v>
      </c>
    </row>
    <row r="654" spans="1:5" x14ac:dyDescent="0.2">
      <c r="A654" s="505" t="str">
        <f t="shared" si="15"/>
        <v>DNV-T I - 86.2.3</v>
      </c>
      <c r="B654" s="505" t="s">
        <v>822</v>
      </c>
      <c r="E654" s="504" t="s">
        <v>810</v>
      </c>
    </row>
    <row r="655" spans="1:5" x14ac:dyDescent="0.2">
      <c r="A655" s="505" t="str">
        <f t="shared" si="15"/>
        <v>DNV-T I - 86.2.4</v>
      </c>
      <c r="B655" s="505" t="s">
        <v>823</v>
      </c>
      <c r="E655" s="504" t="s">
        <v>812</v>
      </c>
    </row>
    <row r="656" spans="1:5" x14ac:dyDescent="0.2">
      <c r="A656" s="505" t="str">
        <f t="shared" si="15"/>
        <v>DNV-T I - 86.2.5</v>
      </c>
      <c r="B656" s="505" t="s">
        <v>824</v>
      </c>
      <c r="E656" s="504" t="s">
        <v>814</v>
      </c>
    </row>
    <row r="657" spans="1:5" x14ac:dyDescent="0.2">
      <c r="A657" s="505" t="str">
        <f t="shared" si="15"/>
        <v>DNV-T I - 86.2.6</v>
      </c>
      <c r="B657" s="505" t="s">
        <v>825</v>
      </c>
      <c r="E657" s="504" t="s">
        <v>816</v>
      </c>
    </row>
    <row r="658" spans="1:5" x14ac:dyDescent="0.2">
      <c r="A658" s="505" t="str">
        <f t="shared" si="15"/>
        <v>DNV-T I - 87</v>
      </c>
      <c r="B658" s="505">
        <v>87</v>
      </c>
      <c r="E658" s="504" t="s">
        <v>826</v>
      </c>
    </row>
    <row r="659" spans="1:5" x14ac:dyDescent="0.2">
      <c r="A659" s="505" t="str">
        <f t="shared" si="15"/>
        <v>DNV-T I - 88</v>
      </c>
      <c r="B659" s="505">
        <v>88</v>
      </c>
      <c r="E659" s="504" t="s">
        <v>827</v>
      </c>
    </row>
    <row r="660" spans="1:5" x14ac:dyDescent="0.2">
      <c r="A660" s="505" t="str">
        <f t="shared" si="15"/>
        <v>DNV-T I - 89</v>
      </c>
      <c r="B660" s="505">
        <v>89</v>
      </c>
      <c r="E660" s="504" t="s">
        <v>828</v>
      </c>
    </row>
    <row r="661" spans="1:5" x14ac:dyDescent="0.2">
      <c r="A661" s="505" t="str">
        <f t="shared" si="15"/>
        <v>DNV-T I - 90</v>
      </c>
      <c r="B661" s="505">
        <v>90</v>
      </c>
      <c r="E661" s="504" t="s">
        <v>829</v>
      </c>
    </row>
    <row r="662" spans="1:5" x14ac:dyDescent="0.2">
      <c r="A662" s="505" t="str">
        <f t="shared" si="15"/>
        <v>DNV-T I - 91</v>
      </c>
      <c r="B662" s="505">
        <v>91</v>
      </c>
      <c r="E662" s="504" t="s">
        <v>830</v>
      </c>
    </row>
    <row r="663" spans="1:5" x14ac:dyDescent="0.2">
      <c r="A663" s="505" t="str">
        <f t="shared" si="15"/>
        <v>DNV-T I - 92</v>
      </c>
      <c r="B663" s="505">
        <v>92</v>
      </c>
      <c r="E663" s="504" t="s">
        <v>831</v>
      </c>
    </row>
    <row r="664" spans="1:5" x14ac:dyDescent="0.2">
      <c r="A664" s="505" t="str">
        <f t="shared" si="15"/>
        <v>DNV-T I - 93</v>
      </c>
      <c r="B664" s="505">
        <v>93</v>
      </c>
      <c r="E664" s="504" t="s">
        <v>832</v>
      </c>
    </row>
    <row r="665" spans="1:5" x14ac:dyDescent="0.2">
      <c r="A665" s="505" t="str">
        <f t="shared" si="15"/>
        <v>DNV-T I - 94</v>
      </c>
      <c r="B665" s="505">
        <v>94</v>
      </c>
      <c r="E665" s="504" t="s">
        <v>833</v>
      </c>
    </row>
    <row r="666" spans="1:5" x14ac:dyDescent="0.2">
      <c r="A666" s="505" t="str">
        <f t="shared" si="15"/>
        <v>DNV-T I - 95</v>
      </c>
      <c r="B666" s="505">
        <v>95</v>
      </c>
      <c r="E666" s="504" t="s">
        <v>834</v>
      </c>
    </row>
    <row r="667" spans="1:5" x14ac:dyDescent="0.2">
      <c r="A667" s="505" t="str">
        <f t="shared" si="15"/>
        <v>DNV-T I - 96</v>
      </c>
      <c r="B667" s="505">
        <v>96</v>
      </c>
      <c r="E667" s="504" t="s">
        <v>835</v>
      </c>
    </row>
    <row r="668" spans="1:5" x14ac:dyDescent="0.2">
      <c r="A668" s="505" t="str">
        <f t="shared" si="15"/>
        <v>DNV-T I - 97</v>
      </c>
      <c r="B668" s="505">
        <v>97</v>
      </c>
      <c r="E668" s="504" t="s">
        <v>836</v>
      </c>
    </row>
    <row r="669" spans="1:5" x14ac:dyDescent="0.2">
      <c r="A669" s="505" t="str">
        <f t="shared" si="15"/>
        <v>DNV-T I - 98</v>
      </c>
      <c r="B669" s="505">
        <v>98</v>
      </c>
      <c r="E669" s="504" t="s">
        <v>837</v>
      </c>
    </row>
    <row r="670" spans="1:5" x14ac:dyDescent="0.2">
      <c r="A670" s="505" t="str">
        <f t="shared" si="15"/>
        <v>DNV-T I - 99</v>
      </c>
      <c r="B670" s="505">
        <v>99</v>
      </c>
      <c r="E670" s="504" t="s">
        <v>838</v>
      </c>
    </row>
    <row r="671" spans="1:5" x14ac:dyDescent="0.2">
      <c r="A671" s="505" t="str">
        <f t="shared" si="15"/>
        <v>DNV-T I - 100</v>
      </c>
      <c r="B671" s="505">
        <v>100</v>
      </c>
      <c r="E671" s="504" t="s">
        <v>839</v>
      </c>
    </row>
    <row r="672" spans="1:5" x14ac:dyDescent="0.2">
      <c r="A672" s="505" t="str">
        <f t="shared" si="15"/>
        <v>DNV-T I - 101</v>
      </c>
      <c r="B672" s="505">
        <v>101</v>
      </c>
      <c r="E672" s="504" t="s">
        <v>840</v>
      </c>
    </row>
    <row r="673" spans="1:7" x14ac:dyDescent="0.2">
      <c r="A673" s="505" t="str">
        <f t="shared" si="15"/>
        <v>DNV-T I - 102</v>
      </c>
      <c r="B673" s="505">
        <v>102</v>
      </c>
      <c r="E673" s="504" t="s">
        <v>841</v>
      </c>
    </row>
    <row r="674" spans="1:7" x14ac:dyDescent="0.2">
      <c r="A674" s="505" t="str">
        <f t="shared" si="15"/>
        <v>DNV-T I - 103</v>
      </c>
      <c r="B674" s="505">
        <v>103</v>
      </c>
      <c r="E674" s="504" t="s">
        <v>842</v>
      </c>
    </row>
    <row r="675" spans="1:7" x14ac:dyDescent="0.2">
      <c r="A675" s="505" t="str">
        <f t="shared" si="15"/>
        <v>DNV-T I - 104</v>
      </c>
      <c r="B675" s="505">
        <v>104</v>
      </c>
      <c r="E675" s="504" t="s">
        <v>843</v>
      </c>
    </row>
    <row r="676" spans="1:7" x14ac:dyDescent="0.2">
      <c r="A676" s="505" t="str">
        <f t="shared" si="15"/>
        <v>DNV-T I - 105</v>
      </c>
      <c r="B676" s="505">
        <v>105</v>
      </c>
      <c r="E676" s="504" t="s">
        <v>844</v>
      </c>
    </row>
    <row r="678" spans="1:7" x14ac:dyDescent="0.2">
      <c r="A678" s="533"/>
      <c r="B678" s="503" t="s">
        <v>845</v>
      </c>
      <c r="C678" s="503"/>
      <c r="D678" s="534"/>
      <c r="E678" s="533"/>
      <c r="F678" s="535"/>
      <c r="G678" s="535"/>
    </row>
    <row r="679" spans="1:7" x14ac:dyDescent="0.2">
      <c r="A679" s="505" t="str">
        <f t="shared" ref="A679:A713" si="16">CONCATENATE("DNV-TRC - ",E679)</f>
        <v>DNV-TRC - 1</v>
      </c>
      <c r="E679" s="536">
        <v>1</v>
      </c>
    </row>
    <row r="680" spans="1:7" x14ac:dyDescent="0.2">
      <c r="A680" s="505" t="str">
        <f t="shared" si="16"/>
        <v>DNV-TRC - 1,5</v>
      </c>
      <c r="E680" s="536">
        <v>1.5</v>
      </c>
    </row>
    <row r="681" spans="1:7" x14ac:dyDescent="0.2">
      <c r="A681" s="505" t="str">
        <f t="shared" si="16"/>
        <v>DNV-TRC - 2</v>
      </c>
      <c r="E681" s="536">
        <v>2</v>
      </c>
    </row>
    <row r="682" spans="1:7" x14ac:dyDescent="0.2">
      <c r="A682" s="505" t="str">
        <f t="shared" si="16"/>
        <v>DNV-TRC - 2,5</v>
      </c>
      <c r="E682" s="536">
        <v>2.5</v>
      </c>
    </row>
    <row r="683" spans="1:7" x14ac:dyDescent="0.2">
      <c r="A683" s="505" t="str">
        <f t="shared" si="16"/>
        <v>DNV-TRC - 3</v>
      </c>
      <c r="E683" s="536">
        <v>3</v>
      </c>
    </row>
    <row r="684" spans="1:7" x14ac:dyDescent="0.2">
      <c r="A684" s="505" t="str">
        <f t="shared" si="16"/>
        <v>DNV-TRC - 3,5</v>
      </c>
      <c r="E684" s="536">
        <v>3.5</v>
      </c>
    </row>
    <row r="685" spans="1:7" x14ac:dyDescent="0.2">
      <c r="A685" s="505" t="str">
        <f t="shared" si="16"/>
        <v>DNV-TRC - 4</v>
      </c>
      <c r="E685" s="536">
        <v>4</v>
      </c>
    </row>
    <row r="686" spans="1:7" x14ac:dyDescent="0.2">
      <c r="A686" s="505" t="str">
        <f t="shared" si="16"/>
        <v>DNV-TRC - 4,5</v>
      </c>
      <c r="E686" s="536">
        <v>4.5</v>
      </c>
    </row>
    <row r="687" spans="1:7" x14ac:dyDescent="0.2">
      <c r="A687" s="505" t="str">
        <f t="shared" si="16"/>
        <v>DNV-TRC - 5</v>
      </c>
      <c r="E687" s="536">
        <v>5</v>
      </c>
    </row>
    <row r="688" spans="1:7" x14ac:dyDescent="0.2">
      <c r="A688" s="505" t="str">
        <f t="shared" si="16"/>
        <v>DNV-TRC - 6</v>
      </c>
      <c r="E688" s="536">
        <v>6</v>
      </c>
    </row>
    <row r="689" spans="1:5" x14ac:dyDescent="0.2">
      <c r="A689" s="505" t="str">
        <f t="shared" si="16"/>
        <v>DNV-TRC - 7</v>
      </c>
      <c r="E689" s="536">
        <v>7</v>
      </c>
    </row>
    <row r="690" spans="1:5" x14ac:dyDescent="0.2">
      <c r="A690" s="505" t="str">
        <f t="shared" si="16"/>
        <v>DNV-TRC - 8</v>
      </c>
      <c r="E690" s="536">
        <v>8</v>
      </c>
    </row>
    <row r="691" spans="1:5" x14ac:dyDescent="0.2">
      <c r="A691" s="505" t="str">
        <f t="shared" si="16"/>
        <v>DNV-TRC - 9</v>
      </c>
      <c r="E691" s="536">
        <v>9</v>
      </c>
    </row>
    <row r="692" spans="1:5" x14ac:dyDescent="0.2">
      <c r="A692" s="505" t="str">
        <f t="shared" si="16"/>
        <v>DNV-TRC - 10</v>
      </c>
      <c r="E692" s="536">
        <v>10</v>
      </c>
    </row>
    <row r="693" spans="1:5" x14ac:dyDescent="0.2">
      <c r="A693" s="505" t="str">
        <f t="shared" si="16"/>
        <v>DNV-TRC - 12</v>
      </c>
      <c r="E693" s="536">
        <v>12</v>
      </c>
    </row>
    <row r="694" spans="1:5" x14ac:dyDescent="0.2">
      <c r="A694" s="505" t="str">
        <f t="shared" si="16"/>
        <v>DNV-TRC - 15</v>
      </c>
      <c r="E694" s="536">
        <v>15</v>
      </c>
    </row>
    <row r="695" spans="1:5" x14ac:dyDescent="0.2">
      <c r="A695" s="505" t="str">
        <f t="shared" si="16"/>
        <v>DNV-TRC - 17</v>
      </c>
      <c r="E695" s="536">
        <v>17</v>
      </c>
    </row>
    <row r="696" spans="1:5" x14ac:dyDescent="0.2">
      <c r="A696" s="505" t="str">
        <f t="shared" si="16"/>
        <v>DNV-TRC - 19</v>
      </c>
      <c r="E696" s="536">
        <v>19</v>
      </c>
    </row>
    <row r="697" spans="1:5" x14ac:dyDescent="0.2">
      <c r="A697" s="505" t="str">
        <f t="shared" si="16"/>
        <v>DNV-TRC - 20</v>
      </c>
      <c r="E697" s="536">
        <v>20</v>
      </c>
    </row>
    <row r="698" spans="1:5" x14ac:dyDescent="0.2">
      <c r="A698" s="505" t="str">
        <f t="shared" si="16"/>
        <v>DNV-TRC - 25</v>
      </c>
      <c r="E698" s="536">
        <v>25</v>
      </c>
    </row>
    <row r="699" spans="1:5" x14ac:dyDescent="0.2">
      <c r="A699" s="505" t="str">
        <f t="shared" si="16"/>
        <v>DNV-TRC - 30</v>
      </c>
      <c r="E699" s="536">
        <v>30</v>
      </c>
    </row>
    <row r="700" spans="1:5" x14ac:dyDescent="0.2">
      <c r="A700" s="505" t="str">
        <f t="shared" si="16"/>
        <v>DNV-TRC - 35</v>
      </c>
      <c r="E700" s="536">
        <v>35</v>
      </c>
    </row>
    <row r="701" spans="1:5" x14ac:dyDescent="0.2">
      <c r="A701" s="505" t="str">
        <f t="shared" si="16"/>
        <v>DNV-TRC - 40</v>
      </c>
      <c r="E701" s="536">
        <v>40</v>
      </c>
    </row>
    <row r="702" spans="1:5" x14ac:dyDescent="0.2">
      <c r="A702" s="505" t="str">
        <f t="shared" si="16"/>
        <v>DNV-TRC - 45</v>
      </c>
      <c r="E702" s="536">
        <v>45</v>
      </c>
    </row>
    <row r="703" spans="1:5" x14ac:dyDescent="0.2">
      <c r="A703" s="505" t="str">
        <f t="shared" si="16"/>
        <v>DNV-TRC - 50</v>
      </c>
      <c r="E703" s="536">
        <v>50</v>
      </c>
    </row>
    <row r="704" spans="1:5" x14ac:dyDescent="0.2">
      <c r="A704" s="505" t="str">
        <f t="shared" si="16"/>
        <v>DNV-TRC - 55</v>
      </c>
      <c r="E704" s="536">
        <v>55</v>
      </c>
    </row>
    <row r="705" spans="1:7" x14ac:dyDescent="0.2">
      <c r="A705" s="505" t="str">
        <f t="shared" si="16"/>
        <v>DNV-TRC - 60</v>
      </c>
      <c r="E705" s="536">
        <v>60</v>
      </c>
    </row>
    <row r="706" spans="1:7" x14ac:dyDescent="0.2">
      <c r="A706" s="505" t="str">
        <f t="shared" si="16"/>
        <v>DNV-TRC - 65</v>
      </c>
      <c r="E706" s="536">
        <v>65</v>
      </c>
    </row>
    <row r="707" spans="1:7" x14ac:dyDescent="0.2">
      <c r="A707" s="505" t="str">
        <f t="shared" si="16"/>
        <v>DNV-TRC - 70</v>
      </c>
      <c r="E707" s="536">
        <v>70</v>
      </c>
    </row>
    <row r="708" spans="1:7" x14ac:dyDescent="0.2">
      <c r="A708" s="505" t="str">
        <f t="shared" si="16"/>
        <v>DNV-TRC - 75</v>
      </c>
      <c r="E708" s="536">
        <v>75</v>
      </c>
    </row>
    <row r="709" spans="1:7" x14ac:dyDescent="0.2">
      <c r="A709" s="505" t="str">
        <f t="shared" si="16"/>
        <v>DNV-TRC - 80</v>
      </c>
      <c r="E709" s="536">
        <v>80</v>
      </c>
    </row>
    <row r="710" spans="1:7" x14ac:dyDescent="0.2">
      <c r="A710" s="505" t="str">
        <f t="shared" si="16"/>
        <v>DNV-TRC - 85</v>
      </c>
      <c r="E710" s="536">
        <v>85</v>
      </c>
    </row>
    <row r="711" spans="1:7" x14ac:dyDescent="0.2">
      <c r="A711" s="505" t="str">
        <f t="shared" si="16"/>
        <v>DNV-TRC - 90</v>
      </c>
      <c r="E711" s="536">
        <v>90</v>
      </c>
    </row>
    <row r="712" spans="1:7" x14ac:dyDescent="0.2">
      <c r="A712" s="505" t="str">
        <f t="shared" si="16"/>
        <v>DNV-TRC - 95</v>
      </c>
      <c r="E712" s="536">
        <v>95</v>
      </c>
    </row>
    <row r="713" spans="1:7" x14ac:dyDescent="0.2">
      <c r="A713" s="505" t="str">
        <f t="shared" si="16"/>
        <v>DNV-TRC - 100</v>
      </c>
      <c r="E713" s="536">
        <v>100</v>
      </c>
    </row>
    <row r="714" spans="1:7" x14ac:dyDescent="0.2">
      <c r="A714" s="505"/>
      <c r="E714" s="536"/>
    </row>
    <row r="716" spans="1:7" x14ac:dyDescent="0.2">
      <c r="A716" s="503"/>
      <c r="B716" s="503" t="s">
        <v>846</v>
      </c>
      <c r="C716" s="503"/>
      <c r="D716" s="503"/>
      <c r="E716" s="502"/>
      <c r="F716" s="502"/>
      <c r="G716" s="502"/>
    </row>
    <row r="717" spans="1:7" x14ac:dyDescent="0.2">
      <c r="A717" s="505" t="str">
        <f t="shared" ref="A717:A751" si="17">CONCATENATE("DNV-TRCA - ",E717)</f>
        <v>DNV-TRCA - 55</v>
      </c>
      <c r="E717" s="536">
        <v>55</v>
      </c>
    </row>
    <row r="718" spans="1:7" x14ac:dyDescent="0.2">
      <c r="A718" s="505" t="str">
        <f t="shared" si="17"/>
        <v>DNV-TRCA - 60</v>
      </c>
      <c r="E718" s="536">
        <v>60</v>
      </c>
    </row>
    <row r="719" spans="1:7" x14ac:dyDescent="0.2">
      <c r="A719" s="505" t="str">
        <f t="shared" si="17"/>
        <v>DNV-TRCA - 65</v>
      </c>
      <c r="E719" s="536">
        <v>65</v>
      </c>
    </row>
    <row r="720" spans="1:7" x14ac:dyDescent="0.2">
      <c r="A720" s="505" t="str">
        <f t="shared" si="17"/>
        <v>DNV-TRCA - 70</v>
      </c>
      <c r="E720" s="536">
        <v>70</v>
      </c>
    </row>
    <row r="721" spans="1:5" x14ac:dyDescent="0.2">
      <c r="A721" s="505" t="str">
        <f t="shared" si="17"/>
        <v>DNV-TRCA - 75</v>
      </c>
      <c r="E721" s="536">
        <v>75</v>
      </c>
    </row>
    <row r="722" spans="1:5" x14ac:dyDescent="0.2">
      <c r="A722" s="505" t="str">
        <f t="shared" si="17"/>
        <v>DNV-TRCA - 80</v>
      </c>
      <c r="E722" s="536">
        <v>80</v>
      </c>
    </row>
    <row r="723" spans="1:5" x14ac:dyDescent="0.2">
      <c r="A723" s="505" t="str">
        <f t="shared" si="17"/>
        <v>DNV-TRCA - 85</v>
      </c>
      <c r="E723" s="536">
        <v>85</v>
      </c>
    </row>
    <row r="724" spans="1:5" x14ac:dyDescent="0.2">
      <c r="A724" s="505" t="str">
        <f t="shared" si="17"/>
        <v>DNV-TRCA - 90</v>
      </c>
      <c r="E724" s="536">
        <v>90</v>
      </c>
    </row>
    <row r="725" spans="1:5" x14ac:dyDescent="0.2">
      <c r="A725" s="505" t="str">
        <f t="shared" si="17"/>
        <v>DNV-TRCA - 95</v>
      </c>
      <c r="E725" s="536">
        <v>95</v>
      </c>
    </row>
    <row r="726" spans="1:5" x14ac:dyDescent="0.2">
      <c r="A726" s="505" t="str">
        <f t="shared" si="17"/>
        <v>DNV-TRCA - 100</v>
      </c>
      <c r="E726" s="536">
        <v>100</v>
      </c>
    </row>
    <row r="727" spans="1:5" x14ac:dyDescent="0.2">
      <c r="A727" s="505" t="str">
        <f t="shared" si="17"/>
        <v>DNV-TRCA - 105</v>
      </c>
      <c r="E727" s="536">
        <v>105</v>
      </c>
    </row>
    <row r="728" spans="1:5" x14ac:dyDescent="0.2">
      <c r="A728" s="505" t="str">
        <f t="shared" si="17"/>
        <v>DNV-TRCA - 110</v>
      </c>
      <c r="E728" s="536">
        <v>110</v>
      </c>
    </row>
    <row r="729" spans="1:5" x14ac:dyDescent="0.2">
      <c r="A729" s="505" t="str">
        <f t="shared" si="17"/>
        <v>DNV-TRCA - 120</v>
      </c>
      <c r="E729" s="536">
        <v>120</v>
      </c>
    </row>
    <row r="730" spans="1:5" x14ac:dyDescent="0.2">
      <c r="A730" s="505" t="str">
        <f t="shared" si="17"/>
        <v>DNV-TRCA - 130</v>
      </c>
      <c r="E730" s="536">
        <v>130</v>
      </c>
    </row>
    <row r="731" spans="1:5" x14ac:dyDescent="0.2">
      <c r="A731" s="505" t="str">
        <f t="shared" si="17"/>
        <v>DNV-TRCA - 140</v>
      </c>
      <c r="E731" s="536">
        <v>140</v>
      </c>
    </row>
    <row r="732" spans="1:5" x14ac:dyDescent="0.2">
      <c r="A732" s="505" t="str">
        <f t="shared" si="17"/>
        <v>DNV-TRCA - 150</v>
      </c>
      <c r="E732" s="536">
        <v>150</v>
      </c>
    </row>
    <row r="733" spans="1:5" x14ac:dyDescent="0.2">
      <c r="A733" s="505" t="str">
        <f t="shared" si="17"/>
        <v>DNV-TRCA - 160</v>
      </c>
      <c r="E733" s="536">
        <v>160</v>
      </c>
    </row>
    <row r="734" spans="1:5" x14ac:dyDescent="0.2">
      <c r="A734" s="505" t="str">
        <f t="shared" si="17"/>
        <v>DNV-TRCA - 170</v>
      </c>
      <c r="E734" s="536">
        <v>170</v>
      </c>
    </row>
    <row r="735" spans="1:5" x14ac:dyDescent="0.2">
      <c r="A735" s="505" t="str">
        <f t="shared" si="17"/>
        <v>DNV-TRCA - 180</v>
      </c>
      <c r="E735" s="536">
        <v>180</v>
      </c>
    </row>
    <row r="736" spans="1:5" x14ac:dyDescent="0.2">
      <c r="A736" s="505" t="str">
        <f t="shared" si="17"/>
        <v>DNV-TRCA - 200</v>
      </c>
      <c r="E736" s="536">
        <v>200</v>
      </c>
    </row>
    <row r="737" spans="1:5" x14ac:dyDescent="0.2">
      <c r="A737" s="505" t="str">
        <f t="shared" si="17"/>
        <v>DNV-TRCA - 225</v>
      </c>
      <c r="E737" s="536">
        <v>225</v>
      </c>
    </row>
    <row r="738" spans="1:5" x14ac:dyDescent="0.2">
      <c r="A738" s="505" t="str">
        <f t="shared" si="17"/>
        <v>DNV-TRCA - 250</v>
      </c>
      <c r="E738" s="536">
        <v>250</v>
      </c>
    </row>
    <row r="739" spans="1:5" x14ac:dyDescent="0.2">
      <c r="A739" s="505" t="str">
        <f t="shared" si="17"/>
        <v>DNV-TRCA - 275</v>
      </c>
      <c r="E739" s="536">
        <v>275</v>
      </c>
    </row>
    <row r="740" spans="1:5" x14ac:dyDescent="0.2">
      <c r="A740" s="505" t="str">
        <f t="shared" si="17"/>
        <v>DNV-TRCA - 300</v>
      </c>
      <c r="E740" s="536">
        <v>300</v>
      </c>
    </row>
    <row r="741" spans="1:5" x14ac:dyDescent="0.2">
      <c r="A741" s="505" t="str">
        <f t="shared" si="17"/>
        <v>DNV-TRCA - 325</v>
      </c>
      <c r="E741" s="536">
        <v>325</v>
      </c>
    </row>
    <row r="742" spans="1:5" x14ac:dyDescent="0.2">
      <c r="A742" s="505" t="str">
        <f t="shared" si="17"/>
        <v>DNV-TRCA - 350</v>
      </c>
      <c r="E742" s="536">
        <v>350</v>
      </c>
    </row>
    <row r="743" spans="1:5" x14ac:dyDescent="0.2">
      <c r="A743" s="505" t="str">
        <f t="shared" si="17"/>
        <v>DNV-TRCA - 375</v>
      </c>
      <c r="E743" s="536">
        <v>375</v>
      </c>
    </row>
    <row r="744" spans="1:5" x14ac:dyDescent="0.2">
      <c r="A744" s="505" t="str">
        <f t="shared" si="17"/>
        <v>DNV-TRCA - 400</v>
      </c>
      <c r="E744" s="536">
        <v>400</v>
      </c>
    </row>
    <row r="745" spans="1:5" x14ac:dyDescent="0.2">
      <c r="A745" s="505" t="str">
        <f t="shared" si="17"/>
        <v>DNV-TRCA - 425</v>
      </c>
      <c r="E745" s="536">
        <v>425</v>
      </c>
    </row>
    <row r="746" spans="1:5" x14ac:dyDescent="0.2">
      <c r="A746" s="505" t="str">
        <f t="shared" si="17"/>
        <v>DNV-TRCA - 450</v>
      </c>
      <c r="E746" s="536">
        <v>450</v>
      </c>
    </row>
    <row r="747" spans="1:5" x14ac:dyDescent="0.2">
      <c r="A747" s="505" t="str">
        <f t="shared" si="17"/>
        <v>DNV-TRCA - 475</v>
      </c>
      <c r="E747" s="536">
        <v>475</v>
      </c>
    </row>
    <row r="748" spans="1:5" x14ac:dyDescent="0.2">
      <c r="A748" s="505" t="str">
        <f t="shared" si="17"/>
        <v>DNV-TRCA - 500</v>
      </c>
      <c r="E748" s="536">
        <v>500</v>
      </c>
    </row>
    <row r="749" spans="1:5" x14ac:dyDescent="0.2">
      <c r="A749" s="505" t="str">
        <f t="shared" si="17"/>
        <v>DNV-TRCA - 600</v>
      </c>
      <c r="E749" s="536">
        <v>600</v>
      </c>
    </row>
    <row r="750" spans="1:5" x14ac:dyDescent="0.2">
      <c r="A750" s="505" t="str">
        <f t="shared" si="17"/>
        <v>DNV-TRCA - 800</v>
      </c>
      <c r="E750" s="536">
        <v>800</v>
      </c>
    </row>
    <row r="751" spans="1:5" x14ac:dyDescent="0.2">
      <c r="A751" s="505" t="str">
        <f t="shared" si="17"/>
        <v>DNV-TRCA - 1000</v>
      </c>
      <c r="E751" s="536">
        <v>1000</v>
      </c>
    </row>
    <row r="756" spans="1:8" x14ac:dyDescent="0.2">
      <c r="A756" s="508"/>
      <c r="B756" s="503" t="s">
        <v>1727</v>
      </c>
    </row>
    <row r="758" spans="1:8" x14ac:dyDescent="0.2">
      <c r="B758" s="505" t="s">
        <v>42</v>
      </c>
      <c r="C758" s="505" t="s">
        <v>847</v>
      </c>
    </row>
    <row r="759" spans="1:8" x14ac:dyDescent="0.2">
      <c r="A759" s="642" t="str">
        <f>CONCATENATE("IIEE-SJ - ",B759)</f>
        <v>IIEE-SJ - 1</v>
      </c>
      <c r="B759" s="642">
        <v>1</v>
      </c>
      <c r="C759" s="642"/>
      <c r="D759" s="642"/>
      <c r="E759" s="645" t="s">
        <v>848</v>
      </c>
      <c r="F759" s="645" t="s">
        <v>1898</v>
      </c>
      <c r="G759" s="645"/>
      <c r="H759" s="646"/>
    </row>
    <row r="760" spans="1:8" x14ac:dyDescent="0.2">
      <c r="A760" s="505" t="s">
        <v>903</v>
      </c>
      <c r="B760" s="505">
        <v>101000</v>
      </c>
      <c r="E760" s="504" t="s">
        <v>715</v>
      </c>
      <c r="G760" s="537"/>
    </row>
    <row r="761" spans="1:8" x14ac:dyDescent="0.2">
      <c r="A761" s="505" t="s">
        <v>902</v>
      </c>
      <c r="B761" s="505">
        <v>102000</v>
      </c>
      <c r="E761" s="504" t="s">
        <v>716</v>
      </c>
      <c r="G761" s="537"/>
    </row>
    <row r="762" spans="1:8" x14ac:dyDescent="0.2">
      <c r="A762" s="505" t="s">
        <v>900</v>
      </c>
      <c r="B762" s="505">
        <v>103000</v>
      </c>
      <c r="E762" s="504" t="s">
        <v>717</v>
      </c>
      <c r="G762" s="537"/>
    </row>
    <row r="763" spans="1:8" x14ac:dyDescent="0.2">
      <c r="A763" s="505"/>
    </row>
    <row r="764" spans="1:8" x14ac:dyDescent="0.2">
      <c r="A764" s="505" t="s">
        <v>1728</v>
      </c>
      <c r="B764" s="505">
        <v>2</v>
      </c>
      <c r="E764" s="504" t="s">
        <v>849</v>
      </c>
    </row>
    <row r="765" spans="1:8" x14ac:dyDescent="0.2">
      <c r="A765" s="505"/>
    </row>
    <row r="766" spans="1:8" x14ac:dyDescent="0.2">
      <c r="A766" s="505" t="s">
        <v>1729</v>
      </c>
      <c r="B766" s="505">
        <v>201</v>
      </c>
      <c r="E766" s="504" t="s">
        <v>850</v>
      </c>
      <c r="F766" s="504" t="s">
        <v>1899</v>
      </c>
    </row>
    <row r="767" spans="1:8" x14ac:dyDescent="0.2">
      <c r="A767" s="505" t="s">
        <v>1730</v>
      </c>
      <c r="B767" s="505">
        <v>201001</v>
      </c>
      <c r="E767" s="504" t="s">
        <v>579</v>
      </c>
    </row>
    <row r="768" spans="1:8" x14ac:dyDescent="0.2">
      <c r="A768" s="505" t="s">
        <v>1731</v>
      </c>
      <c r="B768" s="505">
        <v>201002</v>
      </c>
      <c r="E768" s="504" t="s">
        <v>580</v>
      </c>
    </row>
    <row r="769" spans="1:6" x14ac:dyDescent="0.2">
      <c r="A769" s="505" t="s">
        <v>1732</v>
      </c>
      <c r="B769" s="505">
        <v>201003</v>
      </c>
      <c r="E769" s="504" t="s">
        <v>581</v>
      </c>
    </row>
    <row r="770" spans="1:6" x14ac:dyDescent="0.2">
      <c r="A770" s="510" t="s">
        <v>1733</v>
      </c>
      <c r="B770" s="510">
        <v>201004</v>
      </c>
      <c r="C770" s="510"/>
      <c r="D770" s="510"/>
      <c r="E770" s="511" t="s">
        <v>704</v>
      </c>
      <c r="F770" s="504" t="s">
        <v>1897</v>
      </c>
    </row>
    <row r="771" spans="1:6" x14ac:dyDescent="0.2">
      <c r="A771" s="505"/>
    </row>
    <row r="772" spans="1:6" x14ac:dyDescent="0.2">
      <c r="A772" s="505" t="s">
        <v>1734</v>
      </c>
      <c r="B772" s="505">
        <v>202</v>
      </c>
      <c r="E772" s="504" t="s">
        <v>851</v>
      </c>
      <c r="F772" s="504" t="s">
        <v>1899</v>
      </c>
    </row>
    <row r="773" spans="1:6" x14ac:dyDescent="0.2">
      <c r="A773" s="505" t="s">
        <v>1735</v>
      </c>
      <c r="B773" s="505">
        <v>202001</v>
      </c>
      <c r="E773" s="504" t="s">
        <v>582</v>
      </c>
    </row>
    <row r="774" spans="1:6" x14ac:dyDescent="0.2">
      <c r="A774" s="505" t="s">
        <v>1736</v>
      </c>
      <c r="B774" s="505">
        <v>202002</v>
      </c>
      <c r="E774" s="504" t="s">
        <v>583</v>
      </c>
    </row>
    <row r="775" spans="1:6" x14ac:dyDescent="0.2">
      <c r="A775" s="505" t="s">
        <v>1737</v>
      </c>
      <c r="B775" s="505">
        <v>202003</v>
      </c>
      <c r="E775" s="504" t="s">
        <v>584</v>
      </c>
    </row>
    <row r="776" spans="1:6" x14ac:dyDescent="0.2">
      <c r="A776" s="510" t="s">
        <v>1738</v>
      </c>
      <c r="B776" s="510">
        <v>202004</v>
      </c>
      <c r="C776" s="510"/>
      <c r="D776" s="510"/>
      <c r="E776" s="511" t="s">
        <v>677</v>
      </c>
      <c r="F776" s="504" t="s">
        <v>1897</v>
      </c>
    </row>
    <row r="777" spans="1:6" x14ac:dyDescent="0.2">
      <c r="A777" s="505"/>
    </row>
    <row r="778" spans="1:6" x14ac:dyDescent="0.2">
      <c r="A778" s="505" t="s">
        <v>1739</v>
      </c>
      <c r="B778" s="505">
        <v>203</v>
      </c>
      <c r="E778" s="504" t="s">
        <v>852</v>
      </c>
      <c r="F778" s="504" t="s">
        <v>1899</v>
      </c>
    </row>
    <row r="779" spans="1:6" x14ac:dyDescent="0.2">
      <c r="A779" s="505" t="s">
        <v>908</v>
      </c>
      <c r="B779" s="505">
        <v>203001</v>
      </c>
      <c r="E779" s="504" t="s">
        <v>853</v>
      </c>
    </row>
    <row r="780" spans="1:6" x14ac:dyDescent="0.2">
      <c r="A780" s="505" t="s">
        <v>907</v>
      </c>
      <c r="B780" s="505">
        <v>203002</v>
      </c>
      <c r="E780" s="504" t="s">
        <v>707</v>
      </c>
    </row>
    <row r="781" spans="1:6" x14ac:dyDescent="0.2">
      <c r="A781" s="505"/>
    </row>
    <row r="782" spans="1:6" x14ac:dyDescent="0.2">
      <c r="A782" s="505" t="s">
        <v>1740</v>
      </c>
      <c r="B782" s="505">
        <v>204</v>
      </c>
      <c r="E782" s="504" t="s">
        <v>854</v>
      </c>
      <c r="F782" s="504" t="s">
        <v>1899</v>
      </c>
    </row>
    <row r="783" spans="1:6" x14ac:dyDescent="0.2">
      <c r="A783" s="505" t="s">
        <v>1741</v>
      </c>
      <c r="B783" s="505">
        <v>204001</v>
      </c>
      <c r="E783" s="16" t="s">
        <v>855</v>
      </c>
    </row>
    <row r="784" spans="1:6" x14ac:dyDescent="0.2">
      <c r="A784" s="505" t="s">
        <v>1742</v>
      </c>
      <c r="B784" s="505">
        <v>204002</v>
      </c>
      <c r="E784" s="16" t="s">
        <v>856</v>
      </c>
    </row>
    <row r="785" spans="1:6" x14ac:dyDescent="0.2">
      <c r="A785" s="505" t="s">
        <v>1743</v>
      </c>
      <c r="B785" s="505">
        <v>204003</v>
      </c>
      <c r="E785" s="16" t="s">
        <v>857</v>
      </c>
    </row>
    <row r="786" spans="1:6" x14ac:dyDescent="0.2">
      <c r="A786" s="510" t="s">
        <v>1744</v>
      </c>
      <c r="B786" s="510">
        <v>204004</v>
      </c>
      <c r="C786" s="510"/>
      <c r="D786" s="510"/>
      <c r="E786" s="511" t="s">
        <v>687</v>
      </c>
      <c r="F786" s="504" t="s">
        <v>1897</v>
      </c>
    </row>
    <row r="787" spans="1:6" x14ac:dyDescent="0.2">
      <c r="A787" s="510" t="s">
        <v>1745</v>
      </c>
      <c r="B787" s="510">
        <v>204005</v>
      </c>
      <c r="C787" s="510"/>
      <c r="D787" s="510"/>
      <c r="E787" s="511" t="s">
        <v>688</v>
      </c>
      <c r="F787" s="504" t="s">
        <v>1897</v>
      </c>
    </row>
    <row r="788" spans="1:6" x14ac:dyDescent="0.2">
      <c r="A788" s="505"/>
    </row>
    <row r="789" spans="1:6" x14ac:dyDescent="0.2">
      <c r="A789" s="505" t="s">
        <v>1746</v>
      </c>
      <c r="B789" s="505">
        <v>205</v>
      </c>
      <c r="E789" s="504" t="s">
        <v>858</v>
      </c>
      <c r="F789" s="504" t="s">
        <v>1899</v>
      </c>
    </row>
    <row r="790" spans="1:6" x14ac:dyDescent="0.2">
      <c r="A790" s="505" t="s">
        <v>1747</v>
      </c>
      <c r="B790" s="505">
        <v>205001</v>
      </c>
      <c r="E790" s="504" t="s">
        <v>1748</v>
      </c>
    </row>
    <row r="791" spans="1:6" x14ac:dyDescent="0.2">
      <c r="A791" s="505" t="s">
        <v>906</v>
      </c>
      <c r="B791" s="505">
        <v>205002</v>
      </c>
      <c r="E791" s="504" t="s">
        <v>1749</v>
      </c>
    </row>
    <row r="792" spans="1:6" x14ac:dyDescent="0.2">
      <c r="A792" s="510" t="s">
        <v>1750</v>
      </c>
      <c r="B792" s="510">
        <v>205003</v>
      </c>
      <c r="C792" s="510"/>
      <c r="D792" s="510"/>
      <c r="E792" s="511" t="s">
        <v>685</v>
      </c>
      <c r="F792" s="504" t="s">
        <v>1897</v>
      </c>
    </row>
    <row r="793" spans="1:6" x14ac:dyDescent="0.2">
      <c r="A793" s="510" t="s">
        <v>1751</v>
      </c>
      <c r="B793" s="510">
        <v>205004</v>
      </c>
      <c r="C793" s="510"/>
      <c r="D793" s="510"/>
      <c r="E793" s="511" t="s">
        <v>686</v>
      </c>
      <c r="F793" s="504" t="s">
        <v>1897</v>
      </c>
    </row>
    <row r="794" spans="1:6" x14ac:dyDescent="0.2">
      <c r="A794" s="510" t="s">
        <v>1752</v>
      </c>
      <c r="B794" s="510">
        <v>205005</v>
      </c>
      <c r="C794" s="510"/>
      <c r="D794" s="510"/>
      <c r="E794" s="511" t="s">
        <v>684</v>
      </c>
      <c r="F794" s="504" t="s">
        <v>1897</v>
      </c>
    </row>
    <row r="795" spans="1:6" x14ac:dyDescent="0.2">
      <c r="A795" s="505"/>
    </row>
    <row r="796" spans="1:6" x14ac:dyDescent="0.2">
      <c r="A796" s="505" t="s">
        <v>1753</v>
      </c>
      <c r="B796" s="505">
        <v>206</v>
      </c>
      <c r="E796" s="504" t="s">
        <v>859</v>
      </c>
      <c r="F796" s="504" t="s">
        <v>1899</v>
      </c>
    </row>
    <row r="797" spans="1:6" x14ac:dyDescent="0.2">
      <c r="A797" s="505" t="s">
        <v>1754</v>
      </c>
      <c r="B797" s="505">
        <v>206001</v>
      </c>
      <c r="E797" s="504" t="s">
        <v>860</v>
      </c>
    </row>
    <row r="798" spans="1:6" x14ac:dyDescent="0.2">
      <c r="A798" s="505" t="s">
        <v>1755</v>
      </c>
      <c r="B798" s="505">
        <v>206002</v>
      </c>
      <c r="E798" s="504" t="s">
        <v>585</v>
      </c>
    </row>
    <row r="799" spans="1:6" x14ac:dyDescent="0.2">
      <c r="A799" s="510" t="s">
        <v>1756</v>
      </c>
      <c r="B799" s="510">
        <v>206003</v>
      </c>
      <c r="C799" s="510"/>
      <c r="D799" s="510"/>
      <c r="E799" s="511" t="s">
        <v>678</v>
      </c>
      <c r="F799" s="504" t="s">
        <v>1897</v>
      </c>
    </row>
    <row r="800" spans="1:6" x14ac:dyDescent="0.2">
      <c r="A800" s="510" t="s">
        <v>1757</v>
      </c>
      <c r="B800" s="510">
        <v>206004</v>
      </c>
      <c r="C800" s="510"/>
      <c r="D800" s="510"/>
      <c r="E800" s="511" t="s">
        <v>679</v>
      </c>
      <c r="F800" s="504" t="s">
        <v>1897</v>
      </c>
    </row>
    <row r="801" spans="1:6" x14ac:dyDescent="0.2">
      <c r="A801" s="505"/>
    </row>
    <row r="802" spans="1:6" x14ac:dyDescent="0.2">
      <c r="A802" s="505" t="s">
        <v>1758</v>
      </c>
      <c r="B802" s="505">
        <v>207</v>
      </c>
      <c r="E802" s="504" t="s">
        <v>861</v>
      </c>
      <c r="F802" s="504" t="s">
        <v>1899</v>
      </c>
    </row>
    <row r="803" spans="1:6" x14ac:dyDescent="0.2">
      <c r="A803" s="505" t="s">
        <v>1759</v>
      </c>
      <c r="B803" s="505">
        <v>207001</v>
      </c>
      <c r="E803" s="504" t="s">
        <v>586</v>
      </c>
    </row>
    <row r="804" spans="1:6" x14ac:dyDescent="0.2">
      <c r="A804" s="510" t="s">
        <v>1760</v>
      </c>
      <c r="B804" s="510">
        <v>207002</v>
      </c>
      <c r="C804" s="510"/>
      <c r="D804" s="510"/>
      <c r="E804" s="511" t="s">
        <v>862</v>
      </c>
      <c r="F804" s="504" t="s">
        <v>1897</v>
      </c>
    </row>
    <row r="805" spans="1:6" x14ac:dyDescent="0.2">
      <c r="A805" s="510" t="s">
        <v>1761</v>
      </c>
      <c r="B805" s="510">
        <v>207003</v>
      </c>
      <c r="C805" s="510"/>
      <c r="D805" s="510"/>
      <c r="E805" s="511" t="s">
        <v>680</v>
      </c>
      <c r="F805" s="504" t="s">
        <v>1897</v>
      </c>
    </row>
    <row r="806" spans="1:6" x14ac:dyDescent="0.2">
      <c r="A806" s="510" t="s">
        <v>1762</v>
      </c>
      <c r="B806" s="510">
        <v>207004</v>
      </c>
      <c r="C806" s="510"/>
      <c r="D806" s="510"/>
      <c r="E806" s="511" t="s">
        <v>683</v>
      </c>
      <c r="F806" s="504" t="s">
        <v>1897</v>
      </c>
    </row>
    <row r="807" spans="1:6" x14ac:dyDescent="0.2">
      <c r="A807" s="505"/>
    </row>
    <row r="808" spans="1:6" x14ac:dyDescent="0.2">
      <c r="A808" s="505" t="s">
        <v>1763</v>
      </c>
      <c r="B808" s="505">
        <v>208</v>
      </c>
      <c r="E808" s="504" t="s">
        <v>863</v>
      </c>
      <c r="F808" s="504" t="s">
        <v>1899</v>
      </c>
    </row>
    <row r="809" spans="1:6" x14ac:dyDescent="0.2">
      <c r="A809" s="505" t="s">
        <v>1764</v>
      </c>
      <c r="B809" s="505">
        <v>208001</v>
      </c>
      <c r="E809" s="504" t="s">
        <v>587</v>
      </c>
    </row>
    <row r="810" spans="1:6" x14ac:dyDescent="0.2">
      <c r="A810" s="510" t="s">
        <v>1765</v>
      </c>
      <c r="B810" s="510">
        <v>208002</v>
      </c>
      <c r="C810" s="510"/>
      <c r="D810" s="510"/>
      <c r="E810" s="511" t="s">
        <v>864</v>
      </c>
      <c r="F810" s="504" t="s">
        <v>1897</v>
      </c>
    </row>
    <row r="811" spans="1:6" x14ac:dyDescent="0.2">
      <c r="A811" s="505"/>
    </row>
    <row r="812" spans="1:6" x14ac:dyDescent="0.2">
      <c r="A812" s="505" t="s">
        <v>1766</v>
      </c>
      <c r="B812" s="505">
        <v>209</v>
      </c>
      <c r="E812" s="504" t="s">
        <v>865</v>
      </c>
      <c r="F812" s="504" t="s">
        <v>1899</v>
      </c>
    </row>
    <row r="813" spans="1:6" x14ac:dyDescent="0.2">
      <c r="A813" s="505" t="s">
        <v>1767</v>
      </c>
      <c r="B813" s="505">
        <v>209001</v>
      </c>
      <c r="E813" s="504" t="s">
        <v>588</v>
      </c>
    </row>
    <row r="814" spans="1:6" x14ac:dyDescent="0.2">
      <c r="A814" s="505" t="s">
        <v>1768</v>
      </c>
      <c r="B814" s="505">
        <v>209002</v>
      </c>
      <c r="E814" s="504" t="s">
        <v>589</v>
      </c>
    </row>
    <row r="815" spans="1:6" x14ac:dyDescent="0.2">
      <c r="A815" s="505" t="s">
        <v>1769</v>
      </c>
      <c r="B815" s="505">
        <v>209003</v>
      </c>
      <c r="E815" s="504" t="s">
        <v>590</v>
      </c>
    </row>
    <row r="816" spans="1:6" x14ac:dyDescent="0.2">
      <c r="A816" s="505" t="s">
        <v>1770</v>
      </c>
      <c r="B816" s="505">
        <v>209004</v>
      </c>
      <c r="E816" s="504" t="s">
        <v>591</v>
      </c>
    </row>
    <row r="817" spans="1:6" x14ac:dyDescent="0.2">
      <c r="A817" s="510" t="s">
        <v>1771</v>
      </c>
      <c r="B817" s="510">
        <v>209005</v>
      </c>
      <c r="C817" s="510"/>
      <c r="D817" s="510"/>
      <c r="E817" s="511" t="s">
        <v>690</v>
      </c>
      <c r="F817" s="504" t="s">
        <v>1897</v>
      </c>
    </row>
    <row r="818" spans="1:6" x14ac:dyDescent="0.2">
      <c r="A818" s="510" t="s">
        <v>1772</v>
      </c>
      <c r="B818" s="510">
        <v>209006</v>
      </c>
      <c r="C818" s="510"/>
      <c r="D818" s="510"/>
      <c r="E818" s="511" t="s">
        <v>691</v>
      </c>
      <c r="F818" s="504" t="s">
        <v>1897</v>
      </c>
    </row>
    <row r="819" spans="1:6" x14ac:dyDescent="0.2">
      <c r="A819" s="510" t="s">
        <v>1773</v>
      </c>
      <c r="B819" s="510">
        <v>209007</v>
      </c>
      <c r="C819" s="510"/>
      <c r="D819" s="510"/>
      <c r="E819" s="511" t="s">
        <v>692</v>
      </c>
      <c r="F819" s="504" t="s">
        <v>1897</v>
      </c>
    </row>
    <row r="820" spans="1:6" x14ac:dyDescent="0.2">
      <c r="A820" s="505"/>
    </row>
    <row r="821" spans="1:6" x14ac:dyDescent="0.2">
      <c r="A821" s="505" t="s">
        <v>1774</v>
      </c>
      <c r="B821" s="505">
        <v>210</v>
      </c>
      <c r="E821" s="504" t="s">
        <v>866</v>
      </c>
      <c r="F821" s="504" t="s">
        <v>1899</v>
      </c>
    </row>
    <row r="822" spans="1:6" x14ac:dyDescent="0.2">
      <c r="A822" s="505" t="s">
        <v>1775</v>
      </c>
      <c r="B822" s="505">
        <v>210001</v>
      </c>
      <c r="E822" s="504" t="s">
        <v>592</v>
      </c>
    </row>
    <row r="823" spans="1:6" x14ac:dyDescent="0.2">
      <c r="A823" s="505" t="s">
        <v>1776</v>
      </c>
      <c r="B823" s="505">
        <v>210002</v>
      </c>
      <c r="E823" s="504" t="s">
        <v>593</v>
      </c>
    </row>
    <row r="824" spans="1:6" x14ac:dyDescent="0.2">
      <c r="A824" s="505" t="s">
        <v>1777</v>
      </c>
      <c r="B824" s="505">
        <v>210003</v>
      </c>
      <c r="E824" s="504" t="s">
        <v>594</v>
      </c>
    </row>
    <row r="825" spans="1:6" x14ac:dyDescent="0.2">
      <c r="A825" s="505" t="s">
        <v>1778</v>
      </c>
      <c r="B825" s="505">
        <v>210004</v>
      </c>
      <c r="E825" s="504" t="s">
        <v>595</v>
      </c>
    </row>
    <row r="826" spans="1:6" x14ac:dyDescent="0.2">
      <c r="A826" s="505" t="s">
        <v>1779</v>
      </c>
      <c r="B826" s="505">
        <v>210005</v>
      </c>
      <c r="E826" s="504" t="s">
        <v>596</v>
      </c>
    </row>
    <row r="827" spans="1:6" x14ac:dyDescent="0.2">
      <c r="A827" s="505" t="s">
        <v>1780</v>
      </c>
      <c r="B827" s="505">
        <v>210006</v>
      </c>
      <c r="E827" s="504" t="s">
        <v>597</v>
      </c>
    </row>
    <row r="828" spans="1:6" x14ac:dyDescent="0.2">
      <c r="A828" s="505" t="s">
        <v>1781</v>
      </c>
      <c r="B828" s="505">
        <v>210007</v>
      </c>
      <c r="E828" s="504" t="s">
        <v>598</v>
      </c>
    </row>
    <row r="829" spans="1:6" x14ac:dyDescent="0.2">
      <c r="A829" s="505" t="s">
        <v>1782</v>
      </c>
      <c r="B829" s="505">
        <v>210008</v>
      </c>
      <c r="E829" s="504" t="s">
        <v>599</v>
      </c>
    </row>
    <row r="830" spans="1:6" x14ac:dyDescent="0.2">
      <c r="A830" s="505"/>
    </row>
    <row r="831" spans="1:6" x14ac:dyDescent="0.2">
      <c r="A831" s="505" t="s">
        <v>1783</v>
      </c>
      <c r="B831" s="505">
        <v>211</v>
      </c>
      <c r="E831" s="504" t="s">
        <v>867</v>
      </c>
      <c r="F831" s="504" t="s">
        <v>1899</v>
      </c>
    </row>
    <row r="832" spans="1:6" x14ac:dyDescent="0.2">
      <c r="A832" s="505" t="s">
        <v>1784</v>
      </c>
      <c r="B832" s="505">
        <v>211001</v>
      </c>
      <c r="E832" s="504" t="s">
        <v>600</v>
      </c>
    </row>
    <row r="833" spans="1:6" x14ac:dyDescent="0.2">
      <c r="A833" s="505" t="s">
        <v>1785</v>
      </c>
      <c r="B833" s="505">
        <v>211002</v>
      </c>
      <c r="E833" s="504" t="s">
        <v>601</v>
      </c>
    </row>
    <row r="834" spans="1:6" x14ac:dyDescent="0.2">
      <c r="A834" s="505" t="s">
        <v>1786</v>
      </c>
      <c r="B834" s="505">
        <v>211003</v>
      </c>
      <c r="E834" s="504" t="s">
        <v>602</v>
      </c>
    </row>
    <row r="835" spans="1:6" x14ac:dyDescent="0.2">
      <c r="A835" s="505" t="s">
        <v>1787</v>
      </c>
      <c r="B835" s="505">
        <v>211004</v>
      </c>
      <c r="E835" s="504" t="s">
        <v>603</v>
      </c>
    </row>
    <row r="836" spans="1:6" x14ac:dyDescent="0.2">
      <c r="A836" s="505" t="s">
        <v>1788</v>
      </c>
      <c r="B836" s="505">
        <v>211005</v>
      </c>
      <c r="E836" s="504" t="s">
        <v>604</v>
      </c>
    </row>
    <row r="837" spans="1:6" x14ac:dyDescent="0.2">
      <c r="A837" s="510" t="s">
        <v>1789</v>
      </c>
      <c r="B837" s="510">
        <v>211006</v>
      </c>
      <c r="C837" s="510"/>
      <c r="D837" s="510"/>
      <c r="E837" s="511" t="s">
        <v>705</v>
      </c>
      <c r="F837" s="504" t="s">
        <v>1897</v>
      </c>
    </row>
    <row r="838" spans="1:6" x14ac:dyDescent="0.2">
      <c r="A838" s="510" t="s">
        <v>1790</v>
      </c>
      <c r="B838" s="510">
        <v>211007</v>
      </c>
      <c r="C838" s="510"/>
      <c r="D838" s="510"/>
      <c r="E838" s="511" t="s">
        <v>706</v>
      </c>
      <c r="F838" s="504" t="s">
        <v>1897</v>
      </c>
    </row>
    <row r="839" spans="1:6" x14ac:dyDescent="0.2">
      <c r="A839" s="510" t="s">
        <v>1791</v>
      </c>
      <c r="B839" s="510">
        <v>211008</v>
      </c>
      <c r="C839" s="510"/>
      <c r="D839" s="510"/>
      <c r="E839" s="511" t="s">
        <v>868</v>
      </c>
      <c r="F839" s="504" t="s">
        <v>1897</v>
      </c>
    </row>
    <row r="840" spans="1:6" x14ac:dyDescent="0.2">
      <c r="A840" s="510" t="s">
        <v>1792</v>
      </c>
      <c r="B840" s="510">
        <v>211009</v>
      </c>
      <c r="C840" s="510"/>
      <c r="D840" s="510"/>
      <c r="E840" s="511" t="s">
        <v>869</v>
      </c>
      <c r="F840" s="504" t="s">
        <v>1897</v>
      </c>
    </row>
    <row r="841" spans="1:6" x14ac:dyDescent="0.2">
      <c r="A841" s="505"/>
    </row>
    <row r="842" spans="1:6" x14ac:dyDescent="0.2">
      <c r="A842" s="505" t="s">
        <v>1793</v>
      </c>
      <c r="B842" s="505">
        <v>212</v>
      </c>
      <c r="E842" s="504" t="s">
        <v>870</v>
      </c>
      <c r="F842" s="504" t="s">
        <v>1899</v>
      </c>
    </row>
    <row r="843" spans="1:6" x14ac:dyDescent="0.2">
      <c r="A843" s="505" t="s">
        <v>1794</v>
      </c>
      <c r="B843" s="505">
        <v>212001</v>
      </c>
      <c r="E843" s="504" t="s">
        <v>605</v>
      </c>
    </row>
    <row r="844" spans="1:6" x14ac:dyDescent="0.2">
      <c r="A844" s="505" t="s">
        <v>1795</v>
      </c>
      <c r="B844" s="505">
        <v>212002</v>
      </c>
      <c r="E844" s="504" t="s">
        <v>606</v>
      </c>
    </row>
    <row r="845" spans="1:6" x14ac:dyDescent="0.2">
      <c r="A845" s="510" t="s">
        <v>1796</v>
      </c>
      <c r="B845" s="510">
        <v>212003</v>
      </c>
      <c r="C845" s="510"/>
      <c r="D845" s="510"/>
      <c r="E845" s="511" t="s">
        <v>607</v>
      </c>
      <c r="F845" s="504" t="s">
        <v>1897</v>
      </c>
    </row>
    <row r="846" spans="1:6" x14ac:dyDescent="0.2">
      <c r="A846" s="505" t="s">
        <v>1797</v>
      </c>
      <c r="B846" s="505">
        <v>212004</v>
      </c>
      <c r="E846" s="504" t="s">
        <v>608</v>
      </c>
    </row>
    <row r="847" spans="1:6" x14ac:dyDescent="0.2">
      <c r="A847" s="505"/>
    </row>
    <row r="848" spans="1:6" x14ac:dyDescent="0.2">
      <c r="A848" s="505" t="s">
        <v>1798</v>
      </c>
      <c r="B848" s="505">
        <v>213</v>
      </c>
      <c r="E848" s="504" t="s">
        <v>871</v>
      </c>
      <c r="F848" s="504" t="s">
        <v>1899</v>
      </c>
    </row>
    <row r="849" spans="1:6" x14ac:dyDescent="0.2">
      <c r="A849" s="505" t="s">
        <v>1799</v>
      </c>
      <c r="B849" s="505">
        <v>213001</v>
      </c>
      <c r="E849" s="504" t="s">
        <v>609</v>
      </c>
    </row>
    <row r="850" spans="1:6" x14ac:dyDescent="0.2">
      <c r="A850" s="505" t="s">
        <v>1800</v>
      </c>
      <c r="B850" s="505">
        <v>213002</v>
      </c>
      <c r="E850" s="504" t="s">
        <v>610</v>
      </c>
    </row>
    <row r="851" spans="1:6" x14ac:dyDescent="0.2">
      <c r="A851" s="505" t="s">
        <v>1801</v>
      </c>
      <c r="B851" s="505">
        <v>213003</v>
      </c>
      <c r="E851" s="504" t="s">
        <v>611</v>
      </c>
    </row>
    <row r="852" spans="1:6" x14ac:dyDescent="0.2">
      <c r="A852" s="505" t="s">
        <v>1802</v>
      </c>
      <c r="B852" s="505">
        <v>213004</v>
      </c>
      <c r="E852" s="504" t="s">
        <v>612</v>
      </c>
    </row>
    <row r="853" spans="1:6" x14ac:dyDescent="0.2">
      <c r="A853" s="505" t="s">
        <v>1803</v>
      </c>
      <c r="B853" s="505">
        <v>213005</v>
      </c>
      <c r="E853" s="504" t="s">
        <v>613</v>
      </c>
    </row>
    <row r="854" spans="1:6" x14ac:dyDescent="0.2">
      <c r="A854" s="505" t="s">
        <v>1804</v>
      </c>
      <c r="B854" s="505">
        <v>213006</v>
      </c>
      <c r="E854" s="504" t="s">
        <v>614</v>
      </c>
    </row>
    <row r="855" spans="1:6" x14ac:dyDescent="0.2">
      <c r="A855" s="505" t="s">
        <v>1805</v>
      </c>
      <c r="B855" s="505">
        <v>213007</v>
      </c>
      <c r="E855" s="504" t="s">
        <v>615</v>
      </c>
    </row>
    <row r="856" spans="1:6" x14ac:dyDescent="0.2">
      <c r="A856" s="505" t="s">
        <v>1806</v>
      </c>
      <c r="B856" s="505">
        <v>213008</v>
      </c>
      <c r="E856" s="504" t="s">
        <v>616</v>
      </c>
    </row>
    <row r="857" spans="1:6" x14ac:dyDescent="0.2">
      <c r="A857" s="505"/>
    </row>
    <row r="858" spans="1:6" x14ac:dyDescent="0.2">
      <c r="A858" s="505" t="s">
        <v>1807</v>
      </c>
      <c r="B858" s="505">
        <v>214</v>
      </c>
      <c r="E858" s="504" t="s">
        <v>872</v>
      </c>
      <c r="F858" s="504" t="s">
        <v>1899</v>
      </c>
    </row>
    <row r="859" spans="1:6" x14ac:dyDescent="0.2">
      <c r="A859" s="505" t="s">
        <v>1808</v>
      </c>
      <c r="B859" s="505">
        <v>214001</v>
      </c>
      <c r="E859" s="504" t="s">
        <v>617</v>
      </c>
    </row>
    <row r="860" spans="1:6" x14ac:dyDescent="0.2">
      <c r="A860" s="505" t="s">
        <v>1585</v>
      </c>
      <c r="B860" s="505">
        <v>214002</v>
      </c>
      <c r="E860" s="504" t="s">
        <v>618</v>
      </c>
    </row>
    <row r="861" spans="1:6" x14ac:dyDescent="0.2">
      <c r="A861" s="505" t="s">
        <v>1809</v>
      </c>
      <c r="B861" s="505">
        <v>214003</v>
      </c>
      <c r="E861" s="504" t="s">
        <v>619</v>
      </c>
    </row>
    <row r="862" spans="1:6" x14ac:dyDescent="0.2">
      <c r="A862" s="505" t="s">
        <v>1586</v>
      </c>
      <c r="B862" s="505">
        <v>214004</v>
      </c>
      <c r="E862" s="504" t="s">
        <v>620</v>
      </c>
    </row>
    <row r="863" spans="1:6" x14ac:dyDescent="0.2">
      <c r="A863" s="505" t="s">
        <v>1810</v>
      </c>
      <c r="B863" s="505">
        <v>214005</v>
      </c>
      <c r="E863" s="504" t="s">
        <v>621</v>
      </c>
    </row>
    <row r="864" spans="1:6" x14ac:dyDescent="0.2">
      <c r="A864" s="505" t="s">
        <v>1587</v>
      </c>
      <c r="B864" s="505">
        <v>214006</v>
      </c>
      <c r="E864" s="504" t="s">
        <v>622</v>
      </c>
    </row>
    <row r="865" spans="1:6" x14ac:dyDescent="0.2">
      <c r="A865" s="505"/>
    </row>
    <row r="866" spans="1:6" x14ac:dyDescent="0.2">
      <c r="A866" s="505" t="s">
        <v>1811</v>
      </c>
      <c r="B866" s="505">
        <v>215</v>
      </c>
      <c r="E866" s="504" t="s">
        <v>873</v>
      </c>
      <c r="F866" s="504" t="s">
        <v>1899</v>
      </c>
    </row>
    <row r="867" spans="1:6" x14ac:dyDescent="0.2">
      <c r="A867" s="510" t="s">
        <v>1812</v>
      </c>
      <c r="B867" s="510">
        <v>215001</v>
      </c>
      <c r="C867" s="510"/>
      <c r="D867" s="510"/>
      <c r="E867" s="511" t="s">
        <v>623</v>
      </c>
      <c r="F867" s="504" t="s">
        <v>1897</v>
      </c>
    </row>
    <row r="868" spans="1:6" x14ac:dyDescent="0.2">
      <c r="A868" s="510" t="s">
        <v>1813</v>
      </c>
      <c r="B868" s="510">
        <v>215002</v>
      </c>
      <c r="C868" s="510"/>
      <c r="D868" s="510"/>
      <c r="E868" s="511" t="s">
        <v>624</v>
      </c>
      <c r="F868" s="504" t="s">
        <v>1897</v>
      </c>
    </row>
    <row r="869" spans="1:6" x14ac:dyDescent="0.2">
      <c r="A869" s="510" t="s">
        <v>1814</v>
      </c>
      <c r="B869" s="510">
        <v>215003</v>
      </c>
      <c r="C869" s="510"/>
      <c r="D869" s="510"/>
      <c r="E869" s="511" t="s">
        <v>625</v>
      </c>
      <c r="F869" s="504" t="s">
        <v>1897</v>
      </c>
    </row>
    <row r="870" spans="1:6" x14ac:dyDescent="0.2">
      <c r="A870" s="505" t="s">
        <v>1815</v>
      </c>
      <c r="B870" s="505">
        <v>215004</v>
      </c>
      <c r="E870" s="504" t="s">
        <v>626</v>
      </c>
    </row>
    <row r="871" spans="1:6" x14ac:dyDescent="0.2">
      <c r="A871" s="505" t="s">
        <v>1816</v>
      </c>
      <c r="B871" s="505">
        <v>215005</v>
      </c>
      <c r="E871" s="504" t="s">
        <v>627</v>
      </c>
    </row>
    <row r="872" spans="1:6" x14ac:dyDescent="0.2">
      <c r="A872" s="505" t="s">
        <v>1817</v>
      </c>
      <c r="B872" s="505">
        <v>215006</v>
      </c>
      <c r="E872" s="504" t="s">
        <v>628</v>
      </c>
    </row>
    <row r="873" spans="1:6" x14ac:dyDescent="0.2">
      <c r="A873" s="505"/>
    </row>
    <row r="874" spans="1:6" x14ac:dyDescent="0.2">
      <c r="A874" s="505" t="s">
        <v>1818</v>
      </c>
      <c r="B874" s="505">
        <v>216</v>
      </c>
      <c r="E874" s="504" t="s">
        <v>874</v>
      </c>
      <c r="F874" s="504" t="s">
        <v>1899</v>
      </c>
    </row>
    <row r="875" spans="1:6" x14ac:dyDescent="0.2">
      <c r="A875" s="505" t="s">
        <v>1819</v>
      </c>
      <c r="B875" s="505">
        <v>216001</v>
      </c>
      <c r="E875" s="504" t="s">
        <v>629</v>
      </c>
    </row>
    <row r="876" spans="1:6" x14ac:dyDescent="0.2">
      <c r="A876" s="505" t="s">
        <v>1820</v>
      </c>
      <c r="B876" s="505">
        <v>216002</v>
      </c>
      <c r="E876" s="504" t="s">
        <v>630</v>
      </c>
    </row>
    <row r="877" spans="1:6" x14ac:dyDescent="0.2">
      <c r="A877" s="505" t="s">
        <v>1821</v>
      </c>
      <c r="B877" s="505">
        <v>216003</v>
      </c>
      <c r="E877" s="504" t="s">
        <v>631</v>
      </c>
    </row>
    <row r="878" spans="1:6" x14ac:dyDescent="0.2">
      <c r="A878" s="505" t="s">
        <v>1822</v>
      </c>
      <c r="B878" s="505">
        <v>216004</v>
      </c>
      <c r="E878" s="504" t="s">
        <v>632</v>
      </c>
    </row>
    <row r="879" spans="1:6" x14ac:dyDescent="0.2">
      <c r="A879" s="505" t="s">
        <v>1823</v>
      </c>
      <c r="B879" s="505">
        <v>216005</v>
      </c>
      <c r="E879" s="504" t="s">
        <v>633</v>
      </c>
    </row>
    <row r="880" spans="1:6" x14ac:dyDescent="0.2">
      <c r="A880" s="505"/>
    </row>
    <row r="881" spans="1:6" x14ac:dyDescent="0.2">
      <c r="A881" s="505" t="s">
        <v>1824</v>
      </c>
      <c r="B881" s="505">
        <v>217</v>
      </c>
      <c r="E881" s="504" t="s">
        <v>875</v>
      </c>
      <c r="F881" s="504" t="s">
        <v>1899</v>
      </c>
    </row>
    <row r="882" spans="1:6" x14ac:dyDescent="0.2">
      <c r="A882" s="505" t="s">
        <v>1825</v>
      </c>
      <c r="B882" s="505">
        <v>217001</v>
      </c>
      <c r="E882" s="504" t="s">
        <v>634</v>
      </c>
    </row>
    <row r="883" spans="1:6" x14ac:dyDescent="0.2">
      <c r="A883" s="505" t="s">
        <v>1826</v>
      </c>
      <c r="B883" s="505">
        <v>217002</v>
      </c>
      <c r="E883" s="504" t="s">
        <v>635</v>
      </c>
    </row>
    <row r="884" spans="1:6" x14ac:dyDescent="0.2">
      <c r="A884" s="505"/>
    </row>
    <row r="885" spans="1:6" x14ac:dyDescent="0.2">
      <c r="A885" s="505" t="s">
        <v>1827</v>
      </c>
      <c r="B885" s="505">
        <v>218</v>
      </c>
      <c r="E885" s="504" t="s">
        <v>826</v>
      </c>
      <c r="F885" s="504" t="s">
        <v>1899</v>
      </c>
    </row>
    <row r="886" spans="1:6" x14ac:dyDescent="0.2">
      <c r="A886" s="505" t="s">
        <v>1828</v>
      </c>
      <c r="B886" s="505">
        <v>218001</v>
      </c>
      <c r="E886" s="504" t="s">
        <v>636</v>
      </c>
    </row>
    <row r="887" spans="1:6" x14ac:dyDescent="0.2">
      <c r="A887" s="505" t="s">
        <v>1829</v>
      </c>
      <c r="B887" s="505">
        <v>218002</v>
      </c>
      <c r="E887" s="504" t="s">
        <v>637</v>
      </c>
    </row>
    <row r="888" spans="1:6" x14ac:dyDescent="0.2">
      <c r="A888" s="505" t="s">
        <v>1830</v>
      </c>
      <c r="B888" s="505">
        <v>218003</v>
      </c>
      <c r="E888" s="504" t="s">
        <v>638</v>
      </c>
    </row>
    <row r="889" spans="1:6" x14ac:dyDescent="0.2">
      <c r="A889" s="505"/>
    </row>
    <row r="890" spans="1:6" x14ac:dyDescent="0.2">
      <c r="A890" s="505" t="s">
        <v>1831</v>
      </c>
      <c r="B890" s="505">
        <v>219</v>
      </c>
      <c r="E890" s="504" t="s">
        <v>876</v>
      </c>
      <c r="F890" s="504" t="s">
        <v>1899</v>
      </c>
    </row>
    <row r="891" spans="1:6" x14ac:dyDescent="0.2">
      <c r="A891" s="505" t="s">
        <v>1832</v>
      </c>
      <c r="B891" s="505">
        <v>219001</v>
      </c>
      <c r="E891" s="504" t="s">
        <v>877</v>
      </c>
    </row>
    <row r="892" spans="1:6" x14ac:dyDescent="0.2">
      <c r="A892" s="505" t="s">
        <v>1833</v>
      </c>
      <c r="B892" s="505">
        <v>219002</v>
      </c>
      <c r="E892" s="504" t="s">
        <v>878</v>
      </c>
    </row>
    <row r="893" spans="1:6" x14ac:dyDescent="0.2">
      <c r="A893" s="505" t="s">
        <v>1834</v>
      </c>
      <c r="B893" s="505">
        <v>219003</v>
      </c>
      <c r="E893" s="504" t="s">
        <v>879</v>
      </c>
    </row>
    <row r="894" spans="1:6" x14ac:dyDescent="0.2">
      <c r="A894" s="505" t="s">
        <v>1835</v>
      </c>
      <c r="B894" s="505">
        <v>219004</v>
      </c>
      <c r="E894" s="504" t="s">
        <v>880</v>
      </c>
    </row>
    <row r="895" spans="1:6" x14ac:dyDescent="0.2">
      <c r="A895" s="505" t="s">
        <v>1836</v>
      </c>
      <c r="B895" s="505">
        <v>219005</v>
      </c>
      <c r="E895" s="504" t="s">
        <v>881</v>
      </c>
    </row>
    <row r="896" spans="1:6" x14ac:dyDescent="0.2">
      <c r="A896" s="505"/>
    </row>
    <row r="897" spans="1:6" x14ac:dyDescent="0.2">
      <c r="A897" s="505" t="s">
        <v>1837</v>
      </c>
      <c r="B897" s="505">
        <v>220</v>
      </c>
      <c r="E897" s="504" t="s">
        <v>882</v>
      </c>
      <c r="F897" s="504" t="s">
        <v>1899</v>
      </c>
    </row>
    <row r="898" spans="1:6" x14ac:dyDescent="0.2">
      <c r="A898" s="510" t="s">
        <v>1838</v>
      </c>
      <c r="B898" s="510">
        <v>220001</v>
      </c>
      <c r="C898" s="510"/>
      <c r="D898" s="510"/>
      <c r="E898" s="511" t="s">
        <v>639</v>
      </c>
      <c r="F898" s="504" t="s">
        <v>1897</v>
      </c>
    </row>
    <row r="899" spans="1:6" x14ac:dyDescent="0.2">
      <c r="A899" s="510" t="s">
        <v>1839</v>
      </c>
      <c r="B899" s="510">
        <v>220002</v>
      </c>
      <c r="C899" s="510"/>
      <c r="D899" s="510"/>
      <c r="E899" s="511" t="s">
        <v>640</v>
      </c>
      <c r="F899" s="504" t="s">
        <v>1897</v>
      </c>
    </row>
    <row r="900" spans="1:6" x14ac:dyDescent="0.2">
      <c r="A900" s="510" t="s">
        <v>1840</v>
      </c>
      <c r="B900" s="510">
        <v>220003</v>
      </c>
      <c r="C900" s="510"/>
      <c r="D900" s="510"/>
      <c r="E900" s="511" t="s">
        <v>641</v>
      </c>
      <c r="F900" s="504" t="s">
        <v>1897</v>
      </c>
    </row>
    <row r="901" spans="1:6" x14ac:dyDescent="0.2">
      <c r="A901" s="505" t="s">
        <v>1841</v>
      </c>
      <c r="B901" s="505">
        <v>220004</v>
      </c>
      <c r="E901" s="504" t="s">
        <v>642</v>
      </c>
    </row>
    <row r="902" spans="1:6" x14ac:dyDescent="0.2">
      <c r="A902" s="505" t="s">
        <v>1842</v>
      </c>
      <c r="B902" s="505">
        <v>220005</v>
      </c>
      <c r="E902" s="504" t="s">
        <v>643</v>
      </c>
    </row>
    <row r="903" spans="1:6" x14ac:dyDescent="0.2">
      <c r="A903" s="505" t="s">
        <v>1843</v>
      </c>
      <c r="B903" s="505">
        <v>220006</v>
      </c>
      <c r="E903" s="504" t="s">
        <v>644</v>
      </c>
    </row>
    <row r="904" spans="1:6" x14ac:dyDescent="0.2">
      <c r="A904" s="505"/>
    </row>
    <row r="905" spans="1:6" x14ac:dyDescent="0.2">
      <c r="A905" s="505" t="s">
        <v>1844</v>
      </c>
      <c r="B905" s="505">
        <v>221</v>
      </c>
      <c r="E905" s="504" t="s">
        <v>883</v>
      </c>
      <c r="F905" s="504" t="s">
        <v>1899</v>
      </c>
    </row>
    <row r="906" spans="1:6" x14ac:dyDescent="0.2">
      <c r="A906" s="505" t="s">
        <v>1845</v>
      </c>
      <c r="B906" s="505">
        <v>221001</v>
      </c>
      <c r="E906" s="504" t="s">
        <v>645</v>
      </c>
    </row>
    <row r="907" spans="1:6" x14ac:dyDescent="0.2">
      <c r="A907" s="505" t="s">
        <v>1846</v>
      </c>
      <c r="B907" s="505">
        <v>221002</v>
      </c>
      <c r="E907" s="504" t="s">
        <v>646</v>
      </c>
    </row>
    <row r="908" spans="1:6" x14ac:dyDescent="0.2">
      <c r="A908" s="505" t="s">
        <v>1847</v>
      </c>
      <c r="B908" s="505">
        <v>221003</v>
      </c>
      <c r="E908" s="504" t="s">
        <v>647</v>
      </c>
    </row>
    <row r="909" spans="1:6" x14ac:dyDescent="0.2">
      <c r="A909" s="510" t="s">
        <v>1848</v>
      </c>
      <c r="B909" s="510">
        <v>221004</v>
      </c>
      <c r="C909" s="510"/>
      <c r="D909" s="510"/>
      <c r="E909" s="511" t="s">
        <v>648</v>
      </c>
      <c r="F909" s="504" t="s">
        <v>1897</v>
      </c>
    </row>
    <row r="910" spans="1:6" x14ac:dyDescent="0.2">
      <c r="A910" s="510" t="s">
        <v>1849</v>
      </c>
      <c r="B910" s="510">
        <v>221005</v>
      </c>
      <c r="C910" s="510"/>
      <c r="D910" s="510"/>
      <c r="E910" s="511" t="s">
        <v>649</v>
      </c>
      <c r="F910" s="504" t="s">
        <v>1897</v>
      </c>
    </row>
    <row r="911" spans="1:6" x14ac:dyDescent="0.2">
      <c r="A911" s="505" t="s">
        <v>1850</v>
      </c>
      <c r="B911" s="505">
        <v>221006</v>
      </c>
      <c r="E911" s="504" t="s">
        <v>650</v>
      </c>
    </row>
    <row r="912" spans="1:6" x14ac:dyDescent="0.2">
      <c r="A912" s="505"/>
    </row>
    <row r="913" spans="1:6" x14ac:dyDescent="0.2">
      <c r="A913" s="505" t="s">
        <v>1851</v>
      </c>
      <c r="B913" s="505">
        <v>222</v>
      </c>
      <c r="E913" s="504" t="s">
        <v>884</v>
      </c>
      <c r="F913" s="504" t="s">
        <v>1899</v>
      </c>
    </row>
    <row r="914" spans="1:6" x14ac:dyDescent="0.2">
      <c r="A914" s="505" t="s">
        <v>1852</v>
      </c>
      <c r="B914" s="505">
        <v>222001</v>
      </c>
      <c r="E914" s="504" t="s">
        <v>651</v>
      </c>
    </row>
    <row r="915" spans="1:6" x14ac:dyDescent="0.2">
      <c r="A915" s="505" t="s">
        <v>1853</v>
      </c>
      <c r="B915" s="505">
        <v>222002</v>
      </c>
      <c r="E915" s="504" t="s">
        <v>652</v>
      </c>
    </row>
    <row r="916" spans="1:6" x14ac:dyDescent="0.2">
      <c r="A916" s="505" t="s">
        <v>1854</v>
      </c>
      <c r="B916" s="505">
        <v>222003</v>
      </c>
      <c r="E916" s="504" t="s">
        <v>653</v>
      </c>
    </row>
    <row r="917" spans="1:6" x14ac:dyDescent="0.2">
      <c r="A917" s="505" t="s">
        <v>1855</v>
      </c>
      <c r="B917" s="505">
        <v>222004</v>
      </c>
      <c r="E917" s="504" t="s">
        <v>654</v>
      </c>
    </row>
    <row r="918" spans="1:6" x14ac:dyDescent="0.2">
      <c r="A918" s="505" t="s">
        <v>1856</v>
      </c>
      <c r="B918" s="505">
        <v>222005</v>
      </c>
      <c r="E918" s="504" t="s">
        <v>655</v>
      </c>
    </row>
    <row r="919" spans="1:6" x14ac:dyDescent="0.2">
      <c r="A919" s="505" t="s">
        <v>1857</v>
      </c>
      <c r="B919" s="505">
        <v>222006</v>
      </c>
      <c r="E919" s="504" t="s">
        <v>656</v>
      </c>
    </row>
    <row r="920" spans="1:6" x14ac:dyDescent="0.2">
      <c r="A920" s="505" t="s">
        <v>1858</v>
      </c>
      <c r="B920" s="505">
        <v>222007</v>
      </c>
      <c r="E920" s="504" t="s">
        <v>657</v>
      </c>
    </row>
    <row r="921" spans="1:6" x14ac:dyDescent="0.2">
      <c r="A921" s="505" t="s">
        <v>1859</v>
      </c>
      <c r="B921" s="505">
        <v>222008</v>
      </c>
      <c r="E921" s="504" t="s">
        <v>658</v>
      </c>
    </row>
    <row r="922" spans="1:6" x14ac:dyDescent="0.2">
      <c r="A922" s="505" t="s">
        <v>1860</v>
      </c>
      <c r="B922" s="505">
        <v>222009</v>
      </c>
      <c r="E922" s="504" t="s">
        <v>659</v>
      </c>
    </row>
    <row r="923" spans="1:6" x14ac:dyDescent="0.2">
      <c r="A923" s="505" t="s">
        <v>1861</v>
      </c>
      <c r="B923" s="505">
        <v>222010</v>
      </c>
      <c r="E923" s="504" t="s">
        <v>660</v>
      </c>
    </row>
    <row r="924" spans="1:6" x14ac:dyDescent="0.2">
      <c r="A924" s="505" t="s">
        <v>1862</v>
      </c>
      <c r="B924" s="505">
        <v>222011</v>
      </c>
      <c r="E924" s="504" t="s">
        <v>661</v>
      </c>
    </row>
    <row r="925" spans="1:6" x14ac:dyDescent="0.2">
      <c r="A925" s="505" t="s">
        <v>1863</v>
      </c>
      <c r="B925" s="505">
        <v>222012</v>
      </c>
      <c r="E925" s="504" t="s">
        <v>662</v>
      </c>
    </row>
    <row r="926" spans="1:6" x14ac:dyDescent="0.2">
      <c r="A926" s="505" t="s">
        <v>1864</v>
      </c>
      <c r="B926" s="505">
        <v>222013</v>
      </c>
      <c r="E926" s="504" t="s">
        <v>663</v>
      </c>
    </row>
    <row r="927" spans="1:6" x14ac:dyDescent="0.2">
      <c r="A927" s="505" t="s">
        <v>1865</v>
      </c>
      <c r="B927" s="505">
        <v>222014</v>
      </c>
      <c r="E927" s="504" t="s">
        <v>664</v>
      </c>
    </row>
    <row r="928" spans="1:6" x14ac:dyDescent="0.2">
      <c r="A928" s="505" t="s">
        <v>1866</v>
      </c>
      <c r="B928" s="505">
        <v>222015</v>
      </c>
      <c r="E928" s="504" t="s">
        <v>665</v>
      </c>
    </row>
    <row r="929" spans="1:6" x14ac:dyDescent="0.2">
      <c r="A929" s="505" t="s">
        <v>1867</v>
      </c>
      <c r="B929" s="505">
        <v>222016</v>
      </c>
      <c r="E929" s="504" t="s">
        <v>666</v>
      </c>
    </row>
    <row r="930" spans="1:6" x14ac:dyDescent="0.2">
      <c r="A930" s="505"/>
    </row>
    <row r="931" spans="1:6" x14ac:dyDescent="0.2">
      <c r="A931" s="505" t="s">
        <v>1868</v>
      </c>
      <c r="B931" s="505">
        <v>223</v>
      </c>
      <c r="E931" s="504" t="s">
        <v>885</v>
      </c>
      <c r="F931" s="504" t="s">
        <v>1899</v>
      </c>
    </row>
    <row r="932" spans="1:6" x14ac:dyDescent="0.2">
      <c r="A932" s="505" t="s">
        <v>1869</v>
      </c>
      <c r="B932" s="505">
        <v>223001</v>
      </c>
      <c r="E932" s="504" t="s">
        <v>667</v>
      </c>
    </row>
    <row r="933" spans="1:6" x14ac:dyDescent="0.2">
      <c r="A933" s="505" t="s">
        <v>1870</v>
      </c>
      <c r="B933" s="505">
        <v>223002</v>
      </c>
      <c r="E933" s="504" t="s">
        <v>668</v>
      </c>
    </row>
    <row r="934" spans="1:6" x14ac:dyDescent="0.2">
      <c r="A934" s="510" t="s">
        <v>1871</v>
      </c>
      <c r="B934" s="510">
        <v>223003</v>
      </c>
      <c r="C934" s="510"/>
      <c r="D934" s="510"/>
      <c r="E934" s="511" t="s">
        <v>669</v>
      </c>
      <c r="F934" s="504" t="s">
        <v>1897</v>
      </c>
    </row>
    <row r="935" spans="1:6" x14ac:dyDescent="0.2">
      <c r="A935" s="505" t="s">
        <v>1872</v>
      </c>
      <c r="B935" s="505">
        <v>223004</v>
      </c>
      <c r="E935" s="504" t="s">
        <v>670</v>
      </c>
    </row>
    <row r="936" spans="1:6" x14ac:dyDescent="0.2">
      <c r="A936" s="505" t="s">
        <v>1873</v>
      </c>
      <c r="B936" s="505">
        <v>223005</v>
      </c>
      <c r="E936" s="504" t="s">
        <v>671</v>
      </c>
    </row>
    <row r="937" spans="1:6" x14ac:dyDescent="0.2">
      <c r="A937" s="505" t="s">
        <v>1874</v>
      </c>
      <c r="B937" s="505">
        <v>223006</v>
      </c>
      <c r="E937" s="504" t="s">
        <v>672</v>
      </c>
    </row>
    <row r="938" spans="1:6" x14ac:dyDescent="0.2">
      <c r="A938" s="505" t="s">
        <v>1875</v>
      </c>
      <c r="B938" s="505">
        <v>223007</v>
      </c>
      <c r="E938" s="504" t="s">
        <v>673</v>
      </c>
    </row>
    <row r="939" spans="1:6" x14ac:dyDescent="0.2">
      <c r="A939" s="505" t="s">
        <v>1876</v>
      </c>
      <c r="B939" s="505">
        <v>223008</v>
      </c>
      <c r="E939" s="504" t="s">
        <v>674</v>
      </c>
    </row>
    <row r="940" spans="1:6" x14ac:dyDescent="0.2">
      <c r="A940" s="505" t="s">
        <v>1877</v>
      </c>
      <c r="B940" s="505">
        <v>223009</v>
      </c>
      <c r="E940" s="504" t="s">
        <v>675</v>
      </c>
    </row>
    <row r="941" spans="1:6" x14ac:dyDescent="0.2">
      <c r="A941" s="505" t="s">
        <v>1878</v>
      </c>
      <c r="B941" s="505">
        <v>223010</v>
      </c>
      <c r="E941" s="504" t="s">
        <v>676</v>
      </c>
    </row>
    <row r="942" spans="1:6" x14ac:dyDescent="0.2">
      <c r="A942" s="505"/>
    </row>
    <row r="943" spans="1:6" x14ac:dyDescent="0.2">
      <c r="A943" s="505" t="s">
        <v>1879</v>
      </c>
      <c r="B943" s="505">
        <v>224</v>
      </c>
      <c r="E943" s="504" t="s">
        <v>301</v>
      </c>
      <c r="F943" s="504" t="s">
        <v>1899</v>
      </c>
    </row>
    <row r="944" spans="1:6" x14ac:dyDescent="0.2">
      <c r="A944" s="510" t="s">
        <v>1880</v>
      </c>
      <c r="B944" s="510">
        <v>224001</v>
      </c>
      <c r="C944" s="510"/>
      <c r="D944" s="510"/>
      <c r="E944" s="511" t="s">
        <v>681</v>
      </c>
      <c r="F944" s="504" t="s">
        <v>1897</v>
      </c>
    </row>
    <row r="945" spans="1:6" x14ac:dyDescent="0.2">
      <c r="A945" s="510" t="s">
        <v>1881</v>
      </c>
      <c r="B945" s="510">
        <v>224002</v>
      </c>
      <c r="C945" s="510"/>
      <c r="D945" s="510"/>
      <c r="E945" s="511" t="s">
        <v>682</v>
      </c>
      <c r="F945" s="504" t="s">
        <v>1897</v>
      </c>
    </row>
    <row r="946" spans="1:6" x14ac:dyDescent="0.2">
      <c r="A946" s="505"/>
    </row>
    <row r="947" spans="1:6" x14ac:dyDescent="0.2">
      <c r="A947" s="505" t="s">
        <v>1882</v>
      </c>
      <c r="B947" s="505">
        <v>225</v>
      </c>
      <c r="E947" s="504" t="s">
        <v>886</v>
      </c>
      <c r="F947" s="504" t="s">
        <v>1899</v>
      </c>
    </row>
    <row r="948" spans="1:6" x14ac:dyDescent="0.2">
      <c r="A948" s="510" t="s">
        <v>1883</v>
      </c>
      <c r="B948" s="510">
        <v>225001</v>
      </c>
      <c r="C948" s="510"/>
      <c r="D948" s="510"/>
      <c r="E948" s="511" t="s">
        <v>700</v>
      </c>
      <c r="F948" s="504" t="s">
        <v>1897</v>
      </c>
    </row>
    <row r="949" spans="1:6" x14ac:dyDescent="0.2">
      <c r="A949" s="510" t="s">
        <v>1884</v>
      </c>
      <c r="B949" s="510">
        <v>225002</v>
      </c>
      <c r="C949" s="510"/>
      <c r="D949" s="510"/>
      <c r="E949" s="511" t="s">
        <v>701</v>
      </c>
      <c r="F949" s="504" t="s">
        <v>1897</v>
      </c>
    </row>
    <row r="950" spans="1:6" x14ac:dyDescent="0.2">
      <c r="A950" s="505"/>
    </row>
    <row r="951" spans="1:6" x14ac:dyDescent="0.2">
      <c r="A951" s="505" t="s">
        <v>1885</v>
      </c>
      <c r="B951" s="505">
        <v>226</v>
      </c>
      <c r="E951" s="504" t="s">
        <v>887</v>
      </c>
      <c r="F951" s="504" t="s">
        <v>1899</v>
      </c>
    </row>
    <row r="952" spans="1:6" x14ac:dyDescent="0.2">
      <c r="A952" s="510" t="s">
        <v>1886</v>
      </c>
      <c r="B952" s="510">
        <v>226003</v>
      </c>
      <c r="C952" s="510"/>
      <c r="D952" s="510"/>
      <c r="E952" s="511" t="s">
        <v>689</v>
      </c>
      <c r="F952" s="504" t="s">
        <v>1897</v>
      </c>
    </row>
    <row r="953" spans="1:6" x14ac:dyDescent="0.2">
      <c r="A953" s="510" t="s">
        <v>1887</v>
      </c>
      <c r="B953" s="510">
        <v>226004</v>
      </c>
      <c r="C953" s="510"/>
      <c r="D953" s="510"/>
      <c r="E953" s="511" t="s">
        <v>702</v>
      </c>
      <c r="F953" s="504" t="s">
        <v>1897</v>
      </c>
    </row>
    <row r="954" spans="1:6" x14ac:dyDescent="0.2">
      <c r="A954" s="510" t="s">
        <v>1888</v>
      </c>
      <c r="B954" s="510">
        <v>226005</v>
      </c>
      <c r="C954" s="510"/>
      <c r="D954" s="510"/>
      <c r="E954" s="511" t="s">
        <v>703</v>
      </c>
      <c r="F954" s="504" t="s">
        <v>1897</v>
      </c>
    </row>
    <row r="955" spans="1:6" x14ac:dyDescent="0.2">
      <c r="A955" s="505"/>
    </row>
    <row r="956" spans="1:6" x14ac:dyDescent="0.2">
      <c r="A956" s="505" t="s">
        <v>1889</v>
      </c>
      <c r="B956" s="505">
        <v>227</v>
      </c>
      <c r="E956" s="504" t="s">
        <v>888</v>
      </c>
      <c r="F956" s="504" t="s">
        <v>1899</v>
      </c>
    </row>
    <row r="957" spans="1:6" x14ac:dyDescent="0.2">
      <c r="A957" s="510" t="s">
        <v>1890</v>
      </c>
      <c r="B957" s="510">
        <v>227001</v>
      </c>
      <c r="C957" s="510"/>
      <c r="D957" s="510"/>
      <c r="E957" s="511" t="s">
        <v>694</v>
      </c>
      <c r="F957" s="504" t="s">
        <v>1897</v>
      </c>
    </row>
    <row r="958" spans="1:6" x14ac:dyDescent="0.2">
      <c r="A958" s="510" t="s">
        <v>1891</v>
      </c>
      <c r="B958" s="510">
        <v>227002</v>
      </c>
      <c r="C958" s="510"/>
      <c r="D958" s="510"/>
      <c r="E958" s="511" t="s">
        <v>695</v>
      </c>
      <c r="F958" s="504" t="s">
        <v>1897</v>
      </c>
    </row>
    <row r="959" spans="1:6" x14ac:dyDescent="0.2">
      <c r="A959" s="510" t="s">
        <v>1892</v>
      </c>
      <c r="B959" s="510">
        <v>227003</v>
      </c>
      <c r="C959" s="510"/>
      <c r="D959" s="510"/>
      <c r="E959" s="511" t="s">
        <v>696</v>
      </c>
      <c r="F959" s="504" t="s">
        <v>1897</v>
      </c>
    </row>
    <row r="960" spans="1:6" x14ac:dyDescent="0.2">
      <c r="A960" s="510" t="s">
        <v>1893</v>
      </c>
      <c r="B960" s="510">
        <v>227004</v>
      </c>
      <c r="C960" s="510"/>
      <c r="D960" s="510"/>
      <c r="E960" s="511" t="s">
        <v>697</v>
      </c>
      <c r="F960" s="504" t="s">
        <v>1897</v>
      </c>
    </row>
    <row r="961" spans="1:7" x14ac:dyDescent="0.2">
      <c r="A961" s="510" t="s">
        <v>1894</v>
      </c>
      <c r="B961" s="510">
        <v>227005</v>
      </c>
      <c r="C961" s="510"/>
      <c r="D961" s="510"/>
      <c r="E961" s="511" t="s">
        <v>698</v>
      </c>
      <c r="F961" s="504" t="s">
        <v>1897</v>
      </c>
    </row>
    <row r="962" spans="1:7" x14ac:dyDescent="0.2">
      <c r="A962" s="510" t="s">
        <v>1895</v>
      </c>
      <c r="B962" s="510">
        <v>227006</v>
      </c>
      <c r="C962" s="510"/>
      <c r="D962" s="510"/>
      <c r="E962" s="511" t="s">
        <v>699</v>
      </c>
      <c r="F962" s="504" t="s">
        <v>1897</v>
      </c>
    </row>
    <row r="963" spans="1:7" x14ac:dyDescent="0.2">
      <c r="A963" s="510" t="s">
        <v>1896</v>
      </c>
      <c r="B963" s="510">
        <v>227007</v>
      </c>
      <c r="C963" s="510"/>
      <c r="D963" s="510"/>
      <c r="E963" s="511" t="s">
        <v>693</v>
      </c>
      <c r="F963" s="504" t="s">
        <v>1897</v>
      </c>
    </row>
    <row r="964" spans="1:7" x14ac:dyDescent="0.2">
      <c r="A964" s="505"/>
    </row>
    <row r="965" spans="1:7" x14ac:dyDescent="0.2">
      <c r="E965" s="505"/>
      <c r="G965" s="505"/>
    </row>
    <row r="966" spans="1:7" x14ac:dyDescent="0.2">
      <c r="E966" s="505"/>
      <c r="G966" s="505"/>
    </row>
    <row r="967" spans="1:7" x14ac:dyDescent="0.2">
      <c r="E967" s="505"/>
      <c r="G967" s="505"/>
    </row>
    <row r="968" spans="1:7" x14ac:dyDescent="0.2">
      <c r="E968" s="505"/>
      <c r="G968" s="50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
    <pageSetUpPr fitToPage="1"/>
  </sheetPr>
  <dimension ref="C1:L3"/>
  <sheetViews>
    <sheetView showGridLines="0" zoomScale="90" zoomScaleNormal="90" zoomScaleSheetLayoutView="75" workbookViewId="0">
      <selection activeCell="Q31" sqref="Q31"/>
    </sheetView>
  </sheetViews>
  <sheetFormatPr baseColWidth="10" defaultColWidth="10.7109375" defaultRowHeight="15" x14ac:dyDescent="0.25"/>
  <cols>
    <col min="1" max="16384" width="10.7109375" style="1"/>
  </cols>
  <sheetData>
    <row r="1" spans="3:12" ht="23.25" x14ac:dyDescent="0.35">
      <c r="C1" s="745" t="str">
        <f>"OBRA: " &amp; UPPER(Obra)</f>
        <v>OBRA: ENCAMISADO PARCIAL DEL CANAL DE CALLE AMÉRICA</v>
      </c>
      <c r="D1" s="745"/>
      <c r="E1" s="745"/>
      <c r="F1" s="745"/>
      <c r="G1" s="745"/>
      <c r="H1" s="745"/>
      <c r="I1" s="745"/>
      <c r="J1" s="745"/>
      <c r="K1" s="745"/>
      <c r="L1" s="745"/>
    </row>
    <row r="2" spans="3:12" ht="23.25" x14ac:dyDescent="0.35">
      <c r="C2" s="745" t="s">
        <v>930</v>
      </c>
      <c r="D2" s="745"/>
      <c r="E2" s="745"/>
      <c r="F2" s="745"/>
      <c r="G2" s="745"/>
      <c r="H2" s="745"/>
      <c r="I2" s="745"/>
      <c r="J2" s="745"/>
      <c r="K2" s="745"/>
      <c r="L2" s="745"/>
    </row>
    <row r="3" spans="3:12" ht="23.25" x14ac:dyDescent="0.35">
      <c r="C3" s="745" t="s">
        <v>931</v>
      </c>
      <c r="D3" s="745"/>
      <c r="E3" s="745"/>
      <c r="F3" s="745"/>
      <c r="G3" s="745"/>
      <c r="H3" s="745"/>
      <c r="I3" s="745"/>
      <c r="J3" s="745"/>
      <c r="K3" s="745"/>
      <c r="L3" s="74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Indices</vt:lpstr>
      <vt:lpstr>Avance de Obra</vt:lpstr>
      <vt:lpstr>Curva Inversiones</vt:lpstr>
      <vt:lpstr>Insumos</vt:lpstr>
      <vt:lpstr>Equipos</vt:lpstr>
      <vt:lpstr>MED SIGOP</vt:lpstr>
      <vt:lpstr>MED PROYECTO</vt:lpstr>
      <vt:lpstr>Rendimiento Equipo</vt:lpstr>
      <vt:lpstr>Gastos Generales</vt:lpstr>
      <vt:lpstr>Coef-Equipos</vt:lpstr>
      <vt:lpstr>Transp. Camión Solo</vt:lpstr>
      <vt:lpstr>Transp. Camión con Acoplado</vt:lpstr>
      <vt:lpstr>Items - Códigos</vt:lpstr>
      <vt:lpstr>'Transp. Camión con Acoplado'!A</vt:lpstr>
      <vt:lpstr>'Transp. Camión Solo'!A</vt:lpstr>
      <vt:lpstr>Anticipo_Financiero</vt:lpstr>
      <vt:lpstr>AP!Área_de_impresión</vt:lpstr>
      <vt:lpstr>CyP!Área_de_impresión</vt:lpstr>
      <vt:lpstr>Datos!Área_de_impresión</vt:lpstr>
      <vt:lpstr>'MED PROYECTO'!Área_de_impresión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Eugenio Montes</cp:lastModifiedBy>
  <cp:lastPrinted>2022-12-28T17:48:27Z</cp:lastPrinted>
  <dcterms:created xsi:type="dcterms:W3CDTF">2016-09-02T20:54:46Z</dcterms:created>
  <dcterms:modified xsi:type="dcterms:W3CDTF">2023-03-27T17:49:08Z</dcterms:modified>
</cp:coreProperties>
</file>