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4635" yWindow="630" windowWidth="12900" windowHeight="10290" tabRatio="963" firstSheet="1" activeTab="1"/>
  </bookViews>
  <sheets>
    <sheet name="Instrucciones" sheetId="25" r:id="rId1"/>
    <sheet name="Datos" sheetId="15" r:id="rId2"/>
    <sheet name="Propuesta" sheetId="18" r:id="rId3"/>
    <sheet name="CyP" sheetId="2" r:id="rId4"/>
    <sheet name="AP" sheetId="6" r:id="rId5"/>
    <sheet name="Equipos" sheetId="22" r:id="rId6"/>
    <sheet name="Insumos" sheetId="14" r:id="rId7"/>
    <sheet name="PTyCI" sheetId="9" r:id="rId8"/>
    <sheet name="Polinomica" sheetId="26" r:id="rId9"/>
    <sheet name="MED SIGOP" sheetId="27" r:id="rId10"/>
    <sheet name="MED OBRA" sheetId="28" r:id="rId11"/>
    <sheet name="Rendimiento Equipo" sheetId="23" r:id="rId12"/>
    <sheet name="Avance Obra" sheetId="4" r:id="rId13"/>
    <sheet name="Curva Inversiones" sheetId="5" r:id="rId14"/>
    <sheet name="Gastos Generales" sheetId="8"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CyP!$A$1:$A$54</definedName>
    <definedName name="_xlnm._FilterDatabase" localSheetId="1" hidden="1">Datos!#REF!</definedName>
    <definedName name="_xlnm._FilterDatabase" localSheetId="2" hidden="1">Propuesta!#REF!</definedName>
    <definedName name="_xlnm._FilterDatabase" localSheetId="7" hidden="1">PTyCI!$D$1:$D$46</definedName>
    <definedName name="A" localSheetId="17">'Transp. Camión con Acoplado'!$O$4</definedName>
    <definedName name="A" localSheetId="16">'Transp. Camión Solo'!$O$4</definedName>
    <definedName name="Anticipo_Financiero" localSheetId="8">[2]Datos!$C$7</definedName>
    <definedName name="Anticipo_Financiero">Datos!$C$12</definedName>
    <definedName name="_xlnm.Print_Area" localSheetId="4">AP!$A$1:$G$1424</definedName>
    <definedName name="_xlnm.Print_Area" localSheetId="3">CyP!$A$17:$I$54</definedName>
    <definedName name="_xlnm.Print_Area" localSheetId="1">Datos!$B$1:$J$56</definedName>
    <definedName name="_xlnm.Print_Area" localSheetId="10">'MED OBRA'!$A$1:$K$32</definedName>
    <definedName name="_xlnm.Print_Area" localSheetId="9">'MED SIGOP'!$A$1:$H$32</definedName>
    <definedName name="_xlnm.Print_Area" localSheetId="2">Propuesta!$A$1:$G$51</definedName>
    <definedName name="_xlnm.Print_Area" localSheetId="7">PTyCI!$A$13:$I$43</definedName>
    <definedName name="B" localSheetId="17">'Transp. Camión con Acoplado'!$O$7</definedName>
    <definedName name="B" localSheetId="16">'Transp. Camión Solo'!$O$7</definedName>
    <definedName name="Beneficio" localSheetId="8">[2]Datos!$C$15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8">[2]Datos!$C$13</definedName>
    <definedName name="Costo_Financiero">Datos!$C$23</definedName>
    <definedName name="Costo_gasoil" localSheetId="17">'Transp. Camión con Acoplado'!$E$19</definedName>
    <definedName name="Costo_gasoil" localSheetId="16">'Transp. Camión Solo'!$E$19</definedName>
    <definedName name="Costo_Obra">CyP!$F$41</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8">[3]Datos!$C$6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Generales'!$C$36</definedName>
    <definedName name="GG_Obra" localSheetId="8">'[3]Gastos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8">[2]Datos!$C$16</definedName>
    <definedName name="Ingresos_Brutos">Datos!$C$26</definedName>
    <definedName name="Interés_Anual" localSheetId="15">'Coef-Equipos'!$D$27</definedName>
    <definedName name="IVA" localSheetId="8">[3]Datos!$C$18</definedName>
    <definedName name="IVA">Datos!$C$27</definedName>
    <definedName name="IVA_Infraestructura">[2]Datos!$C$18</definedName>
    <definedName name="IVA_Vivienda">[2]Datos!$C$17</definedName>
    <definedName name="Licitación_N°" localSheetId="8">[3]Datos!$C$5</definedName>
    <definedName name="Licitación_N°">Datos!$C$9</definedName>
    <definedName name="Mano_Obra_Lavado" localSheetId="17">'Transp. Camión con Acoplado'!$E$22</definedName>
    <definedName name="Mano_Obra_Lavado" localSheetId="16">'Transp. Camión Solo'!$E$22</definedName>
    <definedName name="Monto_Oferta" localSheetId="8">[2]CyP!$H$58</definedName>
    <definedName name="Monto_Oferta">CyP!$H$41</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Camioneta_Amortizar" localSheetId="15">'Coef-Equipos'!$D$55</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7">PTyCI!$A:$D,PTyCI!$1:$12</definedName>
    <definedName name="Tramo">Datos!$C$4</definedName>
    <definedName name="Ubic">[2]Datos!$C$3</definedName>
    <definedName name="Ubicación" localSheetId="8">[2]Datos!$C$3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9" i="27" l="1"/>
  <c r="C11" i="26"/>
  <c r="B11" i="26"/>
  <c r="C10" i="26"/>
  <c r="B10" i="26"/>
  <c r="C9" i="26"/>
  <c r="B9" i="26"/>
  <c r="C8" i="26"/>
  <c r="B8" i="26"/>
  <c r="C7" i="26"/>
  <c r="B7" i="2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C1404" i="6"/>
  <c r="B1404" i="6"/>
  <c r="A1404" i="6"/>
  <c r="F1399" i="6"/>
  <c r="E1399" i="6"/>
  <c r="B1399" i="6"/>
  <c r="A1399" i="6"/>
  <c r="F1398" i="6"/>
  <c r="E1398" i="6"/>
  <c r="B1398" i="6"/>
  <c r="A1398" i="6"/>
  <c r="F1397" i="6"/>
  <c r="E1397" i="6"/>
  <c r="B1397" i="6"/>
  <c r="A1397" i="6"/>
  <c r="F1388" i="6"/>
  <c r="G1388" i="6" s="1"/>
  <c r="D1388" i="6"/>
  <c r="B1388" i="6"/>
  <c r="A1388" i="6"/>
  <c r="F1387" i="6"/>
  <c r="G1387" i="6" s="1"/>
  <c r="D1387" i="6"/>
  <c r="B1387" i="6"/>
  <c r="A1387" i="6"/>
  <c r="C1386" i="6"/>
  <c r="D1386" i="6" s="1"/>
  <c r="B1386" i="6"/>
  <c r="A1386" i="6"/>
  <c r="C1385" i="6"/>
  <c r="A1385" i="6" s="1"/>
  <c r="C1384" i="6"/>
  <c r="D1384" i="6" s="1"/>
  <c r="B1384" i="6"/>
  <c r="A1384" i="6"/>
  <c r="D1383" i="6"/>
  <c r="E1383" i="6" s="1"/>
  <c r="C1383" i="6"/>
  <c r="B1383" i="6"/>
  <c r="A1383" i="6"/>
  <c r="C1382" i="6"/>
  <c r="B1382" i="6" s="1"/>
  <c r="C1381" i="6"/>
  <c r="A1381" i="6" s="1"/>
  <c r="B1381" i="6"/>
  <c r="C1380" i="6"/>
  <c r="D1380" i="6" s="1"/>
  <c r="E1380" i="6" s="1"/>
  <c r="B1380" i="6"/>
  <c r="A1380" i="6"/>
  <c r="F1371" i="6"/>
  <c r="G1371" i="6" s="1"/>
  <c r="E1371" i="6"/>
  <c r="G1370" i="6"/>
  <c r="F1370" i="6"/>
  <c r="E1370" i="6"/>
  <c r="F1369" i="6"/>
  <c r="G1369" i="6" s="1"/>
  <c r="E1369" i="6"/>
  <c r="F1368" i="6"/>
  <c r="G1368" i="6" s="1"/>
  <c r="E1368" i="6"/>
  <c r="F1367" i="6"/>
  <c r="G1367" i="6" s="1"/>
  <c r="E1367" i="6"/>
  <c r="G1366" i="6"/>
  <c r="F1366" i="6"/>
  <c r="E1366" i="6"/>
  <c r="F1365" i="6"/>
  <c r="G1365" i="6" s="1"/>
  <c r="E1365" i="6"/>
  <c r="F1364" i="6"/>
  <c r="G1364" i="6" s="1"/>
  <c r="E1364" i="6"/>
  <c r="C1364" i="6"/>
  <c r="F1363" i="6"/>
  <c r="G1363" i="6" s="1"/>
  <c r="E1363" i="6"/>
  <c r="C1363" i="6"/>
  <c r="F1362" i="6"/>
  <c r="G1362" i="6" s="1"/>
  <c r="E1362" i="6"/>
  <c r="E1373" i="6" s="1"/>
  <c r="C1362" i="6"/>
  <c r="B1355" i="6"/>
  <c r="G1354" i="6"/>
  <c r="B1354" i="6"/>
  <c r="B1353" i="6"/>
  <c r="B1352" i="6"/>
  <c r="D50" i="15"/>
  <c r="D51" i="15"/>
  <c r="D52" i="15"/>
  <c r="D53" i="15"/>
  <c r="D54" i="15"/>
  <c r="D55" i="15"/>
  <c r="D56" i="15"/>
  <c r="D48" i="15"/>
  <c r="D49" i="15"/>
  <c r="D47" i="15"/>
  <c r="A35" i="15"/>
  <c r="A36" i="15"/>
  <c r="A37" i="15"/>
  <c r="A38" i="15" s="1"/>
  <c r="G1397" i="6" l="1"/>
  <c r="G1398" i="6"/>
  <c r="G1415" i="6"/>
  <c r="G1399" i="6"/>
  <c r="G1421" i="6"/>
  <c r="G1373" i="6"/>
  <c r="D1382" i="6"/>
  <c r="E1382" i="6" s="1"/>
  <c r="D1381" i="6"/>
  <c r="E1381" i="6" s="1"/>
  <c r="B1385" i="6"/>
  <c r="D1385" i="6"/>
  <c r="A1382" i="6"/>
  <c r="A39" i="15"/>
  <c r="A40" i="15" s="1"/>
  <c r="A41" i="15" s="1"/>
  <c r="B14" i="23"/>
  <c r="B13" i="23"/>
  <c r="B12" i="23"/>
  <c r="B11" i="23"/>
  <c r="D11" i="23" s="1"/>
  <c r="C1" i="26"/>
  <c r="B15" i="23" l="1"/>
  <c r="K20" i="28" l="1"/>
  <c r="K21" i="28"/>
  <c r="K22" i="28"/>
  <c r="K23" i="28"/>
  <c r="K24" i="28"/>
  <c r="K25" i="28"/>
  <c r="K26" i="28"/>
  <c r="K27" i="28"/>
  <c r="K28" i="28"/>
  <c r="K29" i="28"/>
  <c r="K30" i="28"/>
  <c r="K13" i="28"/>
  <c r="K14" i="28"/>
  <c r="K15" i="28"/>
  <c r="K16" i="28"/>
  <c r="K17" i="28"/>
  <c r="K18" i="28"/>
  <c r="K19" i="28"/>
  <c r="F14" i="27"/>
  <c r="F15" i="27"/>
  <c r="F16" i="27"/>
  <c r="F17" i="27"/>
  <c r="F18" i="27"/>
  <c r="F19" i="27"/>
  <c r="F20" i="27"/>
  <c r="F21" i="27"/>
  <c r="F22" i="27"/>
  <c r="F23" i="27"/>
  <c r="F24" i="27"/>
  <c r="F25" i="27"/>
  <c r="F26" i="27"/>
  <c r="F27" i="27"/>
  <c r="F28" i="27"/>
  <c r="F29" i="27"/>
  <c r="F30" i="27"/>
  <c r="F13" i="27"/>
  <c r="C6" i="28" l="1"/>
  <c r="C13" i="6" l="1"/>
  <c r="C1329" i="6"/>
  <c r="C1309" i="6"/>
  <c r="C1310" i="6"/>
  <c r="C1311" i="6"/>
  <c r="C1289" i="6"/>
  <c r="C1288" i="6"/>
  <c r="C1287" i="6"/>
  <c r="C1215" i="6"/>
  <c r="C1214" i="6"/>
  <c r="C1213" i="6"/>
  <c r="C1212" i="6"/>
  <c r="C1187" i="6"/>
  <c r="C1112" i="6"/>
  <c r="C1104" i="6"/>
  <c r="D1062" i="6"/>
  <c r="D1063" i="6"/>
  <c r="C1029" i="6"/>
  <c r="C990" i="6"/>
  <c r="C989" i="6"/>
  <c r="C988" i="6"/>
  <c r="C987" i="6"/>
  <c r="C962" i="6"/>
  <c r="D912" i="6"/>
  <c r="D913" i="6"/>
  <c r="C841" i="6"/>
  <c r="C840" i="6"/>
  <c r="C839" i="6"/>
  <c r="C838" i="6"/>
  <c r="C837" i="6"/>
  <c r="C804" i="6"/>
  <c r="C765" i="6"/>
  <c r="C764" i="6"/>
  <c r="C763" i="6"/>
  <c r="C762" i="6"/>
  <c r="C735" i="6"/>
  <c r="C736" i="6"/>
  <c r="C737" i="6"/>
  <c r="C738" i="6"/>
  <c r="C688" i="6"/>
  <c r="C467" i="6"/>
  <c r="C616" i="6"/>
  <c r="C615" i="6"/>
  <c r="C614" i="6"/>
  <c r="C613" i="6"/>
  <c r="C612" i="6"/>
  <c r="C538" i="6"/>
  <c r="C537" i="6"/>
  <c r="D466" i="6"/>
  <c r="C505" i="6"/>
  <c r="C504" i="6"/>
  <c r="C466" i="6"/>
  <c r="C465" i="6"/>
  <c r="C464" i="6"/>
  <c r="C463" i="6"/>
  <c r="C462" i="6"/>
  <c r="D388" i="6"/>
  <c r="C390" i="6"/>
  <c r="D390" i="6"/>
  <c r="D387" i="6"/>
  <c r="C361" i="6"/>
  <c r="C362" i="6"/>
  <c r="C363" i="6"/>
  <c r="C364" i="6"/>
  <c r="D313" i="6"/>
  <c r="C314" i="6"/>
  <c r="C315" i="6"/>
  <c r="C318" i="6"/>
  <c r="D318" i="6"/>
  <c r="C319" i="6"/>
  <c r="D319" i="6"/>
  <c r="D312" i="6"/>
  <c r="C279" i="6"/>
  <c r="C239" i="6"/>
  <c r="C238" i="6"/>
  <c r="C237" i="6"/>
  <c r="C163" i="6"/>
  <c r="C162" i="6"/>
  <c r="D118" i="6"/>
  <c r="C136" i="6"/>
  <c r="C1186" i="6" s="1"/>
  <c r="C135" i="6"/>
  <c r="F135" i="6" s="1"/>
  <c r="C134" i="6"/>
  <c r="C1184" i="6" s="1"/>
  <c r="C133" i="6"/>
  <c r="C1108" i="6" s="1"/>
  <c r="C132" i="6"/>
  <c r="C357" i="6" s="1"/>
  <c r="C131" i="6"/>
  <c r="C356" i="6" s="1"/>
  <c r="C130" i="6"/>
  <c r="C355" i="6" s="1"/>
  <c r="C129" i="6"/>
  <c r="C729" i="6" s="1"/>
  <c r="C92" i="6"/>
  <c r="C317" i="6" s="1"/>
  <c r="C91" i="6"/>
  <c r="C316" i="6" s="1"/>
  <c r="C90" i="6"/>
  <c r="C89" i="6"/>
  <c r="C1064" i="6" s="1"/>
  <c r="C88" i="6"/>
  <c r="C913" i="6" s="1"/>
  <c r="C87" i="6"/>
  <c r="C312" i="6" s="1"/>
  <c r="C44" i="6"/>
  <c r="C1244" i="6" s="1"/>
  <c r="C45" i="6"/>
  <c r="C1245" i="6" s="1"/>
  <c r="C46" i="6"/>
  <c r="C1096" i="6" s="1"/>
  <c r="C43" i="6"/>
  <c r="C1168" i="6" s="1"/>
  <c r="C419" i="6" l="1"/>
  <c r="C271" i="6"/>
  <c r="C646" i="6"/>
  <c r="C1171" i="6"/>
  <c r="C957" i="6"/>
  <c r="C571" i="6"/>
  <c r="C269" i="6"/>
  <c r="C644" i="6"/>
  <c r="C1169" i="6"/>
  <c r="C1179" i="6"/>
  <c r="C494" i="6"/>
  <c r="C954" i="6"/>
  <c r="C194" i="6"/>
  <c r="C421" i="6"/>
  <c r="C359" i="6"/>
  <c r="C1107" i="6"/>
  <c r="C795" i="6"/>
  <c r="C945" i="6"/>
  <c r="C1095" i="6"/>
  <c r="C1183" i="6"/>
  <c r="C270" i="6"/>
  <c r="C360" i="6"/>
  <c r="C420" i="6"/>
  <c r="C568" i="6"/>
  <c r="C645" i="6"/>
  <c r="C721" i="6"/>
  <c r="C734" i="6"/>
  <c r="C794" i="6"/>
  <c r="C944" i="6"/>
  <c r="C956" i="6"/>
  <c r="C1094" i="6"/>
  <c r="C1106" i="6"/>
  <c r="C1170" i="6"/>
  <c r="C1182" i="6"/>
  <c r="C733" i="6"/>
  <c r="C121" i="6"/>
  <c r="C570" i="6"/>
  <c r="C732" i="6"/>
  <c r="C1180" i="6"/>
  <c r="C1321" i="6"/>
  <c r="G135" i="6"/>
  <c r="C193" i="6"/>
  <c r="C354" i="6"/>
  <c r="C493" i="6"/>
  <c r="C569" i="6"/>
  <c r="C731" i="6"/>
  <c r="C868" i="6"/>
  <c r="C961" i="6"/>
  <c r="C1021" i="6"/>
  <c r="C1111" i="6"/>
  <c r="C1243" i="6"/>
  <c r="C1320" i="6"/>
  <c r="C955" i="6"/>
  <c r="C1181" i="6"/>
  <c r="C1318" i="6"/>
  <c r="C358" i="6"/>
  <c r="C719" i="6"/>
  <c r="C1018" i="6"/>
  <c r="C196" i="6"/>
  <c r="C496" i="6"/>
  <c r="C730" i="6"/>
  <c r="C871" i="6"/>
  <c r="C960" i="6"/>
  <c r="C1020" i="6"/>
  <c r="C1110" i="6"/>
  <c r="C1246" i="6"/>
  <c r="C1319" i="6"/>
  <c r="C718" i="6"/>
  <c r="C720" i="6"/>
  <c r="C1105" i="6"/>
  <c r="C120" i="6"/>
  <c r="C119" i="6"/>
  <c r="C195" i="6"/>
  <c r="C495" i="6"/>
  <c r="C793" i="6"/>
  <c r="C870" i="6"/>
  <c r="C943" i="6"/>
  <c r="C959" i="6"/>
  <c r="C1019" i="6"/>
  <c r="C1093" i="6"/>
  <c r="C1109" i="6"/>
  <c r="C1185" i="6"/>
  <c r="C118" i="6"/>
  <c r="C268" i="6"/>
  <c r="C418" i="6"/>
  <c r="C643" i="6"/>
  <c r="C796" i="6"/>
  <c r="C869" i="6"/>
  <c r="C946" i="6"/>
  <c r="C958" i="6"/>
  <c r="C1062" i="6"/>
  <c r="C1063" i="6"/>
  <c r="C313" i="6"/>
  <c r="C389" i="6"/>
  <c r="C388" i="6"/>
  <c r="C912" i="6"/>
  <c r="C687" i="6"/>
  <c r="C914" i="6"/>
  <c r="C387" i="6"/>
  <c r="C689" i="6"/>
  <c r="C31" i="6"/>
  <c r="C32" i="6"/>
  <c r="C33" i="6"/>
  <c r="C30" i="6"/>
  <c r="C346" i="6" l="1"/>
  <c r="C1396" i="6"/>
  <c r="C345" i="6"/>
  <c r="C1395" i="6"/>
  <c r="C344" i="6"/>
  <c r="C1394" i="6"/>
  <c r="C343" i="6"/>
  <c r="C1393" i="6"/>
  <c r="C557" i="6"/>
  <c r="C182" i="6"/>
  <c r="C107" i="6"/>
  <c r="C707" i="6"/>
  <c r="C332" i="6"/>
  <c r="C857" i="6"/>
  <c r="C1157" i="6"/>
  <c r="C632" i="6"/>
  <c r="C407" i="6"/>
  <c r="C257" i="6"/>
  <c r="C1082" i="6"/>
  <c r="C932" i="6"/>
  <c r="C782" i="6"/>
  <c r="C1232" i="6"/>
  <c r="C482" i="6"/>
  <c r="C1007" i="6"/>
  <c r="C1307" i="6"/>
  <c r="C706" i="6"/>
  <c r="C331" i="6"/>
  <c r="C1156" i="6"/>
  <c r="C631" i="6"/>
  <c r="C406" i="6"/>
  <c r="C256" i="6"/>
  <c r="C856" i="6"/>
  <c r="C181" i="6"/>
  <c r="C1081" i="6"/>
  <c r="C931" i="6"/>
  <c r="C781" i="6"/>
  <c r="C481" i="6"/>
  <c r="C1231" i="6"/>
  <c r="C1006" i="6"/>
  <c r="C1306" i="6"/>
  <c r="C106" i="6"/>
  <c r="C556" i="6"/>
  <c r="C1308" i="6"/>
  <c r="C108" i="6"/>
  <c r="C558" i="6"/>
  <c r="C783" i="6"/>
  <c r="C708" i="6"/>
  <c r="C333" i="6"/>
  <c r="C1158" i="6"/>
  <c r="C633" i="6"/>
  <c r="C408" i="6"/>
  <c r="C258" i="6"/>
  <c r="C1083" i="6"/>
  <c r="C933" i="6"/>
  <c r="C1233" i="6"/>
  <c r="C858" i="6"/>
  <c r="C483" i="6"/>
  <c r="C183" i="6"/>
  <c r="C1008" i="6"/>
  <c r="C1005" i="6"/>
  <c r="C105" i="6"/>
  <c r="C1155" i="6"/>
  <c r="C630" i="6"/>
  <c r="C405" i="6"/>
  <c r="C255" i="6"/>
  <c r="C780" i="6"/>
  <c r="C555" i="6"/>
  <c r="C930" i="6"/>
  <c r="C480" i="6"/>
  <c r="C705" i="6"/>
  <c r="C330" i="6"/>
  <c r="C180" i="6"/>
  <c r="C1305" i="6"/>
  <c r="C1080" i="6"/>
  <c r="C1230" i="6"/>
  <c r="C855" i="6"/>
  <c r="D30" i="19"/>
  <c r="C15" i="6"/>
  <c r="C14" i="6"/>
  <c r="C12" i="6"/>
  <c r="E1396" i="6" l="1"/>
  <c r="A1396" i="6"/>
  <c r="B1396" i="6"/>
  <c r="B1395" i="6"/>
  <c r="A1395" i="6"/>
  <c r="E1395" i="6"/>
  <c r="B1394" i="6"/>
  <c r="A1394" i="6"/>
  <c r="E1394" i="6"/>
  <c r="E1393" i="6"/>
  <c r="A1393" i="6"/>
  <c r="C5" i="28"/>
  <c r="C4" i="28"/>
  <c r="C3" i="28"/>
  <c r="C2" i="28"/>
  <c r="C1" i="28"/>
  <c r="F10" i="27"/>
  <c r="C6" i="27"/>
  <c r="C5" i="27"/>
  <c r="C4" i="27"/>
  <c r="C3" i="27"/>
  <c r="C2" i="27"/>
  <c r="C1" i="27"/>
  <c r="B46" i="2" l="1"/>
  <c r="B50" i="2"/>
  <c r="E50" i="2"/>
  <c r="E46" i="2"/>
  <c r="F1345" i="6" l="1"/>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A1329" i="6"/>
  <c r="F1324" i="6"/>
  <c r="E1324" i="6"/>
  <c r="B1324" i="6"/>
  <c r="A1324" i="6"/>
  <c r="F1323" i="6"/>
  <c r="E1323" i="6"/>
  <c r="B1323" i="6"/>
  <c r="A1323" i="6"/>
  <c r="F1322" i="6"/>
  <c r="E1322" i="6"/>
  <c r="B1322" i="6"/>
  <c r="A1322" i="6"/>
  <c r="E1321" i="6"/>
  <c r="A1321" i="6"/>
  <c r="E1320" i="6"/>
  <c r="A1320" i="6"/>
  <c r="E1319" i="6"/>
  <c r="A1319" i="6"/>
  <c r="E1318" i="6"/>
  <c r="A1318" i="6"/>
  <c r="F1313" i="6"/>
  <c r="G1313" i="6" s="1"/>
  <c r="D1313" i="6"/>
  <c r="B1313" i="6"/>
  <c r="A1313" i="6"/>
  <c r="F1312" i="6"/>
  <c r="G1312" i="6" s="1"/>
  <c r="D1312" i="6"/>
  <c r="B1312" i="6"/>
  <c r="A1312" i="6"/>
  <c r="D1311" i="6"/>
  <c r="B1311" i="6"/>
  <c r="A1311" i="6"/>
  <c r="D1310" i="6"/>
  <c r="B1310" i="6"/>
  <c r="A1310" i="6"/>
  <c r="D1309" i="6"/>
  <c r="B1309" i="6"/>
  <c r="A1309" i="6"/>
  <c r="A1308" i="6"/>
  <c r="A1307" i="6"/>
  <c r="A1306"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E1246" i="6"/>
  <c r="A1246" i="6"/>
  <c r="E1245" i="6"/>
  <c r="A1245" i="6"/>
  <c r="E1244" i="6"/>
  <c r="A1244" i="6"/>
  <c r="E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A1233" i="6"/>
  <c r="A1232" i="6"/>
  <c r="A1231"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A1186"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4" i="6"/>
  <c r="E1174" i="6"/>
  <c r="B1174" i="6"/>
  <c r="A1174" i="6"/>
  <c r="F1173" i="6"/>
  <c r="E1173" i="6"/>
  <c r="B1173" i="6"/>
  <c r="A1173" i="6"/>
  <c r="F1172" i="6"/>
  <c r="E1172" i="6"/>
  <c r="B1172" i="6"/>
  <c r="A1172" i="6"/>
  <c r="E1171" i="6"/>
  <c r="A1171" i="6"/>
  <c r="E1170" i="6"/>
  <c r="A1170" i="6"/>
  <c r="E1169" i="6"/>
  <c r="A1169" i="6"/>
  <c r="E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A1158" i="6"/>
  <c r="A1157" i="6"/>
  <c r="A1156"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A1111" i="6"/>
  <c r="F1110" i="6"/>
  <c r="G1110" i="6" s="1"/>
  <c r="D1110" i="6"/>
  <c r="A1110" i="6"/>
  <c r="F1109" i="6"/>
  <c r="G1109" i="6" s="1"/>
  <c r="D1109" i="6"/>
  <c r="A1109" i="6"/>
  <c r="F1108" i="6"/>
  <c r="G1108" i="6" s="1"/>
  <c r="D1108" i="6"/>
  <c r="A1108" i="6"/>
  <c r="F1107" i="6"/>
  <c r="G1107" i="6" s="1"/>
  <c r="D1107" i="6"/>
  <c r="A1107" i="6"/>
  <c r="F1106" i="6"/>
  <c r="G1106" i="6" s="1"/>
  <c r="D1106" i="6"/>
  <c r="A1106" i="6"/>
  <c r="F1105" i="6"/>
  <c r="G1105" i="6" s="1"/>
  <c r="D1105" i="6"/>
  <c r="A1105" i="6"/>
  <c r="F1104" i="6"/>
  <c r="G1104" i="6" s="1"/>
  <c r="D1104" i="6"/>
  <c r="A1104" i="6"/>
  <c r="F1099" i="6"/>
  <c r="E1099" i="6"/>
  <c r="B1099" i="6"/>
  <c r="A1099" i="6"/>
  <c r="F1098" i="6"/>
  <c r="E1098" i="6"/>
  <c r="B1098" i="6"/>
  <c r="A1098" i="6"/>
  <c r="F1097" i="6"/>
  <c r="E1097" i="6"/>
  <c r="B1097" i="6"/>
  <c r="A1097" i="6"/>
  <c r="E1096" i="6"/>
  <c r="A1096" i="6"/>
  <c r="E1095" i="6"/>
  <c r="A1095" i="6"/>
  <c r="E1094" i="6"/>
  <c r="A1094" i="6"/>
  <c r="E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A1083" i="6"/>
  <c r="A1082" i="6"/>
  <c r="A1081"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A1029" i="6"/>
  <c r="F1024" i="6"/>
  <c r="E1024" i="6"/>
  <c r="B1024" i="6"/>
  <c r="A1024" i="6"/>
  <c r="F1023" i="6"/>
  <c r="E1023" i="6"/>
  <c r="B1023" i="6"/>
  <c r="A1023" i="6"/>
  <c r="F1022" i="6"/>
  <c r="E1022" i="6"/>
  <c r="B1022" i="6"/>
  <c r="A1022" i="6"/>
  <c r="E1021" i="6"/>
  <c r="A1021" i="6"/>
  <c r="E1020" i="6"/>
  <c r="A1020" i="6"/>
  <c r="E1019" i="6"/>
  <c r="A1019" i="6"/>
  <c r="E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A1008" i="6"/>
  <c r="A1007" i="6"/>
  <c r="A1006"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A961" i="6"/>
  <c r="F960" i="6"/>
  <c r="G960" i="6" s="1"/>
  <c r="D960" i="6"/>
  <c r="A960" i="6"/>
  <c r="F959" i="6"/>
  <c r="G959" i="6" s="1"/>
  <c r="D959" i="6"/>
  <c r="A959" i="6"/>
  <c r="F958" i="6"/>
  <c r="G958" i="6" s="1"/>
  <c r="D958" i="6"/>
  <c r="A958" i="6"/>
  <c r="F957" i="6"/>
  <c r="G957" i="6" s="1"/>
  <c r="D957" i="6"/>
  <c r="A957" i="6"/>
  <c r="F956" i="6"/>
  <c r="G956" i="6" s="1"/>
  <c r="D956" i="6"/>
  <c r="A956" i="6"/>
  <c r="F955" i="6"/>
  <c r="G955" i="6" s="1"/>
  <c r="D955" i="6"/>
  <c r="A955" i="6"/>
  <c r="F954" i="6"/>
  <c r="G954" i="6" s="1"/>
  <c r="D954" i="6"/>
  <c r="A954" i="6"/>
  <c r="F949" i="6"/>
  <c r="E949" i="6"/>
  <c r="B949" i="6"/>
  <c r="A949" i="6"/>
  <c r="F948" i="6"/>
  <c r="E948" i="6"/>
  <c r="B948" i="6"/>
  <c r="A948" i="6"/>
  <c r="F947" i="6"/>
  <c r="E947" i="6"/>
  <c r="B947" i="6"/>
  <c r="A947" i="6"/>
  <c r="E946" i="6"/>
  <c r="A946" i="6"/>
  <c r="E945" i="6"/>
  <c r="A945" i="6"/>
  <c r="E944" i="6"/>
  <c r="A944" i="6"/>
  <c r="E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A933" i="6"/>
  <c r="A932" i="6"/>
  <c r="A931"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E871" i="6"/>
  <c r="A871" i="6"/>
  <c r="E870" i="6"/>
  <c r="A870" i="6"/>
  <c r="E869" i="6"/>
  <c r="A869" i="6"/>
  <c r="E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A858" i="6"/>
  <c r="A857" i="6"/>
  <c r="A856"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A804" i="6"/>
  <c r="F799" i="6"/>
  <c r="E799" i="6"/>
  <c r="B799" i="6"/>
  <c r="A799" i="6"/>
  <c r="F798" i="6"/>
  <c r="E798" i="6"/>
  <c r="B798" i="6"/>
  <c r="A798" i="6"/>
  <c r="F797" i="6"/>
  <c r="E797" i="6"/>
  <c r="B797" i="6"/>
  <c r="A797" i="6"/>
  <c r="E796" i="6"/>
  <c r="A796" i="6"/>
  <c r="E795" i="6"/>
  <c r="A795" i="6"/>
  <c r="E794" i="6"/>
  <c r="A794" i="6"/>
  <c r="E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A783" i="6"/>
  <c r="A782" i="6"/>
  <c r="A781"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A736"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4" i="6"/>
  <c r="E724" i="6"/>
  <c r="B724" i="6"/>
  <c r="A724" i="6"/>
  <c r="F723" i="6"/>
  <c r="E723" i="6"/>
  <c r="B723" i="6"/>
  <c r="A723" i="6"/>
  <c r="F722" i="6"/>
  <c r="E722" i="6"/>
  <c r="B722" i="6"/>
  <c r="A722" i="6"/>
  <c r="E721" i="6"/>
  <c r="A721" i="6"/>
  <c r="E720" i="6"/>
  <c r="A720" i="6"/>
  <c r="E719" i="6"/>
  <c r="A719" i="6"/>
  <c r="E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A708" i="6"/>
  <c r="A707" i="6"/>
  <c r="A706"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E646" i="6"/>
  <c r="A646" i="6"/>
  <c r="E645" i="6"/>
  <c r="A645" i="6"/>
  <c r="E644" i="6"/>
  <c r="A644" i="6"/>
  <c r="E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A633" i="6"/>
  <c r="A632" i="6"/>
  <c r="A631"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E571" i="6"/>
  <c r="A571" i="6"/>
  <c r="E570" i="6"/>
  <c r="A570" i="6"/>
  <c r="E569" i="6"/>
  <c r="A569" i="6"/>
  <c r="E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A558" i="6"/>
  <c r="A557" i="6"/>
  <c r="A556"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A505" i="6"/>
  <c r="F504" i="6"/>
  <c r="G504" i="6" s="1"/>
  <c r="D504" i="6"/>
  <c r="A504" i="6"/>
  <c r="F499" i="6"/>
  <c r="E499" i="6"/>
  <c r="B499" i="6"/>
  <c r="A499" i="6"/>
  <c r="F498" i="6"/>
  <c r="E498" i="6"/>
  <c r="B498" i="6"/>
  <c r="A498" i="6"/>
  <c r="F497" i="6"/>
  <c r="E497" i="6"/>
  <c r="B497" i="6"/>
  <c r="A497" i="6"/>
  <c r="E496" i="6"/>
  <c r="A496" i="6"/>
  <c r="E495" i="6"/>
  <c r="A495" i="6"/>
  <c r="E494" i="6"/>
  <c r="A494" i="6"/>
  <c r="E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A483" i="6"/>
  <c r="A482" i="6"/>
  <c r="A481"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A436"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4" i="6"/>
  <c r="E424" i="6"/>
  <c r="B424" i="6"/>
  <c r="A424" i="6"/>
  <c r="F423" i="6"/>
  <c r="E423" i="6"/>
  <c r="B423" i="6"/>
  <c r="A423" i="6"/>
  <c r="F422" i="6"/>
  <c r="E422" i="6"/>
  <c r="B422" i="6"/>
  <c r="A422" i="6"/>
  <c r="E421" i="6"/>
  <c r="A421" i="6"/>
  <c r="E420" i="6"/>
  <c r="A420" i="6"/>
  <c r="E419" i="6"/>
  <c r="A419" i="6"/>
  <c r="E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A408" i="6"/>
  <c r="A407" i="6"/>
  <c r="A406"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A361" i="6"/>
  <c r="F360" i="6"/>
  <c r="G360" i="6" s="1"/>
  <c r="D360" i="6"/>
  <c r="A360" i="6"/>
  <c r="F359" i="6"/>
  <c r="G359" i="6" s="1"/>
  <c r="D359" i="6"/>
  <c r="A359" i="6"/>
  <c r="F358" i="6"/>
  <c r="G358" i="6" s="1"/>
  <c r="D358" i="6"/>
  <c r="A358" i="6"/>
  <c r="F357" i="6"/>
  <c r="G357" i="6" s="1"/>
  <c r="D357" i="6"/>
  <c r="A357" i="6"/>
  <c r="F356" i="6"/>
  <c r="G356" i="6" s="1"/>
  <c r="D356" i="6"/>
  <c r="A356" i="6"/>
  <c r="F355" i="6"/>
  <c r="G355" i="6" s="1"/>
  <c r="D355" i="6"/>
  <c r="A355" i="6"/>
  <c r="F354" i="6"/>
  <c r="G354" i="6" s="1"/>
  <c r="D354" i="6"/>
  <c r="A354" i="6"/>
  <c r="F349" i="6"/>
  <c r="E349" i="6"/>
  <c r="B349" i="6"/>
  <c r="A349" i="6"/>
  <c r="F348" i="6"/>
  <c r="E348" i="6"/>
  <c r="B348" i="6"/>
  <c r="A348" i="6"/>
  <c r="F347" i="6"/>
  <c r="E347" i="6"/>
  <c r="B347" i="6"/>
  <c r="A347" i="6"/>
  <c r="E346" i="6"/>
  <c r="A346" i="6"/>
  <c r="E345" i="6"/>
  <c r="A345" i="6"/>
  <c r="E344" i="6"/>
  <c r="A344" i="6"/>
  <c r="E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A279" i="6"/>
  <c r="F274" i="6"/>
  <c r="E274" i="6"/>
  <c r="B274" i="6"/>
  <c r="A274" i="6"/>
  <c r="F273" i="6"/>
  <c r="E273" i="6"/>
  <c r="B273" i="6"/>
  <c r="A273" i="6"/>
  <c r="F272" i="6"/>
  <c r="E272" i="6"/>
  <c r="B272" i="6"/>
  <c r="A272" i="6"/>
  <c r="E271" i="6"/>
  <c r="A271" i="6"/>
  <c r="E270" i="6"/>
  <c r="A270" i="6"/>
  <c r="E269" i="6"/>
  <c r="A269" i="6"/>
  <c r="E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E196" i="6"/>
  <c r="A196" i="6"/>
  <c r="E195" i="6"/>
  <c r="A195" i="6"/>
  <c r="E194" i="6"/>
  <c r="A194" i="6"/>
  <c r="E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A183" i="6"/>
  <c r="A182" i="6"/>
  <c r="A181"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A136" i="6"/>
  <c r="D135" i="6"/>
  <c r="A135" i="6"/>
  <c r="F134" i="6"/>
  <c r="G134" i="6" s="1"/>
  <c r="D134" i="6"/>
  <c r="A134" i="6"/>
  <c r="F133" i="6"/>
  <c r="G133" i="6" s="1"/>
  <c r="D133" i="6"/>
  <c r="A133" i="6"/>
  <c r="F132" i="6"/>
  <c r="G132" i="6" s="1"/>
  <c r="D132" i="6"/>
  <c r="A132" i="6"/>
  <c r="F131" i="6"/>
  <c r="D131" i="6"/>
  <c r="A131" i="6"/>
  <c r="F130" i="6"/>
  <c r="G130" i="6" s="1"/>
  <c r="D130" i="6"/>
  <c r="A130" i="6"/>
  <c r="F129" i="6"/>
  <c r="D129" i="6"/>
  <c r="A129" i="6"/>
  <c r="F124" i="6"/>
  <c r="E124" i="6"/>
  <c r="B124" i="6"/>
  <c r="A124" i="6"/>
  <c r="F123" i="6"/>
  <c r="E123" i="6"/>
  <c r="B123" i="6"/>
  <c r="A123" i="6"/>
  <c r="F122" i="6"/>
  <c r="E122" i="6"/>
  <c r="B122" i="6"/>
  <c r="A122" i="6"/>
  <c r="E121" i="6"/>
  <c r="A121" i="6"/>
  <c r="E120" i="6"/>
  <c r="A120" i="6"/>
  <c r="E119" i="6"/>
  <c r="A119" i="6"/>
  <c r="E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A108"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46" i="6" l="1"/>
  <c r="G723" i="6"/>
  <c r="G221" i="6"/>
  <c r="G1097" i="6"/>
  <c r="G947" i="6"/>
  <c r="G1247" i="6"/>
  <c r="E323" i="6"/>
  <c r="G348" i="6"/>
  <c r="G349" i="6"/>
  <c r="G1323" i="6"/>
  <c r="G574" i="6"/>
  <c r="G423" i="6"/>
  <c r="G647" i="6"/>
  <c r="G648" i="6"/>
  <c r="G649" i="6"/>
  <c r="G347" i="6"/>
  <c r="G498" i="6"/>
  <c r="G499" i="6"/>
  <c r="G573" i="6"/>
  <c r="G590" i="6"/>
  <c r="G872" i="6"/>
  <c r="G873" i="6"/>
  <c r="G1173" i="6"/>
  <c r="G1174" i="6"/>
  <c r="G473" i="6"/>
  <c r="G722" i="6"/>
  <c r="G797" i="6"/>
  <c r="G798" i="6"/>
  <c r="E698" i="6"/>
  <c r="G1023" i="6"/>
  <c r="G1024" i="6"/>
  <c r="G1248" i="6"/>
  <c r="G1249" i="6"/>
  <c r="G1322" i="6"/>
  <c r="G365" i="6"/>
  <c r="G515" i="6"/>
  <c r="E623" i="6"/>
  <c r="G746" i="6"/>
  <c r="E773" i="6"/>
  <c r="G821" i="6"/>
  <c r="E848" i="6"/>
  <c r="G971" i="6"/>
  <c r="E998" i="6"/>
  <c r="G1346" i="6"/>
  <c r="G272" i="6"/>
  <c r="G371" i="6"/>
  <c r="E398" i="6"/>
  <c r="G422" i="6"/>
  <c r="G424" i="6"/>
  <c r="G521" i="6"/>
  <c r="E548" i="6"/>
  <c r="G572" i="6"/>
  <c r="G799" i="6"/>
  <c r="G874" i="6"/>
  <c r="E923" i="6"/>
  <c r="G1022" i="6"/>
  <c r="E1073" i="6"/>
  <c r="G1098" i="6"/>
  <c r="G1099" i="6"/>
  <c r="G1196" i="6"/>
  <c r="G1271" i="6"/>
  <c r="G596" i="6"/>
  <c r="G671" i="6"/>
  <c r="G724" i="6"/>
  <c r="G896" i="6"/>
  <c r="G948" i="6"/>
  <c r="G949" i="6"/>
  <c r="G1046" i="6"/>
  <c r="E1148" i="6"/>
  <c r="G1172" i="6"/>
  <c r="E1223" i="6"/>
  <c r="E1298" i="6"/>
  <c r="G1324" i="6"/>
  <c r="G446" i="6"/>
  <c r="E473" i="6"/>
  <c r="G497" i="6"/>
  <c r="G698" i="6"/>
  <c r="G923" i="6"/>
  <c r="G965" i="6"/>
  <c r="G1073" i="6"/>
  <c r="G1121" i="6"/>
  <c r="G1298" i="6"/>
  <c r="G1340" i="6"/>
  <c r="G1223" i="6"/>
  <c r="G1265" i="6"/>
  <c r="G1190" i="6"/>
  <c r="G1040" i="6"/>
  <c r="G1148" i="6"/>
  <c r="G998" i="6"/>
  <c r="G1115" i="6"/>
  <c r="G623" i="6"/>
  <c r="G740" i="6"/>
  <c r="G773" i="6"/>
  <c r="G815" i="6"/>
  <c r="G848" i="6"/>
  <c r="G890" i="6"/>
  <c r="G665" i="6"/>
  <c r="G398" i="6"/>
  <c r="G440" i="6"/>
  <c r="G548" i="6"/>
  <c r="G323" i="6"/>
  <c r="E173" i="6"/>
  <c r="G122" i="6"/>
  <c r="G199" i="6"/>
  <c r="G296" i="6"/>
  <c r="G281" i="6"/>
  <c r="G285" i="6"/>
  <c r="G289" i="6"/>
  <c r="G279" i="6"/>
  <c r="G283" i="6"/>
  <c r="G287" i="6"/>
  <c r="G248" i="6"/>
  <c r="E248" i="6"/>
  <c r="G210" i="6"/>
  <c r="G206" i="6"/>
  <c r="G214" i="6"/>
  <c r="G129" i="6"/>
  <c r="G137" i="6"/>
  <c r="G273" i="6"/>
  <c r="G274" i="6"/>
  <c r="G197" i="6"/>
  <c r="G198" i="6"/>
  <c r="G173" i="6"/>
  <c r="G98" i="6"/>
  <c r="G123" i="6"/>
  <c r="G124" i="6"/>
  <c r="G131" i="6"/>
  <c r="G139" i="6"/>
  <c r="E98" i="6"/>
  <c r="G290" i="6" l="1"/>
  <c r="G140" i="6"/>
  <c r="G215" i="6"/>
  <c r="A18" i="2"/>
  <c r="A33" i="2"/>
  <c r="A24" i="2"/>
  <c r="A28" i="9"/>
  <c r="A23" i="2"/>
  <c r="A28" i="2"/>
  <c r="A17" i="9"/>
  <c r="A21" i="2"/>
  <c r="A19" i="9"/>
  <c r="A14" i="9"/>
  <c r="A21" i="9"/>
  <c r="A34" i="2"/>
  <c r="A30" i="2"/>
  <c r="A22" i="9"/>
  <c r="A18" i="9"/>
  <c r="A36" i="2"/>
  <c r="A20" i="2"/>
  <c r="A13" i="9"/>
  <c r="A15" i="9"/>
  <c r="A20" i="9"/>
  <c r="A31" i="2"/>
  <c r="A17" i="2"/>
  <c r="A27" i="9"/>
  <c r="A23" i="9"/>
  <c r="A32" i="9"/>
  <c r="A25" i="2"/>
  <c r="A22" i="2"/>
  <c r="A25" i="9"/>
  <c r="A26" i="9"/>
  <c r="A35" i="9"/>
  <c r="A30" i="9"/>
  <c r="A16" i="9"/>
  <c r="A37" i="2"/>
  <c r="A38" i="2"/>
  <c r="A32" i="2"/>
  <c r="A39" i="2"/>
  <c r="A34" i="9"/>
  <c r="A29" i="9"/>
  <c r="A40" i="2"/>
  <c r="A24" i="9"/>
  <c r="A35" i="2"/>
  <c r="A33" i="9"/>
  <c r="A27" i="2"/>
  <c r="A29" i="2"/>
  <c r="A26" i="2"/>
  <c r="A19" i="2"/>
  <c r="A31" i="9"/>
  <c r="E19" i="2" l="1"/>
  <c r="E38" i="2"/>
  <c r="E29" i="2"/>
  <c r="E24" i="2"/>
  <c r="A16" i="28"/>
  <c r="A16" i="27" s="1"/>
  <c r="A26" i="28"/>
  <c r="A26" i="27" s="1"/>
  <c r="A27" i="28"/>
  <c r="A27" i="27" s="1"/>
  <c r="A19" i="28"/>
  <c r="A19" i="27" s="1"/>
  <c r="A24" i="28"/>
  <c r="A24" i="27" s="1"/>
  <c r="A20" i="28"/>
  <c r="A20" i="27" s="1"/>
  <c r="A29" i="28"/>
  <c r="A17" i="28"/>
  <c r="A17" i="27" s="1"/>
  <c r="A23" i="28"/>
  <c r="A23" i="27" s="1"/>
  <c r="A15" i="28"/>
  <c r="A15" i="27" s="1"/>
  <c r="A13" i="28"/>
  <c r="A13" i="27" s="1"/>
  <c r="A30" i="28"/>
  <c r="A30" i="27" s="1"/>
  <c r="A22" i="28"/>
  <c r="A22" i="27" s="1"/>
  <c r="A18" i="28"/>
  <c r="A18" i="27" s="1"/>
  <c r="A21" i="28"/>
  <c r="A21" i="27" s="1"/>
  <c r="A25" i="28"/>
  <c r="A25" i="27" s="1"/>
  <c r="A14" i="28"/>
  <c r="A14" i="27" s="1"/>
  <c r="A28" i="28"/>
  <c r="A28" i="27" s="1"/>
  <c r="E36" i="2"/>
  <c r="E34" i="2"/>
  <c r="E35" i="2"/>
  <c r="E39" i="2"/>
  <c r="E37" i="2"/>
  <c r="E32"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49" i="2" l="1"/>
  <c r="B49" i="2"/>
  <c r="E47" i="2"/>
  <c r="B47" i="2"/>
  <c r="E44" i="2"/>
  <c r="B44" i="2"/>
  <c r="F49" i="6"/>
  <c r="G49" i="6" s="1"/>
  <c r="F47" i="6"/>
  <c r="G47"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4" i="6" l="1"/>
  <c r="D35" i="6"/>
  <c r="D36" i="6"/>
  <c r="D37" i="6"/>
  <c r="D38" i="6"/>
  <c r="A31" i="6"/>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46" i="6"/>
  <c r="A45" i="6"/>
  <c r="A44" i="6"/>
  <c r="A43" i="6"/>
  <c r="A30" i="6"/>
  <c r="F31" i="6" l="1"/>
  <c r="F32" i="6"/>
  <c r="F33" i="6"/>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G65" i="6" l="1"/>
  <c r="G50" i="6"/>
  <c r="B48" i="18" l="1"/>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P58" i="21"/>
  <c r="G58" i="21"/>
  <c r="F58" i="21"/>
  <c r="C58" i="21"/>
  <c r="E58" i="21" s="1"/>
  <c r="P57" i="21"/>
  <c r="G57" i="21"/>
  <c r="F57" i="21"/>
  <c r="C57" i="21"/>
  <c r="P56" i="21"/>
  <c r="G56" i="21"/>
  <c r="F56" i="2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M64" i="20" s="1"/>
  <c r="O16" i="20"/>
  <c r="L62" i="20" s="1"/>
  <c r="O13" i="20"/>
  <c r="O4" i="20"/>
  <c r="E51" i="19"/>
  <c r="E48" i="19"/>
  <c r="E45" i="19"/>
  <c r="E42" i="19"/>
  <c r="E39" i="19"/>
  <c r="E36" i="19"/>
  <c r="D22" i="19"/>
  <c r="D19" i="19"/>
  <c r="D16" i="19"/>
  <c r="D13" i="19"/>
  <c r="D10" i="19"/>
  <c r="B5" i="19"/>
  <c r="E4" i="19"/>
  <c r="B4" i="19"/>
  <c r="B3" i="19"/>
  <c r="B2" i="19"/>
  <c r="A34" i="18"/>
  <c r="A25" i="18"/>
  <c r="A24" i="18"/>
  <c r="A17" i="18"/>
  <c r="A21" i="18"/>
  <c r="A31" i="18"/>
  <c r="D1307" i="6" l="1"/>
  <c r="E1307" i="6" s="1"/>
  <c r="D707" i="6"/>
  <c r="E707" i="6" s="1"/>
  <c r="D932" i="6"/>
  <c r="E932" i="6" s="1"/>
  <c r="D332" i="6"/>
  <c r="E332" i="6" s="1"/>
  <c r="D1157" i="6"/>
  <c r="E1157" i="6" s="1"/>
  <c r="D557" i="6"/>
  <c r="E557" i="6" s="1"/>
  <c r="D182" i="6"/>
  <c r="E182" i="6" s="1"/>
  <c r="D107" i="6"/>
  <c r="E107" i="6" s="1"/>
  <c r="D782" i="6"/>
  <c r="E782" i="6" s="1"/>
  <c r="D482" i="6"/>
  <c r="E482" i="6" s="1"/>
  <c r="D1007" i="6"/>
  <c r="E1007" i="6" s="1"/>
  <c r="D407" i="6"/>
  <c r="E407" i="6" s="1"/>
  <c r="D1232" i="6"/>
  <c r="E1232" i="6" s="1"/>
  <c r="D632" i="6"/>
  <c r="E632" i="6" s="1"/>
  <c r="D857" i="6"/>
  <c r="E857" i="6" s="1"/>
  <c r="D257" i="6"/>
  <c r="E257" i="6" s="1"/>
  <c r="D1082" i="6"/>
  <c r="E1082" i="6" s="1"/>
  <c r="D32" i="6"/>
  <c r="E32" i="6" s="1"/>
  <c r="G32" i="6" s="1"/>
  <c r="K36" i="20"/>
  <c r="K41" i="21"/>
  <c r="K44" i="20"/>
  <c r="I45" i="21"/>
  <c r="I60" i="21"/>
  <c r="I39" i="21"/>
  <c r="I63" i="21"/>
  <c r="I64" i="21"/>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D30" i="6"/>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32" i="18"/>
  <c r="A30" i="18"/>
  <c r="A29" i="18"/>
  <c r="A36" i="18"/>
  <c r="A20" i="18"/>
  <c r="A18" i="18"/>
  <c r="A27" i="18"/>
  <c r="A35" i="18"/>
  <c r="A19" i="18"/>
  <c r="A33" i="18"/>
  <c r="A16" i="18"/>
  <c r="A28" i="18"/>
  <c r="A22" i="18"/>
  <c r="A37" i="18"/>
  <c r="A26" i="18"/>
  <c r="A38" i="18"/>
  <c r="A23" i="18"/>
  <c r="D783" i="6" l="1"/>
  <c r="E783" i="6" s="1"/>
  <c r="D183" i="6"/>
  <c r="E183" i="6" s="1"/>
  <c r="D1008" i="6"/>
  <c r="E1008" i="6" s="1"/>
  <c r="D408" i="6"/>
  <c r="E408" i="6" s="1"/>
  <c r="D558" i="6"/>
  <c r="E558" i="6" s="1"/>
  <c r="D1233" i="6"/>
  <c r="E1233" i="6" s="1"/>
  <c r="D633" i="6"/>
  <c r="E633" i="6" s="1"/>
  <c r="D708" i="6"/>
  <c r="E708" i="6" s="1"/>
  <c r="D858" i="6"/>
  <c r="E858" i="6" s="1"/>
  <c r="D258" i="6"/>
  <c r="E258" i="6" s="1"/>
  <c r="D1083" i="6"/>
  <c r="E1083" i="6" s="1"/>
  <c r="D483" i="6"/>
  <c r="E483" i="6" s="1"/>
  <c r="D108" i="6"/>
  <c r="E108" i="6" s="1"/>
  <c r="D1308" i="6"/>
  <c r="E1308" i="6" s="1"/>
  <c r="D933" i="6"/>
  <c r="E933" i="6" s="1"/>
  <c r="D333" i="6"/>
  <c r="E333" i="6" s="1"/>
  <c r="D1158" i="6"/>
  <c r="E1158" i="6" s="1"/>
  <c r="D33" i="6"/>
  <c r="E33" i="6" s="1"/>
  <c r="G33" i="6" s="1"/>
  <c r="D1155" i="6"/>
  <c r="E1155" i="6" s="1"/>
  <c r="D555" i="6"/>
  <c r="E555" i="6" s="1"/>
  <c r="D780" i="6"/>
  <c r="E780" i="6" s="1"/>
  <c r="D180" i="6"/>
  <c r="E180" i="6" s="1"/>
  <c r="D480" i="6"/>
  <c r="E480" i="6" s="1"/>
  <c r="D1005" i="6"/>
  <c r="E1005" i="6" s="1"/>
  <c r="D405" i="6"/>
  <c r="E405" i="6" s="1"/>
  <c r="D105" i="6"/>
  <c r="E105" i="6" s="1"/>
  <c r="D1230" i="6"/>
  <c r="E1230" i="6" s="1"/>
  <c r="D630" i="6"/>
  <c r="E630" i="6" s="1"/>
  <c r="D855" i="6"/>
  <c r="E855" i="6" s="1"/>
  <c r="D255" i="6"/>
  <c r="E255" i="6" s="1"/>
  <c r="D330" i="6"/>
  <c r="E330" i="6" s="1"/>
  <c r="D1080" i="6"/>
  <c r="E1080" i="6" s="1"/>
  <c r="D930" i="6"/>
  <c r="E930" i="6" s="1"/>
  <c r="D1305" i="6"/>
  <c r="E1305" i="6" s="1"/>
  <c r="D705" i="6"/>
  <c r="E705" i="6" s="1"/>
  <c r="D1231" i="6"/>
  <c r="E1231" i="6" s="1"/>
  <c r="D631" i="6"/>
  <c r="E631" i="6" s="1"/>
  <c r="D856" i="6"/>
  <c r="E856" i="6" s="1"/>
  <c r="D256" i="6"/>
  <c r="E256" i="6" s="1"/>
  <c r="D181" i="6"/>
  <c r="E181" i="6" s="1"/>
  <c r="D406" i="6"/>
  <c r="E406" i="6" s="1"/>
  <c r="D1081" i="6"/>
  <c r="E1081" i="6" s="1"/>
  <c r="D481" i="6"/>
  <c r="E481" i="6" s="1"/>
  <c r="D106" i="6"/>
  <c r="E106" i="6" s="1"/>
  <c r="D1306" i="6"/>
  <c r="E1306" i="6" s="1"/>
  <c r="D706" i="6"/>
  <c r="E706" i="6" s="1"/>
  <c r="D556" i="6"/>
  <c r="E556" i="6" s="1"/>
  <c r="D1006" i="6"/>
  <c r="E1006" i="6" s="1"/>
  <c r="D931" i="6"/>
  <c r="E931" i="6" s="1"/>
  <c r="D331" i="6"/>
  <c r="E331" i="6" s="1"/>
  <c r="D1156" i="6"/>
  <c r="E1156" i="6" s="1"/>
  <c r="D781" i="6"/>
  <c r="E781" i="6" s="1"/>
  <c r="D31" i="6"/>
  <c r="E31" i="6" s="1"/>
  <c r="G31"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R703" i="12"/>
  <c r="Q703" i="12"/>
  <c r="S700" i="12"/>
  <c r="Q700" i="12"/>
  <c r="R700" i="12" s="1"/>
  <c r="S692" i="12"/>
  <c r="Q692" i="12"/>
  <c r="R692" i="12" s="1"/>
  <c r="B691" i="12"/>
  <c r="B690" i="12"/>
  <c r="S689" i="12"/>
  <c r="Q689" i="12"/>
  <c r="R689" i="12" s="1"/>
  <c r="S686" i="12"/>
  <c r="Q686" i="12"/>
  <c r="R686" i="12" s="1"/>
  <c r="S679" i="12"/>
  <c r="Q679" i="12"/>
  <c r="R679" i="12" s="1"/>
  <c r="S678" i="12"/>
  <c r="R678" i="12"/>
  <c r="Q678" i="12"/>
  <c r="S671" i="12"/>
  <c r="Q671" i="12"/>
  <c r="R671" i="12" s="1"/>
  <c r="S663" i="12"/>
  <c r="Q663" i="12"/>
  <c r="R663" i="12" s="1"/>
  <c r="S659" i="12"/>
  <c r="R659" i="12"/>
  <c r="Q659" i="12"/>
  <c r="S648" i="12"/>
  <c r="Q648" i="12"/>
  <c r="R648" i="12" s="1"/>
  <c r="S646" i="12"/>
  <c r="R646" i="12"/>
  <c r="Q646" i="12"/>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R591" i="12"/>
  <c r="Q591" i="12"/>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R552" i="12"/>
  <c r="Q552" i="12"/>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53"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38" i="2"/>
  <c r="D36" i="2"/>
  <c r="D34" i="2"/>
  <c r="D32" i="2"/>
  <c r="D45" i="15"/>
  <c r="D43" i="15"/>
  <c r="D41" i="15"/>
  <c r="D39" i="15"/>
  <c r="D37" i="15"/>
  <c r="D35"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B29" i="28" s="1"/>
  <c r="C55" i="15"/>
  <c r="B38" i="2" s="1"/>
  <c r="B28" i="28" s="1"/>
  <c r="C53" i="15"/>
  <c r="B36" i="2" s="1"/>
  <c r="B27" i="28" s="1"/>
  <c r="C51" i="15"/>
  <c r="B34" i="2" s="1"/>
  <c r="C49" i="15"/>
  <c r="B32" i="2" s="1"/>
  <c r="C47" i="15"/>
  <c r="C45" i="15"/>
  <c r="C43" i="15"/>
  <c r="C41" i="15"/>
  <c r="C39" i="15"/>
  <c r="C37" i="15"/>
  <c r="C35" i="15"/>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39" i="2"/>
  <c r="D37" i="2"/>
  <c r="D35" i="2"/>
  <c r="D33" i="2"/>
  <c r="D46" i="15"/>
  <c r="D44" i="15"/>
  <c r="D42" i="15"/>
  <c r="D40" i="15"/>
  <c r="D38" i="15"/>
  <c r="D36" i="15"/>
  <c r="D34"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B30" i="28" s="1"/>
  <c r="C56" i="15"/>
  <c r="B39" i="2" s="1"/>
  <c r="C54" i="15"/>
  <c r="B37" i="2" s="1"/>
  <c r="C52" i="15"/>
  <c r="B35" i="2" s="1"/>
  <c r="B26" i="28" s="1"/>
  <c r="C50" i="15"/>
  <c r="B33" i="2" s="1"/>
  <c r="C48" i="15"/>
  <c r="C46" i="15"/>
  <c r="C44" i="15"/>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B25" i="28" l="1"/>
  <c r="F25" i="28" s="1"/>
  <c r="F28" i="28"/>
  <c r="B28" i="27"/>
  <c r="F27" i="28"/>
  <c r="B27" i="27"/>
  <c r="F30" i="28"/>
  <c r="B30" i="27"/>
  <c r="F26" i="28"/>
  <c r="B26" i="27"/>
  <c r="F29" i="28"/>
  <c r="B29" i="27"/>
  <c r="C36" i="8"/>
  <c r="C11" i="8"/>
  <c r="C75" i="8" s="1"/>
  <c r="B25" i="27" l="1"/>
  <c r="A42" i="15"/>
  <c r="C1" i="5"/>
  <c r="C1" i="4"/>
  <c r="A43" i="15" l="1"/>
  <c r="A44" i="15" s="1"/>
  <c r="B16" i="23"/>
  <c r="B17" i="23"/>
  <c r="A45" i="15"/>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7" i="14"/>
  <c r="E63" i="14"/>
  <c r="E68" i="14"/>
  <c r="E73"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B504" i="6" s="1"/>
  <c r="E60" i="14"/>
  <c r="E69"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B505" i="6"/>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1393" i="6" s="1"/>
  <c r="E12" i="14"/>
  <c r="E15" i="14"/>
  <c r="E24" i="14"/>
  <c r="E33" i="14"/>
  <c r="E44" i="14"/>
  <c r="E53" i="14"/>
  <c r="E61" i="14"/>
  <c r="E72"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40" i="14"/>
  <c r="E168" i="14"/>
  <c r="E197" i="14"/>
  <c r="E225" i="14"/>
  <c r="E252" i="14"/>
  <c r="E274" i="14"/>
  <c r="E295" i="14"/>
  <c r="E316" i="14"/>
  <c r="E338" i="14"/>
  <c r="E359" i="14"/>
  <c r="E380" i="14"/>
  <c r="E398" i="14"/>
  <c r="E414" i="14"/>
  <c r="E425" i="14"/>
  <c r="E436" i="14"/>
  <c r="E462" i="14"/>
  <c r="E478" i="14"/>
  <c r="K13" i="9"/>
  <c r="K14" i="9"/>
  <c r="B1171" i="6" l="1"/>
  <c r="B571" i="6"/>
  <c r="B1321" i="6"/>
  <c r="B796" i="6"/>
  <c r="B196" i="6"/>
  <c r="B496" i="6"/>
  <c r="B1021" i="6"/>
  <c r="B421" i="6"/>
  <c r="B1246" i="6"/>
  <c r="B646" i="6"/>
  <c r="B871" i="6"/>
  <c r="B271" i="6"/>
  <c r="B121" i="6"/>
  <c r="B346" i="6"/>
  <c r="B1096" i="6"/>
  <c r="B946" i="6"/>
  <c r="B721" i="6"/>
  <c r="B46" i="6"/>
  <c r="B1019" i="6"/>
  <c r="B419" i="6"/>
  <c r="B794" i="6"/>
  <c r="B1244" i="6"/>
  <c r="B644" i="6"/>
  <c r="B869" i="6"/>
  <c r="B269" i="6"/>
  <c r="B119" i="6"/>
  <c r="B1094" i="6"/>
  <c r="B494" i="6"/>
  <c r="B194" i="6"/>
  <c r="B719" i="6"/>
  <c r="B344" i="6"/>
  <c r="B944" i="6"/>
  <c r="B1169" i="6"/>
  <c r="B569" i="6"/>
  <c r="B1319" i="6"/>
  <c r="B44" i="6"/>
  <c r="B1095" i="6"/>
  <c r="B495" i="6"/>
  <c r="B120" i="6"/>
  <c r="B270" i="6"/>
  <c r="B720" i="6"/>
  <c r="B945" i="6"/>
  <c r="B345" i="6"/>
  <c r="B420" i="6"/>
  <c r="B1170" i="6"/>
  <c r="B570" i="6"/>
  <c r="B1320" i="6"/>
  <c r="B795" i="6"/>
  <c r="B195" i="6"/>
  <c r="B870" i="6"/>
  <c r="B1020" i="6"/>
  <c r="B1245" i="6"/>
  <c r="B645" i="6"/>
  <c r="B45" i="6"/>
  <c r="B954" i="6"/>
  <c r="B354" i="6"/>
  <c r="B1179" i="6"/>
  <c r="B129" i="6"/>
  <c r="B429" i="6"/>
  <c r="B729" i="6"/>
  <c r="B1104" i="6"/>
  <c r="B930" i="6"/>
  <c r="B330" i="6"/>
  <c r="B705" i="6"/>
  <c r="B1155" i="6"/>
  <c r="B555" i="6"/>
  <c r="B855" i="6"/>
  <c r="B780" i="6"/>
  <c r="B180" i="6"/>
  <c r="B105" i="6"/>
  <c r="B1005" i="6"/>
  <c r="B405" i="6"/>
  <c r="B1230" i="6"/>
  <c r="B630" i="6"/>
  <c r="B255" i="6"/>
  <c r="B1080" i="6"/>
  <c r="B480" i="6"/>
  <c r="B1305" i="6"/>
  <c r="B1105" i="6"/>
  <c r="B130" i="6"/>
  <c r="B730" i="6"/>
  <c r="B955" i="6"/>
  <c r="B355" i="6"/>
  <c r="B430" i="6"/>
  <c r="B1180" i="6"/>
  <c r="B1109" i="6"/>
  <c r="B134" i="6"/>
  <c r="B434" i="6"/>
  <c r="B734" i="6"/>
  <c r="B959" i="6"/>
  <c r="B359" i="6"/>
  <c r="B1184" i="6"/>
  <c r="B43" i="6"/>
  <c r="B943" i="6"/>
  <c r="B343" i="6"/>
  <c r="B1168" i="6"/>
  <c r="B568" i="6"/>
  <c r="B1318" i="6"/>
  <c r="B793" i="6"/>
  <c r="B193" i="6"/>
  <c r="B718" i="6"/>
  <c r="B1018" i="6"/>
  <c r="B418" i="6"/>
  <c r="B268" i="6"/>
  <c r="B1243" i="6"/>
  <c r="B643" i="6"/>
  <c r="B118" i="6"/>
  <c r="B868" i="6"/>
  <c r="B1093" i="6"/>
  <c r="B493" i="6"/>
  <c r="B1329" i="6"/>
  <c r="B279" i="6"/>
  <c r="B1006" i="6"/>
  <c r="B406" i="6"/>
  <c r="B1231" i="6"/>
  <c r="B631" i="6"/>
  <c r="B781" i="6"/>
  <c r="B856" i="6"/>
  <c r="B256" i="6"/>
  <c r="B106" i="6"/>
  <c r="B181" i="6"/>
  <c r="B1081" i="6"/>
  <c r="B481" i="6"/>
  <c r="B331" i="6"/>
  <c r="B1306" i="6"/>
  <c r="B706" i="6"/>
  <c r="B931" i="6"/>
  <c r="B1156" i="6"/>
  <c r="B556" i="6"/>
  <c r="B31" i="6"/>
  <c r="B804" i="6"/>
  <c r="B1029" i="6"/>
  <c r="B1111" i="6"/>
  <c r="B136" i="6"/>
  <c r="B736" i="6"/>
  <c r="B436" i="6"/>
  <c r="B961" i="6"/>
  <c r="B361" i="6"/>
  <c r="B1186" i="6"/>
  <c r="B1158" i="6"/>
  <c r="B558" i="6"/>
  <c r="B483" i="6"/>
  <c r="B783" i="6"/>
  <c r="B183" i="6"/>
  <c r="B1008" i="6"/>
  <c r="B408" i="6"/>
  <c r="B1233" i="6"/>
  <c r="B633" i="6"/>
  <c r="B933" i="6"/>
  <c r="B858" i="6"/>
  <c r="B258" i="6"/>
  <c r="B1083" i="6"/>
  <c r="B108" i="6"/>
  <c r="B333" i="6"/>
  <c r="B1308" i="6"/>
  <c r="B708" i="6"/>
  <c r="B33" i="6"/>
  <c r="B956" i="6"/>
  <c r="B356" i="6"/>
  <c r="B1181" i="6"/>
  <c r="B131" i="6"/>
  <c r="B431" i="6"/>
  <c r="B731" i="6"/>
  <c r="B1106" i="6"/>
  <c r="B960" i="6"/>
  <c r="B360" i="6"/>
  <c r="B1185" i="6"/>
  <c r="B735" i="6"/>
  <c r="B435" i="6"/>
  <c r="B135" i="6"/>
  <c r="B1110" i="6"/>
  <c r="B1082" i="6"/>
  <c r="B482" i="6"/>
  <c r="B107" i="6"/>
  <c r="B1307" i="6"/>
  <c r="B707" i="6"/>
  <c r="B407" i="6"/>
  <c r="B932" i="6"/>
  <c r="B332" i="6"/>
  <c r="B1157" i="6"/>
  <c r="B557" i="6"/>
  <c r="B857" i="6"/>
  <c r="B782" i="6"/>
  <c r="B182" i="6"/>
  <c r="B257" i="6"/>
  <c r="B1007" i="6"/>
  <c r="B1232" i="6"/>
  <c r="B632" i="6"/>
  <c r="B32" i="6"/>
  <c r="B30" i="6"/>
  <c r="B1107" i="6"/>
  <c r="B132" i="6"/>
  <c r="B732" i="6"/>
  <c r="B957" i="6"/>
  <c r="B357" i="6"/>
  <c r="B1182" i="6"/>
  <c r="B432" i="6"/>
  <c r="B958" i="6"/>
  <c r="B358" i="6"/>
  <c r="B133" i="6"/>
  <c r="B1183" i="6"/>
  <c r="B433" i="6"/>
  <c r="B1108" i="6"/>
  <c r="B733" i="6"/>
  <c r="A48" i="15"/>
  <c r="B64" i="6"/>
  <c r="B62" i="6"/>
  <c r="B60" i="6"/>
  <c r="B58" i="6"/>
  <c r="B56" i="6"/>
  <c r="B54" i="6"/>
  <c r="B59" i="6"/>
  <c r="B55" i="6"/>
  <c r="B63" i="6"/>
  <c r="B61" i="6"/>
  <c r="B57" i="6"/>
  <c r="G11" i="9"/>
  <c r="H11" i="9" s="1"/>
  <c r="I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K36" i="9"/>
  <c r="K35" i="9"/>
  <c r="K34" i="9"/>
  <c r="K33" i="9"/>
  <c r="K32" i="9"/>
  <c r="K31" i="9"/>
  <c r="K30" i="9"/>
  <c r="K29" i="9"/>
  <c r="K28" i="9"/>
  <c r="K27" i="9"/>
  <c r="K26" i="9"/>
  <c r="K25" i="9"/>
  <c r="K24" i="9"/>
  <c r="K23" i="9"/>
  <c r="K22" i="9"/>
  <c r="K21" i="9"/>
  <c r="K20" i="9"/>
  <c r="K19" i="9"/>
  <c r="K18" i="9"/>
  <c r="K17" i="9"/>
  <c r="K16" i="9"/>
  <c r="K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B16" i="28" s="1"/>
  <c r="E21" i="2"/>
  <c r="E20" i="2"/>
  <c r="B20" i="2"/>
  <c r="B15" i="28" s="1"/>
  <c r="D20" i="2"/>
  <c r="B19" i="2"/>
  <c r="B14" i="28" s="1"/>
  <c r="D19" i="2"/>
  <c r="E18" i="2"/>
  <c r="D18" i="2"/>
  <c r="B18" i="2"/>
  <c r="B13" i="28" s="1"/>
  <c r="B17" i="2"/>
  <c r="D17" i="2"/>
  <c r="E17" i="2"/>
  <c r="F10" i="2"/>
  <c r="A94" i="15"/>
  <c r="B24" i="2"/>
  <c r="B18" i="28" s="1"/>
  <c r="D23" i="2"/>
  <c r="B26" i="2"/>
  <c r="B29" i="2"/>
  <c r="B22" i="28" s="1"/>
  <c r="B25" i="2"/>
  <c r="B19" i="28" s="1"/>
  <c r="D30" i="2"/>
  <c r="D28" i="2"/>
  <c r="D24" i="2"/>
  <c r="E30" i="2"/>
  <c r="D29" i="2"/>
  <c r="D31" i="2"/>
  <c r="B28" i="2"/>
  <c r="B21" i="28" s="1"/>
  <c r="D26" i="2"/>
  <c r="B22" i="2"/>
  <c r="B17" i="28" s="1"/>
  <c r="E22" i="2"/>
  <c r="E28" i="2"/>
  <c r="D27" i="2"/>
  <c r="E26" i="2"/>
  <c r="E23" i="2"/>
  <c r="D23" i="18" s="1"/>
  <c r="B31" i="2"/>
  <c r="B24" i="28" s="1"/>
  <c r="D22" i="2"/>
  <c r="B30" i="2"/>
  <c r="B23" i="28" s="1"/>
  <c r="B27" i="2"/>
  <c r="B20" i="28" s="1"/>
  <c r="D25" i="2"/>
  <c r="B23" i="2"/>
  <c r="E27" i="2"/>
  <c r="E25" i="2"/>
  <c r="E31" i="2"/>
  <c r="D28" i="18" l="1"/>
  <c r="D37" i="18"/>
  <c r="D18" i="18"/>
  <c r="D19" i="18"/>
  <c r="D20" i="18"/>
  <c r="F24" i="28"/>
  <c r="B24" i="27"/>
  <c r="F17" i="28"/>
  <c r="B17" i="27"/>
  <c r="F19" i="28"/>
  <c r="B19" i="27"/>
  <c r="F23" i="28"/>
  <c r="B23" i="27"/>
  <c r="F21" i="28"/>
  <c r="B21" i="27"/>
  <c r="F14" i="28"/>
  <c r="B14" i="27"/>
  <c r="F20" i="28"/>
  <c r="B20" i="27"/>
  <c r="F18" i="28"/>
  <c r="B18" i="27"/>
  <c r="F16" i="28"/>
  <c r="B16" i="27"/>
  <c r="F22" i="28"/>
  <c r="B22" i="27"/>
  <c r="F15" i="28"/>
  <c r="B15" i="27"/>
  <c r="F13" i="28"/>
  <c r="B13" i="27"/>
  <c r="A95" i="15"/>
  <c r="C37" i="18"/>
  <c r="B37" i="18"/>
  <c r="D25" i="18"/>
  <c r="D21" i="18"/>
  <c r="D29" i="18"/>
  <c r="D22" i="18"/>
  <c r="D27" i="18"/>
  <c r="D35" i="18"/>
  <c r="D34" i="18"/>
  <c r="D24" i="18"/>
  <c r="D30" i="18"/>
  <c r="D32" i="18"/>
  <c r="D33" i="18"/>
  <c r="D26" i="18"/>
  <c r="D31" i="18"/>
  <c r="D36" i="18"/>
  <c r="D38" i="18"/>
  <c r="B36" i="18"/>
  <c r="B38" i="18"/>
  <c r="C36" i="18"/>
  <c r="C38" i="18"/>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47" i="23"/>
  <c r="B25" i="23"/>
  <c r="B24" i="23"/>
  <c r="B19" i="23"/>
  <c r="B28" i="23"/>
  <c r="B27" i="23"/>
  <c r="B43" i="23"/>
  <c r="B45" i="23"/>
  <c r="B21" i="23"/>
  <c r="B23" i="23"/>
  <c r="B38" i="23"/>
  <c r="B22" i="23"/>
  <c r="B39" i="23"/>
  <c r="B37" i="23"/>
  <c r="B36" i="23"/>
  <c r="B30" i="23"/>
  <c r="B26" i="23"/>
  <c r="B46" i="23"/>
  <c r="B31" i="23"/>
  <c r="B41" i="23"/>
  <c r="B33" i="23"/>
  <c r="B35" i="23"/>
  <c r="B18" i="23"/>
  <c r="B40" i="23"/>
  <c r="B32" i="23"/>
  <c r="B42" i="23"/>
  <c r="B34" i="23"/>
  <c r="B20" i="23"/>
  <c r="B44" i="23"/>
  <c r="B29" i="23"/>
  <c r="D10" i="23" l="1"/>
  <c r="F10" i="23" s="1"/>
  <c r="C10" i="23"/>
  <c r="B6" i="6"/>
  <c r="A73" i="6"/>
  <c r="C14" i="23"/>
  <c r="D14" i="23"/>
  <c r="F14" i="23" s="1"/>
  <c r="C13" i="23"/>
  <c r="D13" i="23"/>
  <c r="F13" i="23" s="1"/>
  <c r="C12" i="23"/>
  <c r="D12" i="23"/>
  <c r="F12" i="23" s="1"/>
  <c r="C11" i="23"/>
  <c r="F11" i="23"/>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F108" i="6" l="1"/>
  <c r="G108" i="6" s="1"/>
  <c r="F106" i="6"/>
  <c r="G106" i="6" s="1"/>
  <c r="F107" i="6"/>
  <c r="G107" i="6" s="1"/>
  <c r="F121" i="6"/>
  <c r="G121" i="6" s="1"/>
  <c r="F119" i="6"/>
  <c r="G119" i="6" s="1"/>
  <c r="F120" i="6"/>
  <c r="G120" i="6" s="1"/>
  <c r="F118" i="6"/>
  <c r="G118" i="6" s="1"/>
  <c r="F105" i="6"/>
  <c r="G105" i="6" s="1"/>
  <c r="D100" i="6"/>
  <c r="B82" i="6"/>
  <c r="G125" i="6" l="1"/>
  <c r="G114" i="6"/>
  <c r="G148" i="6" s="1"/>
  <c r="A148" i="6"/>
  <c r="B81" i="6"/>
  <c r="G149" i="6" l="1"/>
  <c r="F196" i="6"/>
  <c r="G196" i="6" s="1"/>
  <c r="F183" i="6"/>
  <c r="G183" i="6" s="1"/>
  <c r="F194" i="6"/>
  <c r="G194" i="6" s="1"/>
  <c r="F182" i="6"/>
  <c r="G182" i="6" s="1"/>
  <c r="F181" i="6"/>
  <c r="G181" i="6" s="1"/>
  <c r="F195" i="6"/>
  <c r="G195" i="6" s="1"/>
  <c r="F193" i="6"/>
  <c r="G193" i="6" s="1"/>
  <c r="F180" i="6"/>
  <c r="G180" i="6" s="1"/>
  <c r="D175" i="6"/>
  <c r="B157" i="6"/>
  <c r="G200" i="6" l="1"/>
  <c r="G189" i="6"/>
  <c r="A223" i="6"/>
  <c r="B156" i="6"/>
  <c r="G223" i="6" l="1"/>
  <c r="G224" i="6" s="1"/>
  <c r="F268" i="6"/>
  <c r="G268" i="6" s="1"/>
  <c r="F256" i="6"/>
  <c r="G256" i="6" s="1"/>
  <c r="F257" i="6"/>
  <c r="G257" i="6" s="1"/>
  <c r="F255" i="6"/>
  <c r="G255" i="6" s="1"/>
  <c r="F269" i="6"/>
  <c r="G269" i="6" s="1"/>
  <c r="F271" i="6"/>
  <c r="G271" i="6" s="1"/>
  <c r="F258" i="6"/>
  <c r="G258" i="6" s="1"/>
  <c r="F270" i="6"/>
  <c r="G270" i="6" s="1"/>
  <c r="D250" i="6"/>
  <c r="B232" i="6"/>
  <c r="G264" i="6" l="1"/>
  <c r="G275" i="6"/>
  <c r="A298" i="6"/>
  <c r="B231" i="6"/>
  <c r="G298" i="6" l="1"/>
  <c r="G299" i="6" s="1"/>
  <c r="F344" i="6"/>
  <c r="G344" i="6" s="1"/>
  <c r="F333" i="6"/>
  <c r="G333" i="6" s="1"/>
  <c r="F346" i="6"/>
  <c r="G346" i="6" s="1"/>
  <c r="F331" i="6"/>
  <c r="G331" i="6" s="1"/>
  <c r="F345" i="6"/>
  <c r="G345" i="6" s="1"/>
  <c r="F332" i="6"/>
  <c r="G332" i="6" s="1"/>
  <c r="F330" i="6"/>
  <c r="G330" i="6" s="1"/>
  <c r="F343" i="6"/>
  <c r="G343" i="6" s="1"/>
  <c r="D325" i="6"/>
  <c r="B307" i="6"/>
  <c r="G350" i="6" l="1"/>
  <c r="G339" i="6"/>
  <c r="H321" i="6" s="1"/>
  <c r="A373" i="6"/>
  <c r="B306" i="6"/>
  <c r="G373" i="6" l="1"/>
  <c r="G374" i="6" s="1"/>
  <c r="F419" i="6"/>
  <c r="G419" i="6" s="1"/>
  <c r="F407" i="6"/>
  <c r="G407" i="6" s="1"/>
  <c r="F418" i="6"/>
  <c r="G418" i="6" s="1"/>
  <c r="F405" i="6"/>
  <c r="G405" i="6" s="1"/>
  <c r="F420" i="6"/>
  <c r="G420" i="6" s="1"/>
  <c r="F408" i="6"/>
  <c r="G408" i="6" s="1"/>
  <c r="F406" i="6"/>
  <c r="G406" i="6" s="1"/>
  <c r="F421" i="6"/>
  <c r="G421" i="6" s="1"/>
  <c r="D400" i="6"/>
  <c r="B382" i="6"/>
  <c r="G414" i="6" l="1"/>
  <c r="G425" i="6"/>
  <c r="A448" i="6"/>
  <c r="B381" i="6"/>
  <c r="G448" i="6" l="1"/>
  <c r="G449" i="6" s="1"/>
  <c r="H396" i="6"/>
  <c r="F493" i="6"/>
  <c r="G493" i="6" s="1"/>
  <c r="F496" i="6"/>
  <c r="G496" i="6" s="1"/>
  <c r="F495" i="6"/>
  <c r="G495" i="6" s="1"/>
  <c r="F483" i="6"/>
  <c r="G483" i="6" s="1"/>
  <c r="F494" i="6"/>
  <c r="G494" i="6" s="1"/>
  <c r="F482" i="6"/>
  <c r="G482" i="6" s="1"/>
  <c r="F481" i="6"/>
  <c r="G481" i="6" s="1"/>
  <c r="F480" i="6"/>
  <c r="G480" i="6" s="1"/>
  <c r="B457" i="6"/>
  <c r="D475" i="6"/>
  <c r="G500" i="6" l="1"/>
  <c r="G489" i="6"/>
  <c r="G523" i="6" s="1"/>
  <c r="G524" i="6" s="1"/>
  <c r="A523" i="6"/>
  <c r="B456" i="6"/>
  <c r="F568" i="6" l="1"/>
  <c r="G568" i="6" s="1"/>
  <c r="F555" i="6"/>
  <c r="G555" i="6" s="1"/>
  <c r="F569" i="6"/>
  <c r="G569" i="6" s="1"/>
  <c r="F571" i="6"/>
  <c r="G571" i="6" s="1"/>
  <c r="F558" i="6"/>
  <c r="G558" i="6" s="1"/>
  <c r="F556" i="6"/>
  <c r="G556" i="6" s="1"/>
  <c r="F570" i="6"/>
  <c r="G570" i="6" s="1"/>
  <c r="F557" i="6"/>
  <c r="G557" i="6" s="1"/>
  <c r="D550" i="6"/>
  <c r="B532" i="6"/>
  <c r="G564" i="6" l="1"/>
  <c r="G575" i="6"/>
  <c r="A598" i="6"/>
  <c r="B531" i="6"/>
  <c r="G598" i="6" l="1"/>
  <c r="G599" i="6" s="1"/>
  <c r="F633" i="6"/>
  <c r="G633" i="6" s="1"/>
  <c r="F644" i="6"/>
  <c r="G644" i="6" s="1"/>
  <c r="F630" i="6"/>
  <c r="G630" i="6" s="1"/>
  <c r="F643" i="6"/>
  <c r="G643" i="6" s="1"/>
  <c r="F632" i="6"/>
  <c r="G632" i="6" s="1"/>
  <c r="F645" i="6"/>
  <c r="G645" i="6" s="1"/>
  <c r="F646" i="6"/>
  <c r="G646" i="6" s="1"/>
  <c r="F631" i="6"/>
  <c r="G631" i="6" s="1"/>
  <c r="B607" i="6"/>
  <c r="D625" i="6"/>
  <c r="G639" i="6" l="1"/>
  <c r="G650" i="6"/>
  <c r="B606" i="6"/>
  <c r="A673" i="6"/>
  <c r="G673" i="6" l="1"/>
  <c r="G674" i="6" s="1"/>
  <c r="F708" i="6"/>
  <c r="G708" i="6" s="1"/>
  <c r="F718" i="6"/>
  <c r="G718" i="6" s="1"/>
  <c r="F705" i="6"/>
  <c r="G705" i="6" s="1"/>
  <c r="F721" i="6"/>
  <c r="G721" i="6" s="1"/>
  <c r="F719" i="6"/>
  <c r="G719" i="6" s="1"/>
  <c r="F706" i="6"/>
  <c r="G706" i="6" s="1"/>
  <c r="F720" i="6"/>
  <c r="G720" i="6" s="1"/>
  <c r="F707" i="6"/>
  <c r="G707" i="6" s="1"/>
  <c r="B682" i="6"/>
  <c r="D700" i="6"/>
  <c r="G725" i="6" l="1"/>
  <c r="G714" i="6"/>
  <c r="B681" i="6"/>
  <c r="A748" i="6"/>
  <c r="G748" i="6" l="1"/>
  <c r="G749" i="6" s="1"/>
  <c r="F781" i="6"/>
  <c r="G781" i="6" s="1"/>
  <c r="F783" i="6"/>
  <c r="G783" i="6" s="1"/>
  <c r="F796" i="6"/>
  <c r="G796" i="6" s="1"/>
  <c r="F794" i="6"/>
  <c r="G794" i="6" s="1"/>
  <c r="F782" i="6"/>
  <c r="G782" i="6" s="1"/>
  <c r="F780" i="6"/>
  <c r="G780" i="6" s="1"/>
  <c r="F795" i="6"/>
  <c r="G795" i="6" s="1"/>
  <c r="F793" i="6"/>
  <c r="G793" i="6" s="1"/>
  <c r="D775" i="6"/>
  <c r="B757" i="6"/>
  <c r="G789" i="6" l="1"/>
  <c r="G800" i="6"/>
  <c r="B756" i="6"/>
  <c r="A823" i="6"/>
  <c r="G823" i="6" l="1"/>
  <c r="G824" i="6" s="1"/>
  <c r="F858" i="6"/>
  <c r="G858" i="6" s="1"/>
  <c r="F855" i="6"/>
  <c r="G855" i="6" s="1"/>
  <c r="F869" i="6"/>
  <c r="G869" i="6" s="1"/>
  <c r="F857" i="6"/>
  <c r="G857" i="6" s="1"/>
  <c r="F870" i="6"/>
  <c r="G870" i="6" s="1"/>
  <c r="F868" i="6"/>
  <c r="G868" i="6" s="1"/>
  <c r="F856" i="6"/>
  <c r="G856" i="6" s="1"/>
  <c r="F871" i="6"/>
  <c r="G871" i="6" s="1"/>
  <c r="D850" i="6"/>
  <c r="B832" i="6"/>
  <c r="G875" i="6" l="1"/>
  <c r="G864" i="6"/>
  <c r="A898" i="6"/>
  <c r="B831" i="6"/>
  <c r="G898" i="6" l="1"/>
  <c r="G899" i="6" s="1"/>
  <c r="F930" i="6"/>
  <c r="G930" i="6" s="1"/>
  <c r="F932" i="6"/>
  <c r="G932" i="6" s="1"/>
  <c r="F933" i="6"/>
  <c r="G933" i="6" s="1"/>
  <c r="F944" i="6"/>
  <c r="G944" i="6" s="1"/>
  <c r="F945" i="6"/>
  <c r="G945" i="6" s="1"/>
  <c r="F943" i="6"/>
  <c r="G943" i="6" s="1"/>
  <c r="F946" i="6"/>
  <c r="G946" i="6" s="1"/>
  <c r="F931" i="6"/>
  <c r="G931" i="6" s="1"/>
  <c r="B907" i="6"/>
  <c r="D925" i="6"/>
  <c r="G950" i="6" l="1"/>
  <c r="G939" i="6"/>
  <c r="B906" i="6"/>
  <c r="A973" i="6"/>
  <c r="G973" i="6" l="1"/>
  <c r="G974" i="6" s="1"/>
  <c r="F1008" i="6"/>
  <c r="G1008" i="6" s="1"/>
  <c r="F1020" i="6"/>
  <c r="G1020" i="6" s="1"/>
  <c r="F1007" i="6"/>
  <c r="G1007" i="6" s="1"/>
  <c r="F1021" i="6"/>
  <c r="G1021" i="6" s="1"/>
  <c r="F1006" i="6"/>
  <c r="G1006" i="6" s="1"/>
  <c r="F1018" i="6"/>
  <c r="G1018" i="6" s="1"/>
  <c r="F1019" i="6"/>
  <c r="G1019" i="6" s="1"/>
  <c r="F1005" i="6"/>
  <c r="G1005" i="6" s="1"/>
  <c r="D1000" i="6"/>
  <c r="B982" i="6"/>
  <c r="G1014" i="6" l="1"/>
  <c r="G1025" i="6"/>
  <c r="B981" i="6"/>
  <c r="A1048" i="6"/>
  <c r="G1048" i="6" l="1"/>
  <c r="G1049" i="6" s="1"/>
  <c r="F1095" i="6"/>
  <c r="G1095" i="6" s="1"/>
  <c r="F1093" i="6"/>
  <c r="G1093" i="6" s="1"/>
  <c r="F1094" i="6"/>
  <c r="G1094" i="6" s="1"/>
  <c r="F1083" i="6"/>
  <c r="G1083" i="6" s="1"/>
  <c r="F1096" i="6"/>
  <c r="G1096" i="6" s="1"/>
  <c r="F1081" i="6"/>
  <c r="G1081" i="6" s="1"/>
  <c r="F1080" i="6"/>
  <c r="G1080" i="6" s="1"/>
  <c r="F1082" i="6"/>
  <c r="G1082" i="6" s="1"/>
  <c r="B1057" i="6"/>
  <c r="D1075" i="6"/>
  <c r="G1089" i="6" l="1"/>
  <c r="G1100" i="6"/>
  <c r="B1056" i="6"/>
  <c r="A1123" i="6"/>
  <c r="G1123" i="6" l="1"/>
  <c r="G1124" i="6" s="1"/>
  <c r="F1168" i="6"/>
  <c r="G1168" i="6" s="1"/>
  <c r="F1170" i="6"/>
  <c r="G1170" i="6" s="1"/>
  <c r="F1169" i="6"/>
  <c r="G1169" i="6" s="1"/>
  <c r="F1171" i="6"/>
  <c r="G1171" i="6" s="1"/>
  <c r="F1155" i="6"/>
  <c r="G1155" i="6" s="1"/>
  <c r="F1157" i="6"/>
  <c r="G1157" i="6" s="1"/>
  <c r="F1156" i="6"/>
  <c r="G1156" i="6" s="1"/>
  <c r="F1158" i="6"/>
  <c r="G1158" i="6" s="1"/>
  <c r="B1132" i="6"/>
  <c r="D1150" i="6"/>
  <c r="G1164" i="6" l="1"/>
  <c r="G1175" i="6"/>
  <c r="B1131" i="6"/>
  <c r="A1198" i="6"/>
  <c r="G1198" i="6" l="1"/>
  <c r="G1199" i="6" s="1"/>
  <c r="F1231" i="6"/>
  <c r="G1231" i="6" s="1"/>
  <c r="F1246" i="6"/>
  <c r="G1246" i="6" s="1"/>
  <c r="F1243" i="6"/>
  <c r="G1243" i="6" s="1"/>
  <c r="F1244" i="6"/>
  <c r="G1244" i="6" s="1"/>
  <c r="F1233" i="6"/>
  <c r="G1233" i="6" s="1"/>
  <c r="F1230" i="6"/>
  <c r="G1230" i="6" s="1"/>
  <c r="F1245" i="6"/>
  <c r="G1245" i="6" s="1"/>
  <c r="F1232" i="6"/>
  <c r="G1232" i="6" s="1"/>
  <c r="B1207" i="6"/>
  <c r="D1225" i="6"/>
  <c r="G1239" i="6" l="1"/>
  <c r="G1250" i="6"/>
  <c r="A1273" i="6"/>
  <c r="B1206" i="6"/>
  <c r="G1273" i="6" l="1"/>
  <c r="G1274" i="6" s="1"/>
  <c r="F1311" i="6"/>
  <c r="G1311" i="6" s="1"/>
  <c r="F1321" i="6"/>
  <c r="G1321" i="6" s="1"/>
  <c r="F1306" i="6"/>
  <c r="G1306" i="6" s="1"/>
  <c r="F1319" i="6"/>
  <c r="G1319" i="6" s="1"/>
  <c r="F1308" i="6"/>
  <c r="G1308" i="6" s="1"/>
  <c r="F1309" i="6"/>
  <c r="G1309" i="6" s="1"/>
  <c r="F1320" i="6"/>
  <c r="G1320" i="6" s="1"/>
  <c r="F1318" i="6"/>
  <c r="G1318" i="6" s="1"/>
  <c r="F1307" i="6"/>
  <c r="G1307" i="6" s="1"/>
  <c r="F1305" i="6"/>
  <c r="G1305" i="6" s="1"/>
  <c r="F1310" i="6"/>
  <c r="G1310" i="6" s="1"/>
  <c r="D1300" i="6"/>
  <c r="B1282" i="6"/>
  <c r="G1314" i="6" l="1"/>
  <c r="G1325" i="6"/>
  <c r="B1281" i="6"/>
  <c r="A1348" i="6"/>
  <c r="F1396" i="6" l="1"/>
  <c r="G1396" i="6" s="1"/>
  <c r="F1393" i="6"/>
  <c r="G1393" i="6" s="1"/>
  <c r="D1375" i="6"/>
  <c r="F1382" i="6"/>
  <c r="G1382" i="6" s="1"/>
  <c r="B1357" i="6"/>
  <c r="F1386" i="6"/>
  <c r="G1386" i="6" s="1"/>
  <c r="F1380" i="6"/>
  <c r="G1380" i="6" s="1"/>
  <c r="F1381" i="6"/>
  <c r="G1381" i="6" s="1"/>
  <c r="F1385" i="6"/>
  <c r="G1385" i="6" s="1"/>
  <c r="F1394" i="6"/>
  <c r="G1394" i="6" s="1"/>
  <c r="F1395" i="6"/>
  <c r="G1395" i="6" s="1"/>
  <c r="F1384" i="6"/>
  <c r="G1384" i="6" s="1"/>
  <c r="F1383" i="6"/>
  <c r="G1383" i="6" s="1"/>
  <c r="G1348" i="6"/>
  <c r="G1349" i="6" s="1"/>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34" i="9"/>
  <c r="B35" i="9"/>
  <c r="B33" i="9"/>
  <c r="B30" i="9"/>
  <c r="B26" i="9"/>
  <c r="B32" i="9"/>
  <c r="B27" i="9"/>
  <c r="B24" i="9"/>
  <c r="B23" i="9"/>
  <c r="B22" i="9"/>
  <c r="B19" i="9"/>
  <c r="B18" i="9"/>
  <c r="B16" i="9"/>
  <c r="B15" i="9"/>
  <c r="B25" i="9"/>
  <c r="B31" i="9"/>
  <c r="B17" i="9"/>
  <c r="B20" i="9"/>
  <c r="B21" i="9"/>
  <c r="B29" i="9"/>
  <c r="B28" i="9"/>
  <c r="B13" i="9"/>
  <c r="G1389" i="6" l="1"/>
  <c r="B1356" i="6"/>
  <c r="C1356" i="6" s="1"/>
  <c r="A1423" i="6"/>
  <c r="C1357" i="6"/>
  <c r="B1423" i="6" s="1"/>
  <c r="G1357" i="6"/>
  <c r="G1400" i="6"/>
  <c r="G74" i="6"/>
  <c r="F19" i="2"/>
  <c r="G19" i="2" s="1"/>
  <c r="D17" i="18"/>
  <c r="D16" i="18"/>
  <c r="F1424" i="6" l="1"/>
  <c r="E1375" i="6"/>
  <c r="F1423" i="6"/>
  <c r="G1423" i="6"/>
  <c r="G1424" i="6" s="1"/>
  <c r="F38" i="2" s="1"/>
  <c r="G38" i="2" s="1"/>
  <c r="H17" i="2"/>
  <c r="F16" i="18" l="1"/>
  <c r="E16" i="18" s="1"/>
  <c r="G16" i="18" l="1"/>
  <c r="F31" i="2" l="1"/>
  <c r="G31" i="2" s="1"/>
  <c r="H31" i="2" s="1"/>
  <c r="F27" i="2"/>
  <c r="G27" i="2" s="1"/>
  <c r="H27" i="2" s="1"/>
  <c r="F29" i="2"/>
  <c r="G29" i="2" s="1"/>
  <c r="H29" i="2" s="1"/>
  <c r="F28" i="2"/>
  <c r="G28" i="2" s="1"/>
  <c r="H28" i="2" s="1"/>
  <c r="F30" i="2"/>
  <c r="G30" i="2" s="1"/>
  <c r="H30" i="2" s="1"/>
  <c r="F17" i="2" l="1"/>
  <c r="F21" i="2"/>
  <c r="G21" i="2" s="1"/>
  <c r="F20" i="2"/>
  <c r="G20" i="2" s="1"/>
  <c r="F22" i="2"/>
  <c r="G22" i="2" s="1"/>
  <c r="F18" i="2"/>
  <c r="G18" i="2" s="1"/>
  <c r="F18" i="18" s="1"/>
  <c r="F23" i="2"/>
  <c r="G23" i="2" s="1"/>
  <c r="H20" i="2" l="1"/>
  <c r="F19" i="18"/>
  <c r="H19" i="2"/>
  <c r="H18" i="2"/>
  <c r="F17" i="18"/>
  <c r="H21" i="2"/>
  <c r="F20" i="18"/>
  <c r="H23" i="2"/>
  <c r="F22" i="18"/>
  <c r="F21" i="18"/>
  <c r="H22" i="2"/>
  <c r="G20" i="18" l="1"/>
  <c r="G18" i="18"/>
  <c r="G21" i="18"/>
  <c r="G22" i="18"/>
  <c r="G17" i="18"/>
  <c r="G19" i="18"/>
  <c r="E22" i="18"/>
  <c r="E21" i="18"/>
  <c r="E19" i="18"/>
  <c r="E18" i="18"/>
  <c r="E17" i="18"/>
  <c r="E20" i="18"/>
  <c r="F24" i="2" l="1"/>
  <c r="G24" i="2" s="1"/>
  <c r="H24" i="2" s="1"/>
  <c r="F23" i="18" l="1"/>
  <c r="G23" i="18" s="1"/>
  <c r="F25" i="2" l="1"/>
  <c r="E23" i="18"/>
  <c r="G25" i="2" l="1"/>
  <c r="F24" i="18" s="1"/>
  <c r="G24" i="18" s="1"/>
  <c r="H25" i="2" l="1"/>
  <c r="E24" i="18"/>
  <c r="C7" i="6" l="1"/>
  <c r="B73" i="6" s="1"/>
  <c r="G7" i="6"/>
  <c r="G82" i="6"/>
  <c r="E100" i="6" s="1"/>
  <c r="C82" i="6"/>
  <c r="B148" i="6" s="1"/>
  <c r="C307" i="6"/>
  <c r="B373" i="6" s="1"/>
  <c r="G307" i="6"/>
  <c r="F373" i="6" s="1"/>
  <c r="E25" i="6" l="1"/>
  <c r="F74" i="6"/>
  <c r="F73" i="6"/>
  <c r="F374" i="6"/>
  <c r="F148" i="6"/>
  <c r="E325" i="6"/>
  <c r="F149" i="6"/>
  <c r="F26" i="2"/>
  <c r="G26" i="2" s="1"/>
  <c r="H26" i="2" l="1"/>
  <c r="F26" i="18"/>
  <c r="E26" i="18" s="1"/>
  <c r="F29" i="18"/>
  <c r="E29" i="18" s="1"/>
  <c r="F27" i="18"/>
  <c r="E27" i="18" s="1"/>
  <c r="F28" i="18"/>
  <c r="E28" i="18" s="1"/>
  <c r="F30" i="18"/>
  <c r="E30" i="18" s="1"/>
  <c r="F25" i="18"/>
  <c r="E25" i="18" s="1"/>
  <c r="G30" i="18" l="1"/>
  <c r="G27" i="18"/>
  <c r="G28" i="18"/>
  <c r="G26" i="18"/>
  <c r="G29" i="18"/>
  <c r="G25" i="18"/>
  <c r="F32" i="2" l="1"/>
  <c r="G32" i="2" s="1"/>
  <c r="H32" i="2" s="1"/>
  <c r="F31" i="18" l="1"/>
  <c r="G31" i="18" s="1"/>
  <c r="F33" i="2"/>
  <c r="G33" i="2" s="1"/>
  <c r="H33" i="2" l="1"/>
  <c r="F32" i="18"/>
  <c r="G32" i="18" s="1"/>
  <c r="F34" i="2"/>
  <c r="G34" i="2" s="1"/>
  <c r="E31" i="18"/>
  <c r="H34" i="2" l="1"/>
  <c r="F33" i="18"/>
  <c r="G33" i="18" s="1"/>
  <c r="E32" i="18"/>
  <c r="F35" i="2" l="1"/>
  <c r="G35" i="2" s="1"/>
  <c r="H35" i="2" s="1"/>
  <c r="E33" i="18"/>
  <c r="F34" i="18" l="1"/>
  <c r="E34" i="18" s="1"/>
  <c r="F36" i="2"/>
  <c r="G36" i="2" s="1"/>
  <c r="H36" i="2" s="1"/>
  <c r="G34" i="18" l="1"/>
  <c r="F35" i="18"/>
  <c r="G35" i="18" s="1"/>
  <c r="F37" i="2"/>
  <c r="G37" i="2" l="1"/>
  <c r="E35" i="18"/>
  <c r="H38" i="2" l="1"/>
  <c r="H37" i="2"/>
  <c r="F36" i="18"/>
  <c r="F39" i="2"/>
  <c r="G39" i="2" s="1"/>
  <c r="F37" i="18" l="1"/>
  <c r="G37" i="18" s="1"/>
  <c r="G36" i="18"/>
  <c r="H39" i="2"/>
  <c r="F38" i="18"/>
  <c r="G38" i="18" s="1"/>
  <c r="E36" i="18"/>
  <c r="E37" i="18" l="1"/>
  <c r="E38" i="18"/>
  <c r="H41" i="2"/>
  <c r="A42" i="18" s="1"/>
  <c r="A54" i="2"/>
  <c r="G232" i="6" l="1"/>
  <c r="C232" i="6"/>
  <c r="B298" i="6" s="1"/>
  <c r="C157" i="6"/>
  <c r="B223" i="6" s="1"/>
  <c r="G157" i="6"/>
  <c r="C306" i="6"/>
  <c r="C231" i="6"/>
  <c r="G382" i="6"/>
  <c r="C382" i="6"/>
  <c r="B448" i="6" s="1"/>
  <c r="G1057" i="6"/>
  <c r="C1057" i="6"/>
  <c r="B1123" i="6" s="1"/>
  <c r="C832" i="6"/>
  <c r="B898" i="6" s="1"/>
  <c r="C1282" i="6"/>
  <c r="B1348" i="6" s="1"/>
  <c r="C907" i="6"/>
  <c r="B973" i="6" s="1"/>
  <c r="G457" i="6"/>
  <c r="C682" i="6"/>
  <c r="B748" i="6" s="1"/>
  <c r="G607" i="6"/>
  <c r="G1207" i="6"/>
  <c r="C982" i="6"/>
  <c r="B1048" i="6" s="1"/>
  <c r="C757" i="6"/>
  <c r="B823" i="6" s="1"/>
  <c r="G907" i="6"/>
  <c r="G1132" i="6"/>
  <c r="C532" i="6"/>
  <c r="B598" i="6" s="1"/>
  <c r="G682" i="6"/>
  <c r="G832" i="6"/>
  <c r="C607" i="6"/>
  <c r="B673" i="6" s="1"/>
  <c r="G982" i="6"/>
  <c r="G757" i="6"/>
  <c r="C457" i="6"/>
  <c r="B523" i="6" s="1"/>
  <c r="G532" i="6"/>
  <c r="C1132" i="6"/>
  <c r="B1198" i="6" s="1"/>
  <c r="G1282" i="6"/>
  <c r="C1207" i="6"/>
  <c r="B1273" i="6" s="1"/>
  <c r="I22" i="2"/>
  <c r="G40" i="18"/>
  <c r="C2" i="26" s="1"/>
  <c r="I37" i="2"/>
  <c r="I30" i="2"/>
  <c r="D23" i="28" s="1"/>
  <c r="I33" i="2"/>
  <c r="D25" i="28" s="1"/>
  <c r="I26" i="2"/>
  <c r="C11" i="2"/>
  <c r="I18" i="2"/>
  <c r="I20" i="2"/>
  <c r="I28" i="2"/>
  <c r="D21" i="28" s="1"/>
  <c r="I25" i="2"/>
  <c r="I21" i="2"/>
  <c r="I17" i="2"/>
  <c r="E42" i="9"/>
  <c r="E43" i="9" s="1"/>
  <c r="I23" i="2"/>
  <c r="H52" i="2"/>
  <c r="I32" i="2"/>
  <c r="I36" i="2"/>
  <c r="D27" i="28" s="1"/>
  <c r="I35" i="2"/>
  <c r="I19" i="2"/>
  <c r="I29" i="2"/>
  <c r="D22" i="28" s="1"/>
  <c r="I27" i="2"/>
  <c r="I39" i="2"/>
  <c r="I24" i="2"/>
  <c r="I31" i="2"/>
  <c r="D24" i="28" s="1"/>
  <c r="I34" i="2"/>
  <c r="I38" i="2"/>
  <c r="D34" i="9" s="1"/>
  <c r="C156" i="6"/>
  <c r="C906" i="6"/>
  <c r="C531" i="6"/>
  <c r="C1206" i="6"/>
  <c r="C1281" i="6"/>
  <c r="C1131" i="6"/>
  <c r="C681" i="6"/>
  <c r="C606" i="6"/>
  <c r="C1056" i="6"/>
  <c r="C981" i="6"/>
  <c r="C81" i="6"/>
  <c r="C6" i="6"/>
  <c r="C756" i="6"/>
  <c r="C456" i="6"/>
  <c r="C831" i="6"/>
  <c r="C381" i="6"/>
  <c r="H43" i="2"/>
  <c r="H44" i="2" s="1"/>
  <c r="H45" i="2" s="1"/>
  <c r="E250" i="6" l="1"/>
  <c r="F298" i="6"/>
  <c r="F299" i="6"/>
  <c r="F224" i="6"/>
  <c r="E175" i="6"/>
  <c r="F223" i="6"/>
  <c r="F449" i="6"/>
  <c r="F448" i="6"/>
  <c r="E400" i="6"/>
  <c r="F898" i="6"/>
  <c r="F899" i="6"/>
  <c r="E850" i="6"/>
  <c r="F674" i="6"/>
  <c r="E625" i="6"/>
  <c r="F673" i="6"/>
  <c r="E1300" i="6"/>
  <c r="F1348" i="6"/>
  <c r="F1349" i="6"/>
  <c r="E700" i="6"/>
  <c r="F749" i="6"/>
  <c r="F748" i="6"/>
  <c r="F523" i="6"/>
  <c r="F524" i="6"/>
  <c r="E475" i="6"/>
  <c r="F598" i="6"/>
  <c r="E550" i="6"/>
  <c r="F599" i="6"/>
  <c r="F1199" i="6"/>
  <c r="E1150" i="6"/>
  <c r="F1198" i="6"/>
  <c r="F974" i="6"/>
  <c r="F973" i="6"/>
  <c r="E925" i="6"/>
  <c r="E775" i="6"/>
  <c r="F824" i="6"/>
  <c r="F823" i="6"/>
  <c r="E1000" i="6"/>
  <c r="F1049" i="6"/>
  <c r="F1048" i="6"/>
  <c r="E1225" i="6"/>
  <c r="F1274" i="6"/>
  <c r="F1273" i="6"/>
  <c r="F1124" i="6"/>
  <c r="E1075" i="6"/>
  <c r="F1123" i="6"/>
  <c r="D27" i="27"/>
  <c r="D23" i="27"/>
  <c r="D24" i="27"/>
  <c r="D22" i="27"/>
  <c r="D21" i="27"/>
  <c r="D25" i="27"/>
  <c r="D23" i="9"/>
  <c r="D20" i="28"/>
  <c r="D29" i="28"/>
  <c r="D17" i="9"/>
  <c r="D16" i="28"/>
  <c r="D14" i="9"/>
  <c r="D13" i="28"/>
  <c r="D20" i="9"/>
  <c r="D18" i="28"/>
  <c r="D15" i="9"/>
  <c r="D14" i="28"/>
  <c r="D28" i="9"/>
  <c r="D19" i="9"/>
  <c r="D21" i="9"/>
  <c r="D19" i="28"/>
  <c r="D33" i="9"/>
  <c r="D28" i="28"/>
  <c r="D35" i="9"/>
  <c r="D31" i="9"/>
  <c r="D26" i="28"/>
  <c r="D30" i="28"/>
  <c r="D16" i="9"/>
  <c r="D15" i="28"/>
  <c r="D18" i="9"/>
  <c r="D17" i="28"/>
  <c r="D13" i="9"/>
  <c r="D29" i="9"/>
  <c r="D32" i="9"/>
  <c r="D26" i="9"/>
  <c r="D30" i="9"/>
  <c r="D27" i="9"/>
  <c r="D25" i="9"/>
  <c r="D24" i="9"/>
  <c r="D22" i="9"/>
  <c r="I41" i="2"/>
  <c r="H46" i="2"/>
  <c r="H47" i="2"/>
  <c r="E52" i="14"/>
  <c r="I32" i="28" l="1"/>
  <c r="J32" i="28"/>
  <c r="K32" i="28"/>
  <c r="D28" i="27"/>
  <c r="D17" i="27"/>
  <c r="D30" i="27"/>
  <c r="D19" i="27"/>
  <c r="D14" i="27"/>
  <c r="D29" i="27"/>
  <c r="J25" i="28"/>
  <c r="G25" i="27" s="1"/>
  <c r="H25" i="27"/>
  <c r="J22" i="28"/>
  <c r="G22" i="27" s="1"/>
  <c r="H22" i="27"/>
  <c r="J23" i="28"/>
  <c r="G23" i="27" s="1"/>
  <c r="H23" i="27"/>
  <c r="D15" i="27"/>
  <c r="D26" i="27"/>
  <c r="D18" i="27"/>
  <c r="D16" i="27"/>
  <c r="D20" i="27"/>
  <c r="J21" i="28"/>
  <c r="G21" i="27" s="1"/>
  <c r="H21" i="27"/>
  <c r="J24" i="28"/>
  <c r="G24" i="27" s="1"/>
  <c r="H24" i="27"/>
  <c r="J27" i="28"/>
  <c r="G27" i="27" s="1"/>
  <c r="H27" i="27"/>
  <c r="J13" i="28"/>
  <c r="D13" i="27"/>
  <c r="D32" i="28"/>
  <c r="I39" i="9"/>
  <c r="I42" i="9" s="1"/>
  <c r="H39" i="9"/>
  <c r="H42" i="9" s="1"/>
  <c r="G39" i="9"/>
  <c r="G42" i="9" s="1"/>
  <c r="F39" i="9"/>
  <c r="F42" i="9" s="1"/>
  <c r="D37" i="9"/>
  <c r="H48" i="2"/>
  <c r="H49" i="2" s="1"/>
  <c r="D32" i="27" l="1"/>
  <c r="F32" i="27"/>
  <c r="J20" i="28"/>
  <c r="G20" i="27" s="1"/>
  <c r="H20" i="27"/>
  <c r="J18" i="28"/>
  <c r="G18" i="27" s="1"/>
  <c r="H18" i="27"/>
  <c r="J15" i="28"/>
  <c r="G15" i="27" s="1"/>
  <c r="H15" i="27"/>
  <c r="J29" i="28"/>
  <c r="G29" i="27" s="1"/>
  <c r="H29" i="27"/>
  <c r="J19" i="28"/>
  <c r="G19" i="27" s="1"/>
  <c r="H19" i="27"/>
  <c r="J17" i="28"/>
  <c r="G17" i="27" s="1"/>
  <c r="H17" i="27"/>
  <c r="J16" i="28"/>
  <c r="G16" i="27" s="1"/>
  <c r="H16" i="27"/>
  <c r="J26" i="28"/>
  <c r="G26" i="27" s="1"/>
  <c r="H26" i="27"/>
  <c r="J14" i="28"/>
  <c r="G14" i="27" s="1"/>
  <c r="H14" i="27"/>
  <c r="J30" i="28"/>
  <c r="G30" i="27" s="1"/>
  <c r="H30" i="27"/>
  <c r="J28" i="28"/>
  <c r="G28" i="27" s="1"/>
  <c r="H28" i="27"/>
  <c r="H13" i="27"/>
  <c r="G13" i="27"/>
  <c r="F40" i="9"/>
  <c r="G40" i="9" s="1"/>
  <c r="H40" i="9" s="1"/>
  <c r="I40" i="9" s="1"/>
  <c r="H50" i="2"/>
  <c r="H32" i="27" l="1"/>
  <c r="F43" i="9"/>
  <c r="G43" i="9" s="1"/>
  <c r="H43" i="9" s="1"/>
  <c r="I43" i="9" s="1"/>
  <c r="K6" i="28" l="1"/>
  <c r="H6" i="27" s="1"/>
  <c r="G32" i="27"/>
</calcChain>
</file>

<file path=xl/comments1.xml><?xml version="1.0" encoding="utf-8"?>
<comments xmlns="http://schemas.openxmlformats.org/spreadsheetml/2006/main">
  <authors>
    <author>Secretaria Servicios</author>
  </authors>
  <commentList>
    <comment ref="C2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<sst xmlns="http://schemas.openxmlformats.org/spreadsheetml/2006/main" count="5765" uniqueCount="2013">
  <si>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</si>
  <si>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</si>
  <si>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</si>
  <si>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</si>
  <si>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</si>
  <si>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</si>
  <si>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</si>
  <si>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</si>
  <si>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</si>
  <si>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</si>
  <si>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</si>
  <si>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</si>
  <si>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</si>
  <si>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</si>
  <si>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</si>
  <si>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</si>
  <si>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</si>
  <si>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</si>
  <si>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</si>
  <si>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</si>
  <si>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</si>
  <si>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</si>
  <si>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</si>
  <si>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</si>
  <si>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</si>
  <si>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</si>
  <si>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</si>
  <si>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</si>
  <si>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</si>
  <si>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</si>
  <si>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</si>
  <si>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</si>
  <si>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</si>
  <si>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</si>
  <si>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</si>
  <si>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</si>
  <si>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</si>
  <si>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</si>
  <si>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</si>
  <si>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</si>
  <si>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</si>
  <si>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</si>
  <si>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</si>
  <si>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</si>
  <si>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</si>
  <si>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</si>
  <si>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</si>
  <si>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</si>
  <si>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</si>
  <si>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</si>
  <si>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</si>
  <si>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</si>
  <si>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</si>
  <si>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</si>
  <si>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</si>
  <si>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</si>
  <si>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</si>
  <si>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</si>
  <si>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</si>
  <si>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</si>
  <si>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</si>
  <si>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</si>
  <si>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</si>
  <si>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</si>
  <si>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</si>
  <si>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</si>
  <si>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</si>
  <si>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</si>
  <si>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</si>
  <si>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</si>
  <si>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</si>
  <si>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</si>
  <si>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</si>
  <si>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</si>
  <si>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</si>
  <si>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</si>
  <si>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</si>
  <si>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</si>
  <si>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</si>
  <si>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</si>
  <si>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</si>
  <si>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</si>
  <si>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</si>
  <si>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</si>
  <si>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</si>
  <si>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</si>
  <si>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</si>
  <si>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</si>
  <si>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</si>
  <si>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</si>
  <si>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</si>
  <si>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</si>
  <si>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</si>
  <si>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</si>
  <si>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</si>
  <si>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</si>
  <si>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</si>
  <si>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</si>
  <si>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</si>
  <si>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</si>
  <si>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</si>
  <si>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</si>
  <si>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</si>
  <si>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</si>
  <si>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</si>
  <si>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</si>
  <si>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</si>
  <si>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</si>
  <si>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</si>
  <si>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</si>
  <si>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</si>
  <si>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</si>
  <si>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</si>
  <si>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</si>
  <si>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</si>
  <si>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</si>
  <si>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</si>
  <si>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</si>
  <si>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</si>
  <si>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</si>
  <si>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</si>
  <si>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</si>
  <si>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</si>
  <si>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</si>
  <si>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</si>
  <si>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</si>
  <si>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</si>
  <si>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</si>
  <si>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</si>
  <si>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</si>
  <si>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</si>
  <si>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</si>
  <si>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</si>
  <si>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</si>
  <si>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</si>
  <si>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</si>
  <si>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</si>
  <si>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</si>
  <si>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</si>
  <si>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</si>
  <si>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</si>
  <si>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</si>
  <si>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</si>
  <si>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</si>
  <si>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</si>
  <si>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</si>
  <si>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</si>
  <si>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</si>
  <si>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</si>
  <si>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</si>
  <si>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</si>
  <si>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</si>
  <si>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</si>
  <si>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</si>
  <si>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</si>
  <si>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</si>
  <si>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</si>
  <si>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</si>
  <si>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</si>
  <si>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</si>
  <si>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</si>
  <si>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</si>
  <si>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</si>
  <si>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</si>
  <si>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</si>
  <si>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</si>
  <si>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</si>
  <si>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</si>
  <si>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</si>
  <si>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</si>
  <si>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</si>
  <si>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</si>
  <si>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</si>
  <si>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</si>
  <si>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</si>
  <si>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</si>
  <si>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</si>
  <si>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</si>
  <si>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</si>
  <si>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</si>
  <si>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</si>
  <si>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</si>
  <si>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</si>
  <si>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</si>
  <si>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</si>
  <si>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</si>
  <si>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</si>
  <si>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</si>
  <si>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</si>
  <si>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</si>
  <si>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</si>
  <si>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</si>
  <si>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</si>
  <si>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</si>
  <si>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</si>
  <si>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</si>
  <si>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</si>
  <si>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</si>
  <si>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</si>
  <si>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</si>
  <si>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</si>
  <si>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</si>
  <si>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</si>
  <si>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</si>
  <si>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</si>
  <si>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</si>
  <si>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</si>
  <si>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</si>
  <si>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</si>
  <si>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</si>
  <si>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</si>
  <si>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</si>
  <si>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</si>
  <si>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</si>
  <si>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</si>
  <si>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</si>
  <si>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</si>
  <si>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</si>
  <si>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</si>
  <si>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</si>
  <si>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</si>
  <si>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</si>
  <si>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</si>
  <si>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</si>
  <si>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</si>
  <si>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</si>
  <si>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</si>
  <si>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</si>
  <si>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</si>
  <si>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</si>
  <si>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</si>
  <si>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</si>
  <si>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</si>
  <si>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</si>
  <si>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</si>
  <si>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</si>
  <si>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</si>
  <si>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</si>
  <si>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</si>
  <si>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</si>
  <si>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</si>
  <si>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</si>
  <si>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</si>
  <si>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</si>
  <si>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</si>
  <si>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</si>
  <si>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</si>
  <si>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</si>
  <si>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</si>
  <si>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</si>
  <si>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</si>
  <si>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</si>
  <si>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</si>
  <si>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</si>
  <si>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</si>
  <si>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</si>
  <si>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</si>
  <si>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</si>
  <si>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</si>
  <si>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</si>
  <si>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</si>
  <si>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</si>
  <si>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</si>
  <si>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</si>
  <si>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</si>
  <si>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</si>
  <si>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</si>
  <si>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</si>
  <si>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</si>
  <si>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</si>
  <si>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</si>
  <si>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</si>
  <si>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</si>
  <si>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</si>
  <si>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</si>
  <si>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</si>
  <si>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</si>
  <si>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</si>
  <si>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</si>
  <si>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</si>
  <si>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</si>
  <si>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</si>
  <si>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</si>
  <si>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</si>
  <si>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</si>
  <si>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</si>
  <si>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</si>
  <si>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</si>
  <si>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</si>
  <si>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</si>
  <si>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</si>
  <si>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</si>
  <si>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</si>
  <si>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</si>
  <si>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</si>
  <si>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</si>
  <si>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</si>
  <si>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</si>
  <si>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</si>
  <si>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</si>
  <si>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</si>
  <si>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</si>
  <si>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</si>
  <si>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</si>
  <si>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</si>
  <si>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</si>
  <si>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</si>
  <si>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</si>
  <si>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</si>
  <si>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</si>
  <si>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</si>
  <si>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</si>
  <si>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</si>
  <si>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</si>
  <si>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</si>
  <si>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</si>
  <si>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</si>
  <si>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</si>
  <si>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</si>
  <si>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</si>
  <si>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</si>
  <si>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</si>
  <si>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</si>
  <si>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</si>
  <si>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</si>
  <si>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</si>
  <si>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</si>
  <si>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</si>
  <si>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</si>
  <si>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</si>
  <si>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</si>
  <si>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</si>
  <si>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</si>
  <si>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</si>
  <si>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</si>
  <si>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</si>
  <si>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</si>
  <si>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</si>
  <si>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</si>
  <si>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</si>
  <si>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</si>
  <si>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</si>
  <si>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</si>
  <si>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</si>
  <si>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</si>
  <si>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</si>
  <si>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</si>
  <si>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</si>
  <si>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</si>
  <si>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</si>
  <si>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</si>
  <si>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</si>
  <si>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</si>
  <si>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</si>
  <si>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</si>
  <si>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</si>
  <si>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</si>
  <si>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</si>
  <si>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</si>
  <si>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</si>
  <si>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</si>
  <si>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</si>
  <si>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</si>
  <si>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</si>
  <si>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</si>
  <si>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</si>
  <si>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</si>
  <si>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</si>
  <si>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</si>
  <si>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</si>
  <si>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</si>
  <si>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</si>
  <si>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</si>
  <si>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</si>
  <si>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</si>
  <si>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</si>
  <si>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</si>
  <si>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</si>
  <si>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</si>
  <si>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</si>
  <si>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</si>
  <si>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</si>
  <si>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</si>
  <si>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</si>
  <si>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</si>
  <si>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</si>
  <si>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</si>
  <si>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</si>
  <si>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</si>
  <si>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</si>
  <si>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</si>
  <si>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</si>
  <si>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</si>
  <si>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</si>
  <si>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</si>
  <si>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</si>
  <si>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</si>
  <si>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</si>
  <si>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</si>
  <si>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</si>
  <si>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</si>
  <si>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</si>
  <si>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</si>
  <si>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</si>
  <si>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</si>
  <si>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</si>
  <si>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</si>
  <si>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</si>
  <si>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</si>
  <si>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</si>
  <si>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</si>
  <si>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</si>
  <si>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</si>
  <si>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</si>
  <si>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</si>
  <si>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</si>
  <si>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</si>
  <si>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</si>
  <si>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</si>
  <si>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</si>
  <si>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</si>
  <si>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</si>
  <si>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</si>
  <si>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</si>
  <si>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</si>
  <si>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</si>
  <si>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</si>
  <si>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</si>
  <si>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</si>
  <si>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</si>
  <si>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</si>
  <si>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</si>
  <si>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</si>
  <si>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</si>
  <si>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</si>
  <si>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</si>
  <si>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</si>
  <si>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</si>
  <si>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</si>
  <si>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</si>
  <si>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</si>
  <si>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</si>
  <si>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</si>
  <si>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</si>
  <si>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</si>
  <si>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</si>
  <si>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</si>
  <si>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</si>
  <si>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</si>
  <si>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</si>
  <si>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</si>
  <si>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</si>
  <si>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</si>
  <si>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</si>
  <si>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</si>
  <si>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</si>
  <si>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</si>
  <si>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</si>
  <si>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</si>
  <si>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</si>
  <si>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</si>
  <si>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</si>
  <si>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</si>
  <si>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</si>
  <si>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</si>
  <si>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</si>
  <si>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</si>
  <si>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</si>
  <si>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</si>
  <si>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</si>
  <si>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</si>
  <si>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</si>
  <si>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</si>
  <si>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</si>
  <si>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</si>
  <si>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</si>
  <si>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</si>
  <si>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</si>
  <si>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</si>
  <si>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</si>
  <si>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</si>
  <si>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</si>
  <si>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</si>
  <si>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</si>
  <si>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</si>
  <si>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</si>
  <si>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</si>
  <si>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</si>
  <si>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</si>
  <si>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</si>
  <si>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</si>
  <si>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</si>
  <si>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</si>
  <si>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</si>
  <si>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</si>
  <si>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</si>
  <si>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</si>
  <si>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</si>
  <si>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</si>
  <si>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</si>
  <si>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</si>
  <si>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</si>
  <si>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</si>
  <si>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</si>
  <si>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</si>
  <si>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</si>
  <si>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</si>
  <si>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</si>
  <si>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</si>
  <si>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</si>
  <si>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</si>
  <si>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</si>
  <si>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</si>
  <si>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</si>
  <si>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</si>
  <si>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</si>
  <si>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</si>
  <si>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</si>
  <si>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</si>
  <si>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</si>
  <si>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</si>
  <si>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</si>
  <si>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</si>
  <si>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</si>
  <si>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</si>
  <si>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</si>
  <si>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</si>
  <si>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</si>
  <si>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</si>
  <si>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</si>
  <si>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</si>
  <si>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</si>
  <si>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</si>
  <si>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</si>
  <si>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</si>
  <si>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</si>
  <si>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</si>
  <si>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</si>
  <si>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</si>
  <si>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</si>
  <si>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</si>
  <si>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</si>
  <si>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</si>
  <si>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</si>
  <si>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</si>
  <si>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</si>
  <si>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</si>
  <si>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</si>
  <si>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</si>
  <si>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</si>
  <si>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</si>
  <si>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</si>
  <si>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</si>
  <si>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</si>
  <si>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</si>
  <si>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</si>
  <si>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</si>
  <si>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</si>
  <si>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</si>
  <si>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</si>
  <si>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</si>
  <si>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</si>
  <si>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</si>
  <si>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</si>
  <si>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</si>
  <si>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</si>
  <si>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</si>
  <si>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</si>
  <si>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</si>
  <si>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</si>
  <si>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</si>
  <si>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</si>
  <si>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</si>
  <si>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</si>
  <si>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</si>
  <si>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</si>
  <si>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</si>
  <si>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</si>
  <si>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</si>
  <si>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</si>
  <si>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</si>
  <si>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</si>
  <si>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</si>
  <si>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</si>
  <si>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</si>
  <si>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</si>
  <si>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</si>
  <si>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</si>
  <si>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</si>
  <si>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</si>
  <si>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</si>
  <si>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</si>
  <si>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</si>
  <si>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</si>
  <si>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</si>
  <si>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</si>
  <si>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</si>
  <si>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</si>
  <si>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</si>
  <si>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</si>
  <si>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</si>
  <si>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</si>
  <si>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</si>
  <si>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</si>
  <si>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</si>
  <si>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</si>
  <si>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</si>
  <si>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</si>
  <si>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</si>
  <si>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</si>
  <si>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</si>
  <si>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</si>
  <si>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</si>
  <si>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</si>
  <si>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</si>
  <si>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</si>
  <si>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</si>
  <si>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</si>
  <si>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</si>
  <si>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</si>
  <si>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</si>
  <si>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</si>
  <si>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</si>
  <si>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</si>
  <si>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</si>
  <si>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</si>
  <si>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</si>
  <si>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</si>
  <si>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</si>
  <si>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</si>
  <si>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</si>
  <si>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</si>
  <si>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</si>
  <si>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</si>
  <si>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</si>
  <si>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</si>
  <si>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</si>
  <si>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</si>
  <si>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</si>
  <si>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</si>
  <si>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</si>
  <si>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</si>
  <si>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</si>
  <si>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</si>
  <si>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</si>
  <si>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</si>
  <si>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</si>
  <si>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</si>
  <si>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</si>
  <si>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</si>
  <si>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</si>
  <si>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</si>
  <si>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</si>
  <si>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</si>
  <si>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</si>
  <si>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</si>
  <si>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</si>
  <si>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</si>
  <si>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</si>
  <si>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</si>
  <si>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</si>
  <si>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</si>
  <si>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</si>
  <si>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</si>
  <si>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</si>
  <si>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</si>
  <si>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</si>
  <si>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</si>
  <si>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</si>
  <si>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</si>
  <si>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</si>
  <si>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</si>
  <si>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</si>
  <si>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</si>
  <si>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</si>
  <si>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</si>
  <si>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</si>
  <si>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</si>
  <si>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</si>
  <si>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</si>
  <si>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</si>
  <si>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</si>
  <si>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</si>
  <si>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</si>
  <si>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</si>
  <si>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</si>
  <si>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</si>
  <si>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</si>
  <si>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</si>
  <si>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</si>
  <si>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</si>
  <si>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</si>
  <si>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</si>
  <si>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</si>
  <si>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</si>
  <si>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</si>
  <si>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</si>
  <si>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</si>
  <si>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</si>
  <si>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</si>
  <si>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</si>
  <si>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</si>
  <si>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</si>
  <si>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</si>
  <si>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</si>
  <si>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</si>
  <si>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</si>
  <si>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</si>
  <si>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</si>
  <si>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</si>
  <si>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</si>
  <si>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</si>
  <si>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</si>
  <si>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</si>
  <si>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</si>
  <si>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</si>
  <si>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</si>
  <si>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</si>
  <si>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</si>
  <si>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</si>
  <si>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</si>
  <si>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</si>
  <si>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</si>
  <si>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</si>
  <si>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</si>
  <si>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</si>
  <si>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</si>
  <si>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</si>
  <si>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</si>
  <si>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</si>
  <si>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</si>
  <si>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</si>
  <si>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</si>
  <si>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</si>
  <si>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</si>
  <si>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</si>
  <si>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</si>
  <si>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</si>
  <si>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</si>
  <si>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</si>
  <si>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</si>
  <si>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</si>
  <si>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</si>
  <si>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</si>
  <si>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</si>
  <si>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</si>
  <si>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</si>
  <si>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</si>
  <si>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</si>
  <si>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</si>
  <si>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</si>
  <si>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</si>
  <si>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</si>
  <si>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</si>
  <si>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</si>
  <si>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</si>
  <si>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</si>
  <si>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</si>
  <si>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</si>
  <si>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</si>
  <si>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</si>
  <si>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</si>
  <si>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</si>
  <si>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</si>
  <si>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</si>
  <si>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</si>
  <si>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</si>
  <si>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</si>
  <si>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</si>
  <si>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</si>
  <si>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</si>
  <si>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</si>
  <si>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</si>
  <si>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</si>
  <si>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</si>
  <si>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</si>
  <si>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</si>
  <si>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</si>
  <si>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</si>
  <si>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</si>
  <si>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</si>
  <si>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</si>
  <si>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</si>
  <si>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</si>
  <si>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</si>
  <si>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</si>
  <si>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</si>
  <si>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</si>
  <si>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</si>
  <si>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</si>
  <si>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</si>
  <si>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</si>
  <si>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</si>
  <si>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</si>
  <si>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</si>
  <si>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</si>
  <si>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</si>
  <si>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</si>
  <si>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</si>
  <si>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</si>
  <si>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</si>
  <si>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</si>
  <si>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</si>
  <si>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</si>
  <si>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</si>
  <si>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</si>
  <si>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</si>
  <si>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</si>
  <si>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</si>
  <si>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</si>
  <si>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</si>
  <si>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</si>
  <si>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</si>
  <si>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</si>
  <si>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</si>
  <si>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</si>
  <si>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</si>
  <si>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</si>
  <si>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</si>
  <si>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</si>
  <si>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</si>
  <si>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</si>
  <si>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</si>
  <si>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</si>
  <si>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</si>
  <si>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</si>
  <si>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</si>
  <si>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</si>
  <si>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</si>
  <si>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</si>
  <si>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</si>
  <si>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</si>
  <si>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</si>
  <si>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</si>
  <si>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</si>
  <si>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</si>
  <si>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</si>
  <si>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</si>
  <si>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</si>
  <si>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</si>
  <si>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</si>
  <si>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</si>
  <si>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</si>
  <si>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</si>
  <si>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</si>
  <si>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</si>
  <si>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</si>
  <si>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</si>
  <si>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</si>
  <si>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</si>
  <si>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</si>
  <si>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</si>
  <si>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</si>
  <si>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</si>
  <si>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</si>
  <si>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</si>
  <si>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</si>
  <si>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</si>
  <si>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</si>
  <si>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</si>
  <si>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</si>
  <si>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</si>
  <si>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</si>
  <si>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</si>
  <si>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</si>
  <si>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</si>
  <si>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</si>
  <si>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</si>
  <si>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</si>
  <si>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</si>
  <si>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</si>
  <si>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</si>
  <si>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</si>
  <si>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</si>
  <si>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</si>
  <si>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</si>
  <si>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</si>
  <si>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</si>
  <si>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</si>
  <si>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</si>
  <si>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</si>
  <si>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</si>
  <si>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</si>
  <si>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</si>
  <si>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</si>
  <si>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</si>
  <si>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</si>
  <si>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</si>
  <si>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</si>
  <si>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</si>
  <si>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</si>
  <si>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</si>
  <si>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</si>
  <si>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</si>
  <si>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</si>
  <si>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</si>
  <si>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</si>
  <si>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</si>
  <si>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</si>
  <si>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</si>
  <si>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</si>
  <si>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</si>
  <si>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</si>
  <si>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</si>
  <si>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</si>
  <si>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</si>
  <si>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</si>
  <si>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</si>
  <si>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INDEC-CM - 37510-11</t>
  </si>
  <si>
    <t>INDEC-CM - 41242-11</t>
  </si>
  <si>
    <t>IIEE-SJ - 205002</t>
  </si>
  <si>
    <t>IIEE-SJ - 203002</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</si>
  <si>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</si>
  <si>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</si>
  <si>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</si>
  <si>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</si>
  <si>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</si>
  <si>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</si>
  <si>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</si>
  <si>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</si>
  <si>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</si>
  <si>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</si>
  <si>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</si>
  <si>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</si>
  <si>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</si>
  <si>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</si>
  <si>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</si>
  <si>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</si>
  <si>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</si>
  <si>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</si>
  <si>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</si>
  <si>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</si>
  <si>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</si>
  <si>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</si>
  <si>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</si>
  <si>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</si>
  <si>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</si>
  <si>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</si>
  <si>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</si>
  <si>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</si>
  <si>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</si>
  <si>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</si>
  <si>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</si>
  <si>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</si>
  <si>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</si>
  <si>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</si>
  <si>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</si>
  <si>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</si>
  <si>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</si>
  <si>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</si>
  <si>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</si>
  <si>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</si>
  <si>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</si>
  <si>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</si>
  <si>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</si>
  <si>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</si>
  <si>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</si>
  <si>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</si>
  <si>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</si>
  <si>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</si>
  <si>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</si>
  <si>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</si>
  <si>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</si>
  <si>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</si>
  <si>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</si>
  <si>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</si>
  <si>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</si>
  <si>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</si>
  <si>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</si>
  <si>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</si>
  <si>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</si>
  <si>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</si>
  <si>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</si>
  <si>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</si>
  <si>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</si>
  <si>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</si>
  <si>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</si>
  <si>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</si>
  <si>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</si>
  <si>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</si>
  <si>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</si>
  <si>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</si>
  <si>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</si>
  <si>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</si>
  <si>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</si>
  <si>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</si>
  <si>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</si>
  <si>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</si>
  <si>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</si>
  <si>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</si>
  <si>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</si>
  <si>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</si>
  <si>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</si>
  <si>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</si>
  <si>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</si>
  <si>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</si>
  <si>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</si>
  <si>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</si>
  <si>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</si>
  <si>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</si>
  <si>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</si>
  <si>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</si>
  <si>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</si>
  <si>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</si>
  <si>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</si>
  <si>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</si>
  <si>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</si>
  <si>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</si>
  <si>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</si>
  <si>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</si>
  <si>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</si>
  <si>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</si>
  <si>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</si>
  <si>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</si>
  <si>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</si>
  <si>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</si>
  <si>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</si>
  <si>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</si>
  <si>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</si>
  <si>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</si>
  <si>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</si>
  <si>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</si>
  <si>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</si>
  <si>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</si>
  <si>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</si>
  <si>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</si>
  <si>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</si>
  <si>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</si>
  <si>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</si>
  <si>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</si>
  <si>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</si>
  <si>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</si>
  <si>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</si>
  <si>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</si>
  <si>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</si>
  <si>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</si>
  <si>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</si>
  <si>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</si>
  <si>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</si>
  <si>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</si>
  <si>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</si>
  <si>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</si>
  <si>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</si>
  <si>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</si>
  <si>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</si>
  <si>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</si>
  <si>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</si>
  <si>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</si>
  <si>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</si>
  <si>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</si>
  <si>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</si>
  <si>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</si>
  <si>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</si>
  <si>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</si>
  <si>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</si>
  <si>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</si>
  <si>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</si>
  <si>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</si>
  <si>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</si>
  <si>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</si>
  <si>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</si>
  <si>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</si>
  <si>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</si>
  <si>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</si>
  <si>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</si>
  <si>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</si>
  <si>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</si>
  <si>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</si>
  <si>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</si>
  <si>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</si>
  <si>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</si>
  <si>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</si>
  <si>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</si>
  <si>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</si>
  <si>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</si>
  <si>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</si>
  <si>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</si>
  <si>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</si>
  <si>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</si>
  <si>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</si>
  <si>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</si>
  <si>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</si>
  <si>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</si>
  <si>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</si>
  <si>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</si>
  <si>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</si>
  <si>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</si>
  <si>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</si>
  <si>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</si>
  <si>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</si>
  <si>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</si>
  <si>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</si>
  <si>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</si>
  <si>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</si>
  <si>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</si>
  <si>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</si>
  <si>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</si>
  <si>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</si>
  <si>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</si>
  <si>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</si>
  <si>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</si>
  <si>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</si>
  <si>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</si>
  <si>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</si>
  <si>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</si>
  <si>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</si>
  <si>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</si>
  <si>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</si>
  <si>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</si>
  <si>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</si>
  <si>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</si>
  <si>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</si>
  <si>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</si>
  <si>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</si>
  <si>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</si>
  <si>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</si>
  <si>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</si>
  <si>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</si>
  <si>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</si>
  <si>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</si>
  <si>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</si>
  <si>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</si>
  <si>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</si>
  <si>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</si>
  <si>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</si>
  <si>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</si>
  <si>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</si>
  <si>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</si>
  <si>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</si>
  <si>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</si>
  <si>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</si>
  <si>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</si>
  <si>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</si>
  <si>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</si>
  <si>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</si>
  <si>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</si>
  <si>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</si>
  <si>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</si>
  <si>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</si>
  <si>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</si>
  <si>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</si>
  <si>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</si>
  <si>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</si>
  <si>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</si>
  <si>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</si>
  <si>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</si>
  <si>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</si>
  <si>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</si>
  <si>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</si>
  <si>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</si>
  <si>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</si>
  <si>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</si>
  <si>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</si>
  <si>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</si>
  <si>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</si>
  <si>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</si>
  <si>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</si>
  <si>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</si>
  <si>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</si>
  <si>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</si>
  <si>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</si>
  <si>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</si>
  <si>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</si>
  <si>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</si>
  <si>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</si>
  <si>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</si>
  <si>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</si>
  <si>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</si>
  <si>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</si>
  <si>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</si>
  <si>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</si>
  <si>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</si>
  <si>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</si>
  <si>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</si>
  <si>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</si>
  <si>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</si>
  <si>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</si>
  <si>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</si>
  <si>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</si>
  <si>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</si>
  <si>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</si>
  <si>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</si>
  <si>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</si>
  <si>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</si>
  <si>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</si>
  <si>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</si>
  <si>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</si>
  <si>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</si>
  <si>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</si>
  <si>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</si>
  <si>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</si>
  <si>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</si>
  <si>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</si>
  <si>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</si>
  <si>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</si>
  <si>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</si>
  <si>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</si>
  <si>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</si>
  <si>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</si>
  <si>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</si>
  <si>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</si>
  <si>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</si>
  <si>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</si>
  <si>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</si>
  <si>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</si>
  <si>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</si>
  <si>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</si>
  <si>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</si>
  <si>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</si>
  <si>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</si>
  <si>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</si>
  <si>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</si>
  <si>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</si>
  <si>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</si>
  <si>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</si>
  <si>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</si>
  <si>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</si>
  <si>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</si>
  <si>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</si>
  <si>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</si>
  <si>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</si>
  <si>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</si>
  <si>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</si>
  <si>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</si>
  <si>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</si>
  <si>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</si>
  <si>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</si>
  <si>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</si>
  <si>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</si>
  <si>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</si>
  <si>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</si>
  <si>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</si>
  <si>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</si>
  <si>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</si>
  <si>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</si>
  <si>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</si>
  <si>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</si>
  <si>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</si>
  <si>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</si>
  <si>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</si>
  <si>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</si>
  <si>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</si>
  <si>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</si>
  <si>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</si>
  <si>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</si>
  <si>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</si>
  <si>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</si>
  <si>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</si>
  <si>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</si>
  <si>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</si>
  <si>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</si>
  <si>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</si>
  <si>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</si>
  <si>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</si>
  <si>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</si>
  <si>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</si>
  <si>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</si>
  <si>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</si>
  <si>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</si>
  <si>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</si>
  <si>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</si>
  <si>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</si>
  <si>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</si>
  <si>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</si>
  <si>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</si>
  <si>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</si>
  <si>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</si>
  <si>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</si>
  <si>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</si>
  <si>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</si>
  <si>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</si>
  <si>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</si>
  <si>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</si>
  <si>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</si>
  <si>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</si>
  <si>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</si>
  <si>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</si>
  <si>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</si>
  <si>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</si>
  <si>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</si>
  <si>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</si>
  <si>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</si>
  <si>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</si>
  <si>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</si>
  <si>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</si>
  <si>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</si>
  <si>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</si>
  <si>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</si>
  <si>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</si>
  <si>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</si>
  <si>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</si>
  <si>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</si>
  <si>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</si>
  <si>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</si>
  <si>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</si>
  <si>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</si>
  <si>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</si>
  <si>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</si>
  <si>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</si>
  <si>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</si>
  <si>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</si>
  <si>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</si>
  <si>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</si>
  <si>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</si>
  <si>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</si>
  <si>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</si>
  <si>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</si>
  <si>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</si>
  <si>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</si>
  <si>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</si>
  <si>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</si>
  <si>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</si>
  <si>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</si>
  <si>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</si>
  <si>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</si>
  <si>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</si>
  <si>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</si>
  <si>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</si>
  <si>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</si>
  <si>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</si>
  <si>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</si>
  <si>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</si>
  <si>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</si>
  <si>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</si>
  <si>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</si>
  <si>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</si>
  <si>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</si>
  <si>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</si>
  <si>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</si>
  <si>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</si>
  <si>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</si>
  <si>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</si>
  <si>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</si>
  <si>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</si>
  <si>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</si>
  <si>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</si>
  <si>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</si>
  <si>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</si>
  <si>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</si>
  <si>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</si>
  <si>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</si>
  <si>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</si>
  <si>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</si>
  <si>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</si>
  <si>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</si>
  <si>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</si>
  <si>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</si>
  <si>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</si>
  <si>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</si>
  <si>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</si>
  <si>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</si>
  <si>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</si>
  <si>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</si>
  <si>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</si>
  <si>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</si>
  <si>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</si>
  <si>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</si>
  <si>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</si>
  <si>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</si>
  <si>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</si>
  <si>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</si>
  <si>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</si>
  <si>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</si>
  <si>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</si>
  <si>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</si>
  <si>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</si>
  <si>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</si>
  <si>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</si>
  <si>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</si>
  <si>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</si>
  <si>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</si>
  <si>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</si>
  <si>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</si>
  <si>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</si>
  <si>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</si>
  <si>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</si>
  <si>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</si>
  <si>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</si>
  <si>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</si>
  <si>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</si>
  <si>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</si>
  <si>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</si>
  <si>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</si>
  <si>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</si>
  <si>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</si>
  <si>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</si>
  <si>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</si>
  <si>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</si>
  <si>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</si>
  <si>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</si>
  <si>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</si>
  <si>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</si>
  <si>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</si>
  <si>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</si>
  <si>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</si>
  <si>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</si>
  <si>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</si>
  <si>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</si>
  <si>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</si>
  <si>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</si>
  <si>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</si>
  <si>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</si>
  <si>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</si>
  <si>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</si>
  <si>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</si>
  <si>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</si>
  <si>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</si>
  <si>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</si>
  <si>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</si>
  <si>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</si>
  <si>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</si>
  <si>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</si>
  <si>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</si>
  <si>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</si>
  <si>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</si>
  <si>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</si>
  <si>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</si>
  <si>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</si>
  <si>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</si>
  <si>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</si>
  <si>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</si>
  <si>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</si>
  <si>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</si>
  <si>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</si>
  <si>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</si>
  <si>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</si>
  <si>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</si>
  <si>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</si>
  <si>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</si>
  <si>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</si>
  <si>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</si>
  <si>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</si>
  <si>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</si>
  <si>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</si>
  <si>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</si>
  <si>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</si>
  <si>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</si>
  <si>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</si>
  <si>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</si>
  <si>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</si>
  <si>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</si>
  <si>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</si>
  <si>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</si>
  <si>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</si>
  <si>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</si>
  <si>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</si>
  <si>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</si>
  <si>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</si>
  <si>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</si>
  <si>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</si>
  <si>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</si>
  <si>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</si>
  <si>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</si>
  <si>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</si>
  <si>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</si>
  <si>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</si>
  <si>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</si>
  <si>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</si>
  <si>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</si>
  <si>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</si>
  <si>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</si>
  <si>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</si>
  <si>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</si>
  <si>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</si>
  <si>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</si>
  <si>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</si>
  <si>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</si>
  <si>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</si>
  <si>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</si>
  <si>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</si>
  <si>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</si>
  <si>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</si>
  <si>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</si>
  <si>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</si>
  <si>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</si>
  <si>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</si>
  <si>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</si>
  <si>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</si>
  <si>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</si>
  <si>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</si>
  <si>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</si>
  <si>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</si>
  <si>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</si>
  <si>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</si>
  <si>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</si>
  <si>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</si>
  <si>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</si>
  <si>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</si>
  <si>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</si>
  <si>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</si>
  <si>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</si>
  <si>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</si>
  <si>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</si>
  <si>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</si>
  <si>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</si>
  <si>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</si>
  <si>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</si>
  <si>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</si>
  <si>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</si>
  <si>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</si>
  <si>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</si>
  <si>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</si>
  <si>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</si>
  <si>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</si>
  <si>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</si>
  <si>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</si>
  <si>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</si>
  <si>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</si>
  <si>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</si>
  <si>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</si>
  <si>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</si>
  <si>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</si>
  <si>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</si>
  <si>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</si>
  <si>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</si>
  <si>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</si>
  <si>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</si>
  <si>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</si>
  <si>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</si>
  <si>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</si>
  <si>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</si>
  <si>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</si>
  <si>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</si>
  <si>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</si>
  <si>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</si>
  <si>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</si>
  <si>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</si>
  <si>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</si>
  <si>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</si>
  <si>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</si>
  <si>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</si>
  <si>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</si>
  <si>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</si>
  <si>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</si>
  <si>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</si>
  <si>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</si>
  <si>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</si>
  <si>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</si>
  <si>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</si>
  <si>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</si>
  <si>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</si>
  <si>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</si>
  <si>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</si>
  <si>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</si>
  <si>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</si>
  <si>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</si>
  <si>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</si>
  <si>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</si>
  <si>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</si>
  <si>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</si>
  <si>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</si>
  <si>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</si>
  <si>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</si>
  <si>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</si>
  <si>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</si>
  <si>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</si>
  <si>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</si>
  <si>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</si>
  <si>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</si>
  <si>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</si>
  <si>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</si>
  <si>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</si>
  <si>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</si>
  <si>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</si>
  <si>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</si>
  <si>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</si>
  <si>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</si>
  <si>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</si>
  <si>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</si>
  <si>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</si>
  <si>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</si>
  <si>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</si>
  <si>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</si>
  <si>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</si>
  <si>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</si>
  <si>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</si>
  <si>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</si>
  <si>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</si>
  <si>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</si>
  <si>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</si>
  <si>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</si>
  <si>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</si>
  <si>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</si>
  <si>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</si>
  <si>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</si>
  <si>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</si>
  <si>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</si>
  <si>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</si>
  <si>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</si>
  <si>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</si>
  <si>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</si>
  <si>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</si>
  <si>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</si>
  <si>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</si>
  <si>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</si>
  <si>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Combustibles y Lubricantes</t>
  </si>
  <si>
    <t>Arena Gruesa Lavada</t>
  </si>
  <si>
    <t>IIEE-SJ - 214002</t>
  </si>
  <si>
    <t>IIEE-SJ - 214004</t>
  </si>
  <si>
    <t>IIEE-SJ - 214006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</si>
  <si>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</si>
  <si>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</si>
  <si>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</si>
  <si>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</si>
  <si>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</si>
  <si>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</si>
  <si>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</si>
  <si>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</si>
  <si>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</si>
  <si>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</si>
  <si>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</si>
  <si>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</si>
  <si>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</si>
  <si>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</si>
  <si>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</si>
  <si>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</si>
  <si>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</si>
  <si>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</si>
  <si>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</si>
  <si>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</si>
  <si>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</si>
  <si>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</si>
  <si>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</si>
  <si>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</si>
  <si>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</si>
  <si>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</si>
  <si>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</si>
  <si>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</si>
  <si>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</si>
  <si>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</si>
  <si>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</si>
  <si>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</si>
  <si>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</si>
  <si>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</si>
  <si>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</si>
  <si>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</si>
  <si>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</si>
  <si>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</si>
  <si>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</si>
  <si>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</si>
  <si>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</si>
  <si>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</si>
  <si>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</si>
  <si>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</si>
  <si>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</si>
  <si>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</si>
  <si>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</si>
  <si>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</si>
  <si>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</si>
  <si>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</si>
  <si>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</si>
  <si>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</si>
  <si>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</si>
  <si>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</si>
  <si>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</si>
  <si>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</si>
  <si>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</si>
  <si>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</si>
  <si>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</si>
  <si>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</si>
  <si>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</si>
  <si>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</si>
  <si>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</si>
  <si>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</si>
  <si>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</si>
  <si>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</si>
  <si>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</si>
  <si>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</si>
  <si>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</si>
  <si>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</si>
  <si>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</si>
  <si>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</si>
  <si>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</si>
  <si>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</si>
  <si>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</si>
  <si>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</si>
  <si>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</si>
  <si>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</si>
  <si>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</si>
  <si>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</si>
  <si>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</si>
  <si>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</si>
  <si>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</si>
  <si>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</si>
  <si>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</si>
  <si>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</si>
  <si>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</si>
  <si>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</si>
  <si>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</si>
  <si>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</si>
  <si>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</si>
  <si>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</si>
  <si>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</si>
  <si>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</si>
  <si>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</si>
  <si>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</si>
  <si>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</si>
  <si>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</si>
  <si>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</si>
  <si>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</si>
  <si>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</si>
  <si>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</si>
  <si>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</si>
  <si>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especial</t>
  </si>
  <si>
    <t>Aditivos para hormigones</t>
  </si>
  <si>
    <t>Clavos y alambres p/ataduras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</si>
  <si>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</si>
  <si>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</si>
  <si>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</si>
  <si>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</si>
  <si>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</si>
  <si>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</si>
  <si>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</si>
  <si>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</si>
  <si>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</si>
  <si>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</si>
  <si>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</si>
  <si>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</si>
  <si>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</si>
  <si>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</si>
  <si>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</si>
  <si>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</si>
  <si>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</si>
  <si>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</si>
  <si>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</si>
  <si>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</si>
  <si>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$/M</t>
  </si>
  <si>
    <t>$/ha</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</si>
  <si>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</si>
  <si>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</si>
  <si>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</si>
  <si>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</si>
  <si>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</si>
  <si>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</si>
  <si>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</si>
  <si>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</si>
  <si>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</si>
  <si>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</si>
  <si>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</si>
  <si>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</si>
  <si>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</si>
  <si>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</si>
  <si>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</si>
  <si>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</si>
  <si>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</si>
  <si>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</si>
  <si>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</si>
  <si>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</si>
  <si>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</si>
  <si>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</si>
  <si>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</si>
  <si>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</si>
  <si>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</si>
  <si>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</si>
  <si>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</si>
  <si>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</si>
  <si>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</si>
  <si>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</si>
  <si>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</si>
  <si>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</si>
  <si>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</si>
  <si>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</si>
  <si>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</si>
  <si>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</si>
  <si>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</si>
  <si>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</si>
  <si>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</si>
  <si>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</si>
  <si>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</si>
  <si>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</si>
  <si>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</si>
  <si>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</si>
  <si>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</si>
  <si>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</si>
  <si>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</si>
  <si>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</si>
  <si>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</si>
  <si>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</si>
  <si>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</si>
  <si>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</si>
  <si>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</si>
  <si>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</si>
  <si>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</si>
  <si>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</si>
  <si>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</si>
  <si>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</si>
  <si>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</si>
  <si>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</si>
  <si>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</si>
  <si>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</si>
  <si>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</si>
  <si>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</si>
  <si>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</si>
  <si>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</si>
  <si>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</si>
  <si>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</si>
  <si>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</si>
  <si>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</si>
  <si>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</si>
  <si>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</si>
  <si>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</si>
  <si>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</si>
  <si>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</si>
  <si>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</si>
  <si>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</si>
  <si>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</si>
  <si>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</si>
  <si>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</si>
  <si>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</si>
  <si>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</si>
  <si>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</si>
  <si>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</si>
  <si>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</si>
  <si>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</si>
  <si>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</si>
  <si>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</si>
  <si>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</si>
  <si>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</si>
  <si>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</si>
  <si>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</si>
  <si>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</si>
  <si>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</si>
  <si>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</si>
  <si>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</si>
  <si>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</si>
  <si>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</si>
  <si>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</si>
  <si>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</si>
  <si>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</si>
  <si>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</si>
  <si>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</si>
  <si>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</si>
  <si>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</si>
  <si>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</si>
  <si>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</si>
  <si>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</si>
  <si>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</si>
  <si>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</si>
  <si>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</si>
  <si>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</si>
  <si>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</si>
  <si>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</si>
  <si>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</si>
  <si>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</si>
  <si>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</si>
  <si>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</si>
  <si>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</si>
  <si>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</si>
  <si>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</si>
  <si>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</si>
  <si>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</si>
  <si>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</si>
  <si>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</si>
  <si>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</si>
  <si>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</si>
  <si>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</si>
  <si>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</si>
  <si>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</si>
  <si>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</si>
  <si>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</si>
  <si>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</si>
  <si>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</si>
  <si>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</si>
  <si>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</si>
  <si>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</si>
  <si>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</si>
  <si>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</si>
  <si>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</si>
  <si>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</si>
  <si>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</si>
  <si>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</si>
  <si>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</si>
  <si>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</si>
  <si>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</si>
  <si>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</si>
  <si>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</si>
  <si>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</si>
  <si>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</si>
  <si>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</si>
  <si>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</si>
  <si>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</si>
  <si>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</si>
  <si>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</si>
  <si>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</si>
  <si>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</si>
  <si>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</si>
  <si>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</si>
  <si>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</si>
  <si>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</si>
  <si>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</si>
  <si>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</si>
  <si>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</si>
  <si>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</si>
  <si>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</si>
  <si>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</si>
  <si>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</si>
  <si>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</si>
  <si>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</si>
  <si>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</si>
  <si>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</si>
  <si>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</si>
  <si>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</si>
  <si>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</si>
  <si>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</si>
  <si>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</si>
  <si>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</si>
  <si>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</si>
  <si>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</si>
  <si>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</si>
  <si>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</si>
  <si>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</si>
  <si>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</si>
  <si>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</si>
  <si>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</si>
  <si>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</si>
  <si>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</si>
  <si>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</si>
  <si>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</si>
  <si>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</si>
  <si>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</si>
  <si>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</si>
  <si>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</si>
  <si>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</si>
  <si>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</si>
  <si>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</si>
  <si>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</si>
  <si>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</si>
  <si>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</si>
  <si>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</si>
  <si>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</si>
  <si>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</si>
  <si>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</si>
  <si>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</si>
  <si>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</si>
  <si>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</si>
  <si>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</si>
  <si>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</si>
  <si>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</si>
  <si>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</si>
  <si>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</si>
  <si>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</si>
  <si>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</si>
  <si>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</si>
  <si>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</si>
  <si>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</si>
  <si>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</si>
  <si>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</si>
  <si>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</si>
  <si>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</si>
  <si>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</si>
  <si>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</si>
  <si>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</si>
  <si>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</si>
  <si>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</si>
  <si>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</si>
  <si>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</si>
  <si>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</si>
  <si>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</si>
  <si>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</si>
  <si>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</si>
  <si>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</si>
  <si>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m3</t>
  </si>
  <si>
    <t xml:space="preserve">Ripio Clasificado </t>
  </si>
  <si>
    <t>Sellador de juntas</t>
  </si>
  <si>
    <t>NRO OBRA</t>
  </si>
  <si>
    <t>IIEE-SJ - 1</t>
  </si>
  <si>
    <t>Gastos Generales</t>
  </si>
  <si>
    <t>INDEC-DCTO - Inciso p)</t>
  </si>
  <si>
    <t>DEPARTAMENTO DE HIDRAULICA</t>
  </si>
  <si>
    <t>ENCAMISADO CANAL GENERAL COCHAGUAL</t>
  </si>
  <si>
    <t>DEPARTAMENTO SARMIENTO</t>
  </si>
  <si>
    <t>506-000450-2021</t>
  </si>
  <si>
    <t>SR. DIRECTOR GENERAL DEL DEPARTAMENTO DE HIDRAULICA</t>
  </si>
  <si>
    <t>Elaboracion Proyecto Ejecutivo</t>
  </si>
  <si>
    <t>gl.</t>
  </si>
  <si>
    <t>CANAL GENERAL COCHAGUAL Progresiva 4080-4880</t>
  </si>
  <si>
    <t>Limpieza y Replanteo</t>
  </si>
  <si>
    <t>Relleno y compactacion de posibles oquedadas laterales</t>
  </si>
  <si>
    <t>Relleno y compactacion de posibles oquedades laterales con la adicion de una bolsa de cemento portland puzolanico por m3 de rellemo</t>
  </si>
  <si>
    <t>Hormigon de encamisado H-21</t>
  </si>
  <si>
    <t>Armadura colocada en obra</t>
  </si>
  <si>
    <t>t</t>
  </si>
  <si>
    <t>Juntas de contraccion y dilatacion</t>
  </si>
  <si>
    <t>CANAL GENERAL COCHAGUAL Progresiva 9860-10860</t>
  </si>
  <si>
    <t>PUENTES SOBRE CANAL</t>
  </si>
  <si>
    <t>Excavacion</t>
  </si>
  <si>
    <t>Hormigon H-21</t>
  </si>
  <si>
    <t>Hormigon Ciclopeo (30%piedra bola)</t>
  </si>
  <si>
    <t>Demolicion de puente</t>
  </si>
  <si>
    <t>ELABORACION PROYECTO EJECUTIVO</t>
  </si>
  <si>
    <t>2.1</t>
  </si>
  <si>
    <t>2.2</t>
  </si>
  <si>
    <t>2.3</t>
  </si>
  <si>
    <t>2.4</t>
  </si>
  <si>
    <t>2.5</t>
  </si>
  <si>
    <t>2.6</t>
  </si>
  <si>
    <t>3.1</t>
  </si>
  <si>
    <t>3.2</t>
  </si>
  <si>
    <t>3.3</t>
  </si>
  <si>
    <t>3.4</t>
  </si>
  <si>
    <t>3.5</t>
  </si>
  <si>
    <t>3.6</t>
  </si>
  <si>
    <t>4.1</t>
  </si>
  <si>
    <t>4.2</t>
  </si>
  <si>
    <t>4.3</t>
  </si>
  <si>
    <t>4.4</t>
  </si>
  <si>
    <t>4.5</t>
  </si>
  <si>
    <t>4.6</t>
  </si>
  <si>
    <t>1.1</t>
  </si>
  <si>
    <t>Hormigon Elaborado</t>
  </si>
  <si>
    <t>Equipo - Amortizacion de equipo</t>
  </si>
  <si>
    <t>Hierro</t>
  </si>
  <si>
    <t>06/2021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</si>
</sst>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72">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quot;$&quot;\ #,##0.00;[Red]\-&quot;$&quot;\ #,##0.00"/>
    <numFmt numFmtId="229" formatCode="#,##0.00000"/>
    <numFmt numFmtId="230" formatCode="_ &quot;$&quot;\ * #,##0.000_ ;_ &quot;$&quot;\ * \-#,##0.000_ ;_ &quot;$&quot;\ * &quot;-&quot;???_ ;_ @_ "/>
    <numFmt numFmtId="231" formatCode="_ &quot;$&quot;\ * #,##0.00000_ ;_ &quot;$&quot;\ * \-#,##0.00000_ ;_ &quot;$&quot;\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5">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11">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66">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4"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4"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4"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0" fontId="8" fillId="3" borderId="0" xfId="7" applyFont="1" applyFill="1" applyBorder="1" applyAlignment="1" applyProtection="1">
      <alignment horizontal="center" vertical="center"/>
    </xf>
    <xf numFmtId="164"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6"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4"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4"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4"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4"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4"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4" fontId="8" fillId="0" borderId="8" xfId="0" applyNumberFormat="1" applyFont="1" applyFill="1" applyBorder="1" applyAlignment="1" applyProtection="1">
      <alignment vertical="center"/>
      <protection hidden="1"/>
    </xf>
    <xf numFmtId="164"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4"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4"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3"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4" fillId="0" borderId="0" xfId="20" applyFont="1" applyFill="1" applyProtection="1"/>
    <xf numFmtId="187" fontId="9" fillId="0" borderId="0" xfId="20" applyNumberFormat="1" applyFont="1" applyFill="1" applyBorder="1" applyAlignment="1" applyProtection="1">
      <alignment horizontal="center" vertical="center"/>
    </xf>
    <xf numFmtId="164"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4"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64"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6"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4" fontId="12" fillId="0" borderId="11" xfId="0" applyNumberFormat="1" applyFont="1" applyFill="1" applyBorder="1" applyAlignment="1" applyProtection="1">
      <alignment vertical="center"/>
      <protection hidden="1"/>
    </xf>
    <xf numFmtId="164"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4"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7" fillId="0" borderId="0" xfId="7" applyFont="1" applyFill="1" applyBorder="1" applyAlignment="1" applyProtection="1">
      <alignment vertical="center"/>
      <protection hidden="1"/>
    </xf>
    <xf numFmtId="0" fontId="47"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0" fontId="48" fillId="5" borderId="13" xfId="0" applyFont="1" applyFill="1" applyBorder="1" applyAlignment="1" applyProtection="1">
      <alignment vertical="center"/>
    </xf>
    <xf numFmtId="164" fontId="12" fillId="0" borderId="8" xfId="0"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4"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4"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4"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4"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4" fontId="13" fillId="0" borderId="15" xfId="49" applyNumberFormat="1" applyFont="1" applyFill="1" applyBorder="1" applyAlignment="1" applyProtection="1">
      <alignment horizontal="right" vertical="center"/>
      <protection hidden="1"/>
    </xf>
    <xf numFmtId="164"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4"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4"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4"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4"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0" fillId="0" borderId="0" xfId="19" applyFont="1" applyFill="1" applyBorder="1" applyAlignment="1"/>
    <xf numFmtId="0" fontId="50" fillId="0" borderId="0" xfId="19" applyFont="1" applyFill="1" applyBorder="1" applyAlignment="1">
      <alignment horizontal="center"/>
    </xf>
    <xf numFmtId="0" fontId="50"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4"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0" xfId="7" applyFont="1" applyFill="1" applyBorder="1" applyAlignment="1" applyProtection="1">
      <alignment horizontal="center" vertical="center"/>
      <protection hidden="1"/>
    </xf>
    <xf numFmtId="17" fontId="12" fillId="0" borderId="71" xfId="7" applyNumberFormat="1" applyFont="1" applyFill="1" applyBorder="1" applyAlignment="1" applyProtection="1">
      <alignment horizontal="center" vertical="center"/>
      <protection hidden="1"/>
    </xf>
    <xf numFmtId="10" fontId="12" fillId="0" borderId="72"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0" fontId="53" fillId="0" borderId="70" xfId="7" applyFont="1" applyFill="1" applyBorder="1" applyAlignment="1" applyProtection="1">
      <alignment horizontal="center" vertical="center"/>
      <protection hidden="1"/>
    </xf>
    <xf numFmtId="17" fontId="53" fillId="2" borderId="71" xfId="7" applyNumberFormat="1" applyFont="1" applyFill="1" applyBorder="1" applyAlignment="1" applyProtection="1">
      <alignment horizontal="center" vertical="center"/>
      <protection hidden="1"/>
    </xf>
    <xf numFmtId="10" fontId="53" fillId="0" borderId="72" xfId="7" applyNumberFormat="1"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10" fontId="8" fillId="0" borderId="65" xfId="84" applyNumberFormat="1" applyFont="1" applyFill="1" applyBorder="1" applyAlignment="1" applyProtection="1">
      <alignment horizontal="center" vertical="center"/>
      <protection locked="0"/>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10" fontId="12" fillId="0" borderId="3" xfId="84" applyNumberFormat="1" applyFont="1" applyFill="1" applyBorder="1" applyAlignment="1" applyProtection="1">
      <alignment horizontal="center" vertical="center"/>
      <protection hidden="1"/>
    </xf>
    <xf numFmtId="4" fontId="13" fillId="0" borderId="0" xfId="0" applyNumberFormat="1" applyFont="1" applyAlignment="1">
      <alignment vertical="center"/>
    </xf>
    <xf numFmtId="4" fontId="13" fillId="0" borderId="3" xfId="0" applyNumberFormat="1" applyFont="1" applyBorder="1" applyAlignment="1">
      <alignment horizontal="center" vertical="center"/>
    </xf>
    <xf numFmtId="4" fontId="13" fillId="0" borderId="3" xfId="0" applyNumberFormat="1" applyFont="1" applyBorder="1" applyAlignment="1">
      <alignment vertical="center"/>
    </xf>
    <xf numFmtId="229" fontId="13" fillId="0" borderId="3" xfId="0" applyNumberFormat="1" applyFont="1" applyBorder="1" applyAlignment="1">
      <alignment vertical="center"/>
    </xf>
    <xf numFmtId="2" fontId="13" fillId="0" borderId="0" xfId="0" applyNumberFormat="1" applyFont="1" applyFill="1" applyAlignment="1" applyProtection="1">
      <alignment vertical="center"/>
      <protection locked="0"/>
    </xf>
    <xf numFmtId="205" fontId="13" fillId="0" borderId="0" xfId="0" applyNumberFormat="1" applyFont="1" applyFill="1" applyAlignment="1" applyProtection="1">
      <alignment vertical="center"/>
      <protection locked="0"/>
    </xf>
    <xf numFmtId="164" fontId="13" fillId="0" borderId="0" xfId="0" applyNumberFormat="1" applyFont="1" applyFill="1" applyAlignment="1" applyProtection="1">
      <alignment vertical="center"/>
      <protection locked="0"/>
    </xf>
    <xf numFmtId="164" fontId="13" fillId="0" borderId="3" xfId="49" applyNumberFormat="1" applyFont="1" applyFill="1" applyBorder="1" applyAlignment="1" applyProtection="1">
      <alignment horizontal="right" vertical="center"/>
      <protection hidden="1"/>
    </xf>
    <xf numFmtId="230" fontId="13" fillId="0" borderId="0" xfId="0" applyNumberFormat="1" applyFont="1" applyFill="1" applyAlignment="1" applyProtection="1">
      <alignment vertical="center"/>
      <protection locked="0"/>
    </xf>
    <xf numFmtId="227" fontId="13" fillId="0" borderId="0" xfId="0" applyNumberFormat="1" applyFont="1" applyFill="1" applyAlignment="1" applyProtection="1">
      <alignment vertical="center"/>
      <protection locked="0"/>
    </xf>
    <xf numFmtId="190" fontId="13" fillId="0" borderId="3" xfId="0" applyNumberFormat="1" applyFont="1" applyFill="1" applyBorder="1" applyAlignment="1" applyProtection="1">
      <alignment horizontal="right" vertical="center"/>
      <protection locked="0"/>
    </xf>
    <xf numFmtId="44" fontId="13" fillId="0" borderId="0" xfId="0" applyNumberFormat="1" applyFont="1" applyFill="1" applyAlignment="1" applyProtection="1">
      <alignment vertical="center"/>
      <protection locked="0"/>
    </xf>
    <xf numFmtId="231" fontId="13" fillId="0" borderId="0" xfId="0" applyNumberFormat="1" applyFont="1" applyFill="1" applyAlignment="1" applyProtection="1">
      <alignment vertical="center"/>
      <protection locked="0"/>
    </xf>
    <xf numFmtId="44" fontId="0" fillId="0" borderId="0" xfId="0" applyNumberFormat="1" applyFill="1" applyAlignment="1" applyProtection="1">
      <alignment vertical="center"/>
    </xf>
    <xf numFmtId="164" fontId="0" fillId="0" borderId="0" xfId="2" applyFont="1" applyFill="1" applyAlignment="1" applyProtection="1">
      <alignment vertical="center"/>
      <protection hidden="1"/>
    </xf>
    <xf numFmtId="164" fontId="0" fillId="0" borderId="0" xfId="2" applyFont="1" applyFill="1" applyBorder="1" applyAlignment="1" applyProtection="1">
      <alignment vertical="center"/>
      <protection hidden="1"/>
    </xf>
    <xf numFmtId="164" fontId="8" fillId="0" borderId="0" xfId="2" applyFont="1" applyFill="1" applyBorder="1" applyAlignment="1" applyProtection="1">
      <protection hidden="1"/>
    </xf>
    <xf numFmtId="164" fontId="8" fillId="0" borderId="0" xfId="2"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2" fontId="0" fillId="0" borderId="0" xfId="0" applyNumberFormat="1" applyFill="1" applyAlignment="1" applyProtection="1">
      <alignment vertical="center"/>
      <protection hidden="1"/>
    </xf>
    <xf numFmtId="173" fontId="0" fillId="0" borderId="3" xfId="71" applyNumberFormat="1" applyFont="1" applyBorder="1" applyAlignment="1">
      <alignment horizontal="center" vertical="center"/>
    </xf>
    <xf numFmtId="164" fontId="8" fillId="0" borderId="0" xfId="2" applyFont="1" applyFill="1" applyAlignment="1" applyProtection="1">
      <alignment vertical="center"/>
      <protection hidden="1"/>
    </xf>
    <xf numFmtId="44" fontId="13" fillId="0" borderId="0" xfId="7" applyNumberFormat="1" applyFont="1" applyFill="1" applyAlignment="1" applyProtection="1">
      <alignment vertical="center"/>
      <protection hidden="1"/>
    </xf>
    <xf numFmtId="43" fontId="13" fillId="0" borderId="0" xfId="82" applyFont="1" applyFill="1" applyAlignment="1" applyProtection="1">
      <alignment vertical="center"/>
      <protection locked="0"/>
    </xf>
    <xf numFmtId="43" fontId="0" fillId="0" borderId="0" xfId="82" applyFont="1" applyFill="1" applyAlignment="1" applyProtection="1">
      <alignment vertical="center"/>
    </xf>
    <xf numFmtId="167" fontId="8" fillId="0" borderId="66" xfId="84" applyNumberFormat="1" applyFont="1" applyFill="1" applyBorder="1" applyAlignment="1" applyProtection="1">
      <alignment horizontal="center" vertical="center"/>
      <protection locked="0"/>
    </xf>
    <xf numFmtId="9" fontId="8" fillId="2" borderId="65" xfId="1" applyFont="1" applyFill="1" applyBorder="1" applyAlignment="1" applyProtection="1">
      <alignment horizontal="center" vertical="center"/>
      <protection locked="0"/>
    </xf>
    <xf numFmtId="167" fontId="0" fillId="0" borderId="0" xfId="1" applyNumberFormat="1" applyFont="1" applyFill="1" applyBorder="1" applyAlignment="1" applyProtection="1">
      <alignment vertical="center"/>
      <protection hidden="1"/>
    </xf>
    <xf numFmtId="167" fontId="8" fillId="0" borderId="0" xfId="1" applyNumberFormat="1" applyFont="1" applyFill="1" applyBorder="1" applyAlignment="1" applyProtection="1">
      <alignment vertical="center"/>
      <protection hidden="1"/>
    </xf>
    <xf numFmtId="167" fontId="0" fillId="0" borderId="0" xfId="1" applyNumberFormat="1" applyFont="1" applyFill="1" applyAlignment="1" applyProtection="1">
      <alignment vertical="center"/>
      <protection hidden="1"/>
    </xf>
    <xf numFmtId="167" fontId="15" fillId="0" borderId="0" xfId="1" applyNumberFormat="1" applyFont="1" applyFill="1" applyBorder="1" applyAlignment="1" applyProtection="1">
      <alignment vertical="center"/>
      <protection hidden="1"/>
    </xf>
    <xf numFmtId="167" fontId="12" fillId="0" borderId="0" xfId="1" applyNumberFormat="1" applyFont="1" applyFill="1" applyBorder="1" applyAlignment="1" applyProtection="1">
      <alignment horizontal="center" vertical="center" wrapText="1"/>
      <protection hidden="1"/>
    </xf>
    <xf numFmtId="167" fontId="8" fillId="2" borderId="65" xfId="1" applyNumberFormat="1" applyFont="1" applyFill="1" applyBorder="1" applyAlignment="1" applyProtection="1">
      <alignment horizontal="center" vertical="center"/>
      <protection hidden="1"/>
    </xf>
    <xf numFmtId="167" fontId="12" fillId="0" borderId="0" xfId="1" applyNumberFormat="1" applyFont="1" applyFill="1" applyBorder="1" applyAlignment="1" applyProtection="1">
      <alignment vertical="center"/>
      <protection hidden="1"/>
    </xf>
    <xf numFmtId="167" fontId="13" fillId="0" borderId="0" xfId="1" applyNumberFormat="1" applyFont="1" applyFill="1" applyBorder="1" applyAlignment="1" applyProtection="1">
      <alignment horizontal="right" vertical="center"/>
      <protection hidden="1"/>
    </xf>
    <xf numFmtId="167" fontId="13" fillId="0" borderId="0" xfId="1" applyNumberFormat="1" applyFont="1" applyFill="1" applyBorder="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vertical="center"/>
      <protection hidden="1"/>
    </xf>
    <xf numFmtId="0" fontId="9" fillId="2" borderId="0" xfId="7" applyFont="1" applyFill="1" applyBorder="1" applyAlignment="1">
      <alignment horizontal="center" vertical="center"/>
    </xf>
    <xf numFmtId="0" fontId="9" fillId="2" borderId="0" xfId="19" applyFont="1" applyFill="1" applyBorder="1" applyAlignment="1">
      <alignment horizontal="center" vertical="center"/>
    </xf>
    <xf numFmtId="0" fontId="9" fillId="2" borderId="0" xfId="19" applyFont="1" applyFill="1" applyBorder="1" applyAlignment="1">
      <alignment vertical="center"/>
    </xf>
    <xf numFmtId="0" fontId="9" fillId="2" borderId="0" xfId="7" applyFont="1" applyFill="1" applyBorder="1" applyAlignment="1">
      <alignment vertical="center"/>
    </xf>
    <xf numFmtId="0" fontId="0" fillId="2" borderId="0" xfId="0" applyFill="1"/>
    <xf numFmtId="0" fontId="9" fillId="2" borderId="0" xfId="7" applyFont="1" applyFill="1" applyBorder="1" applyAlignment="1" applyProtection="1">
      <alignment vertical="center"/>
    </xf>
    <xf numFmtId="186" fontId="13" fillId="0" borderId="15" xfId="0" applyNumberFormat="1" applyFont="1" applyFill="1" applyBorder="1" applyAlignment="1" applyProtection="1">
      <alignment horizontal="center" vertical="center"/>
      <protection hidden="1"/>
    </xf>
    <xf numFmtId="49" fontId="54" fillId="3" borderId="0" xfId="7" quotePrefix="1" applyNumberFormat="1" applyFont="1" applyFill="1" applyBorder="1" applyAlignment="1" applyProtection="1">
      <alignment horizontal="center" vertical="center"/>
    </xf>
    <xf numFmtId="14" fontId="54" fillId="3" borderId="0" xfId="7" applyNumberFormat="1" applyFont="1" applyFill="1" applyBorder="1" applyAlignment="1" applyProtection="1">
      <alignment horizontal="center" vertical="center"/>
    </xf>
    <xf numFmtId="0" fontId="8" fillId="3" borderId="3" xfId="0" applyFont="1" applyFill="1" applyBorder="1" applyAlignment="1" applyProtection="1">
      <alignment vertical="center" wrapText="1"/>
    </xf>
    <xf numFmtId="0" fontId="8" fillId="0" borderId="5" xfId="0" applyFont="1" applyFill="1" applyBorder="1" applyAlignment="1" applyProtection="1">
      <alignment horizontal="left" vertical="center" wrapText="1"/>
    </xf>
    <xf numFmtId="0" fontId="13" fillId="0" borderId="3" xfId="0" applyFont="1" applyFill="1" applyBorder="1" applyAlignment="1">
      <alignment horizontal="center" vertical="center"/>
    </xf>
    <xf numFmtId="4" fontId="13" fillId="0" borderId="3" xfId="0" applyNumberFormat="1" applyFont="1" applyFill="1" applyBorder="1" applyAlignment="1">
      <alignment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4" fillId="0" borderId="0" xfId="20" applyFont="1" applyAlignment="1">
      <alignment horizontal="center"/>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2"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67" fontId="12" fillId="0" borderId="3" xfId="1"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3" xfId="7" applyFont="1" applyFill="1" applyBorder="1" applyAlignment="1" applyProtection="1">
      <alignment horizontal="left" vertical="center" wrapText="1"/>
      <protection hidden="1"/>
    </xf>
    <xf numFmtId="0" fontId="8" fillId="0" borderId="74" xfId="7" applyFont="1" applyFill="1" applyBorder="1" applyAlignment="1" applyProtection="1">
      <alignment horizontal="left" vertical="center" wrapText="1"/>
      <protection hidden="1"/>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5"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5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PTyCI!$E$39:$I$39</c:f>
              <c:numCache>
                <c:formatCode>0.00%</c:formatCode>
                <c:ptCount val="5"/>
                <c:pt idx="0" formatCode="General">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PTyCI!$E$40:$I$40</c:f>
              <c:numCache>
                <c:formatCode>0.00%</c:formatCode>
                <c:ptCount val="5"/>
                <c:pt idx="0" formatCode="General">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10757376"/>
        <c:axId val="110759296"/>
      </c:lineChart>
      <c:catAx>
        <c:axId val="11075737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0759296"/>
        <c:crossesAt val="0"/>
        <c:auto val="1"/>
        <c:lblAlgn val="ctr"/>
        <c:lblOffset val="100"/>
        <c:noMultiLvlLbl val="0"/>
      </c:catAx>
      <c:valAx>
        <c:axId val="1107592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1075737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PTyCI!$E$42:$I$42</c:f>
              <c:numCache>
                <c:formatCode>_-"$"* #,##0.00_-;\-"$"* #,##0.00_-;_-"$"* "-"??_-;_-@_-</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PTyCI!$E$43:$I$43</c:f>
              <c:numCache>
                <c:formatCode>_-"$"* #,##0.00_-;\-"$"* #,##0.00_-;_-"$"* "-"??_-;_-@_-</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10800256"/>
        <c:axId val="110814720"/>
      </c:lineChart>
      <c:catAx>
        <c:axId val="1108002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10814720"/>
        <c:crosses val="autoZero"/>
        <c:auto val="1"/>
        <c:lblAlgn val="ctr"/>
        <c:lblOffset val="100"/>
        <c:noMultiLvlLbl val="0"/>
      </c:catAx>
      <c:valAx>
        <c:axId val="1108147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108002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RowHeight="12.75" x14ac:dyDescent="0.2"/>
  <cols>
    <col min="1" max="1" width="148.5703125" style="649" customWidth="1"/>
    <col min="2" max="16384" width="11.42578125" style="649"/>
  </cols>
  <sheetData>
    <row r="1" spans="1:7" ht="30" customHeight="1" x14ac:dyDescent="0.2">
      <c r="A1" s="652" t="s">
        <v>925</v>
      </c>
    </row>
    <row r="2" spans="1:7" ht="165" x14ac:dyDescent="0.2">
      <c r="A2" s="650" t="s">
        <v>1932</v>
      </c>
    </row>
    <row r="3" spans="1:7" ht="30" customHeight="1" x14ac:dyDescent="0.2">
      <c r="A3" s="652" t="s">
        <v>926</v>
      </c>
    </row>
    <row r="4" spans="1:7" ht="30" customHeight="1" x14ac:dyDescent="0.2">
      <c r="A4" s="652" t="s">
        <v>945</v>
      </c>
    </row>
    <row r="5" spans="1:7" ht="195" x14ac:dyDescent="0.2">
      <c r="A5" s="655" t="s">
        <v>1933</v>
      </c>
    </row>
    <row r="6" spans="1:7" ht="105.75" x14ac:dyDescent="0.2">
      <c r="A6" s="655" t="s">
        <v>1931</v>
      </c>
      <c r="B6" s="653"/>
      <c r="C6" s="653"/>
      <c r="D6" s="653"/>
      <c r="E6" s="653"/>
      <c r="F6" s="653"/>
      <c r="G6" s="653"/>
    </row>
    <row r="7" spans="1:7" ht="60" x14ac:dyDescent="0.2">
      <c r="A7" s="655" t="s">
        <v>1930</v>
      </c>
      <c r="B7" s="653"/>
      <c r="C7" s="653"/>
      <c r="D7" s="653"/>
      <c r="E7" s="653"/>
      <c r="F7" s="653"/>
      <c r="G7" s="653"/>
    </row>
    <row r="8" spans="1:7" ht="165" x14ac:dyDescent="0.2">
      <c r="A8" s="655" t="s">
        <v>1934</v>
      </c>
      <c r="B8" s="653"/>
      <c r="C8" s="653"/>
      <c r="D8" s="653"/>
      <c r="E8" s="653"/>
      <c r="F8" s="653"/>
      <c r="G8" s="653"/>
    </row>
    <row r="9" spans="1:7" ht="15" x14ac:dyDescent="0.2">
      <c r="A9" s="650" t="s">
        <v>946</v>
      </c>
      <c r="B9" s="653"/>
      <c r="C9" s="653"/>
      <c r="D9" s="653"/>
      <c r="E9" s="653"/>
      <c r="F9" s="653"/>
      <c r="G9" s="653"/>
    </row>
    <row r="10" spans="1:7" ht="45" customHeight="1" x14ac:dyDescent="0.2">
      <c r="A10" s="650" t="s">
        <v>947</v>
      </c>
      <c r="B10" s="653"/>
      <c r="C10" s="653"/>
      <c r="D10" s="653"/>
      <c r="E10" s="653"/>
      <c r="F10" s="653"/>
      <c r="G10" s="653"/>
    </row>
    <row r="11" spans="1:7" ht="30" x14ac:dyDescent="0.2">
      <c r="A11" s="650" t="s">
        <v>949</v>
      </c>
      <c r="B11" s="653" t="s">
        <v>3</v>
      </c>
      <c r="C11" s="653"/>
      <c r="D11" s="653"/>
      <c r="E11" s="653"/>
      <c r="F11" s="653"/>
      <c r="G11" s="653"/>
    </row>
    <row r="12" spans="1:7" ht="15" x14ac:dyDescent="0.2">
      <c r="A12" s="650" t="s">
        <v>1929</v>
      </c>
      <c r="B12" s="653"/>
      <c r="C12" s="653"/>
      <c r="D12" s="653"/>
      <c r="E12" s="653"/>
      <c r="F12" s="653"/>
      <c r="G12" s="653"/>
    </row>
    <row r="13" spans="1:7" ht="47.25" x14ac:dyDescent="0.2">
      <c r="A13" s="654" t="s">
        <v>1928</v>
      </c>
      <c r="B13" s="653"/>
      <c r="C13" s="653"/>
      <c r="D13" s="653"/>
      <c r="E13" s="653"/>
      <c r="F13" s="653"/>
      <c r="G13" s="653"/>
    </row>
    <row r="14" spans="1:7" ht="30" customHeight="1" x14ac:dyDescent="0.2">
      <c r="A14" s="652" t="s">
        <v>955</v>
      </c>
    </row>
    <row r="15" spans="1:7" ht="150" x14ac:dyDescent="0.2">
      <c r="A15" s="650" t="s">
        <v>1939</v>
      </c>
    </row>
    <row r="16" spans="1:7" ht="45" customHeight="1" x14ac:dyDescent="0.2">
      <c r="A16" s="650" t="s">
        <v>1927</v>
      </c>
      <c r="B16" s="653"/>
      <c r="C16" s="653"/>
      <c r="D16" s="653"/>
      <c r="E16" s="653"/>
      <c r="F16" s="653"/>
      <c r="G16" s="653"/>
    </row>
    <row r="17" spans="1:7" ht="30" customHeight="1" x14ac:dyDescent="0.2">
      <c r="A17" s="652" t="s">
        <v>927</v>
      </c>
    </row>
    <row r="18" spans="1:7" ht="45" customHeight="1" x14ac:dyDescent="0.2">
      <c r="A18" s="650" t="s">
        <v>1926</v>
      </c>
      <c r="B18" s="653"/>
      <c r="C18" s="653"/>
      <c r="D18" s="653"/>
      <c r="E18" s="653"/>
      <c r="F18" s="653"/>
      <c r="G18" s="653"/>
    </row>
    <row r="19" spans="1:7" ht="45" customHeight="1" x14ac:dyDescent="0.2">
      <c r="A19" s="650" t="s">
        <v>950</v>
      </c>
      <c r="B19" s="653"/>
      <c r="C19" s="653"/>
      <c r="D19" s="653"/>
      <c r="E19" s="653"/>
      <c r="F19" s="653"/>
      <c r="G19" s="653"/>
    </row>
    <row r="20" spans="1:7" ht="45" customHeight="1" x14ac:dyDescent="0.2">
      <c r="A20" s="650" t="s">
        <v>1925</v>
      </c>
      <c r="B20" s="653"/>
      <c r="C20" s="653"/>
      <c r="D20" s="653"/>
      <c r="E20" s="653"/>
      <c r="F20" s="653"/>
      <c r="G20" s="653"/>
    </row>
    <row r="21" spans="1:7" ht="30" x14ac:dyDescent="0.2">
      <c r="A21" s="650" t="s">
        <v>948</v>
      </c>
      <c r="B21" s="653"/>
      <c r="C21" s="653"/>
      <c r="D21" s="653"/>
      <c r="E21" s="653"/>
      <c r="F21" s="653"/>
      <c r="G21" s="653"/>
    </row>
    <row r="22" spans="1:7" ht="15" x14ac:dyDescent="0.2">
      <c r="A22" s="650"/>
      <c r="B22" s="653"/>
      <c r="C22" s="653"/>
      <c r="D22" s="653"/>
      <c r="E22" s="653"/>
      <c r="F22" s="653"/>
      <c r="G22" s="653"/>
    </row>
    <row r="23" spans="1:7" ht="30" customHeight="1" x14ac:dyDescent="0.2">
      <c r="A23" s="652" t="s">
        <v>928</v>
      </c>
    </row>
    <row r="24" spans="1:7" ht="45" x14ac:dyDescent="0.2">
      <c r="A24" s="650" t="s">
        <v>1924</v>
      </c>
      <c r="B24" s="653"/>
      <c r="C24" s="653"/>
      <c r="D24" s="653"/>
      <c r="E24" s="653"/>
      <c r="F24" s="653"/>
      <c r="G24" s="653"/>
    </row>
    <row r="25" spans="1:7" ht="15" x14ac:dyDescent="0.2">
      <c r="A25" s="650" t="s">
        <v>951</v>
      </c>
      <c r="B25" s="653"/>
      <c r="C25" s="653"/>
      <c r="D25" s="653"/>
      <c r="E25" s="653"/>
      <c r="F25" s="653"/>
      <c r="G25" s="653"/>
    </row>
    <row r="26" spans="1:7" ht="30" x14ac:dyDescent="0.2">
      <c r="A26" s="650" t="s">
        <v>1923</v>
      </c>
      <c r="B26" s="653"/>
      <c r="C26" s="653"/>
      <c r="D26" s="653"/>
      <c r="E26" s="653"/>
      <c r="F26" s="653"/>
      <c r="G26" s="653"/>
    </row>
    <row r="27" spans="1:7" ht="30" x14ac:dyDescent="0.2">
      <c r="A27" s="650" t="s">
        <v>1922</v>
      </c>
      <c r="B27" s="653"/>
      <c r="C27" s="653"/>
      <c r="D27" s="653"/>
      <c r="E27" s="653"/>
      <c r="F27" s="653"/>
      <c r="G27" s="653"/>
    </row>
    <row r="28" spans="1:7" ht="30" x14ac:dyDescent="0.2">
      <c r="A28" s="650" t="s">
        <v>1921</v>
      </c>
    </row>
    <row r="29" spans="1:7" ht="45" x14ac:dyDescent="0.2">
      <c r="A29" s="650" t="s">
        <v>957</v>
      </c>
    </row>
    <row r="30" spans="1:7" ht="31.5" x14ac:dyDescent="0.2">
      <c r="A30" s="650" t="s">
        <v>1940</v>
      </c>
    </row>
    <row r="31" spans="1:7" ht="135.75" x14ac:dyDescent="0.2">
      <c r="A31" s="650" t="s">
        <v>1920</v>
      </c>
    </row>
    <row r="32" spans="1:7" ht="30" customHeight="1" x14ac:dyDescent="0.2">
      <c r="A32" s="652" t="s">
        <v>929</v>
      </c>
    </row>
    <row r="33" spans="1:7" ht="45" x14ac:dyDescent="0.2">
      <c r="A33" s="650" t="s">
        <v>1919</v>
      </c>
    </row>
    <row r="34" spans="1:7" ht="150" x14ac:dyDescent="0.2">
      <c r="A34" s="650" t="s">
        <v>1918</v>
      </c>
    </row>
    <row r="35" spans="1:7" ht="120" x14ac:dyDescent="0.2">
      <c r="A35" s="650" t="s">
        <v>958</v>
      </c>
    </row>
    <row r="36" spans="1:7" ht="44.25" customHeight="1" x14ac:dyDescent="0.2">
      <c r="A36" s="650" t="s">
        <v>930</v>
      </c>
    </row>
    <row r="37" spans="1:7" ht="15" x14ac:dyDescent="0.2">
      <c r="A37" s="650" t="s">
        <v>1917</v>
      </c>
    </row>
    <row r="38" spans="1:7" ht="30" customHeight="1" x14ac:dyDescent="0.2">
      <c r="A38" s="652" t="s">
        <v>931</v>
      </c>
    </row>
    <row r="39" spans="1:7" ht="45" x14ac:dyDescent="0.2">
      <c r="A39" s="650" t="s">
        <v>952</v>
      </c>
      <c r="B39" s="653"/>
      <c r="C39" s="653"/>
      <c r="D39" s="653"/>
      <c r="E39" s="653"/>
      <c r="F39" s="653"/>
      <c r="G39" s="653"/>
    </row>
    <row r="40" spans="1:7" ht="30" x14ac:dyDescent="0.2">
      <c r="A40" s="650" t="s">
        <v>959</v>
      </c>
    </row>
    <row r="41" spans="1:7" ht="30" x14ac:dyDescent="0.2">
      <c r="A41" s="650" t="s">
        <v>960</v>
      </c>
    </row>
    <row r="42" spans="1:7" ht="15" x14ac:dyDescent="0.2">
      <c r="A42" s="650"/>
    </row>
    <row r="43" spans="1:7" ht="15.75" x14ac:dyDescent="0.2">
      <c r="A43" s="652" t="s">
        <v>932</v>
      </c>
    </row>
    <row r="44" spans="1:7" ht="45" x14ac:dyDescent="0.2">
      <c r="A44" s="650" t="s">
        <v>933</v>
      </c>
    </row>
    <row r="46" spans="1:7" ht="30" customHeight="1" x14ac:dyDescent="0.2">
      <c r="A46" s="652" t="s">
        <v>953</v>
      </c>
    </row>
    <row r="47" spans="1:7" ht="45" x14ac:dyDescent="0.2">
      <c r="A47" s="650" t="s">
        <v>954</v>
      </c>
    </row>
    <row r="48" spans="1:7" ht="30" x14ac:dyDescent="0.2">
      <c r="A48" s="650" t="s">
        <v>956</v>
      </c>
    </row>
    <row r="49" spans="1:1" ht="25.5" x14ac:dyDescent="0.2">
      <c r="A49" s="651" t="s">
        <v>1916</v>
      </c>
    </row>
    <row r="50" spans="1:1" ht="15" x14ac:dyDescent="0.2">
      <c r="A50" s="650"/>
    </row>
    <row r="51" spans="1:1" ht="30" customHeight="1" x14ac:dyDescent="0.2">
      <c r="A51" s="652" t="s">
        <v>1941</v>
      </c>
    </row>
    <row r="52" spans="1:1" ht="30" x14ac:dyDescent="0.2">
      <c r="A52" s="650" t="s">
        <v>1942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27"/>
  <sheetViews>
    <sheetView view="pageBreakPreview" zoomScaleNormal="100" zoomScaleSheetLayoutView="100" workbookViewId="0">
      <selection activeCell="A28" sqref="A28:A29"/>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08" customWidth="1"/>
    <col min="7" max="7" width="12.140625" style="709" customWidth="1"/>
    <col min="8" max="8" width="13.140625" style="709" customWidth="1"/>
    <col min="9" max="9" width="10.7109375" style="10" customWidth="1"/>
    <col min="10" max="29" width="10.7109375" style="88" customWidth="1"/>
    <col min="30" max="78" width="11.42578125" style="88"/>
    <col min="79" max="16384" width="11.42578125" style="9"/>
  </cols>
  <sheetData>
    <row r="1" spans="1:78" s="5" customFormat="1" ht="20.100000000000001" customHeight="1" x14ac:dyDescent="0.2">
      <c r="A1" s="3" t="s">
        <v>8</v>
      </c>
      <c r="B1" s="3"/>
      <c r="C1" s="3" t="str">
        <f>Comitente</f>
        <v>DEPARTAMENTO DE HIDRAULICA</v>
      </c>
      <c r="D1" s="4"/>
      <c r="F1" s="692"/>
      <c r="G1" s="692"/>
      <c r="H1" s="692"/>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row>
    <row r="2" spans="1:78" s="6" customFormat="1" ht="20.100000000000001" customHeight="1" x14ac:dyDescent="0.2">
      <c r="A2" s="13" t="s">
        <v>9</v>
      </c>
      <c r="B2" s="13"/>
      <c r="C2" s="13" t="str">
        <f>Obra</f>
        <v>ENCAMISADO CANAL GENERAL COCHAGUAL</v>
      </c>
      <c r="F2" s="693"/>
      <c r="G2" s="693"/>
      <c r="H2" s="693"/>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6" customFormat="1" ht="20.100000000000001" customHeight="1" x14ac:dyDescent="0.2">
      <c r="A3" s="13" t="s">
        <v>13</v>
      </c>
      <c r="B3" s="13"/>
      <c r="C3" s="13" t="str">
        <f>Ubicación</f>
        <v>DEPARTAMENTO SARMIENTO</v>
      </c>
      <c r="F3" s="693"/>
      <c r="G3" s="693"/>
      <c r="H3" s="693"/>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row>
    <row r="4" spans="1:78" s="6" customFormat="1" ht="20.100000000000001" customHeight="1" x14ac:dyDescent="0.2">
      <c r="A4" s="13" t="s">
        <v>12</v>
      </c>
      <c r="B4" s="14"/>
      <c r="C4" s="68" t="str">
        <f>Licitación_N°</f>
        <v>06/2021</v>
      </c>
      <c r="F4" s="693"/>
      <c r="G4" s="693"/>
      <c r="H4" s="693"/>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row>
    <row r="5" spans="1:78" s="6" customFormat="1" ht="20.100000000000001" customHeight="1" thickBot="1" x14ac:dyDescent="0.25">
      <c r="A5" s="13" t="s">
        <v>14</v>
      </c>
      <c r="B5" s="14"/>
      <c r="C5" s="69">
        <f>Plazo_Obra</f>
        <v>120</v>
      </c>
      <c r="F5" s="693"/>
      <c r="G5" s="693"/>
      <c r="H5" s="693"/>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row>
    <row r="6" spans="1:78" s="6" customFormat="1" ht="20.100000000000001" customHeight="1" thickBot="1" x14ac:dyDescent="0.25">
      <c r="A6" s="13" t="s">
        <v>10</v>
      </c>
      <c r="B6" s="13"/>
      <c r="C6" s="13">
        <f>Contratista</f>
        <v>0</v>
      </c>
      <c r="F6" s="694" t="s">
        <v>1953</v>
      </c>
      <c r="G6" s="695">
        <v>42948</v>
      </c>
      <c r="H6" s="696" t="e">
        <f ca="1">+'MED OBRA'!K6</f>
        <v>#REF!</v>
      </c>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row>
    <row r="7" spans="1:78" s="2" customFormat="1" ht="20.100000000000001" customHeight="1" x14ac:dyDescent="0.2">
      <c r="A7" s="762" t="s">
        <v>1964</v>
      </c>
      <c r="B7" s="763"/>
      <c r="C7" s="762">
        <v>419</v>
      </c>
      <c r="F7" s="186"/>
      <c r="G7" s="186"/>
      <c r="H7" s="186"/>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row>
    <row r="8" spans="1:78" s="2" customFormat="1" ht="20.100000000000001" customHeight="1" x14ac:dyDescent="0.2">
      <c r="A8" s="810" t="s">
        <v>1954</v>
      </c>
      <c r="B8" s="811"/>
      <c r="C8" s="811"/>
      <c r="D8" s="812"/>
      <c r="E8" s="8"/>
      <c r="F8" s="697"/>
      <c r="G8" s="697"/>
      <c r="H8" s="69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row>
    <row r="10" spans="1:78" ht="12.75" x14ac:dyDescent="0.2">
      <c r="A10" s="785" t="s">
        <v>893</v>
      </c>
      <c r="B10" s="813" t="s">
        <v>0</v>
      </c>
      <c r="C10" s="813"/>
      <c r="D10" s="815" t="s">
        <v>11</v>
      </c>
      <c r="E10" s="47"/>
      <c r="F10" s="817">
        <f>+'MED OBRA'!I10</f>
        <v>1</v>
      </c>
      <c r="G10" s="818"/>
      <c r="H10" s="819"/>
      <c r="I10" s="22"/>
      <c r="J10" s="89"/>
    </row>
    <row r="11" spans="1:78" ht="25.5" x14ac:dyDescent="0.2">
      <c r="A11" s="785"/>
      <c r="B11" s="813"/>
      <c r="C11" s="813"/>
      <c r="D11" s="815"/>
      <c r="E11" s="47"/>
      <c r="F11" s="681" t="s">
        <v>1955</v>
      </c>
      <c r="G11" s="681" t="s">
        <v>1956</v>
      </c>
      <c r="H11" s="681" t="s">
        <v>1957</v>
      </c>
      <c r="I11" s="22"/>
    </row>
    <row r="12" spans="1:78" ht="20.100000000000001" customHeight="1" x14ac:dyDescent="0.2">
      <c r="A12" s="31"/>
      <c r="B12" s="51"/>
      <c r="C12" s="51"/>
      <c r="D12" s="52"/>
      <c r="E12" s="47"/>
      <c r="F12" s="698"/>
      <c r="G12" s="698"/>
      <c r="H12" s="698"/>
      <c r="I12" s="699"/>
    </row>
    <row r="13" spans="1:78" ht="20.100000000000001" customHeight="1" x14ac:dyDescent="0.2">
      <c r="A13" s="700" t="str">
        <f ca="1">+'MED OBRA'!A13</f>
        <v>1.1</v>
      </c>
      <c r="B13" s="820" t="str">
        <f ca="1">+'MED OBRA'!B13:C13</f>
        <v>Elaboracion Proyecto Ejecutivo</v>
      </c>
      <c r="C13" s="821"/>
      <c r="D13" s="701">
        <f ca="1">+'MED OBRA'!D13</f>
        <v>0</v>
      </c>
      <c r="E13" s="36"/>
      <c r="F13" s="702">
        <f>+'MED OBRA'!I13</f>
        <v>0</v>
      </c>
      <c r="G13" s="702">
        <f>+'MED OBRA'!J13</f>
        <v>0</v>
      </c>
      <c r="H13" s="702">
        <f>+'MED OBRA'!K13</f>
        <v>0</v>
      </c>
      <c r="I13" s="23"/>
    </row>
    <row r="14" spans="1:78" ht="20.100000000000001" customHeight="1" x14ac:dyDescent="0.2">
      <c r="A14" s="700">
        <f ca="1">+'MED OBRA'!A14</f>
        <v>2</v>
      </c>
      <c r="B14" s="820" t="str">
        <f ca="1">+'MED OBRA'!B14:C14</f>
        <v>CANAL GENERAL COCHAGUAL Progresiva 4080-4880</v>
      </c>
      <c r="C14" s="821"/>
      <c r="D14" s="701">
        <f ca="1">+'MED OBRA'!D14</f>
        <v>0</v>
      </c>
      <c r="E14" s="36"/>
      <c r="F14" s="702">
        <f>+'MED OBRA'!I14</f>
        <v>0</v>
      </c>
      <c r="G14" s="702">
        <f>+'MED OBRA'!J14</f>
        <v>0</v>
      </c>
      <c r="H14" s="702">
        <f>+'MED OBRA'!K14</f>
        <v>0</v>
      </c>
      <c r="I14" s="23"/>
    </row>
    <row r="15" spans="1:78" ht="20.100000000000001" customHeight="1" x14ac:dyDescent="0.2">
      <c r="A15" s="700" t="str">
        <f ca="1">+'MED OBRA'!A15</f>
        <v>2.1</v>
      </c>
      <c r="B15" s="820" t="str">
        <f ca="1">+'MED OBRA'!B15:C15</f>
        <v>Limpieza y Replanteo</v>
      </c>
      <c r="C15" s="821"/>
      <c r="D15" s="701">
        <f ca="1">+'MED OBRA'!D15</f>
        <v>0</v>
      </c>
      <c r="E15" s="36"/>
      <c r="F15" s="702">
        <f>+'MED OBRA'!I15</f>
        <v>0</v>
      </c>
      <c r="G15" s="702">
        <f>+'MED OBRA'!J15</f>
        <v>0</v>
      </c>
      <c r="H15" s="702">
        <f>+'MED OBRA'!K15</f>
        <v>0</v>
      </c>
      <c r="I15" s="23"/>
    </row>
    <row r="16" spans="1:78" ht="20.100000000000001" customHeight="1" x14ac:dyDescent="0.2">
      <c r="A16" s="700" t="str">
        <f ca="1">+'MED OBRA'!A16</f>
        <v>2.2</v>
      </c>
      <c r="B16" s="820" t="str">
        <f ca="1">+'MED OBRA'!B16:C16</f>
        <v>Relleno y compactacion de posibles oquedadas laterales</v>
      </c>
      <c r="C16" s="821"/>
      <c r="D16" s="701">
        <f ca="1">+'MED OBRA'!D16</f>
        <v>0</v>
      </c>
      <c r="E16" s="36"/>
      <c r="F16" s="702">
        <f>+'MED OBRA'!I16</f>
        <v>0</v>
      </c>
      <c r="G16" s="702">
        <f>+'MED OBRA'!J16</f>
        <v>0</v>
      </c>
      <c r="H16" s="702">
        <f>+'MED OBRA'!K16</f>
        <v>0</v>
      </c>
      <c r="I16" s="23"/>
    </row>
    <row r="17" spans="1:78" ht="20.100000000000001" customHeight="1" x14ac:dyDescent="0.2">
      <c r="A17" s="700" t="str">
        <f ca="1">+'MED OBRA'!A17</f>
        <v>2.3</v>
      </c>
      <c r="B17" s="820" t="str">
        <f ca="1">+'MED OBRA'!B17:C17</f>
        <v>Relleno y compactacion de posibles oquedades laterales con la adicion de una bolsa de cemento portland puzolanico por m3 de rellemo</v>
      </c>
      <c r="C17" s="821"/>
      <c r="D17" s="701">
        <f ca="1">+'MED OBRA'!D17</f>
        <v>0</v>
      </c>
      <c r="E17" s="36"/>
      <c r="F17" s="702">
        <f>+'MED OBRA'!I17</f>
        <v>0</v>
      </c>
      <c r="G17" s="702">
        <f>+'MED OBRA'!J17</f>
        <v>0</v>
      </c>
      <c r="H17" s="702">
        <f>+'MED OBRA'!K17</f>
        <v>0</v>
      </c>
      <c r="I17" s="23"/>
    </row>
    <row r="18" spans="1:78" ht="20.100000000000001" customHeight="1" x14ac:dyDescent="0.2">
      <c r="A18" s="700" t="str">
        <f ca="1">+'MED OBRA'!A18</f>
        <v>2.5</v>
      </c>
      <c r="B18" s="820" t="str">
        <f ca="1">+'MED OBRA'!B18:C18</f>
        <v>Armadura colocada en obra</v>
      </c>
      <c r="C18" s="821"/>
      <c r="D18" s="701">
        <f ca="1">+'MED OBRA'!D18</f>
        <v>0</v>
      </c>
      <c r="E18" s="36"/>
      <c r="F18" s="702">
        <f>+'MED OBRA'!I18</f>
        <v>0</v>
      </c>
      <c r="G18" s="702">
        <f>+'MED OBRA'!J18</f>
        <v>0</v>
      </c>
      <c r="H18" s="702">
        <f>+'MED OBRA'!K18</f>
        <v>0</v>
      </c>
      <c r="I18" s="23"/>
    </row>
    <row r="19" spans="1:78" ht="20.100000000000001" customHeight="1" x14ac:dyDescent="0.2">
      <c r="A19" s="700" t="str">
        <f ca="1">+'MED OBRA'!A19</f>
        <v>2.6</v>
      </c>
      <c r="B19" s="820" t="str">
        <f ca="1">+'MED OBRA'!B19:C19</f>
        <v>Juntas de contraccion y dilatacion</v>
      </c>
      <c r="C19" s="821"/>
      <c r="D19" s="701">
        <f ca="1">+'MED OBRA'!D19</f>
        <v>0</v>
      </c>
      <c r="E19" s="36"/>
      <c r="F19" s="702">
        <f>+'MED OBRA'!I19</f>
        <v>0</v>
      </c>
      <c r="G19" s="702">
        <f>+'MED OBRA'!J19</f>
        <v>1</v>
      </c>
      <c r="H19" s="702">
        <f>+'MED OBRA'!K19</f>
        <v>1</v>
      </c>
      <c r="I19" s="23"/>
    </row>
    <row r="20" spans="1:78" ht="20.100000000000001" customHeight="1" x14ac:dyDescent="0.2">
      <c r="A20" s="700" t="str">
        <f ca="1">+'MED OBRA'!A20</f>
        <v>3.1</v>
      </c>
      <c r="B20" s="820" t="str">
        <f ca="1">+'MED OBRA'!B20:C20</f>
        <v>Limpieza y Replanteo</v>
      </c>
      <c r="C20" s="821"/>
      <c r="D20" s="701">
        <f ca="1">+'MED OBRA'!D20</f>
        <v>0</v>
      </c>
      <c r="E20" s="36"/>
      <c r="F20" s="702">
        <f>+'MED OBRA'!I20</f>
        <v>0</v>
      </c>
      <c r="G20" s="702">
        <f>+'MED OBRA'!J20</f>
        <v>0</v>
      </c>
      <c r="H20" s="702">
        <f>+'MED OBRA'!K20</f>
        <v>0</v>
      </c>
      <c r="I20" s="23"/>
    </row>
    <row r="21" spans="1:78" ht="20.100000000000001" customHeight="1" x14ac:dyDescent="0.2">
      <c r="A21" s="700" t="str">
        <f ca="1">+'MED OBRA'!A21</f>
        <v>3.2</v>
      </c>
      <c r="B21" s="820" t="str">
        <f ca="1">+'MED OBRA'!B21:C21</f>
        <v>Relleno y compactacion de posibles oquedadas laterales</v>
      </c>
      <c r="C21" s="821"/>
      <c r="D21" s="701">
        <f ca="1">+'MED OBRA'!D21</f>
        <v>0</v>
      </c>
      <c r="E21" s="36"/>
      <c r="F21" s="702">
        <f>+'MED OBRA'!I21</f>
        <v>0</v>
      </c>
      <c r="G21" s="702">
        <f>+'MED OBRA'!J21</f>
        <v>0</v>
      </c>
      <c r="H21" s="702">
        <f>+'MED OBRA'!K21</f>
        <v>0</v>
      </c>
      <c r="I21" s="23"/>
    </row>
    <row r="22" spans="1:78" ht="20.100000000000001" customHeight="1" x14ac:dyDescent="0.2">
      <c r="A22" s="700" t="str">
        <f ca="1">+'MED OBRA'!A22</f>
        <v>3.3</v>
      </c>
      <c r="B22" s="820" t="str">
        <f ca="1">+'MED OBRA'!B22:C22</f>
        <v>Relleno y compactacion de posibles oquedades laterales con la adicion de una bolsa de cemento portland puzolanico por m3 de rellemo</v>
      </c>
      <c r="C22" s="821"/>
      <c r="D22" s="701">
        <f ca="1">+'MED OBRA'!D22</f>
        <v>0</v>
      </c>
      <c r="E22" s="36"/>
      <c r="F22" s="702">
        <f>+'MED OBRA'!I22</f>
        <v>0</v>
      </c>
      <c r="G22" s="702">
        <f>+'MED OBRA'!J22</f>
        <v>0</v>
      </c>
      <c r="H22" s="702">
        <f>+'MED OBRA'!K22</f>
        <v>0</v>
      </c>
      <c r="I22" s="23"/>
    </row>
    <row r="23" spans="1:78" ht="20.100000000000001" customHeight="1" x14ac:dyDescent="0.2">
      <c r="A23" s="700" t="str">
        <f ca="1">+'MED OBRA'!A23</f>
        <v>3.4</v>
      </c>
      <c r="B23" s="820" t="str">
        <f ca="1">+'MED OBRA'!B23:C23</f>
        <v>Hormigon de encamisado H-21</v>
      </c>
      <c r="C23" s="821"/>
      <c r="D23" s="701">
        <f ca="1">+'MED OBRA'!D23</f>
        <v>0</v>
      </c>
      <c r="E23" s="36"/>
      <c r="F23" s="702">
        <f>+'MED OBRA'!I23</f>
        <v>0</v>
      </c>
      <c r="G23" s="702">
        <f>+'MED OBRA'!J23</f>
        <v>0</v>
      </c>
      <c r="H23" s="702">
        <f>+'MED OBRA'!K23</f>
        <v>0</v>
      </c>
      <c r="I23" s="23"/>
    </row>
    <row r="24" spans="1:78" ht="20.100000000000001" customHeight="1" x14ac:dyDescent="0.2">
      <c r="A24" s="700" t="str">
        <f ca="1">+'MED OBRA'!A24</f>
        <v>3.5</v>
      </c>
      <c r="B24" s="820" t="str">
        <f ca="1">+'MED OBRA'!B24:C24</f>
        <v>Armadura colocada en obra</v>
      </c>
      <c r="C24" s="821"/>
      <c r="D24" s="701">
        <f ca="1">+'MED OBRA'!D24</f>
        <v>0</v>
      </c>
      <c r="E24" s="36"/>
      <c r="F24" s="702">
        <f>+'MED OBRA'!I24</f>
        <v>0</v>
      </c>
      <c r="G24" s="702">
        <f>+'MED OBRA'!J24</f>
        <v>0</v>
      </c>
      <c r="H24" s="702">
        <f>+'MED OBRA'!K24</f>
        <v>0</v>
      </c>
      <c r="I24" s="23"/>
    </row>
    <row r="25" spans="1:78" ht="20.100000000000001" customHeight="1" x14ac:dyDescent="0.2">
      <c r="A25" s="700">
        <f ca="1">+'MED OBRA'!A25</f>
        <v>4</v>
      </c>
      <c r="B25" s="820" t="str">
        <f ca="1">+'MED OBRA'!B25:C25</f>
        <v>PUENTES SOBRE CANAL</v>
      </c>
      <c r="C25" s="821"/>
      <c r="D25" s="701">
        <f ca="1">+'MED OBRA'!D25</f>
        <v>0</v>
      </c>
      <c r="E25" s="36"/>
      <c r="F25" s="702">
        <f>+'MED OBRA'!I25</f>
        <v>0</v>
      </c>
      <c r="G25" s="702">
        <f>+'MED OBRA'!J25</f>
        <v>0</v>
      </c>
      <c r="H25" s="702">
        <f>+'MED OBRA'!K25</f>
        <v>0</v>
      </c>
      <c r="I25" s="23"/>
    </row>
    <row r="26" spans="1:78" ht="20.100000000000001" customHeight="1" x14ac:dyDescent="0.2">
      <c r="A26" s="700" t="str">
        <f ca="1">+'MED OBRA'!A26</f>
        <v>4.2</v>
      </c>
      <c r="B26" s="820" t="str">
        <f ca="1">+'MED OBRA'!B26:C26</f>
        <v>Excavacion</v>
      </c>
      <c r="C26" s="821"/>
      <c r="D26" s="701">
        <f ca="1">+'MED OBRA'!D26</f>
        <v>0</v>
      </c>
      <c r="E26" s="36"/>
      <c r="F26" s="702">
        <f>+'MED OBRA'!I26</f>
        <v>0</v>
      </c>
      <c r="G26" s="702">
        <f>+'MED OBRA'!J26</f>
        <v>0</v>
      </c>
      <c r="H26" s="702">
        <f>+'MED OBRA'!K26</f>
        <v>0</v>
      </c>
      <c r="I26" s="23"/>
    </row>
    <row r="27" spans="1:78" ht="20.100000000000001" customHeight="1" x14ac:dyDescent="0.2">
      <c r="A27" s="700" t="str">
        <f ca="1">+'MED OBRA'!A27</f>
        <v>4.3</v>
      </c>
      <c r="B27" s="820" t="str">
        <f ca="1">+'MED OBRA'!B27:C27</f>
        <v>Hormigon H-21</v>
      </c>
      <c r="C27" s="821"/>
      <c r="D27" s="701">
        <f ca="1">+'MED OBRA'!D27</f>
        <v>0</v>
      </c>
      <c r="E27" s="36"/>
      <c r="F27" s="702">
        <f>+'MED OBRA'!I27</f>
        <v>0</v>
      </c>
      <c r="G27" s="702">
        <f>+'MED OBRA'!J27</f>
        <v>0</v>
      </c>
      <c r="H27" s="702">
        <f>+'MED OBRA'!K27</f>
        <v>0</v>
      </c>
      <c r="I27" s="23"/>
    </row>
    <row r="28" spans="1:78" ht="20.100000000000001" customHeight="1" x14ac:dyDescent="0.2">
      <c r="A28" s="700" t="str">
        <f ca="1">+'MED OBRA'!A28</f>
        <v>4.5</v>
      </c>
      <c r="B28" s="820" t="str">
        <f ca="1">+'MED OBRA'!B28:C28</f>
        <v>Armadura colocada en obra</v>
      </c>
      <c r="C28" s="821"/>
      <c r="D28" s="701">
        <f ca="1">+'MED OBRA'!D28</f>
        <v>0</v>
      </c>
      <c r="E28" s="36"/>
      <c r="F28" s="702">
        <f>+'MED OBRA'!I28</f>
        <v>0</v>
      </c>
      <c r="G28" s="702">
        <f>+'MED OBRA'!J28</f>
        <v>0</v>
      </c>
      <c r="H28" s="702">
        <f>+'MED OBRA'!K28</f>
        <v>0</v>
      </c>
      <c r="I28" s="23"/>
    </row>
    <row r="29" spans="1:78" ht="20.100000000000001" customHeight="1" x14ac:dyDescent="0.2">
      <c r="A29" s="700" t="e">
        <f>+'MED OBRA'!A29</f>
        <v>#REF!</v>
      </c>
      <c r="B29" s="820" t="e">
        <f>+'MED OBRA'!B29:C29</f>
        <v>#REF!</v>
      </c>
      <c r="C29" s="821"/>
      <c r="D29" s="701" t="e">
        <f>+'MED OBRA'!D29</f>
        <v>#REF!</v>
      </c>
      <c r="E29" s="36"/>
      <c r="F29" s="702">
        <f>+'MED OBRA'!I29</f>
        <v>0</v>
      </c>
      <c r="G29" s="702">
        <f>+'MED OBRA'!J29</f>
        <v>0.500903462322</v>
      </c>
      <c r="H29" s="702">
        <f>+'MED OBRA'!K29</f>
        <v>0.500903462322</v>
      </c>
      <c r="I29" s="23"/>
    </row>
    <row r="30" spans="1:78" ht="20.100000000000001" customHeight="1" x14ac:dyDescent="0.2">
      <c r="A30" s="700" t="e">
        <f>+'MED OBRA'!A30</f>
        <v>#REF!</v>
      </c>
      <c r="B30" s="820" t="e">
        <f>+'MED OBRA'!B30:C30</f>
        <v>#REF!</v>
      </c>
      <c r="C30" s="821"/>
      <c r="D30" s="701" t="e">
        <f>+'MED OBRA'!D30</f>
        <v>#REF!</v>
      </c>
      <c r="E30" s="36"/>
      <c r="F30" s="702">
        <f>+'MED OBRA'!I30</f>
        <v>0</v>
      </c>
      <c r="G30" s="702">
        <f>+'MED OBRA'!J30</f>
        <v>0.72</v>
      </c>
      <c r="H30" s="702">
        <f>+'MED OBRA'!K30</f>
        <v>0.72</v>
      </c>
      <c r="I30" s="23"/>
    </row>
    <row r="31" spans="1:78" s="10" customFormat="1" ht="20.100000000000001" customHeight="1" x14ac:dyDescent="0.2">
      <c r="A31" s="53" t="s">
        <v>3</v>
      </c>
      <c r="B31" s="35" t="s">
        <v>3</v>
      </c>
      <c r="C31" s="35"/>
      <c r="D31" s="54" t="s">
        <v>4</v>
      </c>
      <c r="E31" s="36"/>
      <c r="F31" s="703"/>
      <c r="G31" s="703"/>
      <c r="H31" s="703"/>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row>
    <row r="32" spans="1:78" ht="20.100000000000001" customHeight="1" x14ac:dyDescent="0.2">
      <c r="A32" s="53" t="s">
        <v>3</v>
      </c>
      <c r="B32" s="51" t="s">
        <v>7</v>
      </c>
      <c r="C32" s="55"/>
      <c r="D32" s="704" t="e">
        <f ca="1">SUM(D13:D31)</f>
        <v>#REF!</v>
      </c>
      <c r="E32" s="705"/>
      <c r="F32" s="706" t="e">
        <f ca="1">+SUMPRODUCT(F13:F30,$D$13:$D$30)</f>
        <v>#REF!</v>
      </c>
      <c r="G32" s="706" t="e">
        <f ca="1">+SUMPRODUCT(G13:G30,$D$13:$D$30)</f>
        <v>#REF!</v>
      </c>
      <c r="H32" s="706" t="e">
        <f ca="1">+SUMPRODUCT(H13:H30,$D$13:$D$30)</f>
        <v>#REF!</v>
      </c>
    </row>
    <row r="33" spans="1:8" ht="20.100000000000001" customHeight="1" x14ac:dyDescent="0.2">
      <c r="A33" s="38" t="s">
        <v>919</v>
      </c>
      <c r="B33" s="38"/>
      <c r="C33" s="38"/>
      <c r="D33" s="38"/>
      <c r="E33" s="39"/>
      <c r="F33" s="707"/>
      <c r="G33" s="42"/>
      <c r="H33" s="42"/>
    </row>
    <row r="34" spans="1:8" ht="20.100000000000001" customHeight="1" x14ac:dyDescent="0.2">
      <c r="E34" s="28"/>
    </row>
    <row r="35" spans="1:8" ht="20.100000000000001" customHeight="1" x14ac:dyDescent="0.2"/>
    <row r="36" spans="1:8" ht="20.100000000000001" customHeight="1" x14ac:dyDescent="0.2"/>
    <row r="37" spans="1:8" ht="20.100000000000001" customHeight="1" x14ac:dyDescent="0.2"/>
    <row r="38" spans="1:8" ht="20.100000000000001" customHeight="1" x14ac:dyDescent="0.2"/>
    <row r="39" spans="1:8" ht="20.100000000000001" customHeight="1" x14ac:dyDescent="0.2"/>
    <row r="40" spans="1:8" ht="20.100000000000001" customHeight="1" x14ac:dyDescent="0.2"/>
    <row r="41" spans="1:8" ht="20.100000000000001" customHeight="1" x14ac:dyDescent="0.2"/>
    <row r="42" spans="1:8" ht="20.100000000000001" customHeight="1" x14ac:dyDescent="0.2"/>
    <row r="43" spans="1:8" ht="20.100000000000001" customHeight="1" x14ac:dyDescent="0.2"/>
    <row r="44" spans="1:8" ht="20.100000000000001" customHeight="1" x14ac:dyDescent="0.2"/>
    <row r="45" spans="1:8" ht="20.100000000000001" customHeight="1" x14ac:dyDescent="0.2"/>
    <row r="46" spans="1:8" ht="20.100000000000001" customHeight="1" x14ac:dyDescent="0.2"/>
    <row r="47" spans="1:8" ht="20.100000000000001" customHeight="1" x14ac:dyDescent="0.2"/>
    <row r="48" spans="1: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3">
    <mergeCell ref="B29:C29"/>
    <mergeCell ref="B30:C30"/>
    <mergeCell ref="B23:C23"/>
    <mergeCell ref="B24:C24"/>
    <mergeCell ref="B25:C25"/>
    <mergeCell ref="B26:C26"/>
    <mergeCell ref="B27:C27"/>
    <mergeCell ref="B19:C19"/>
    <mergeCell ref="B20:C20"/>
    <mergeCell ref="B21:C21"/>
    <mergeCell ref="B22:C22"/>
    <mergeCell ref="B28:C28"/>
    <mergeCell ref="B18:C18"/>
    <mergeCell ref="B14:C14"/>
    <mergeCell ref="B15:C15"/>
    <mergeCell ref="B16:C16"/>
    <mergeCell ref="B17:C17"/>
    <mergeCell ref="F10:H10"/>
    <mergeCell ref="B13:C13"/>
    <mergeCell ref="A8:D8"/>
    <mergeCell ref="A10:A11"/>
    <mergeCell ref="B10:C11"/>
    <mergeCell ref="D10:D11"/>
  </mergeCells>
  <conditionalFormatting sqref="A31:A32 A13:B30">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1:C31">
    <cfRule type="expression" dxfId="74" priority="7" stopIfTrue="1">
      <formula>#REF!&gt;0</formula>
    </cfRule>
    <cfRule type="expression" dxfId="73" priority="8" stopIfTrue="1">
      <formula>#REF!&gt;0</formula>
    </cfRule>
    <cfRule type="expression" dxfId="72" priority="9"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27"/>
  <sheetViews>
    <sheetView view="pageBreakPreview" topLeftCell="A10" zoomScaleNormal="100" zoomScaleSheetLayoutView="100" workbookViewId="0">
      <selection activeCell="K32" sqref="I32:K32"/>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1.28515625" style="761" bestFit="1" customWidth="1"/>
    <col min="9" max="9" width="14" style="10" customWidth="1"/>
    <col min="10" max="10" width="12.42578125" style="9" customWidth="1"/>
    <col min="11" max="11" width="13.28515625" style="9" customWidth="1"/>
    <col min="12" max="12" width="10.7109375" style="10" customWidth="1"/>
    <col min="13" max="32" width="10.7109375" style="88" customWidth="1"/>
    <col min="33" max="81" width="11.42578125" style="88"/>
    <col min="82" max="16384" width="11.42578125" style="9"/>
  </cols>
  <sheetData>
    <row r="1" spans="1:81" s="5" customFormat="1" ht="20.100000000000001" customHeight="1" x14ac:dyDescent="0.2">
      <c r="A1" s="3" t="s">
        <v>8</v>
      </c>
      <c r="B1" s="3"/>
      <c r="C1" s="3" t="str">
        <f>Comitente</f>
        <v>DEPARTAMENTO DE HIDRAULICA</v>
      </c>
      <c r="D1" s="4"/>
      <c r="H1" s="753"/>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row>
    <row r="2" spans="1:81" s="6" customFormat="1" ht="20.100000000000001" customHeight="1" x14ac:dyDescent="0.2">
      <c r="A2" s="13" t="s">
        <v>9</v>
      </c>
      <c r="B2" s="13"/>
      <c r="C2" s="13" t="str">
        <f>Obra</f>
        <v>ENCAMISADO CANAL GENERAL COCHAGUAL</v>
      </c>
      <c r="H2" s="754"/>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row>
    <row r="3" spans="1:81" s="6" customFormat="1" ht="20.100000000000001" customHeight="1" x14ac:dyDescent="0.2">
      <c r="A3" s="13" t="s">
        <v>13</v>
      </c>
      <c r="B3" s="13"/>
      <c r="C3" s="13" t="str">
        <f>Ubicación</f>
        <v>DEPARTAMENTO SARMIENTO</v>
      </c>
      <c r="H3" s="754"/>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row>
    <row r="4" spans="1:81" s="6" customFormat="1" ht="20.100000000000001" customHeight="1" x14ac:dyDescent="0.2">
      <c r="A4" s="13" t="s">
        <v>12</v>
      </c>
      <c r="B4" s="14"/>
      <c r="C4" s="68" t="str">
        <f>Licitación_N°</f>
        <v>06/2021</v>
      </c>
      <c r="H4" s="754"/>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row>
    <row r="5" spans="1:81" s="6" customFormat="1" ht="20.100000000000001" customHeight="1" thickBot="1" x14ac:dyDescent="0.25">
      <c r="A5" s="13" t="s">
        <v>14</v>
      </c>
      <c r="B5" s="14"/>
      <c r="C5" s="69">
        <f>Plazo_Obra</f>
        <v>120</v>
      </c>
      <c r="H5" s="754"/>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row>
    <row r="6" spans="1:81" s="6" customFormat="1" ht="20.100000000000001" customHeight="1" thickBot="1" x14ac:dyDescent="0.25">
      <c r="A6" s="13" t="s">
        <v>10</v>
      </c>
      <c r="B6" s="13"/>
      <c r="C6" s="13">
        <f>+Contratista</f>
        <v>0</v>
      </c>
      <c r="H6" s="754"/>
      <c r="I6" s="710" t="s">
        <v>1953</v>
      </c>
      <c r="J6" s="711">
        <v>43831</v>
      </c>
      <c r="K6" s="712" t="e">
        <f ca="1">+J32</f>
        <v>#REF!</v>
      </c>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row>
    <row r="7" spans="1:81" s="2" customFormat="1" ht="20.100000000000001" customHeight="1" x14ac:dyDescent="0.2">
      <c r="C7" s="2">
        <v>419</v>
      </c>
      <c r="H7" s="755"/>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row>
    <row r="8" spans="1:81" s="2" customFormat="1" ht="20.100000000000001" customHeight="1" x14ac:dyDescent="0.2">
      <c r="A8" s="810" t="s">
        <v>1954</v>
      </c>
      <c r="B8" s="811"/>
      <c r="C8" s="811"/>
      <c r="D8" s="812"/>
      <c r="E8" s="8"/>
      <c r="F8" s="8"/>
      <c r="G8" s="8"/>
      <c r="H8" s="756"/>
      <c r="I8" s="8"/>
      <c r="J8" s="8"/>
      <c r="K8" s="8"/>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10" spans="1:81" ht="12.75" x14ac:dyDescent="0.2">
      <c r="A10" s="785" t="s">
        <v>893</v>
      </c>
      <c r="B10" s="813" t="s">
        <v>0</v>
      </c>
      <c r="C10" s="813"/>
      <c r="D10" s="815" t="s">
        <v>11</v>
      </c>
      <c r="E10" s="47"/>
      <c r="F10" s="815" t="s">
        <v>1958</v>
      </c>
      <c r="G10" s="815" t="s">
        <v>1959</v>
      </c>
      <c r="H10" s="822" t="s">
        <v>1960</v>
      </c>
      <c r="I10" s="823">
        <v>1</v>
      </c>
      <c r="J10" s="824"/>
      <c r="K10" s="825"/>
      <c r="L10" s="21"/>
    </row>
    <row r="11" spans="1:81" ht="25.5" x14ac:dyDescent="0.2">
      <c r="A11" s="785"/>
      <c r="B11" s="813"/>
      <c r="C11" s="813"/>
      <c r="D11" s="815"/>
      <c r="E11" s="47"/>
      <c r="F11" s="815"/>
      <c r="G11" s="815"/>
      <c r="H11" s="822"/>
      <c r="I11" s="681" t="s">
        <v>1955</v>
      </c>
      <c r="J11" s="681" t="s">
        <v>1956</v>
      </c>
      <c r="K11" s="681" t="s">
        <v>1957</v>
      </c>
      <c r="L11" s="22"/>
    </row>
    <row r="12" spans="1:81" ht="20.100000000000001" customHeight="1" thickBot="1" x14ac:dyDescent="0.25">
      <c r="A12" s="713"/>
      <c r="B12" s="714"/>
      <c r="C12" s="714"/>
      <c r="D12" s="715"/>
      <c r="E12" s="47"/>
      <c r="F12" s="47"/>
      <c r="G12" s="47"/>
      <c r="H12" s="757"/>
      <c r="I12" s="698"/>
      <c r="J12" s="698"/>
      <c r="K12" s="698"/>
      <c r="L12" s="699"/>
    </row>
    <row r="13" spans="1:81" ht="28.5" customHeight="1" thickBot="1" x14ac:dyDescent="0.25">
      <c r="A13" s="716" t="str">
        <f ca="1">+CyP!A18</f>
        <v>1.1</v>
      </c>
      <c r="B13" s="826" t="str">
        <f ca="1">+CyP!B18</f>
        <v>Elaboracion Proyecto Ejecutivo</v>
      </c>
      <c r="C13" s="827"/>
      <c r="D13" s="717">
        <f ca="1">+CyP!I18</f>
        <v>0</v>
      </c>
      <c r="E13" s="36"/>
      <c r="F13" s="718" t="str">
        <f t="shared" ref="F13:F30" ca="1" si="0">+B13</f>
        <v>Elaboracion Proyecto Ejecutivo</v>
      </c>
      <c r="G13" s="719">
        <v>1</v>
      </c>
      <c r="H13" s="758"/>
      <c r="I13" s="752"/>
      <c r="J13" s="720">
        <f t="shared" ref="J13:J30" si="1">+K13-I13</f>
        <v>0</v>
      </c>
      <c r="K13" s="751">
        <f t="shared" ref="K13:K18" si="2">+H13*G13</f>
        <v>0</v>
      </c>
    </row>
    <row r="14" spans="1:81" ht="28.5" customHeight="1" thickBot="1" x14ac:dyDescent="0.25">
      <c r="A14" s="716">
        <f ca="1">+CyP!A19</f>
        <v>2</v>
      </c>
      <c r="B14" s="826" t="str">
        <f ca="1">+CyP!B19</f>
        <v>CANAL GENERAL COCHAGUAL Progresiva 4080-4880</v>
      </c>
      <c r="C14" s="827"/>
      <c r="D14" s="717">
        <f ca="1">+CyP!I19</f>
        <v>0</v>
      </c>
      <c r="E14" s="36"/>
      <c r="F14" s="718" t="str">
        <f t="shared" ca="1" si="0"/>
        <v>CANAL GENERAL COCHAGUAL Progresiva 4080-4880</v>
      </c>
      <c r="G14" s="719">
        <v>1</v>
      </c>
      <c r="H14" s="758"/>
      <c r="I14" s="752"/>
      <c r="J14" s="720">
        <f t="shared" si="1"/>
        <v>0</v>
      </c>
      <c r="K14" s="751">
        <f t="shared" si="2"/>
        <v>0</v>
      </c>
    </row>
    <row r="15" spans="1:81" ht="28.5" customHeight="1" thickBot="1" x14ac:dyDescent="0.25">
      <c r="A15" s="716" t="str">
        <f ca="1">+CyP!A20</f>
        <v>2.1</v>
      </c>
      <c r="B15" s="826" t="str">
        <f ca="1">+CyP!B20</f>
        <v>Limpieza y Replanteo</v>
      </c>
      <c r="C15" s="827"/>
      <c r="D15" s="717">
        <f ca="1">+CyP!I20</f>
        <v>0</v>
      </c>
      <c r="E15" s="36"/>
      <c r="F15" s="718" t="str">
        <f t="shared" ca="1" si="0"/>
        <v>Limpieza y Replanteo</v>
      </c>
      <c r="G15" s="719">
        <v>1</v>
      </c>
      <c r="H15" s="758"/>
      <c r="I15" s="752"/>
      <c r="J15" s="720">
        <f t="shared" si="1"/>
        <v>0</v>
      </c>
      <c r="K15" s="751">
        <f t="shared" si="2"/>
        <v>0</v>
      </c>
    </row>
    <row r="16" spans="1:81" ht="28.5" customHeight="1" thickBot="1" x14ac:dyDescent="0.25">
      <c r="A16" s="716" t="str">
        <f ca="1">+CyP!A21</f>
        <v>2.2</v>
      </c>
      <c r="B16" s="826" t="str">
        <f ca="1">+CyP!B21</f>
        <v>Relleno y compactacion de posibles oquedadas laterales</v>
      </c>
      <c r="C16" s="827"/>
      <c r="D16" s="717">
        <f ca="1">+CyP!I21</f>
        <v>0</v>
      </c>
      <c r="E16" s="36"/>
      <c r="F16" s="718" t="str">
        <f t="shared" ca="1" si="0"/>
        <v>Relleno y compactacion de posibles oquedadas laterales</v>
      </c>
      <c r="G16" s="719">
        <v>1</v>
      </c>
      <c r="H16" s="758"/>
      <c r="I16" s="752"/>
      <c r="J16" s="720">
        <f t="shared" si="1"/>
        <v>0</v>
      </c>
      <c r="K16" s="751">
        <f t="shared" si="2"/>
        <v>0</v>
      </c>
    </row>
    <row r="17" spans="1:81" ht="28.5" customHeight="1" thickBot="1" x14ac:dyDescent="0.25">
      <c r="A17" s="716" t="str">
        <f ca="1">+CyP!A22</f>
        <v>2.3</v>
      </c>
      <c r="B17" s="826" t="str">
        <f ca="1">+CyP!B22</f>
        <v>Relleno y compactacion de posibles oquedades laterales con la adicion de una bolsa de cemento portland puzolanico por m3 de rellemo</v>
      </c>
      <c r="C17" s="827"/>
      <c r="D17" s="717">
        <f ca="1">+CyP!I22</f>
        <v>0</v>
      </c>
      <c r="E17" s="36"/>
      <c r="F17" s="718" t="str">
        <f t="shared" ca="1" si="0"/>
        <v>Relleno y compactacion de posibles oquedades laterales con la adicion de una bolsa de cemento portland puzolanico por m3 de rellemo</v>
      </c>
      <c r="G17" s="719">
        <v>1</v>
      </c>
      <c r="H17" s="758"/>
      <c r="I17" s="752"/>
      <c r="J17" s="720">
        <f t="shared" si="1"/>
        <v>0</v>
      </c>
      <c r="K17" s="751">
        <f t="shared" si="2"/>
        <v>0</v>
      </c>
    </row>
    <row r="18" spans="1:81" ht="28.5" customHeight="1" thickBot="1" x14ac:dyDescent="0.25">
      <c r="A18" s="716" t="str">
        <f ca="1">+CyP!A24</f>
        <v>2.5</v>
      </c>
      <c r="B18" s="826" t="str">
        <f ca="1">+CyP!B24</f>
        <v>Armadura colocada en obra</v>
      </c>
      <c r="C18" s="827"/>
      <c r="D18" s="717">
        <f ca="1">+CyP!I24</f>
        <v>0</v>
      </c>
      <c r="E18" s="36"/>
      <c r="F18" s="718" t="str">
        <f t="shared" ca="1" si="0"/>
        <v>Armadura colocada en obra</v>
      </c>
      <c r="G18" s="719">
        <v>1</v>
      </c>
      <c r="H18" s="758"/>
      <c r="I18" s="752"/>
      <c r="J18" s="720">
        <f t="shared" si="1"/>
        <v>0</v>
      </c>
      <c r="K18" s="751">
        <f t="shared" si="2"/>
        <v>0</v>
      </c>
    </row>
    <row r="19" spans="1:81" ht="28.5" customHeight="1" thickBot="1" x14ac:dyDescent="0.25">
      <c r="A19" s="716" t="str">
        <f ca="1">+CyP!A25</f>
        <v>2.6</v>
      </c>
      <c r="B19" s="826" t="str">
        <f ca="1">+CyP!B25</f>
        <v>Juntas de contraccion y dilatacion</v>
      </c>
      <c r="C19" s="827"/>
      <c r="D19" s="717">
        <f ca="1">+CyP!I25</f>
        <v>0</v>
      </c>
      <c r="E19" s="36"/>
      <c r="F19" s="718" t="str">
        <f t="shared" ca="1" si="0"/>
        <v>Juntas de contraccion y dilatacion</v>
      </c>
      <c r="G19" s="719">
        <v>1</v>
      </c>
      <c r="H19" s="758">
        <v>1</v>
      </c>
      <c r="I19" s="752"/>
      <c r="J19" s="720">
        <f t="shared" si="1"/>
        <v>1</v>
      </c>
      <c r="K19" s="751">
        <f>+H19*G19</f>
        <v>1</v>
      </c>
    </row>
    <row r="20" spans="1:81" ht="28.5" customHeight="1" thickBot="1" x14ac:dyDescent="0.25">
      <c r="A20" s="716" t="str">
        <f ca="1">+CyP!A27</f>
        <v>3.1</v>
      </c>
      <c r="B20" s="826" t="str">
        <f ca="1">+CyP!B27</f>
        <v>Limpieza y Replanteo</v>
      </c>
      <c r="C20" s="827"/>
      <c r="D20" s="717">
        <f ca="1">+CyP!I27</f>
        <v>0</v>
      </c>
      <c r="E20" s="36"/>
      <c r="F20" s="718" t="str">
        <f t="shared" ca="1" si="0"/>
        <v>Limpieza y Replanteo</v>
      </c>
      <c r="G20" s="719">
        <v>1</v>
      </c>
      <c r="H20" s="758"/>
      <c r="I20" s="752"/>
      <c r="J20" s="720">
        <f t="shared" si="1"/>
        <v>0</v>
      </c>
      <c r="K20" s="751">
        <f t="shared" ref="K20:K30" si="3">+H20*G20</f>
        <v>0</v>
      </c>
    </row>
    <row r="21" spans="1:81" ht="28.5" customHeight="1" thickBot="1" x14ac:dyDescent="0.25">
      <c r="A21" s="716" t="str">
        <f ca="1">+CyP!A28</f>
        <v>3.2</v>
      </c>
      <c r="B21" s="826" t="str">
        <f ca="1">+CyP!B28</f>
        <v>Relleno y compactacion de posibles oquedadas laterales</v>
      </c>
      <c r="C21" s="827"/>
      <c r="D21" s="717">
        <f ca="1">+CyP!I28</f>
        <v>0</v>
      </c>
      <c r="E21" s="36"/>
      <c r="F21" s="718" t="str">
        <f t="shared" ca="1" si="0"/>
        <v>Relleno y compactacion de posibles oquedadas laterales</v>
      </c>
      <c r="G21" s="719">
        <v>1</v>
      </c>
      <c r="H21" s="758"/>
      <c r="I21" s="752"/>
      <c r="J21" s="720">
        <f t="shared" si="1"/>
        <v>0</v>
      </c>
      <c r="K21" s="751">
        <f t="shared" si="3"/>
        <v>0</v>
      </c>
    </row>
    <row r="22" spans="1:81" ht="28.5" customHeight="1" thickBot="1" x14ac:dyDescent="0.25">
      <c r="A22" s="716" t="str">
        <f ca="1">+CyP!A29</f>
        <v>3.3</v>
      </c>
      <c r="B22" s="826" t="str">
        <f ca="1">+CyP!B29</f>
        <v>Relleno y compactacion de posibles oquedades laterales con la adicion de una bolsa de cemento portland puzolanico por m3 de rellemo</v>
      </c>
      <c r="C22" s="827"/>
      <c r="D22" s="717">
        <f ca="1">+CyP!I29</f>
        <v>0</v>
      </c>
      <c r="E22" s="36"/>
      <c r="F22" s="718" t="str">
        <f t="shared" ca="1" si="0"/>
        <v>Relleno y compactacion de posibles oquedades laterales con la adicion de una bolsa de cemento portland puzolanico por m3 de rellemo</v>
      </c>
      <c r="G22" s="719">
        <v>1</v>
      </c>
      <c r="H22" s="758"/>
      <c r="I22" s="752"/>
      <c r="J22" s="720">
        <f t="shared" si="1"/>
        <v>0</v>
      </c>
      <c r="K22" s="751">
        <f t="shared" si="3"/>
        <v>0</v>
      </c>
    </row>
    <row r="23" spans="1:81" ht="28.5" customHeight="1" thickBot="1" x14ac:dyDescent="0.25">
      <c r="A23" s="716" t="str">
        <f ca="1">+CyP!A30</f>
        <v>3.4</v>
      </c>
      <c r="B23" s="826" t="str">
        <f ca="1">+CyP!B30</f>
        <v>Hormigon de encamisado H-21</v>
      </c>
      <c r="C23" s="827"/>
      <c r="D23" s="717">
        <f ca="1">+CyP!I30</f>
        <v>0</v>
      </c>
      <c r="E23" s="36"/>
      <c r="F23" s="718" t="str">
        <f t="shared" ca="1" si="0"/>
        <v>Hormigon de encamisado H-21</v>
      </c>
      <c r="G23" s="719">
        <v>1</v>
      </c>
      <c r="H23" s="758"/>
      <c r="I23" s="752"/>
      <c r="J23" s="720">
        <f t="shared" si="1"/>
        <v>0</v>
      </c>
      <c r="K23" s="751">
        <f t="shared" si="3"/>
        <v>0</v>
      </c>
    </row>
    <row r="24" spans="1:81" ht="28.5" customHeight="1" thickBot="1" x14ac:dyDescent="0.25">
      <c r="A24" s="716" t="str">
        <f ca="1">+CyP!A31</f>
        <v>3.5</v>
      </c>
      <c r="B24" s="826" t="str">
        <f ca="1">+CyP!B31</f>
        <v>Armadura colocada en obra</v>
      </c>
      <c r="C24" s="827"/>
      <c r="D24" s="717">
        <f ca="1">+CyP!I31</f>
        <v>0</v>
      </c>
      <c r="E24" s="36"/>
      <c r="F24" s="718" t="str">
        <f t="shared" ca="1" si="0"/>
        <v>Armadura colocada en obra</v>
      </c>
      <c r="G24" s="719">
        <v>1</v>
      </c>
      <c r="H24" s="758"/>
      <c r="I24" s="752"/>
      <c r="J24" s="720">
        <f t="shared" si="1"/>
        <v>0</v>
      </c>
      <c r="K24" s="751">
        <f t="shared" si="3"/>
        <v>0</v>
      </c>
    </row>
    <row r="25" spans="1:81" ht="28.5" customHeight="1" thickBot="1" x14ac:dyDescent="0.25">
      <c r="A25" s="716">
        <f ca="1">+CyP!A33</f>
        <v>4</v>
      </c>
      <c r="B25" s="826" t="str">
        <f ca="1">+CyP!B33</f>
        <v>PUENTES SOBRE CANAL</v>
      </c>
      <c r="C25" s="827"/>
      <c r="D25" s="717">
        <f ca="1">+CyP!I33</f>
        <v>0</v>
      </c>
      <c r="E25" s="36"/>
      <c r="F25" s="718" t="str">
        <f t="shared" ca="1" si="0"/>
        <v>PUENTES SOBRE CANAL</v>
      </c>
      <c r="G25" s="719">
        <v>1</v>
      </c>
      <c r="H25" s="758"/>
      <c r="I25" s="752"/>
      <c r="J25" s="720">
        <f t="shared" si="1"/>
        <v>0</v>
      </c>
      <c r="K25" s="751">
        <f t="shared" si="3"/>
        <v>0</v>
      </c>
    </row>
    <row r="26" spans="1:81" ht="28.5" customHeight="1" thickBot="1" x14ac:dyDescent="0.25">
      <c r="A26" s="716" t="str">
        <f ca="1">+CyP!A35</f>
        <v>4.2</v>
      </c>
      <c r="B26" s="826" t="str">
        <f ca="1">+CyP!B35</f>
        <v>Excavacion</v>
      </c>
      <c r="C26" s="827"/>
      <c r="D26" s="717">
        <f ca="1">+CyP!I35</f>
        <v>0</v>
      </c>
      <c r="E26" s="36"/>
      <c r="F26" s="718" t="str">
        <f t="shared" ca="1" si="0"/>
        <v>Excavacion</v>
      </c>
      <c r="G26" s="719">
        <v>1</v>
      </c>
      <c r="H26" s="758"/>
      <c r="I26" s="752"/>
      <c r="J26" s="720">
        <f t="shared" si="1"/>
        <v>0</v>
      </c>
      <c r="K26" s="751">
        <f t="shared" si="3"/>
        <v>0</v>
      </c>
    </row>
    <row r="27" spans="1:81" ht="28.5" customHeight="1" thickBot="1" x14ac:dyDescent="0.25">
      <c r="A27" s="716" t="str">
        <f ca="1">+CyP!A36</f>
        <v>4.3</v>
      </c>
      <c r="B27" s="826" t="str">
        <f ca="1">+CyP!B36</f>
        <v>Hormigon H-21</v>
      </c>
      <c r="C27" s="827"/>
      <c r="D27" s="717">
        <f ca="1">+CyP!I36</f>
        <v>0</v>
      </c>
      <c r="E27" s="36"/>
      <c r="F27" s="718" t="str">
        <f t="shared" ca="1" si="0"/>
        <v>Hormigon H-21</v>
      </c>
      <c r="G27" s="719">
        <v>1</v>
      </c>
      <c r="H27" s="758"/>
      <c r="I27" s="752"/>
      <c r="J27" s="720">
        <f t="shared" si="1"/>
        <v>0</v>
      </c>
      <c r="K27" s="751">
        <f t="shared" si="3"/>
        <v>0</v>
      </c>
    </row>
    <row r="28" spans="1:81" ht="28.5" customHeight="1" thickBot="1" x14ac:dyDescent="0.25">
      <c r="A28" s="716" t="str">
        <f ca="1">+CyP!A38</f>
        <v>4.5</v>
      </c>
      <c r="B28" s="826" t="str">
        <f ca="1">+CyP!B38</f>
        <v>Armadura colocada en obra</v>
      </c>
      <c r="C28" s="827"/>
      <c r="D28" s="717">
        <f ca="1">+CyP!I38</f>
        <v>0</v>
      </c>
      <c r="E28" s="36"/>
      <c r="F28" s="718" t="str">
        <f t="shared" ca="1" si="0"/>
        <v>Armadura colocada en obra</v>
      </c>
      <c r="G28" s="719">
        <v>1</v>
      </c>
      <c r="H28" s="758"/>
      <c r="I28" s="752"/>
      <c r="J28" s="720">
        <f t="shared" si="1"/>
        <v>0</v>
      </c>
      <c r="K28" s="751">
        <f t="shared" si="3"/>
        <v>0</v>
      </c>
    </row>
    <row r="29" spans="1:81" ht="28.5" customHeight="1" thickBot="1" x14ac:dyDescent="0.25">
      <c r="A29" s="716" t="e">
        <f>+CyP!#REF!</f>
        <v>#REF!</v>
      </c>
      <c r="B29" s="826" t="e">
        <f>+CyP!#REF!</f>
        <v>#REF!</v>
      </c>
      <c r="C29" s="827"/>
      <c r="D29" s="717" t="e">
        <f>+CyP!#REF!</f>
        <v>#REF!</v>
      </c>
      <c r="E29" s="36"/>
      <c r="F29" s="718" t="e">
        <f t="shared" si="0"/>
        <v>#REF!</v>
      </c>
      <c r="G29" s="719">
        <v>1</v>
      </c>
      <c r="H29" s="758">
        <v>0.500903462322</v>
      </c>
      <c r="I29" s="752"/>
      <c r="J29" s="720">
        <f t="shared" si="1"/>
        <v>0.500903462322</v>
      </c>
      <c r="K29" s="751">
        <f t="shared" si="3"/>
        <v>0.500903462322</v>
      </c>
    </row>
    <row r="30" spans="1:81" ht="28.5" customHeight="1" thickBot="1" x14ac:dyDescent="0.25">
      <c r="A30" s="716" t="e">
        <f>+CyP!#REF!</f>
        <v>#REF!</v>
      </c>
      <c r="B30" s="826" t="e">
        <f>+CyP!#REF!</f>
        <v>#REF!</v>
      </c>
      <c r="C30" s="827"/>
      <c r="D30" s="717" t="e">
        <f>+CyP!#REF!</f>
        <v>#REF!</v>
      </c>
      <c r="E30" s="36"/>
      <c r="F30" s="718" t="e">
        <f t="shared" si="0"/>
        <v>#REF!</v>
      </c>
      <c r="G30" s="719">
        <v>1</v>
      </c>
      <c r="H30" s="758">
        <v>0.72</v>
      </c>
      <c r="I30" s="752"/>
      <c r="J30" s="720">
        <f t="shared" si="1"/>
        <v>0.72</v>
      </c>
      <c r="K30" s="751">
        <f t="shared" si="3"/>
        <v>0.72</v>
      </c>
    </row>
    <row r="31" spans="1:81" s="10" customFormat="1" ht="20.100000000000001" customHeight="1" x14ac:dyDescent="0.2">
      <c r="A31" s="721" t="s">
        <v>3</v>
      </c>
      <c r="B31" s="722" t="s">
        <v>3</v>
      </c>
      <c r="C31" s="722"/>
      <c r="D31" s="723" t="s">
        <v>4</v>
      </c>
      <c r="E31" s="36"/>
      <c r="F31" s="36"/>
      <c r="G31" s="36"/>
      <c r="H31" s="754"/>
      <c r="I31" s="703"/>
      <c r="J31" s="703"/>
      <c r="K31" s="703"/>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row>
    <row r="32" spans="1:81" ht="20.100000000000001" customHeight="1" x14ac:dyDescent="0.2">
      <c r="A32" s="53" t="s">
        <v>3</v>
      </c>
      <c r="B32" s="51" t="s">
        <v>7</v>
      </c>
      <c r="C32" s="55"/>
      <c r="D32" s="724" t="e">
        <f ca="1">SUM(D13:D31)</f>
        <v>#REF!</v>
      </c>
      <c r="E32" s="705"/>
      <c r="F32" s="705"/>
      <c r="G32" s="705"/>
      <c r="H32" s="759"/>
      <c r="I32" s="725" t="e">
        <f t="shared" ref="I32:J32" ca="1" si="4">+SUMPRODUCT(I13:I30,$D$13:$D$30)</f>
        <v>#REF!</v>
      </c>
      <c r="J32" s="725" t="e">
        <f t="shared" ca="1" si="4"/>
        <v>#REF!</v>
      </c>
      <c r="K32" s="725" t="e">
        <f ca="1">+SUMPRODUCT(K13:K30,$D$13:$D$30)</f>
        <v>#REF!</v>
      </c>
    </row>
    <row r="33" spans="1:11" ht="20.100000000000001" customHeight="1" x14ac:dyDescent="0.2">
      <c r="A33" s="38"/>
      <c r="B33" s="38"/>
      <c r="C33" s="38"/>
      <c r="D33" s="38"/>
      <c r="E33" s="39"/>
      <c r="F33" s="39"/>
      <c r="G33" s="39"/>
      <c r="H33" s="754"/>
      <c r="I33" s="39"/>
      <c r="J33" s="38"/>
      <c r="K33" s="38"/>
    </row>
    <row r="34" spans="1:11" ht="20.100000000000001" customHeight="1" x14ac:dyDescent="0.2">
      <c r="E34" s="28"/>
      <c r="F34" s="28"/>
      <c r="G34" s="28"/>
      <c r="H34" s="760"/>
      <c r="I34" s="28"/>
    </row>
    <row r="35" spans="1:11" ht="20.100000000000001" customHeight="1" x14ac:dyDescent="0.2"/>
    <row r="36" spans="1:11" ht="20.100000000000001" customHeight="1" x14ac:dyDescent="0.2"/>
    <row r="37" spans="1:11" ht="20.100000000000001" customHeight="1" x14ac:dyDescent="0.2"/>
    <row r="38" spans="1:11" ht="20.100000000000001" customHeight="1" x14ac:dyDescent="0.2"/>
    <row r="39" spans="1:11" ht="20.100000000000001" customHeight="1" x14ac:dyDescent="0.2"/>
    <row r="40" spans="1:11" ht="20.100000000000001" customHeight="1" x14ac:dyDescent="0.2"/>
    <row r="41" spans="1:11" ht="20.100000000000001" customHeight="1" x14ac:dyDescent="0.2"/>
    <row r="42" spans="1:11" ht="20.100000000000001" customHeight="1" x14ac:dyDescent="0.2"/>
    <row r="43" spans="1:11" ht="20.100000000000001" customHeight="1" x14ac:dyDescent="0.2"/>
    <row r="44" spans="1:11" ht="20.100000000000001" customHeight="1" x14ac:dyDescent="0.2"/>
    <row r="45" spans="1:11" ht="20.100000000000001" customHeight="1" x14ac:dyDescent="0.2"/>
    <row r="46" spans="1:11" ht="20.100000000000001" customHeight="1" x14ac:dyDescent="0.2"/>
    <row r="47" spans="1:11" ht="20.100000000000001" customHeight="1" x14ac:dyDescent="0.2"/>
    <row r="48" spans="1:1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6">
    <mergeCell ref="B30:C30"/>
    <mergeCell ref="B27:C27"/>
    <mergeCell ref="B28:C28"/>
    <mergeCell ref="B29:C29"/>
    <mergeCell ref="B20:C20"/>
    <mergeCell ref="B21:C21"/>
    <mergeCell ref="B22:C22"/>
    <mergeCell ref="B23:C23"/>
    <mergeCell ref="B24:C24"/>
    <mergeCell ref="B25:C25"/>
    <mergeCell ref="B26:C26"/>
    <mergeCell ref="A8:D8"/>
    <mergeCell ref="A10:A11"/>
    <mergeCell ref="B10:C11"/>
    <mergeCell ref="D10:D11"/>
    <mergeCell ref="F10:F11"/>
    <mergeCell ref="H10:H11"/>
    <mergeCell ref="I10:K10"/>
    <mergeCell ref="G10:G11"/>
    <mergeCell ref="B18:C18"/>
    <mergeCell ref="B19:C19"/>
    <mergeCell ref="B13:C13"/>
    <mergeCell ref="B14:C14"/>
    <mergeCell ref="B15:C15"/>
    <mergeCell ref="B16:C16"/>
    <mergeCell ref="B17:C17"/>
  </mergeCells>
  <conditionalFormatting sqref="A31:A32 A13:B30">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B31:C31">
    <cfRule type="expression" dxfId="68" priority="7" stopIfTrue="1">
      <formula>#REF!&gt;0</formula>
    </cfRule>
    <cfRule type="expression" dxfId="67" priority="8" stopIfTrue="1">
      <formula>#REF!&gt;0</formula>
    </cfRule>
    <cfRule type="expression" dxfId="66" priority="9" stopIfTrue="1">
      <formula>#REF!&gt;0</formula>
    </cfRule>
  </conditionalFormatting>
  <pageMargins left="0.7" right="0.7" top="0.75" bottom="0.75" header="0.3" footer="0.3"/>
  <pageSetup scale="53" orientation="portrait" r:id="rId1"/>
  <colBreaks count="1" manualBreakCount="1">
    <brk id="11" max="3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E33" sqref="E33"/>
    </sheetView>
  </sheetViews>
  <sheetFormatPr baseColWidth="10" defaultRowHeight="12.75" x14ac:dyDescent="0.2"/>
  <cols>
    <col min="1" max="1" width="8.42578125" style="674" customWidth="1"/>
    <col min="2" max="2" width="12.42578125" style="555" customWidth="1"/>
    <col min="3" max="3" width="48.5703125" style="555" customWidth="1"/>
    <col min="4" max="4" width="9" style="555" customWidth="1"/>
    <col min="5" max="5" width="13.5703125" style="555" bestFit="1" customWidth="1"/>
    <col min="6" max="16384" width="11.42578125" style="555"/>
  </cols>
  <sheetData>
    <row r="1" spans="1:6" s="667" customFormat="1" x14ac:dyDescent="0.2">
      <c r="A1" s="667" t="s">
        <v>1947</v>
      </c>
    </row>
    <row r="2" spans="1:6" s="667" customFormat="1" x14ac:dyDescent="0.2">
      <c r="A2" s="667" t="s">
        <v>1948</v>
      </c>
    </row>
    <row r="3" spans="1:6" s="667" customFormat="1" x14ac:dyDescent="0.2">
      <c r="A3" s="667" t="s">
        <v>1949</v>
      </c>
    </row>
    <row r="4" spans="1:6" s="667" customFormat="1" x14ac:dyDescent="0.2"/>
    <row r="5" spans="1:6" s="667" customFormat="1" x14ac:dyDescent="0.2"/>
    <row r="6" spans="1:6" ht="15.75" x14ac:dyDescent="0.2">
      <c r="B6" s="829" t="s">
        <v>1730</v>
      </c>
      <c r="C6" s="829"/>
      <c r="D6" s="829"/>
      <c r="E6" s="829"/>
      <c r="F6" s="829"/>
    </row>
    <row r="8" spans="1:6" s="676" customFormat="1" x14ac:dyDescent="0.2">
      <c r="A8" s="675"/>
      <c r="B8" s="569" t="s">
        <v>1729</v>
      </c>
      <c r="C8" s="569" t="s">
        <v>1707</v>
      </c>
      <c r="D8" s="569" t="s">
        <v>1</v>
      </c>
      <c r="E8" s="828" t="s">
        <v>1731</v>
      </c>
      <c r="F8" s="828"/>
    </row>
    <row r="9" spans="1:6" x14ac:dyDescent="0.2">
      <c r="B9" s="677"/>
      <c r="C9" s="677"/>
      <c r="D9" s="677"/>
      <c r="E9" s="678"/>
      <c r="F9" s="679"/>
    </row>
    <row r="10" spans="1:6" x14ac:dyDescent="0.2">
      <c r="A10" s="675">
        <v>1</v>
      </c>
      <c r="B10" s="569" t="str">
        <f t="shared" ref="B10:B47" si="0">IFERROR(VLOOKUP(A10,T_NumeroItem,2,FALSE),"")</f>
        <v>1.1</v>
      </c>
      <c r="C10" s="554" t="str">
        <f t="shared" ref="C10:C47" si="1">IFERROR(VLOOKUP(B10,T_Datos,2,FALSE),"")</f>
        <v>Elaboracion Proyecto Ejecutivo</v>
      </c>
      <c r="D10" s="569" t="str">
        <f t="shared" ref="D10:D47" si="2">IFERROR(VLOOKUP(B10,T_Datos,3,FALSE),"")</f>
        <v>gl.</v>
      </c>
      <c r="E10" s="678"/>
      <c r="F10" s="680" t="str">
        <f>D10&amp;"/dia"</f>
        <v>gl./dia</v>
      </c>
    </row>
    <row r="11" spans="1:6" x14ac:dyDescent="0.2">
      <c r="A11" s="675">
        <v>2</v>
      </c>
      <c r="B11" s="569" t="str">
        <f t="shared" si="0"/>
        <v>2.1</v>
      </c>
      <c r="C11" s="554" t="str">
        <f t="shared" si="1"/>
        <v>Limpieza y Replanteo</v>
      </c>
      <c r="D11" s="569" t="str">
        <f t="shared" si="2"/>
        <v>gl.</v>
      </c>
      <c r="E11" s="678"/>
      <c r="F11" s="680" t="str">
        <f t="shared" ref="F11:F47" si="3">D11&amp;"/dia"</f>
        <v>gl./dia</v>
      </c>
    </row>
    <row r="12" spans="1:6" x14ac:dyDescent="0.2">
      <c r="A12" s="675">
        <v>3</v>
      </c>
      <c r="B12" s="569" t="str">
        <f t="shared" si="0"/>
        <v>2.2</v>
      </c>
      <c r="C12" s="554" t="str">
        <f t="shared" si="1"/>
        <v>Relleno y compactacion de posibles oquedadas laterales</v>
      </c>
      <c r="D12" s="569" t="str">
        <f t="shared" si="2"/>
        <v>m3</v>
      </c>
      <c r="E12" s="678"/>
      <c r="F12" s="680" t="str">
        <f t="shared" si="3"/>
        <v>m3/dia</v>
      </c>
    </row>
    <row r="13" spans="1:6" x14ac:dyDescent="0.2">
      <c r="A13" s="675">
        <v>4</v>
      </c>
      <c r="B13" s="569" t="str">
        <f t="shared" si="0"/>
        <v>2.3</v>
      </c>
      <c r="C13" s="554" t="str">
        <f t="shared" si="1"/>
        <v>Relleno y compactacion de posibles oquedades laterales con la adicion de una bolsa de cemento portland puzolanico por m3 de rellemo</v>
      </c>
      <c r="D13" s="569" t="str">
        <f t="shared" si="2"/>
        <v>m3</v>
      </c>
      <c r="E13" s="678"/>
      <c r="F13" s="680" t="str">
        <f t="shared" si="3"/>
        <v>m3/dia</v>
      </c>
    </row>
    <row r="14" spans="1:6" x14ac:dyDescent="0.2">
      <c r="A14" s="675">
        <v>5</v>
      </c>
      <c r="B14" s="569" t="str">
        <f t="shared" si="0"/>
        <v>2.4</v>
      </c>
      <c r="C14" s="554" t="str">
        <f t="shared" si="1"/>
        <v>Hormigon de encamisado H-21</v>
      </c>
      <c r="D14" s="569" t="str">
        <f t="shared" si="2"/>
        <v>m3</v>
      </c>
      <c r="E14" s="678"/>
      <c r="F14" s="680" t="str">
        <f t="shared" si="3"/>
        <v>m3/dia</v>
      </c>
    </row>
    <row r="15" spans="1:6" x14ac:dyDescent="0.2">
      <c r="A15" s="675">
        <v>6</v>
      </c>
      <c r="B15" s="569" t="str">
        <f t="shared" si="0"/>
        <v>2.5</v>
      </c>
      <c r="C15" s="554" t="str">
        <f t="shared" si="1"/>
        <v>Armadura colocada en obra</v>
      </c>
      <c r="D15" s="569" t="str">
        <f t="shared" si="2"/>
        <v>t</v>
      </c>
      <c r="E15" s="678"/>
      <c r="F15" s="680" t="str">
        <f t="shared" si="3"/>
        <v>t/dia</v>
      </c>
    </row>
    <row r="16" spans="1:6" x14ac:dyDescent="0.2">
      <c r="A16" s="675">
        <v>7</v>
      </c>
      <c r="B16" s="569" t="str">
        <f t="shared" si="0"/>
        <v>2.6</v>
      </c>
      <c r="C16" s="554" t="str">
        <f t="shared" si="1"/>
        <v>Juntas de contraccion y dilatacion</v>
      </c>
      <c r="D16" s="569" t="str">
        <f t="shared" si="2"/>
        <v>m</v>
      </c>
      <c r="E16" s="678"/>
      <c r="F16" s="680" t="str">
        <f t="shared" si="3"/>
        <v>m/dia</v>
      </c>
    </row>
    <row r="17" spans="1:6" x14ac:dyDescent="0.2">
      <c r="A17" s="675">
        <v>8</v>
      </c>
      <c r="B17" s="569" t="str">
        <f t="shared" si="0"/>
        <v>3.1</v>
      </c>
      <c r="C17" s="554" t="str">
        <f t="shared" si="1"/>
        <v>Limpieza y Replanteo</v>
      </c>
      <c r="D17" s="569" t="str">
        <f t="shared" si="2"/>
        <v>gl.</v>
      </c>
      <c r="E17" s="678"/>
      <c r="F17" s="680" t="str">
        <f t="shared" si="3"/>
        <v>gl./dia</v>
      </c>
    </row>
    <row r="18" spans="1:6" x14ac:dyDescent="0.2">
      <c r="A18" s="675">
        <v>9</v>
      </c>
      <c r="B18" s="569" t="str">
        <f t="shared" si="0"/>
        <v>3.2</v>
      </c>
      <c r="C18" s="554" t="str">
        <f t="shared" si="1"/>
        <v>Relleno y compactacion de posibles oquedadas laterales</v>
      </c>
      <c r="D18" s="569" t="str">
        <f t="shared" si="2"/>
        <v>m3</v>
      </c>
      <c r="E18" s="678"/>
      <c r="F18" s="680" t="str">
        <f t="shared" si="3"/>
        <v>m3/dia</v>
      </c>
    </row>
    <row r="19" spans="1:6" x14ac:dyDescent="0.2">
      <c r="A19" s="675">
        <v>10</v>
      </c>
      <c r="B19" s="569" t="str">
        <f t="shared" si="0"/>
        <v>3.3</v>
      </c>
      <c r="C19" s="554" t="str">
        <f t="shared" si="1"/>
        <v>Relleno y compactacion de posibles oquedades laterales con la adicion de una bolsa de cemento portland puzolanico por m3 de rellemo</v>
      </c>
      <c r="D19" s="569" t="str">
        <f t="shared" si="2"/>
        <v>m3</v>
      </c>
      <c r="E19" s="678"/>
      <c r="F19" s="680" t="str">
        <f t="shared" si="3"/>
        <v>m3/dia</v>
      </c>
    </row>
    <row r="20" spans="1:6" x14ac:dyDescent="0.2">
      <c r="A20" s="675">
        <v>11</v>
      </c>
      <c r="B20" s="569" t="str">
        <f t="shared" si="0"/>
        <v>3.4</v>
      </c>
      <c r="C20" s="554" t="str">
        <f t="shared" si="1"/>
        <v>Hormigon de encamisado H-21</v>
      </c>
      <c r="D20" s="569" t="str">
        <f t="shared" si="2"/>
        <v>m3</v>
      </c>
      <c r="E20" s="678"/>
      <c r="F20" s="680" t="str">
        <f t="shared" si="3"/>
        <v>m3/dia</v>
      </c>
    </row>
    <row r="21" spans="1:6" x14ac:dyDescent="0.2">
      <c r="A21" s="675">
        <v>12</v>
      </c>
      <c r="B21" s="569" t="str">
        <f t="shared" si="0"/>
        <v>3.5</v>
      </c>
      <c r="C21" s="554" t="str">
        <f t="shared" si="1"/>
        <v>Armadura colocada en obra</v>
      </c>
      <c r="D21" s="569" t="str">
        <f t="shared" si="2"/>
        <v>t</v>
      </c>
      <c r="E21" s="678"/>
      <c r="F21" s="680" t="str">
        <f t="shared" si="3"/>
        <v>t/dia</v>
      </c>
    </row>
    <row r="22" spans="1:6" x14ac:dyDescent="0.2">
      <c r="A22" s="675">
        <v>13</v>
      </c>
      <c r="B22" s="569" t="str">
        <f t="shared" si="0"/>
        <v>3.6</v>
      </c>
      <c r="C22" s="554" t="str">
        <f t="shared" si="1"/>
        <v>Juntas de contraccion y dilatacion</v>
      </c>
      <c r="D22" s="569" t="str">
        <f t="shared" si="2"/>
        <v>m</v>
      </c>
      <c r="E22" s="678"/>
      <c r="F22" s="680" t="str">
        <f t="shared" si="3"/>
        <v>m/dia</v>
      </c>
    </row>
    <row r="23" spans="1:6" x14ac:dyDescent="0.2">
      <c r="A23" s="675">
        <v>14</v>
      </c>
      <c r="B23" s="569" t="str">
        <f t="shared" si="0"/>
        <v>4.1</v>
      </c>
      <c r="C23" s="554" t="str">
        <f t="shared" si="1"/>
        <v>Limpieza y Replanteo</v>
      </c>
      <c r="D23" s="569" t="str">
        <f t="shared" si="2"/>
        <v>gl.</v>
      </c>
      <c r="E23" s="678"/>
      <c r="F23" s="680" t="str">
        <f t="shared" si="3"/>
        <v>gl./dia</v>
      </c>
    </row>
    <row r="24" spans="1:6" x14ac:dyDescent="0.2">
      <c r="A24" s="675">
        <v>15</v>
      </c>
      <c r="B24" s="569" t="str">
        <f t="shared" si="0"/>
        <v>4.2</v>
      </c>
      <c r="C24" s="554" t="str">
        <f t="shared" si="1"/>
        <v>Excavacion</v>
      </c>
      <c r="D24" s="569" t="str">
        <f t="shared" si="2"/>
        <v>m3</v>
      </c>
      <c r="E24" s="678"/>
      <c r="F24" s="680" t="str">
        <f t="shared" si="3"/>
        <v>m3/dia</v>
      </c>
    </row>
    <row r="25" spans="1:6" x14ac:dyDescent="0.2">
      <c r="A25" s="675">
        <v>16</v>
      </c>
      <c r="B25" s="569" t="str">
        <f t="shared" si="0"/>
        <v>4.3</v>
      </c>
      <c r="C25" s="554" t="str">
        <f t="shared" si="1"/>
        <v>Hormigon H-21</v>
      </c>
      <c r="D25" s="569" t="str">
        <f t="shared" si="2"/>
        <v>m3</v>
      </c>
      <c r="E25" s="678"/>
      <c r="F25" s="680" t="str">
        <f t="shared" si="3"/>
        <v>m3/dia</v>
      </c>
    </row>
    <row r="26" spans="1:6" x14ac:dyDescent="0.2">
      <c r="A26" s="675">
        <v>17</v>
      </c>
      <c r="B26" s="569" t="str">
        <f t="shared" si="0"/>
        <v>4.4</v>
      </c>
      <c r="C26" s="554" t="str">
        <f t="shared" si="1"/>
        <v>Hormigon Ciclopeo (30%piedra bola)</v>
      </c>
      <c r="D26" s="569" t="str">
        <f t="shared" si="2"/>
        <v>m3</v>
      </c>
      <c r="E26" s="678"/>
      <c r="F26" s="680" t="str">
        <f t="shared" si="3"/>
        <v>m3/dia</v>
      </c>
    </row>
    <row r="27" spans="1:6" x14ac:dyDescent="0.2">
      <c r="A27" s="675">
        <v>18</v>
      </c>
      <c r="B27" s="569" t="str">
        <f t="shared" si="0"/>
        <v>4.5</v>
      </c>
      <c r="C27" s="554" t="str">
        <f t="shared" si="1"/>
        <v>Armadura colocada en obra</v>
      </c>
      <c r="D27" s="569" t="str">
        <f t="shared" si="2"/>
        <v>t</v>
      </c>
      <c r="E27" s="678"/>
      <c r="F27" s="680" t="str">
        <f t="shared" si="3"/>
        <v>t/dia</v>
      </c>
    </row>
    <row r="28" spans="1:6" x14ac:dyDescent="0.2">
      <c r="A28" s="675">
        <v>19</v>
      </c>
      <c r="B28" s="569" t="str">
        <f t="shared" si="0"/>
        <v>4.6</v>
      </c>
      <c r="C28" s="554" t="str">
        <f t="shared" si="1"/>
        <v>Demolicion de puente</v>
      </c>
      <c r="D28" s="569" t="str">
        <f t="shared" si="2"/>
        <v>m3</v>
      </c>
      <c r="E28" s="678"/>
      <c r="F28" s="680" t="str">
        <f t="shared" si="3"/>
        <v>m3/dia</v>
      </c>
    </row>
    <row r="29" spans="1:6" x14ac:dyDescent="0.2">
      <c r="A29" s="675">
        <v>20</v>
      </c>
      <c r="B29" s="569" t="str">
        <f t="shared" si="0"/>
        <v/>
      </c>
      <c r="C29" s="554" t="str">
        <f t="shared" si="1"/>
        <v/>
      </c>
      <c r="D29" s="569" t="str">
        <f t="shared" si="2"/>
        <v/>
      </c>
      <c r="E29" s="678"/>
      <c r="F29" s="680" t="str">
        <f t="shared" si="3"/>
        <v>/dia</v>
      </c>
    </row>
    <row r="30" spans="1:6" x14ac:dyDescent="0.2">
      <c r="A30" s="675">
        <v>21</v>
      </c>
      <c r="B30" s="569" t="str">
        <f t="shared" si="0"/>
        <v/>
      </c>
      <c r="C30" s="554" t="str">
        <f t="shared" si="1"/>
        <v/>
      </c>
      <c r="D30" s="569" t="str">
        <f t="shared" si="2"/>
        <v/>
      </c>
      <c r="E30" s="678"/>
      <c r="F30" s="680" t="str">
        <f t="shared" si="3"/>
        <v>/dia</v>
      </c>
    </row>
    <row r="31" spans="1:6" x14ac:dyDescent="0.2">
      <c r="A31" s="675">
        <v>22</v>
      </c>
      <c r="B31" s="569" t="str">
        <f t="shared" si="0"/>
        <v/>
      </c>
      <c r="C31" s="554" t="str">
        <f t="shared" si="1"/>
        <v/>
      </c>
      <c r="D31" s="569" t="str">
        <f t="shared" si="2"/>
        <v/>
      </c>
      <c r="E31" s="678"/>
      <c r="F31" s="680" t="str">
        <f t="shared" si="3"/>
        <v>/dia</v>
      </c>
    </row>
    <row r="32" spans="1:6" x14ac:dyDescent="0.2">
      <c r="A32" s="675">
        <v>23</v>
      </c>
      <c r="B32" s="569" t="str">
        <f t="shared" si="0"/>
        <v/>
      </c>
      <c r="C32" s="554" t="str">
        <f t="shared" si="1"/>
        <v/>
      </c>
      <c r="D32" s="569" t="str">
        <f t="shared" si="2"/>
        <v/>
      </c>
      <c r="E32" s="678"/>
      <c r="F32" s="680" t="str">
        <f t="shared" si="3"/>
        <v>/dia</v>
      </c>
    </row>
    <row r="33" spans="1:6" x14ac:dyDescent="0.2">
      <c r="A33" s="675">
        <v>24</v>
      </c>
      <c r="B33" s="569" t="str">
        <f t="shared" si="0"/>
        <v/>
      </c>
      <c r="C33" s="554" t="str">
        <f t="shared" si="1"/>
        <v/>
      </c>
      <c r="D33" s="569" t="str">
        <f t="shared" si="2"/>
        <v/>
      </c>
      <c r="E33" s="678"/>
      <c r="F33" s="680" t="str">
        <f t="shared" si="3"/>
        <v>/dia</v>
      </c>
    </row>
    <row r="34" spans="1:6" x14ac:dyDescent="0.2">
      <c r="A34" s="675">
        <v>25</v>
      </c>
      <c r="B34" s="569" t="str">
        <f t="shared" si="0"/>
        <v/>
      </c>
      <c r="C34" s="554" t="str">
        <f t="shared" si="1"/>
        <v/>
      </c>
      <c r="D34" s="569" t="str">
        <f t="shared" si="2"/>
        <v/>
      </c>
      <c r="E34" s="678"/>
      <c r="F34" s="680" t="str">
        <f t="shared" si="3"/>
        <v>/dia</v>
      </c>
    </row>
    <row r="35" spans="1:6" x14ac:dyDescent="0.2">
      <c r="A35" s="675">
        <v>26</v>
      </c>
      <c r="B35" s="569" t="str">
        <f t="shared" si="0"/>
        <v/>
      </c>
      <c r="C35" s="554" t="str">
        <f t="shared" si="1"/>
        <v/>
      </c>
      <c r="D35" s="569" t="str">
        <f t="shared" si="2"/>
        <v/>
      </c>
      <c r="E35" s="678"/>
      <c r="F35" s="680" t="str">
        <f t="shared" si="3"/>
        <v>/dia</v>
      </c>
    </row>
    <row r="36" spans="1:6" x14ac:dyDescent="0.2">
      <c r="A36" s="675">
        <v>27</v>
      </c>
      <c r="B36" s="569" t="str">
        <f t="shared" si="0"/>
        <v/>
      </c>
      <c r="C36" s="554" t="str">
        <f t="shared" si="1"/>
        <v/>
      </c>
      <c r="D36" s="569" t="str">
        <f t="shared" si="2"/>
        <v/>
      </c>
      <c r="E36" s="678"/>
      <c r="F36" s="680" t="str">
        <f t="shared" si="3"/>
        <v>/dia</v>
      </c>
    </row>
    <row r="37" spans="1:6" x14ac:dyDescent="0.2">
      <c r="A37" s="675">
        <v>28</v>
      </c>
      <c r="B37" s="569" t="str">
        <f t="shared" si="0"/>
        <v/>
      </c>
      <c r="C37" s="554" t="str">
        <f t="shared" si="1"/>
        <v/>
      </c>
      <c r="D37" s="569" t="str">
        <f t="shared" si="2"/>
        <v/>
      </c>
      <c r="E37" s="678"/>
      <c r="F37" s="680" t="str">
        <f t="shared" si="3"/>
        <v>/dia</v>
      </c>
    </row>
    <row r="38" spans="1:6" x14ac:dyDescent="0.2">
      <c r="A38" s="675">
        <v>29</v>
      </c>
      <c r="B38" s="569" t="str">
        <f t="shared" si="0"/>
        <v/>
      </c>
      <c r="C38" s="554" t="str">
        <f t="shared" si="1"/>
        <v/>
      </c>
      <c r="D38" s="569" t="str">
        <f t="shared" si="2"/>
        <v/>
      </c>
      <c r="E38" s="678"/>
      <c r="F38" s="680" t="str">
        <f t="shared" si="3"/>
        <v>/dia</v>
      </c>
    </row>
    <row r="39" spans="1:6" x14ac:dyDescent="0.2">
      <c r="A39" s="675">
        <v>30</v>
      </c>
      <c r="B39" s="569" t="str">
        <f t="shared" si="0"/>
        <v/>
      </c>
      <c r="C39" s="554" t="str">
        <f t="shared" si="1"/>
        <v/>
      </c>
      <c r="D39" s="569" t="str">
        <f t="shared" si="2"/>
        <v/>
      </c>
      <c r="E39" s="678"/>
      <c r="F39" s="680" t="str">
        <f t="shared" si="3"/>
        <v>/dia</v>
      </c>
    </row>
    <row r="40" spans="1:6" x14ac:dyDescent="0.2">
      <c r="A40" s="675">
        <v>31</v>
      </c>
      <c r="B40" s="569" t="str">
        <f t="shared" si="0"/>
        <v/>
      </c>
      <c r="C40" s="554" t="str">
        <f t="shared" si="1"/>
        <v/>
      </c>
      <c r="D40" s="569" t="str">
        <f t="shared" si="2"/>
        <v/>
      </c>
      <c r="E40" s="678"/>
      <c r="F40" s="680" t="str">
        <f t="shared" si="3"/>
        <v>/dia</v>
      </c>
    </row>
    <row r="41" spans="1:6" x14ac:dyDescent="0.2">
      <c r="A41" s="675">
        <v>32</v>
      </c>
      <c r="B41" s="569" t="str">
        <f t="shared" si="0"/>
        <v/>
      </c>
      <c r="C41" s="554" t="str">
        <f t="shared" si="1"/>
        <v/>
      </c>
      <c r="D41" s="569" t="str">
        <f t="shared" si="2"/>
        <v/>
      </c>
      <c r="E41" s="678"/>
      <c r="F41" s="680" t="str">
        <f t="shared" si="3"/>
        <v>/dia</v>
      </c>
    </row>
    <row r="42" spans="1:6" x14ac:dyDescent="0.2">
      <c r="A42" s="675">
        <v>33</v>
      </c>
      <c r="B42" s="569" t="str">
        <f t="shared" si="0"/>
        <v/>
      </c>
      <c r="C42" s="554" t="str">
        <f t="shared" si="1"/>
        <v/>
      </c>
      <c r="D42" s="569" t="str">
        <f t="shared" si="2"/>
        <v/>
      </c>
      <c r="E42" s="678"/>
      <c r="F42" s="680" t="str">
        <f t="shared" si="3"/>
        <v>/dia</v>
      </c>
    </row>
    <row r="43" spans="1:6" x14ac:dyDescent="0.2">
      <c r="A43" s="675">
        <v>34</v>
      </c>
      <c r="B43" s="569" t="str">
        <f t="shared" si="0"/>
        <v/>
      </c>
      <c r="C43" s="554" t="str">
        <f t="shared" si="1"/>
        <v/>
      </c>
      <c r="D43" s="569" t="str">
        <f t="shared" si="2"/>
        <v/>
      </c>
      <c r="E43" s="678"/>
      <c r="F43" s="680" t="str">
        <f t="shared" si="3"/>
        <v>/dia</v>
      </c>
    </row>
    <row r="44" spans="1:6" x14ac:dyDescent="0.2">
      <c r="A44" s="675">
        <v>35</v>
      </c>
      <c r="B44" s="569" t="str">
        <f t="shared" si="0"/>
        <v/>
      </c>
      <c r="C44" s="554" t="str">
        <f t="shared" si="1"/>
        <v/>
      </c>
      <c r="D44" s="569" t="str">
        <f t="shared" si="2"/>
        <v/>
      </c>
      <c r="E44" s="678"/>
      <c r="F44" s="680" t="str">
        <f t="shared" si="3"/>
        <v>/dia</v>
      </c>
    </row>
    <row r="45" spans="1:6" x14ac:dyDescent="0.2">
      <c r="A45" s="675">
        <v>36</v>
      </c>
      <c r="B45" s="569" t="str">
        <f t="shared" si="0"/>
        <v/>
      </c>
      <c r="C45" s="554" t="str">
        <f t="shared" si="1"/>
        <v/>
      </c>
      <c r="D45" s="569" t="str">
        <f t="shared" si="2"/>
        <v/>
      </c>
      <c r="E45" s="678"/>
      <c r="F45" s="680" t="str">
        <f t="shared" si="3"/>
        <v>/dia</v>
      </c>
    </row>
    <row r="46" spans="1:6" x14ac:dyDescent="0.2">
      <c r="A46" s="675">
        <v>37</v>
      </c>
      <c r="B46" s="569" t="str">
        <f t="shared" si="0"/>
        <v/>
      </c>
      <c r="C46" s="554" t="str">
        <f t="shared" si="1"/>
        <v/>
      </c>
      <c r="D46" s="569" t="str">
        <f t="shared" si="2"/>
        <v/>
      </c>
      <c r="E46" s="678"/>
      <c r="F46" s="680" t="str">
        <f t="shared" si="3"/>
        <v>/dia</v>
      </c>
    </row>
    <row r="47" spans="1:6" x14ac:dyDescent="0.2">
      <c r="A47" s="675">
        <v>38</v>
      </c>
      <c r="B47" s="569" t="str">
        <f t="shared" si="0"/>
        <v/>
      </c>
      <c r="C47" s="554" t="str">
        <f t="shared" si="1"/>
        <v/>
      </c>
      <c r="D47" s="569" t="str">
        <f t="shared" si="2"/>
        <v/>
      </c>
      <c r="E47" s="678"/>
      <c r="F47" s="680"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30" t="str">
        <f>"OBRA: " &amp; UPPER(Obra)</f>
        <v>OBRA: ENCAMISADO CANAL GENERAL COCHAGUAL</v>
      </c>
      <c r="D1" s="830"/>
      <c r="E1" s="830"/>
      <c r="F1" s="830"/>
      <c r="G1" s="830"/>
      <c r="H1" s="830"/>
      <c r="I1" s="830"/>
      <c r="J1" s="830"/>
      <c r="K1" s="830"/>
      <c r="L1" s="830"/>
    </row>
    <row r="2" spans="3:12" ht="23.25" x14ac:dyDescent="0.35">
      <c r="C2" s="830" t="s">
        <v>934</v>
      </c>
      <c r="D2" s="830"/>
      <c r="E2" s="830"/>
      <c r="F2" s="830"/>
      <c r="G2" s="830"/>
      <c r="H2" s="830"/>
      <c r="I2" s="830"/>
      <c r="J2" s="830"/>
      <c r="K2" s="830"/>
      <c r="L2" s="830"/>
    </row>
    <row r="3" spans="3:12" ht="23.25" x14ac:dyDescent="0.35">
      <c r="C3" s="830" t="s">
        <v>935</v>
      </c>
      <c r="D3" s="830"/>
      <c r="E3" s="830"/>
      <c r="F3" s="830"/>
      <c r="G3" s="830"/>
      <c r="H3" s="830"/>
      <c r="I3" s="830"/>
      <c r="J3" s="830"/>
      <c r="K3" s="830"/>
      <c r="L3" s="83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L40" sqref="L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31" t="str">
        <f>"OBRA: " &amp; UPPER(Obra)</f>
        <v>OBRA: ENCAMISADO CANAL GENERAL COCHAGUAL</v>
      </c>
      <c r="D1" s="831"/>
      <c r="E1" s="831"/>
      <c r="F1" s="831"/>
      <c r="G1" s="831"/>
      <c r="H1" s="831"/>
      <c r="I1" s="831"/>
      <c r="J1" s="831"/>
    </row>
    <row r="2" spans="3:10" ht="23.25" x14ac:dyDescent="0.35">
      <c r="C2" s="830" t="s">
        <v>936</v>
      </c>
      <c r="D2" s="830"/>
      <c r="E2" s="830"/>
      <c r="F2" s="830"/>
      <c r="G2" s="830"/>
      <c r="H2" s="830"/>
      <c r="I2" s="830"/>
      <c r="J2" s="830"/>
    </row>
    <row r="3" spans="3:10" ht="23.25" x14ac:dyDescent="0.35">
      <c r="C3" s="830" t="s">
        <v>937</v>
      </c>
      <c r="D3" s="830"/>
      <c r="E3" s="830"/>
      <c r="F3" s="830"/>
      <c r="G3" s="830"/>
      <c r="H3" s="830"/>
      <c r="I3" s="830"/>
      <c r="J3" s="83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4"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DEPARTAMENTO DE HIDRAULICA</v>
      </c>
      <c r="E1" s="4"/>
    </row>
    <row r="2" spans="1:6" s="6" customFormat="1" ht="20.100000000000001" customHeight="1" x14ac:dyDescent="0.2">
      <c r="A2" s="13" t="s">
        <v>9</v>
      </c>
      <c r="B2" s="13" t="str">
        <f>Obra</f>
        <v>ENCAMISADO CANAL GENERAL COCHAGUAL</v>
      </c>
    </row>
    <row r="3" spans="1:6" s="6" customFormat="1" ht="20.100000000000001" customHeight="1" x14ac:dyDescent="0.2">
      <c r="A3" s="13" t="s">
        <v>13</v>
      </c>
      <c r="B3" s="13" t="str">
        <f>Ubicación</f>
        <v>DEPARTAMENTO SARMIENTO</v>
      </c>
    </row>
    <row r="4" spans="1:6" s="6" customFormat="1" ht="20.100000000000001" customHeight="1" x14ac:dyDescent="0.2">
      <c r="A4" s="13" t="s">
        <v>12</v>
      </c>
      <c r="B4" s="14" t="str">
        <f>Licitación_N°</f>
        <v>06/2021</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32" t="s">
        <v>34</v>
      </c>
      <c r="B7" s="833"/>
      <c r="C7" s="833"/>
      <c r="D7" s="833"/>
      <c r="E7" s="834"/>
    </row>
    <row r="8" spans="1:6" ht="20.100000000000001" customHeight="1" x14ac:dyDescent="0.2">
      <c r="A8" s="835" t="s">
        <v>708</v>
      </c>
      <c r="B8" s="836"/>
      <c r="C8" s="837"/>
      <c r="D8" s="837"/>
      <c r="E8" s="838"/>
    </row>
    <row r="10" spans="1:6" ht="20.100000000000001" customHeight="1" x14ac:dyDescent="0.2">
      <c r="A10" s="841"/>
      <c r="B10" s="842"/>
      <c r="C10" s="62" t="s">
        <v>38</v>
      </c>
      <c r="D10" s="63" t="s">
        <v>35</v>
      </c>
      <c r="E10" s="63" t="s">
        <v>36</v>
      </c>
    </row>
    <row r="11" spans="1:6" ht="20.100000000000001" customHeight="1" x14ac:dyDescent="0.2">
      <c r="A11" s="839" t="s">
        <v>924</v>
      </c>
      <c r="B11" s="840"/>
      <c r="C11" s="82">
        <f>ROUND(SUBTOTAL(9,C12:C34),2)</f>
        <v>0</v>
      </c>
      <c r="D11" s="16">
        <f>SUBTOTAL(9,D12:D34)</f>
        <v>0</v>
      </c>
      <c r="E11" s="12"/>
    </row>
    <row r="12" spans="1:6" ht="20.100000000000001" customHeight="1" x14ac:dyDescent="0.2">
      <c r="A12" s="107"/>
      <c r="B12" s="108"/>
      <c r="C12" s="109"/>
      <c r="D12" s="15">
        <f t="shared" ref="D12:D34" si="0">IFERROR(C12/GG_Obra,0)</f>
        <v>0</v>
      </c>
      <c r="E12" s="15">
        <f t="shared" ref="E12:E34" si="1">IFERROR(C12/GG_Pesos,0)</f>
        <v>0</v>
      </c>
    </row>
    <row r="13" spans="1:6" ht="20.100000000000001" customHeight="1" x14ac:dyDescent="0.2">
      <c r="A13" s="107"/>
      <c r="B13" s="108"/>
      <c r="C13" s="109"/>
      <c r="D13" s="15">
        <f t="shared" si="0"/>
        <v>0</v>
      </c>
      <c r="E13" s="15">
        <f t="shared" si="1"/>
        <v>0</v>
      </c>
    </row>
    <row r="14" spans="1:6" ht="20.100000000000001" customHeight="1" x14ac:dyDescent="0.2">
      <c r="A14" s="107"/>
      <c r="B14" s="108"/>
      <c r="C14" s="109"/>
      <c r="D14" s="15">
        <f t="shared" si="0"/>
        <v>0</v>
      </c>
      <c r="E14" s="15">
        <f t="shared" si="1"/>
        <v>0</v>
      </c>
    </row>
    <row r="15" spans="1:6" ht="20.100000000000001" customHeight="1" x14ac:dyDescent="0.2">
      <c r="A15" s="107"/>
      <c r="B15" s="108"/>
      <c r="C15" s="109"/>
      <c r="D15" s="15">
        <f t="shared" si="0"/>
        <v>0</v>
      </c>
      <c r="E15" s="15">
        <f t="shared" si="1"/>
        <v>0</v>
      </c>
    </row>
    <row r="16" spans="1:6" ht="20.100000000000001" customHeight="1" x14ac:dyDescent="0.2">
      <c r="A16" s="107"/>
      <c r="B16" s="108"/>
      <c r="C16" s="109"/>
      <c r="D16" s="15">
        <f t="shared" si="0"/>
        <v>0</v>
      </c>
      <c r="E16" s="15">
        <f t="shared" si="1"/>
        <v>0</v>
      </c>
    </row>
    <row r="17" spans="1:5" ht="20.100000000000001" customHeight="1" x14ac:dyDescent="0.2">
      <c r="A17" s="841"/>
      <c r="B17" s="842"/>
      <c r="C17" s="83"/>
      <c r="D17" s="15">
        <f t="shared" si="0"/>
        <v>0</v>
      </c>
      <c r="E17" s="15">
        <f t="shared" si="1"/>
        <v>0</v>
      </c>
    </row>
    <row r="18" spans="1:5" ht="20.100000000000001" customHeight="1" x14ac:dyDescent="0.2">
      <c r="A18" s="841"/>
      <c r="B18" s="842"/>
      <c r="C18" s="83"/>
      <c r="D18" s="15">
        <f t="shared" si="0"/>
        <v>0</v>
      </c>
      <c r="E18" s="15">
        <f t="shared" si="1"/>
        <v>0</v>
      </c>
    </row>
    <row r="19" spans="1:5" ht="20.100000000000001" customHeight="1" x14ac:dyDescent="0.2">
      <c r="A19" s="841"/>
      <c r="B19" s="842"/>
      <c r="C19" s="83"/>
      <c r="D19" s="15">
        <f t="shared" si="0"/>
        <v>0</v>
      </c>
      <c r="E19" s="15">
        <f t="shared" si="1"/>
        <v>0</v>
      </c>
    </row>
    <row r="20" spans="1:5" ht="20.100000000000001" customHeight="1" x14ac:dyDescent="0.2">
      <c r="A20" s="841"/>
      <c r="B20" s="842"/>
      <c r="C20" s="83"/>
      <c r="D20" s="15">
        <f t="shared" si="0"/>
        <v>0</v>
      </c>
      <c r="E20" s="15">
        <f t="shared" si="1"/>
        <v>0</v>
      </c>
    </row>
    <row r="21" spans="1:5" ht="20.100000000000001" customHeight="1" x14ac:dyDescent="0.2">
      <c r="A21" s="841"/>
      <c r="B21" s="842"/>
      <c r="C21" s="83"/>
      <c r="D21" s="15">
        <f t="shared" si="0"/>
        <v>0</v>
      </c>
      <c r="E21" s="15">
        <f t="shared" si="1"/>
        <v>0</v>
      </c>
    </row>
    <row r="22" spans="1:5" ht="20.100000000000001" customHeight="1" x14ac:dyDescent="0.2">
      <c r="A22" s="841"/>
      <c r="B22" s="842"/>
      <c r="C22" s="83"/>
      <c r="D22" s="15">
        <f t="shared" si="0"/>
        <v>0</v>
      </c>
      <c r="E22" s="15">
        <f t="shared" si="1"/>
        <v>0</v>
      </c>
    </row>
    <row r="23" spans="1:5" ht="20.100000000000001" customHeight="1" x14ac:dyDescent="0.2">
      <c r="A23" s="841"/>
      <c r="B23" s="842"/>
      <c r="C23" s="83"/>
      <c r="D23" s="15">
        <f t="shared" si="0"/>
        <v>0</v>
      </c>
      <c r="E23" s="15">
        <f t="shared" si="1"/>
        <v>0</v>
      </c>
    </row>
    <row r="24" spans="1:5" ht="20.100000000000001" customHeight="1" x14ac:dyDescent="0.2">
      <c r="A24" s="841"/>
      <c r="B24" s="842"/>
      <c r="C24" s="83"/>
      <c r="D24" s="15">
        <f t="shared" si="0"/>
        <v>0</v>
      </c>
      <c r="E24" s="15">
        <f t="shared" si="1"/>
        <v>0</v>
      </c>
    </row>
    <row r="25" spans="1:5" ht="20.100000000000001" customHeight="1" x14ac:dyDescent="0.2">
      <c r="A25" s="841"/>
      <c r="B25" s="842"/>
      <c r="C25" s="83"/>
      <c r="D25" s="15">
        <f t="shared" ref="D25:D28" si="2">IFERROR(C25/GG_Obra,0)</f>
        <v>0</v>
      </c>
      <c r="E25" s="15">
        <f t="shared" ref="E25:E28" si="3">IFERROR(C25/GG_Pesos,0)</f>
        <v>0</v>
      </c>
    </row>
    <row r="26" spans="1:5" ht="20.100000000000001" customHeight="1" x14ac:dyDescent="0.2">
      <c r="A26" s="841"/>
      <c r="B26" s="842"/>
      <c r="C26" s="83"/>
      <c r="D26" s="15">
        <f t="shared" si="2"/>
        <v>0</v>
      </c>
      <c r="E26" s="15">
        <f t="shared" si="3"/>
        <v>0</v>
      </c>
    </row>
    <row r="27" spans="1:5" ht="20.100000000000001" customHeight="1" x14ac:dyDescent="0.2">
      <c r="A27" s="841"/>
      <c r="B27" s="842"/>
      <c r="C27" s="83"/>
      <c r="D27" s="15">
        <f t="shared" si="2"/>
        <v>0</v>
      </c>
      <c r="E27" s="15">
        <f t="shared" si="3"/>
        <v>0</v>
      </c>
    </row>
    <row r="28" spans="1:5" ht="20.100000000000001" customHeight="1" x14ac:dyDescent="0.2">
      <c r="A28" s="841"/>
      <c r="B28" s="842"/>
      <c r="C28" s="83"/>
      <c r="D28" s="15">
        <f t="shared" si="2"/>
        <v>0</v>
      </c>
      <c r="E28" s="15">
        <f t="shared" si="3"/>
        <v>0</v>
      </c>
    </row>
    <row r="29" spans="1:5" ht="20.100000000000001" customHeight="1" x14ac:dyDescent="0.2">
      <c r="A29" s="841"/>
      <c r="B29" s="842"/>
      <c r="C29" s="83"/>
      <c r="D29" s="15">
        <f t="shared" si="0"/>
        <v>0</v>
      </c>
      <c r="E29" s="15">
        <f t="shared" si="1"/>
        <v>0</v>
      </c>
    </row>
    <row r="30" spans="1:5" ht="20.100000000000001" customHeight="1" x14ac:dyDescent="0.2">
      <c r="A30" s="841"/>
      <c r="B30" s="842"/>
      <c r="C30" s="83"/>
      <c r="D30" s="15">
        <f t="shared" si="0"/>
        <v>0</v>
      </c>
      <c r="E30" s="15">
        <f t="shared" si="1"/>
        <v>0</v>
      </c>
    </row>
    <row r="31" spans="1:5" ht="20.100000000000001" customHeight="1" x14ac:dyDescent="0.2">
      <c r="A31" s="841"/>
      <c r="B31" s="842"/>
      <c r="C31" s="83"/>
      <c r="D31" s="15">
        <f t="shared" si="0"/>
        <v>0</v>
      </c>
      <c r="E31" s="15">
        <f t="shared" si="1"/>
        <v>0</v>
      </c>
    </row>
    <row r="32" spans="1:5" ht="20.100000000000001" customHeight="1" x14ac:dyDescent="0.2">
      <c r="A32" s="841"/>
      <c r="B32" s="842"/>
      <c r="C32" s="83"/>
      <c r="D32" s="15">
        <f t="shared" si="0"/>
        <v>0</v>
      </c>
      <c r="E32" s="15">
        <f t="shared" si="1"/>
        <v>0</v>
      </c>
    </row>
    <row r="33" spans="1:5" ht="20.100000000000001" customHeight="1" x14ac:dyDescent="0.2">
      <c r="A33" s="841"/>
      <c r="B33" s="842"/>
      <c r="C33" s="83"/>
      <c r="D33" s="15">
        <f t="shared" si="0"/>
        <v>0</v>
      </c>
      <c r="E33" s="15">
        <f t="shared" si="1"/>
        <v>0</v>
      </c>
    </row>
    <row r="34" spans="1:5" ht="20.100000000000001" customHeight="1" x14ac:dyDescent="0.2">
      <c r="A34" s="841"/>
      <c r="B34" s="842"/>
      <c r="C34" s="83"/>
      <c r="D34" s="15">
        <f t="shared" si="0"/>
        <v>0</v>
      </c>
      <c r="E34" s="15">
        <f t="shared" si="1"/>
        <v>0</v>
      </c>
    </row>
    <row r="35" spans="1:5" ht="20.100000000000001" customHeight="1" x14ac:dyDescent="0.2">
      <c r="A35" s="64"/>
      <c r="B35" s="5"/>
      <c r="C35" s="5"/>
      <c r="D35" s="5"/>
      <c r="E35" s="65"/>
    </row>
    <row r="36" spans="1:5" ht="20.100000000000001" customHeight="1" x14ac:dyDescent="0.2">
      <c r="A36" s="839" t="s">
        <v>37</v>
      </c>
      <c r="B36" s="840"/>
      <c r="C36" s="82">
        <f>ROUND(SUBTOTAL(9,C37:C73),2)</f>
        <v>0</v>
      </c>
      <c r="D36" s="59">
        <f>SUBTOTAL(9,D37:D80)</f>
        <v>0</v>
      </c>
      <c r="E36" s="65"/>
    </row>
    <row r="37" spans="1:5" ht="20.100000000000001" customHeight="1" x14ac:dyDescent="0.2">
      <c r="A37" s="103"/>
      <c r="B37" s="104"/>
      <c r="C37" s="105"/>
      <c r="D37" s="15">
        <f t="shared" ref="D37:D73" si="4">IFERROR(C37/GG_Empresa,0)</f>
        <v>0</v>
      </c>
      <c r="E37" s="15">
        <f t="shared" ref="E37:E73" si="5">IFERROR(C37/GG_Pesos,0)</f>
        <v>0</v>
      </c>
    </row>
    <row r="38" spans="1:5" ht="20.100000000000001" customHeight="1" x14ac:dyDescent="0.2">
      <c r="A38" s="103"/>
      <c r="B38" s="104"/>
      <c r="C38" s="105"/>
      <c r="D38" s="15">
        <f t="shared" si="4"/>
        <v>0</v>
      </c>
      <c r="E38" s="15">
        <f t="shared" si="5"/>
        <v>0</v>
      </c>
    </row>
    <row r="39" spans="1:5" ht="20.100000000000001" customHeight="1" x14ac:dyDescent="0.2">
      <c r="A39" s="103"/>
      <c r="B39" s="104"/>
      <c r="C39" s="105"/>
      <c r="D39" s="15">
        <f t="shared" si="4"/>
        <v>0</v>
      </c>
      <c r="E39" s="15">
        <f t="shared" si="5"/>
        <v>0</v>
      </c>
    </row>
    <row r="40" spans="1:5" ht="20.100000000000001" customHeight="1" x14ac:dyDescent="0.2">
      <c r="A40" s="103"/>
      <c r="B40" s="104"/>
      <c r="C40" s="105"/>
      <c r="D40" s="15">
        <f t="shared" si="4"/>
        <v>0</v>
      </c>
      <c r="E40" s="15">
        <f t="shared" si="5"/>
        <v>0</v>
      </c>
    </row>
    <row r="41" spans="1:5" ht="20.100000000000001" customHeight="1" x14ac:dyDescent="0.2">
      <c r="A41" s="103"/>
      <c r="B41" s="104"/>
      <c r="C41" s="105"/>
      <c r="D41" s="15">
        <f t="shared" ref="D41:D60" si="6">IFERROR(C41/GG_Empresa,0)</f>
        <v>0</v>
      </c>
      <c r="E41" s="15">
        <f t="shared" ref="E41:E60" si="7">IFERROR(C41/GG_Pesos,0)</f>
        <v>0</v>
      </c>
    </row>
    <row r="42" spans="1:5" ht="20.100000000000001" customHeight="1" x14ac:dyDescent="0.2">
      <c r="A42" s="103"/>
      <c r="B42" s="104"/>
      <c r="C42" s="105"/>
      <c r="D42" s="15">
        <f t="shared" si="6"/>
        <v>0</v>
      </c>
      <c r="E42" s="15">
        <f t="shared" si="7"/>
        <v>0</v>
      </c>
    </row>
    <row r="43" spans="1:5" ht="20.100000000000001" customHeight="1" x14ac:dyDescent="0.2">
      <c r="A43" s="103"/>
      <c r="B43" s="104"/>
      <c r="C43" s="105"/>
      <c r="D43" s="15">
        <f t="shared" si="6"/>
        <v>0</v>
      </c>
      <c r="E43" s="15">
        <f t="shared" si="7"/>
        <v>0</v>
      </c>
    </row>
    <row r="44" spans="1:5" ht="20.100000000000001" customHeight="1" x14ac:dyDescent="0.2">
      <c r="A44" s="103"/>
      <c r="B44" s="104"/>
      <c r="C44" s="105"/>
      <c r="D44" s="15">
        <f t="shared" si="6"/>
        <v>0</v>
      </c>
      <c r="E44" s="15">
        <f t="shared" si="7"/>
        <v>0</v>
      </c>
    </row>
    <row r="45" spans="1:5" ht="20.100000000000001" customHeight="1" x14ac:dyDescent="0.2">
      <c r="A45" s="103"/>
      <c r="B45" s="104"/>
      <c r="C45" s="105"/>
      <c r="D45" s="15">
        <f t="shared" si="6"/>
        <v>0</v>
      </c>
      <c r="E45" s="15">
        <f t="shared" si="7"/>
        <v>0</v>
      </c>
    </row>
    <row r="46" spans="1:5" ht="20.100000000000001" customHeight="1" x14ac:dyDescent="0.2">
      <c r="A46" s="103"/>
      <c r="B46" s="104"/>
      <c r="C46" s="105"/>
      <c r="D46" s="15">
        <f t="shared" si="6"/>
        <v>0</v>
      </c>
      <c r="E46" s="15">
        <f t="shared" si="7"/>
        <v>0</v>
      </c>
    </row>
    <row r="47" spans="1:5" ht="20.100000000000001" customHeight="1" x14ac:dyDescent="0.2">
      <c r="A47" s="103"/>
      <c r="B47" s="104"/>
      <c r="C47" s="105"/>
      <c r="D47" s="15">
        <f t="shared" si="6"/>
        <v>0</v>
      </c>
      <c r="E47" s="15">
        <f t="shared" si="7"/>
        <v>0</v>
      </c>
    </row>
    <row r="48" spans="1:5" ht="20.100000000000001" customHeight="1" x14ac:dyDescent="0.2">
      <c r="A48" s="103"/>
      <c r="B48" s="104"/>
      <c r="C48" s="105"/>
      <c r="D48" s="15">
        <f t="shared" si="6"/>
        <v>0</v>
      </c>
      <c r="E48" s="15">
        <f t="shared" si="7"/>
        <v>0</v>
      </c>
    </row>
    <row r="49" spans="1:5" ht="20.100000000000001" customHeight="1" x14ac:dyDescent="0.2">
      <c r="A49" s="103"/>
      <c r="B49" s="104"/>
      <c r="C49" s="105"/>
      <c r="D49" s="15">
        <f t="shared" si="6"/>
        <v>0</v>
      </c>
      <c r="E49" s="15">
        <f t="shared" si="7"/>
        <v>0</v>
      </c>
    </row>
    <row r="50" spans="1:5" ht="20.100000000000001" customHeight="1" x14ac:dyDescent="0.2">
      <c r="A50" s="103"/>
      <c r="B50" s="104"/>
      <c r="C50" s="105"/>
      <c r="D50" s="15">
        <f t="shared" si="6"/>
        <v>0</v>
      </c>
      <c r="E50" s="15">
        <f t="shared" si="7"/>
        <v>0</v>
      </c>
    </row>
    <row r="51" spans="1:5" ht="20.100000000000001" customHeight="1" x14ac:dyDescent="0.2">
      <c r="A51" s="103"/>
      <c r="B51" s="104"/>
      <c r="C51" s="105"/>
      <c r="D51" s="15">
        <f t="shared" si="6"/>
        <v>0</v>
      </c>
      <c r="E51" s="15">
        <f t="shared" si="7"/>
        <v>0</v>
      </c>
    </row>
    <row r="52" spans="1:5" ht="20.100000000000001" customHeight="1" x14ac:dyDescent="0.2">
      <c r="A52" s="103"/>
      <c r="B52" s="104"/>
      <c r="C52" s="105"/>
      <c r="D52" s="15">
        <f t="shared" si="6"/>
        <v>0</v>
      </c>
      <c r="E52" s="15">
        <f t="shared" si="7"/>
        <v>0</v>
      </c>
    </row>
    <row r="53" spans="1:5" ht="20.100000000000001" customHeight="1" x14ac:dyDescent="0.2">
      <c r="A53" s="103"/>
      <c r="B53" s="104"/>
      <c r="C53" s="105"/>
      <c r="D53" s="15">
        <f t="shared" si="6"/>
        <v>0</v>
      </c>
      <c r="E53" s="15">
        <f t="shared" si="7"/>
        <v>0</v>
      </c>
    </row>
    <row r="54" spans="1:5" ht="20.100000000000001" customHeight="1" x14ac:dyDescent="0.2">
      <c r="A54" s="103"/>
      <c r="B54" s="104"/>
      <c r="C54" s="105"/>
      <c r="D54" s="15">
        <f t="shared" si="6"/>
        <v>0</v>
      </c>
      <c r="E54" s="15">
        <f t="shared" si="7"/>
        <v>0</v>
      </c>
    </row>
    <row r="55" spans="1:5" ht="20.100000000000001" customHeight="1" x14ac:dyDescent="0.2">
      <c r="A55" s="103"/>
      <c r="B55" s="104"/>
      <c r="C55" s="105"/>
      <c r="D55" s="15">
        <f t="shared" si="6"/>
        <v>0</v>
      </c>
      <c r="E55" s="15">
        <f t="shared" si="7"/>
        <v>0</v>
      </c>
    </row>
    <row r="56" spans="1:5" ht="20.100000000000001" customHeight="1" x14ac:dyDescent="0.2">
      <c r="A56" s="103"/>
      <c r="B56" s="104"/>
      <c r="C56" s="105"/>
      <c r="D56" s="15">
        <f t="shared" si="6"/>
        <v>0</v>
      </c>
      <c r="E56" s="15">
        <f t="shared" si="7"/>
        <v>0</v>
      </c>
    </row>
    <row r="57" spans="1:5" ht="20.100000000000001" customHeight="1" x14ac:dyDescent="0.2">
      <c r="A57" s="103"/>
      <c r="B57" s="104"/>
      <c r="C57" s="105"/>
      <c r="D57" s="15">
        <f t="shared" si="6"/>
        <v>0</v>
      </c>
      <c r="E57" s="15">
        <f t="shared" si="7"/>
        <v>0</v>
      </c>
    </row>
    <row r="58" spans="1:5" ht="20.100000000000001" customHeight="1" x14ac:dyDescent="0.2">
      <c r="A58" s="103"/>
      <c r="B58" s="106"/>
      <c r="C58" s="105"/>
      <c r="D58" s="15">
        <f t="shared" si="6"/>
        <v>0</v>
      </c>
      <c r="E58" s="15">
        <f t="shared" si="7"/>
        <v>0</v>
      </c>
    </row>
    <row r="59" spans="1:5" ht="20.100000000000001" customHeight="1" x14ac:dyDescent="0.2">
      <c r="A59" s="103"/>
      <c r="B59" s="106"/>
      <c r="C59" s="105"/>
      <c r="D59" s="15">
        <f t="shared" si="6"/>
        <v>0</v>
      </c>
      <c r="E59" s="15">
        <f t="shared" si="7"/>
        <v>0</v>
      </c>
    </row>
    <row r="60" spans="1:5" ht="20.100000000000001" customHeight="1" x14ac:dyDescent="0.2">
      <c r="A60" s="103"/>
      <c r="B60" s="106"/>
      <c r="C60" s="105"/>
      <c r="D60" s="15">
        <f t="shared" si="6"/>
        <v>0</v>
      </c>
      <c r="E60" s="15">
        <f t="shared" si="7"/>
        <v>0</v>
      </c>
    </row>
    <row r="61" spans="1:5" ht="20.100000000000001" customHeight="1" x14ac:dyDescent="0.2">
      <c r="A61" s="103"/>
      <c r="B61" s="106"/>
      <c r="C61" s="105"/>
      <c r="D61" s="15">
        <f t="shared" si="4"/>
        <v>0</v>
      </c>
      <c r="E61" s="15">
        <f t="shared" si="5"/>
        <v>0</v>
      </c>
    </row>
    <row r="62" spans="1:5" ht="20.100000000000001" customHeight="1" x14ac:dyDescent="0.2">
      <c r="A62" s="103"/>
      <c r="B62" s="106"/>
      <c r="C62" s="105"/>
      <c r="D62" s="15">
        <f t="shared" si="4"/>
        <v>0</v>
      </c>
      <c r="E62" s="15">
        <f t="shared" si="5"/>
        <v>0</v>
      </c>
    </row>
    <row r="63" spans="1:5" ht="20.100000000000001" customHeight="1" x14ac:dyDescent="0.2">
      <c r="A63" s="103"/>
      <c r="B63" s="106"/>
      <c r="C63" s="105"/>
      <c r="D63" s="15">
        <f t="shared" si="4"/>
        <v>0</v>
      </c>
      <c r="E63" s="15">
        <f t="shared" si="5"/>
        <v>0</v>
      </c>
    </row>
    <row r="64" spans="1:5" ht="20.100000000000001" customHeight="1" x14ac:dyDescent="0.2">
      <c r="A64" s="103"/>
      <c r="B64" s="106"/>
      <c r="C64" s="105"/>
      <c r="D64" s="15">
        <f t="shared" si="4"/>
        <v>0</v>
      </c>
      <c r="E64" s="15">
        <f t="shared" si="5"/>
        <v>0</v>
      </c>
    </row>
    <row r="65" spans="1:5" ht="20.100000000000001" customHeight="1" x14ac:dyDescent="0.2">
      <c r="A65" s="103"/>
      <c r="B65" s="106"/>
      <c r="C65" s="105"/>
      <c r="D65" s="15">
        <f t="shared" si="4"/>
        <v>0</v>
      </c>
      <c r="E65" s="15">
        <f t="shared" si="5"/>
        <v>0</v>
      </c>
    </row>
    <row r="66" spans="1:5" ht="20.100000000000001" customHeight="1" x14ac:dyDescent="0.2">
      <c r="A66" s="103"/>
      <c r="B66" s="106"/>
      <c r="C66" s="105"/>
      <c r="D66" s="15">
        <f t="shared" si="4"/>
        <v>0</v>
      </c>
      <c r="E66" s="15">
        <f t="shared" si="5"/>
        <v>0</v>
      </c>
    </row>
    <row r="67" spans="1:5" ht="20.100000000000001" customHeight="1" x14ac:dyDescent="0.2">
      <c r="A67" s="103"/>
      <c r="B67" s="106"/>
      <c r="C67" s="105"/>
      <c r="D67" s="15">
        <f t="shared" si="4"/>
        <v>0</v>
      </c>
      <c r="E67" s="15">
        <f t="shared" si="5"/>
        <v>0</v>
      </c>
    </row>
    <row r="68" spans="1:5" ht="20.100000000000001" customHeight="1" x14ac:dyDescent="0.2">
      <c r="A68" s="103"/>
      <c r="B68" s="106"/>
      <c r="C68" s="105"/>
      <c r="D68" s="15">
        <f t="shared" si="4"/>
        <v>0</v>
      </c>
      <c r="E68" s="15">
        <f t="shared" si="5"/>
        <v>0</v>
      </c>
    </row>
    <row r="69" spans="1:5" ht="20.100000000000001" customHeight="1" x14ac:dyDescent="0.2">
      <c r="A69" s="103"/>
      <c r="B69" s="106"/>
      <c r="C69" s="105"/>
      <c r="D69" s="15">
        <f t="shared" si="4"/>
        <v>0</v>
      </c>
      <c r="E69" s="15">
        <f t="shared" si="5"/>
        <v>0</v>
      </c>
    </row>
    <row r="70" spans="1:5" ht="20.100000000000001" customHeight="1" x14ac:dyDescent="0.2">
      <c r="A70" s="103"/>
      <c r="B70" s="106"/>
      <c r="C70" s="105"/>
      <c r="D70" s="15">
        <f t="shared" ref="D70:D72" si="8">IFERROR(C70/GG_Empresa,0)</f>
        <v>0</v>
      </c>
      <c r="E70" s="15">
        <f t="shared" ref="E70:E72" si="9">IFERROR(C70/GG_Pesos,0)</f>
        <v>0</v>
      </c>
    </row>
    <row r="71" spans="1:5" ht="20.100000000000001" customHeight="1" x14ac:dyDescent="0.2">
      <c r="A71" s="103"/>
      <c r="B71" s="106"/>
      <c r="C71" s="105"/>
      <c r="D71" s="15">
        <f t="shared" si="8"/>
        <v>0</v>
      </c>
      <c r="E71" s="15">
        <f t="shared" si="9"/>
        <v>0</v>
      </c>
    </row>
    <row r="72" spans="1:5" ht="20.100000000000001" customHeight="1" x14ac:dyDescent="0.2">
      <c r="A72" s="103"/>
      <c r="B72" s="106"/>
      <c r="C72" s="105"/>
      <c r="D72" s="15">
        <f t="shared" si="8"/>
        <v>0</v>
      </c>
      <c r="E72" s="15">
        <f t="shared" si="9"/>
        <v>0</v>
      </c>
    </row>
    <row r="73" spans="1:5" ht="20.100000000000001" customHeight="1" x14ac:dyDescent="0.2">
      <c r="A73" s="103"/>
      <c r="B73" s="106"/>
      <c r="C73" s="105"/>
      <c r="D73" s="15">
        <f t="shared" si="4"/>
        <v>0</v>
      </c>
      <c r="E73" s="15">
        <f t="shared" si="5"/>
        <v>0</v>
      </c>
    </row>
    <row r="74" spans="1:5" ht="20.100000000000001" customHeight="1" x14ac:dyDescent="0.2">
      <c r="A74" s="64"/>
      <c r="B74" s="5"/>
      <c r="C74" s="5"/>
      <c r="D74" s="5"/>
      <c r="E74" s="65"/>
    </row>
    <row r="75" spans="1:5" ht="20.100000000000001" customHeight="1" x14ac:dyDescent="0.2">
      <c r="A75" s="839" t="s">
        <v>709</v>
      </c>
      <c r="B75" s="840"/>
      <c r="C75" s="82">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zoomScale="120" zoomScaleNormal="120" workbookViewId="0">
      <selection activeCell="D25" sqref="D25"/>
    </sheetView>
  </sheetViews>
  <sheetFormatPr baseColWidth="10" defaultRowHeight="11.25" x14ac:dyDescent="0.2"/>
  <cols>
    <col min="1" max="1" width="19.28515625" style="372" customWidth="1"/>
    <col min="2" max="2" width="19.140625" style="372" customWidth="1"/>
    <col min="3" max="3" width="37.7109375" style="372" customWidth="1"/>
    <col min="4" max="4" width="12.42578125" style="372" customWidth="1"/>
    <col min="5" max="5" width="11.42578125" style="372"/>
    <col min="6" max="6" width="12" style="372" bestFit="1" customWidth="1"/>
    <col min="7" max="7" width="12.7109375" style="372" customWidth="1"/>
    <col min="8" max="8" width="11.42578125" style="372"/>
    <col min="9" max="9" width="12.85546875" style="372" bestFit="1" customWidth="1"/>
    <col min="10" max="10" width="13.28515625" style="372" bestFit="1" customWidth="1"/>
    <col min="11" max="16384" width="11.42578125" style="372"/>
  </cols>
  <sheetData>
    <row r="1" spans="1:7" x14ac:dyDescent="0.2">
      <c r="A1" s="843" t="s">
        <v>1600</v>
      </c>
      <c r="B1" s="843"/>
      <c r="C1" s="843"/>
      <c r="D1" s="843"/>
      <c r="E1" s="843"/>
      <c r="F1" s="843"/>
      <c r="G1" s="843"/>
    </row>
    <row r="2" spans="1:7" x14ac:dyDescent="0.2">
      <c r="A2" s="373" t="s">
        <v>711</v>
      </c>
      <c r="B2" s="373" t="str">
        <f>Comitente</f>
        <v>DEPARTAMENTO DE HIDRAULICA</v>
      </c>
      <c r="C2" s="374"/>
      <c r="D2" s="375"/>
      <c r="E2" s="375"/>
      <c r="F2" s="376"/>
      <c r="G2" s="376"/>
    </row>
    <row r="3" spans="1:7" x14ac:dyDescent="0.2">
      <c r="A3" s="373" t="s">
        <v>712</v>
      </c>
      <c r="B3" s="373">
        <f>Contratista</f>
        <v>0</v>
      </c>
      <c r="C3" s="377"/>
      <c r="D3" s="377"/>
      <c r="E3" s="377"/>
      <c r="F3" s="373"/>
      <c r="G3" s="373"/>
    </row>
    <row r="4" spans="1:7" x14ac:dyDescent="0.2">
      <c r="A4" s="373" t="s">
        <v>21</v>
      </c>
      <c r="B4" s="373" t="str">
        <f>Obra</f>
        <v>ENCAMISADO CANAL GENERAL COCHAGUAL</v>
      </c>
      <c r="C4" s="377"/>
      <c r="D4" s="373" t="s">
        <v>32</v>
      </c>
      <c r="E4" s="373">
        <f>Fecha_Base</f>
        <v>44319</v>
      </c>
    </row>
    <row r="5" spans="1:7" x14ac:dyDescent="0.2">
      <c r="A5" s="378" t="s">
        <v>710</v>
      </c>
      <c r="B5" s="378" t="str">
        <f>Ubicación</f>
        <v>DEPARTAMENTO SARMIENTO</v>
      </c>
      <c r="C5" s="378"/>
      <c r="D5" s="379"/>
      <c r="E5" s="380"/>
      <c r="F5" s="381"/>
      <c r="G5" s="382"/>
    </row>
    <row r="6" spans="1:7" x14ac:dyDescent="0.2">
      <c r="A6" s="378"/>
      <c r="B6" s="378"/>
      <c r="C6" s="378"/>
      <c r="D6" s="379"/>
      <c r="E6" s="380"/>
      <c r="F6" s="381"/>
      <c r="G6" s="382"/>
    </row>
    <row r="7" spans="1:7" x14ac:dyDescent="0.2">
      <c r="A7" s="378"/>
      <c r="B7" s="383"/>
      <c r="C7" s="384" t="s">
        <v>1601</v>
      </c>
      <c r="D7" s="379"/>
      <c r="E7" s="380"/>
      <c r="F7" s="378"/>
      <c r="G7" s="385"/>
    </row>
    <row r="8" spans="1:7" x14ac:dyDescent="0.2">
      <c r="A8" s="378"/>
      <c r="B8" s="383"/>
      <c r="C8" s="386"/>
      <c r="D8" s="387" t="s">
        <v>1602</v>
      </c>
      <c r="F8" s="378"/>
      <c r="G8" s="385"/>
    </row>
    <row r="9" spans="1:7" x14ac:dyDescent="0.2">
      <c r="A9" s="378"/>
      <c r="B9" s="383"/>
      <c r="C9" s="386"/>
      <c r="D9" s="380"/>
      <c r="F9" s="378"/>
      <c r="G9" s="385"/>
    </row>
    <row r="10" spans="1:7" x14ac:dyDescent="0.2">
      <c r="A10" s="388" t="s">
        <v>1603</v>
      </c>
      <c r="C10" s="372" t="s">
        <v>987</v>
      </c>
      <c r="D10" s="412">
        <f>IF(V_U_Equipo+8*Interés_Anual/(2*2000)=0,0,8*Porcentaje_amortizaciónl_Equipo/V_U_Equipo)</f>
        <v>8.0000000000000004E-4</v>
      </c>
      <c r="F10" s="389"/>
      <c r="G10" s="385"/>
    </row>
    <row r="11" spans="1:7" x14ac:dyDescent="0.2">
      <c r="A11" s="390"/>
      <c r="C11" s="383"/>
      <c r="D11" s="413"/>
      <c r="F11" s="392"/>
      <c r="G11" s="385"/>
    </row>
    <row r="12" spans="1:7" x14ac:dyDescent="0.2">
      <c r="A12" s="378"/>
      <c r="D12" s="414"/>
      <c r="F12" s="378"/>
      <c r="G12" s="385"/>
    </row>
    <row r="13" spans="1:7" x14ac:dyDescent="0.2">
      <c r="A13" s="388" t="s">
        <v>988</v>
      </c>
      <c r="C13" s="372" t="s">
        <v>988</v>
      </c>
      <c r="D13" s="412">
        <f>IF(V_U_Equipo+8*Interés_Anual/(2*2000)=0,0,8*Interés_Anual/(2*2000))</f>
        <v>2.8000000000000003E-4</v>
      </c>
      <c r="F13" s="389"/>
      <c r="G13" s="385"/>
    </row>
    <row r="14" spans="1:7" x14ac:dyDescent="0.2">
      <c r="A14" s="390"/>
      <c r="C14" s="383"/>
      <c r="D14" s="413"/>
      <c r="F14" s="392"/>
      <c r="G14" s="385"/>
    </row>
    <row r="15" spans="1:7" x14ac:dyDescent="0.2">
      <c r="A15" s="390"/>
      <c r="C15" s="383"/>
      <c r="D15" s="413"/>
      <c r="F15" s="392"/>
      <c r="G15" s="385"/>
    </row>
    <row r="16" spans="1:7" x14ac:dyDescent="0.2">
      <c r="A16" s="388" t="s">
        <v>989</v>
      </c>
      <c r="C16" s="372" t="s">
        <v>989</v>
      </c>
      <c r="D16" s="412">
        <f>IF(V_U_Equipo*Porc_repuestos_reparaciones_de_amortización=0,0,8*Porcentaje_amortizaciónl_Equipo/V_U_Equipo*Porc_repuestos_reparaciones_de_amortización)</f>
        <v>5.5999999999999995E-4</v>
      </c>
      <c r="F16" s="392"/>
      <c r="G16" s="385"/>
    </row>
    <row r="17" spans="1:7" x14ac:dyDescent="0.2">
      <c r="A17" s="388"/>
      <c r="C17" s="383"/>
      <c r="D17" s="391"/>
      <c r="F17" s="378"/>
      <c r="G17" s="379"/>
    </row>
    <row r="18" spans="1:7" x14ac:dyDescent="0.2">
      <c r="A18" s="388"/>
      <c r="C18" s="383"/>
      <c r="D18" s="393"/>
      <c r="F18" s="378"/>
      <c r="G18" s="379"/>
    </row>
    <row r="19" spans="1:7" x14ac:dyDescent="0.2">
      <c r="A19" s="388" t="s">
        <v>1595</v>
      </c>
      <c r="C19" s="372" t="s">
        <v>870</v>
      </c>
      <c r="D19" s="411">
        <f>Consumo_gasoil_Equipo_porHP*8*Precio_gasoil</f>
        <v>0</v>
      </c>
      <c r="F19" s="378"/>
      <c r="G19" s="379"/>
    </row>
    <row r="20" spans="1:7" x14ac:dyDescent="0.2">
      <c r="A20" s="378"/>
      <c r="C20" s="383"/>
      <c r="D20" s="393"/>
      <c r="F20" s="378"/>
      <c r="G20" s="379"/>
    </row>
    <row r="21" spans="1:7" x14ac:dyDescent="0.2">
      <c r="A21" s="378"/>
      <c r="C21" s="383"/>
      <c r="D21" s="393"/>
      <c r="F21" s="378"/>
      <c r="G21" s="379"/>
    </row>
    <row r="22" spans="1:7" x14ac:dyDescent="0.2">
      <c r="A22" s="378"/>
      <c r="C22" s="372" t="s">
        <v>990</v>
      </c>
      <c r="D22" s="411">
        <f>Consumo_gasoil_Equipo_porHP*8*Precio_gasoil*Porcentaje_lubricantes_respecto_al_combustible</f>
        <v>0</v>
      </c>
      <c r="F22" s="378"/>
      <c r="G22" s="394"/>
    </row>
    <row r="23" spans="1:7" x14ac:dyDescent="0.2">
      <c r="A23" s="378"/>
      <c r="B23" s="383"/>
      <c r="C23" s="383"/>
      <c r="D23" s="393"/>
      <c r="E23" s="394"/>
      <c r="F23" s="378"/>
      <c r="G23" s="379"/>
    </row>
    <row r="24" spans="1:7" x14ac:dyDescent="0.2">
      <c r="A24" s="378"/>
      <c r="B24" s="383" t="s">
        <v>1604</v>
      </c>
      <c r="C24" s="393"/>
      <c r="D24" s="393"/>
      <c r="E24" s="391"/>
      <c r="F24" s="378"/>
      <c r="G24" s="395"/>
    </row>
    <row r="25" spans="1:7" x14ac:dyDescent="0.2">
      <c r="A25" s="378"/>
      <c r="B25" s="396" t="s">
        <v>1605</v>
      </c>
      <c r="C25" s="397"/>
      <c r="D25" s="398">
        <v>10000</v>
      </c>
      <c r="E25" s="380"/>
      <c r="F25" s="378"/>
      <c r="G25" s="395"/>
    </row>
    <row r="26" spans="1:7" x14ac:dyDescent="0.2">
      <c r="A26" s="378"/>
      <c r="B26" s="396" t="s">
        <v>1606</v>
      </c>
      <c r="C26" s="397"/>
      <c r="D26" s="399">
        <v>1</v>
      </c>
      <c r="E26" s="380"/>
      <c r="F26" s="378"/>
      <c r="G26" s="395"/>
    </row>
    <row r="27" spans="1:7" x14ac:dyDescent="0.2">
      <c r="A27" s="378"/>
      <c r="B27" s="400" t="s">
        <v>1607</v>
      </c>
      <c r="C27" s="397"/>
      <c r="D27" s="399">
        <v>0.14000000000000001</v>
      </c>
      <c r="E27" s="380"/>
      <c r="F27" s="378"/>
      <c r="G27" s="395"/>
    </row>
    <row r="28" spans="1:7" x14ac:dyDescent="0.2">
      <c r="A28" s="378"/>
      <c r="B28" s="400" t="s">
        <v>1608</v>
      </c>
      <c r="C28" s="397"/>
      <c r="D28" s="399">
        <v>0.7</v>
      </c>
      <c r="E28" s="380"/>
      <c r="F28" s="378"/>
      <c r="G28" s="395"/>
    </row>
    <row r="29" spans="1:7" x14ac:dyDescent="0.2">
      <c r="A29" s="378"/>
      <c r="B29" s="400" t="s">
        <v>1609</v>
      </c>
      <c r="C29" s="397"/>
      <c r="D29" s="401">
        <v>0.12</v>
      </c>
      <c r="E29" s="380"/>
      <c r="F29" s="378"/>
      <c r="G29" s="395"/>
    </row>
    <row r="30" spans="1:7" x14ac:dyDescent="0.2">
      <c r="A30" s="378"/>
      <c r="B30" s="400" t="s">
        <v>1610</v>
      </c>
      <c r="C30" s="397"/>
      <c r="D30" s="402">
        <f>+Insumos!C78</f>
        <v>0</v>
      </c>
      <c r="E30" s="380"/>
      <c r="F30" s="378"/>
      <c r="G30" s="379"/>
    </row>
    <row r="31" spans="1:7" x14ac:dyDescent="0.2">
      <c r="A31" s="378"/>
      <c r="B31" s="400" t="s">
        <v>1611</v>
      </c>
      <c r="C31" s="397"/>
      <c r="D31" s="399">
        <v>0.3</v>
      </c>
      <c r="E31" s="380"/>
      <c r="F31" s="378"/>
      <c r="G31" s="379"/>
    </row>
    <row r="32" spans="1:7" x14ac:dyDescent="0.2">
      <c r="A32" s="393"/>
      <c r="B32" s="393"/>
      <c r="C32" s="393"/>
      <c r="D32" s="393"/>
      <c r="E32" s="393"/>
      <c r="F32" s="393"/>
      <c r="G32" s="393"/>
    </row>
    <row r="33" spans="1:7" x14ac:dyDescent="0.2">
      <c r="A33" s="393"/>
      <c r="B33" s="393"/>
      <c r="C33" s="384" t="s">
        <v>1612</v>
      </c>
      <c r="D33" s="393"/>
      <c r="E33" s="393"/>
      <c r="F33" s="393"/>
      <c r="G33" s="393"/>
    </row>
    <row r="34" spans="1:7" x14ac:dyDescent="0.2">
      <c r="A34" s="393"/>
      <c r="B34" s="393"/>
      <c r="C34" s="384"/>
      <c r="D34" s="393"/>
      <c r="E34" s="393" t="s">
        <v>1602</v>
      </c>
      <c r="F34" s="393"/>
      <c r="G34" s="393"/>
    </row>
    <row r="35" spans="1:7" x14ac:dyDescent="0.2">
      <c r="A35" s="378"/>
      <c r="B35" s="383"/>
      <c r="C35" s="386"/>
      <c r="D35" s="379"/>
      <c r="E35" s="380"/>
      <c r="F35" s="378"/>
      <c r="G35" s="379"/>
    </row>
    <row r="36" spans="1:7" x14ac:dyDescent="0.2">
      <c r="A36" s="378"/>
      <c r="B36" s="383"/>
      <c r="C36" s="372" t="s">
        <v>987</v>
      </c>
      <c r="D36" s="389"/>
      <c r="E36" s="403">
        <f>IF(V_U_Camioneta_meses=0,0,P_Camioneta_Amortizar/V_U_Camioneta_meses)</f>
        <v>0</v>
      </c>
      <c r="F36" s="389"/>
      <c r="G36" s="384"/>
    </row>
    <row r="37" spans="1:7" x14ac:dyDescent="0.2">
      <c r="A37" s="378"/>
      <c r="B37" s="383"/>
      <c r="C37" s="383"/>
      <c r="D37" s="389"/>
      <c r="E37" s="394"/>
      <c r="F37" s="389"/>
      <c r="G37" s="384"/>
    </row>
    <row r="38" spans="1:7" x14ac:dyDescent="0.2">
      <c r="A38" s="378"/>
      <c r="B38" s="383"/>
      <c r="D38" s="380"/>
      <c r="E38" s="391"/>
      <c r="F38" s="392"/>
      <c r="G38" s="385"/>
    </row>
    <row r="39" spans="1:7" x14ac:dyDescent="0.2">
      <c r="A39" s="378"/>
      <c r="B39" s="383"/>
      <c r="C39" s="372" t="s">
        <v>988</v>
      </c>
      <c r="D39" s="380"/>
      <c r="E39" s="403">
        <f>Interés_Anual/(2*12)</f>
        <v>5.8333333333333336E-3</v>
      </c>
      <c r="F39" s="392"/>
      <c r="G39" s="385"/>
    </row>
    <row r="40" spans="1:7" x14ac:dyDescent="0.2">
      <c r="A40" s="378"/>
      <c r="B40" s="383"/>
      <c r="C40" s="383"/>
      <c r="D40" s="380"/>
      <c r="E40" s="391"/>
      <c r="F40" s="392"/>
      <c r="G40" s="385"/>
    </row>
    <row r="41" spans="1:7" x14ac:dyDescent="0.2">
      <c r="A41" s="378"/>
      <c r="B41" s="383"/>
      <c r="C41" s="383"/>
      <c r="D41" s="380"/>
      <c r="E41" s="391"/>
      <c r="F41" s="392"/>
      <c r="G41" s="385"/>
    </row>
    <row r="42" spans="1:7" x14ac:dyDescent="0.2">
      <c r="A42" s="378"/>
      <c r="B42" s="383"/>
      <c r="C42" s="372" t="s">
        <v>1626</v>
      </c>
      <c r="D42" s="380"/>
      <c r="E42" s="403">
        <f>D59/12</f>
        <v>0</v>
      </c>
      <c r="F42" s="392"/>
      <c r="G42" s="385"/>
    </row>
    <row r="43" spans="1:7" x14ac:dyDescent="0.2">
      <c r="A43" s="378"/>
      <c r="B43" s="383"/>
      <c r="C43" s="383"/>
      <c r="D43" s="393"/>
      <c r="E43" s="391"/>
      <c r="F43" s="378"/>
      <c r="G43" s="379"/>
    </row>
    <row r="44" spans="1:7" x14ac:dyDescent="0.2">
      <c r="A44" s="378"/>
      <c r="B44" s="383"/>
      <c r="C44" s="383"/>
      <c r="D44" s="393"/>
      <c r="E44" s="391"/>
      <c r="F44" s="378"/>
      <c r="G44" s="379"/>
    </row>
    <row r="45" spans="1:7" x14ac:dyDescent="0.2">
      <c r="A45" s="378"/>
      <c r="B45" s="383"/>
      <c r="C45" s="372" t="s">
        <v>1613</v>
      </c>
      <c r="D45" s="393"/>
      <c r="E45" s="403">
        <f>D60/12</f>
        <v>0</v>
      </c>
      <c r="F45" s="378"/>
      <c r="G45" s="379"/>
    </row>
    <row r="46" spans="1:7" x14ac:dyDescent="0.2">
      <c r="A46" s="378"/>
      <c r="B46" s="383"/>
      <c r="C46" s="383"/>
      <c r="D46" s="393"/>
      <c r="E46" s="391"/>
      <c r="F46" s="378"/>
      <c r="G46" s="379"/>
    </row>
    <row r="47" spans="1:7" x14ac:dyDescent="0.2">
      <c r="A47" s="378"/>
      <c r="B47" s="383"/>
      <c r="C47" s="383"/>
      <c r="D47" s="393"/>
      <c r="E47" s="391"/>
      <c r="F47" s="378"/>
      <c r="G47" s="379"/>
    </row>
    <row r="48" spans="1:7" x14ac:dyDescent="0.2">
      <c r="A48" s="378"/>
      <c r="B48" s="383"/>
      <c r="C48" s="372" t="s">
        <v>1595</v>
      </c>
      <c r="D48" s="393"/>
      <c r="E48" s="404">
        <f>Consumo_gasoil_Camioneta_porkm*Precio_gasoil*(1+Porcentaje_Lubricantes_Camionetas)</f>
        <v>0</v>
      </c>
      <c r="F48" s="378"/>
      <c r="G48" s="379"/>
    </row>
    <row r="49" spans="1:7" x14ac:dyDescent="0.2">
      <c r="A49" s="378"/>
      <c r="B49" s="383"/>
      <c r="C49" s="383"/>
      <c r="D49" s="393"/>
      <c r="E49" s="391"/>
      <c r="F49" s="378"/>
      <c r="G49" s="379"/>
    </row>
    <row r="50" spans="1:7" x14ac:dyDescent="0.2">
      <c r="A50" s="378"/>
      <c r="B50" s="383"/>
      <c r="C50" s="383"/>
      <c r="D50" s="393"/>
      <c r="E50" s="391"/>
      <c r="F50" s="378"/>
      <c r="G50" s="379"/>
    </row>
    <row r="51" spans="1:7" x14ac:dyDescent="0.2">
      <c r="A51" s="378"/>
      <c r="B51" s="383"/>
      <c r="C51" s="383" t="s">
        <v>1614</v>
      </c>
      <c r="D51" s="393"/>
      <c r="E51" s="404">
        <f>IF(V_U_cámara_cubiertas_Camionetas=0,0,Cant_Cubiertas_Camioneta*Costo_de_cámaras_y_cubiertas_Camionetas/V_U_cámara_cubiertas_Camionetas)</f>
        <v>0</v>
      </c>
      <c r="F51" s="378"/>
      <c r="G51" s="379"/>
    </row>
    <row r="52" spans="1:7" x14ac:dyDescent="0.2">
      <c r="A52" s="378"/>
      <c r="B52" s="383"/>
      <c r="C52" s="383"/>
      <c r="D52" s="393"/>
      <c r="E52" s="391"/>
      <c r="F52" s="378"/>
      <c r="G52" s="379"/>
    </row>
    <row r="53" spans="1:7" x14ac:dyDescent="0.2">
      <c r="A53" s="378"/>
      <c r="B53" s="383"/>
      <c r="C53" s="383"/>
      <c r="D53" s="393"/>
      <c r="E53" s="391"/>
      <c r="F53" s="378"/>
      <c r="G53" s="379"/>
    </row>
    <row r="54" spans="1:7" x14ac:dyDescent="0.2">
      <c r="A54" s="378"/>
      <c r="B54" s="383"/>
      <c r="C54" s="383"/>
      <c r="D54" s="393"/>
      <c r="E54" s="394"/>
      <c r="F54" s="378"/>
      <c r="G54" s="379"/>
    </row>
    <row r="55" spans="1:7" x14ac:dyDescent="0.2">
      <c r="A55" s="393"/>
      <c r="B55" s="396" t="s">
        <v>1615</v>
      </c>
      <c r="C55" s="397"/>
      <c r="D55" s="399"/>
      <c r="E55" s="393"/>
      <c r="F55" s="393"/>
      <c r="G55" s="393"/>
    </row>
    <row r="56" spans="1:7" x14ac:dyDescent="0.2">
      <c r="A56" s="393"/>
      <c r="B56" s="405" t="s">
        <v>1616</v>
      </c>
      <c r="C56" s="397"/>
      <c r="D56" s="406"/>
      <c r="E56" s="393"/>
      <c r="F56" s="393"/>
      <c r="G56" s="393"/>
    </row>
    <row r="57" spans="1:7" x14ac:dyDescent="0.2">
      <c r="A57" s="393"/>
      <c r="B57" s="405" t="s">
        <v>1617</v>
      </c>
      <c r="C57" s="397"/>
      <c r="D57" s="407"/>
      <c r="E57" s="393"/>
      <c r="F57" s="393"/>
      <c r="G57" s="393"/>
    </row>
    <row r="58" spans="1:7" x14ac:dyDescent="0.2">
      <c r="A58" s="393"/>
      <c r="B58" s="405" t="s">
        <v>1618</v>
      </c>
      <c r="C58" s="397"/>
      <c r="D58" s="415"/>
      <c r="E58" s="393"/>
      <c r="F58" s="393"/>
      <c r="G58" s="393"/>
    </row>
    <row r="59" spans="1:7" x14ac:dyDescent="0.2">
      <c r="A59" s="393"/>
      <c r="B59" s="405" t="s">
        <v>1619</v>
      </c>
      <c r="C59" s="397"/>
      <c r="D59" s="399"/>
      <c r="E59" s="393"/>
      <c r="F59" s="393"/>
      <c r="G59" s="393"/>
    </row>
    <row r="60" spans="1:7" x14ac:dyDescent="0.2">
      <c r="A60" s="393"/>
      <c r="B60" s="405" t="s">
        <v>1620</v>
      </c>
      <c r="C60" s="397"/>
      <c r="D60" s="399"/>
      <c r="E60" s="393"/>
      <c r="F60" s="393"/>
      <c r="G60" s="393"/>
    </row>
    <row r="61" spans="1:7" x14ac:dyDescent="0.2">
      <c r="A61" s="393"/>
      <c r="B61" s="405" t="s">
        <v>1621</v>
      </c>
      <c r="C61" s="397"/>
      <c r="D61" s="408"/>
      <c r="E61" s="393"/>
      <c r="F61" s="393"/>
      <c r="G61" s="393"/>
    </row>
    <row r="62" spans="1:7" x14ac:dyDescent="0.2">
      <c r="A62" s="393"/>
      <c r="B62" s="405" t="s">
        <v>1622</v>
      </c>
      <c r="C62" s="397"/>
      <c r="D62" s="399"/>
      <c r="E62" s="393"/>
      <c r="F62" s="393"/>
      <c r="G62" s="393"/>
    </row>
    <row r="63" spans="1:7" x14ac:dyDescent="0.2">
      <c r="A63" s="393"/>
      <c r="B63" s="405" t="s">
        <v>1623</v>
      </c>
      <c r="C63" s="397"/>
      <c r="D63" s="409"/>
      <c r="E63" s="393"/>
      <c r="F63" s="393"/>
      <c r="G63" s="393"/>
    </row>
    <row r="64" spans="1:7" x14ac:dyDescent="0.2">
      <c r="A64" s="393"/>
      <c r="B64" s="405" t="s">
        <v>1624</v>
      </c>
      <c r="C64" s="397"/>
      <c r="D64" s="416"/>
      <c r="E64" s="393"/>
      <c r="F64" s="393"/>
      <c r="G64" s="393"/>
    </row>
    <row r="65" spans="1:7" x14ac:dyDescent="0.2">
      <c r="A65" s="393"/>
      <c r="B65" s="405" t="s">
        <v>1625</v>
      </c>
      <c r="C65" s="397"/>
      <c r="D65" s="410"/>
      <c r="E65" s="393"/>
      <c r="F65" s="393"/>
      <c r="G65" s="393"/>
    </row>
    <row r="66" spans="1:7" x14ac:dyDescent="0.2">
      <c r="A66" s="393"/>
      <c r="B66" s="393"/>
      <c r="C66" s="393"/>
      <c r="D66" s="393"/>
      <c r="E66" s="393"/>
      <c r="F66" s="393"/>
      <c r="G66" s="393"/>
    </row>
    <row r="67" spans="1:7" x14ac:dyDescent="0.2">
      <c r="A67" s="393"/>
      <c r="B67" s="393"/>
      <c r="C67" s="393"/>
      <c r="D67" s="393"/>
      <c r="E67" s="393"/>
      <c r="F67" s="393"/>
      <c r="G67" s="393"/>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18" customWidth="1"/>
    <col min="15" max="15" width="23.7109375" style="418" customWidth="1"/>
    <col min="16" max="16" width="10.28515625" style="418" customWidth="1"/>
    <col min="17" max="256" width="11.42578125" style="418"/>
    <col min="257" max="257" width="7" style="418" customWidth="1"/>
    <col min="258" max="258" width="10.7109375" style="418" customWidth="1"/>
    <col min="259" max="259" width="10.5703125" style="418" customWidth="1"/>
    <col min="260" max="260" width="10.7109375" style="418" customWidth="1"/>
    <col min="261" max="261" width="10.28515625" style="418" customWidth="1"/>
    <col min="262" max="262" width="10.7109375" style="418" customWidth="1"/>
    <col min="263" max="263" width="9.42578125" style="418" customWidth="1"/>
    <col min="264" max="264" width="10.5703125" style="418" customWidth="1"/>
    <col min="265" max="265" width="13.7109375" style="418" customWidth="1"/>
    <col min="266" max="267" width="10.42578125" style="418" customWidth="1"/>
    <col min="268" max="268" width="10.28515625" style="418" customWidth="1"/>
    <col min="269" max="269" width="9.42578125" style="418" customWidth="1"/>
    <col min="270" max="270" width="8.7109375" style="418" customWidth="1"/>
    <col min="271" max="271" width="10.42578125" style="418" customWidth="1"/>
    <col min="272" max="272" width="10.28515625" style="418" customWidth="1"/>
    <col min="273" max="512" width="11.42578125" style="418"/>
    <col min="513" max="513" width="7" style="418" customWidth="1"/>
    <col min="514" max="514" width="10.7109375" style="418" customWidth="1"/>
    <col min="515" max="515" width="10.5703125" style="418" customWidth="1"/>
    <col min="516" max="516" width="10.7109375" style="418" customWidth="1"/>
    <col min="517" max="517" width="10.28515625" style="418" customWidth="1"/>
    <col min="518" max="518" width="10.7109375" style="418" customWidth="1"/>
    <col min="519" max="519" width="9.42578125" style="418" customWidth="1"/>
    <col min="520" max="520" width="10.5703125" style="418" customWidth="1"/>
    <col min="521" max="521" width="13.7109375" style="418" customWidth="1"/>
    <col min="522" max="523" width="10.42578125" style="418" customWidth="1"/>
    <col min="524" max="524" width="10.28515625" style="418" customWidth="1"/>
    <col min="525" max="525" width="9.42578125" style="418" customWidth="1"/>
    <col min="526" max="526" width="8.7109375" style="418" customWidth="1"/>
    <col min="527" max="527" width="10.42578125" style="418" customWidth="1"/>
    <col min="528" max="528" width="10.28515625" style="418" customWidth="1"/>
    <col min="529" max="768" width="11.42578125" style="418"/>
    <col min="769" max="769" width="7" style="418" customWidth="1"/>
    <col min="770" max="770" width="10.7109375" style="418" customWidth="1"/>
    <col min="771" max="771" width="10.5703125" style="418" customWidth="1"/>
    <col min="772" max="772" width="10.7109375" style="418" customWidth="1"/>
    <col min="773" max="773" width="10.28515625" style="418" customWidth="1"/>
    <col min="774" max="774" width="10.7109375" style="418" customWidth="1"/>
    <col min="775" max="775" width="9.42578125" style="418" customWidth="1"/>
    <col min="776" max="776" width="10.5703125" style="418" customWidth="1"/>
    <col min="777" max="777" width="13.7109375" style="418" customWidth="1"/>
    <col min="778" max="779" width="10.42578125" style="418" customWidth="1"/>
    <col min="780" max="780" width="10.28515625" style="418" customWidth="1"/>
    <col min="781" max="781" width="9.42578125" style="418" customWidth="1"/>
    <col min="782" max="782" width="8.7109375" style="418" customWidth="1"/>
    <col min="783" max="783" width="10.42578125" style="418" customWidth="1"/>
    <col min="784" max="784" width="10.28515625" style="418" customWidth="1"/>
    <col min="785" max="1024" width="11.42578125" style="418"/>
    <col min="1025" max="1025" width="7" style="418" customWidth="1"/>
    <col min="1026" max="1026" width="10.7109375" style="418" customWidth="1"/>
    <col min="1027" max="1027" width="10.5703125" style="418" customWidth="1"/>
    <col min="1028" max="1028" width="10.7109375" style="418" customWidth="1"/>
    <col min="1029" max="1029" width="10.28515625" style="418" customWidth="1"/>
    <col min="1030" max="1030" width="10.7109375" style="418" customWidth="1"/>
    <col min="1031" max="1031" width="9.42578125" style="418" customWidth="1"/>
    <col min="1032" max="1032" width="10.5703125" style="418" customWidth="1"/>
    <col min="1033" max="1033" width="13.7109375" style="418" customWidth="1"/>
    <col min="1034" max="1035" width="10.42578125" style="418" customWidth="1"/>
    <col min="1036" max="1036" width="10.28515625" style="418" customWidth="1"/>
    <col min="1037" max="1037" width="9.42578125" style="418" customWidth="1"/>
    <col min="1038" max="1038" width="8.7109375" style="418" customWidth="1"/>
    <col min="1039" max="1039" width="10.42578125" style="418" customWidth="1"/>
    <col min="1040" max="1040" width="10.28515625" style="418" customWidth="1"/>
    <col min="1041" max="1280" width="11.42578125" style="418"/>
    <col min="1281" max="1281" width="7" style="418" customWidth="1"/>
    <col min="1282" max="1282" width="10.7109375" style="418" customWidth="1"/>
    <col min="1283" max="1283" width="10.5703125" style="418" customWidth="1"/>
    <col min="1284" max="1284" width="10.7109375" style="418" customWidth="1"/>
    <col min="1285" max="1285" width="10.28515625" style="418" customWidth="1"/>
    <col min="1286" max="1286" width="10.7109375" style="418" customWidth="1"/>
    <col min="1287" max="1287" width="9.42578125" style="418" customWidth="1"/>
    <col min="1288" max="1288" width="10.5703125" style="418" customWidth="1"/>
    <col min="1289" max="1289" width="13.7109375" style="418" customWidth="1"/>
    <col min="1290" max="1291" width="10.42578125" style="418" customWidth="1"/>
    <col min="1292" max="1292" width="10.28515625" style="418" customWidth="1"/>
    <col min="1293" max="1293" width="9.42578125" style="418" customWidth="1"/>
    <col min="1294" max="1294" width="8.7109375" style="418" customWidth="1"/>
    <col min="1295" max="1295" width="10.42578125" style="418" customWidth="1"/>
    <col min="1296" max="1296" width="10.28515625" style="418" customWidth="1"/>
    <col min="1297" max="1536" width="11.42578125" style="418"/>
    <col min="1537" max="1537" width="7" style="418" customWidth="1"/>
    <col min="1538" max="1538" width="10.7109375" style="418" customWidth="1"/>
    <col min="1539" max="1539" width="10.5703125" style="418" customWidth="1"/>
    <col min="1540" max="1540" width="10.7109375" style="418" customWidth="1"/>
    <col min="1541" max="1541" width="10.28515625" style="418" customWidth="1"/>
    <col min="1542" max="1542" width="10.7109375" style="418" customWidth="1"/>
    <col min="1543" max="1543" width="9.42578125" style="418" customWidth="1"/>
    <col min="1544" max="1544" width="10.5703125" style="418" customWidth="1"/>
    <col min="1545" max="1545" width="13.7109375" style="418" customWidth="1"/>
    <col min="1546" max="1547" width="10.42578125" style="418" customWidth="1"/>
    <col min="1548" max="1548" width="10.28515625" style="418" customWidth="1"/>
    <col min="1549" max="1549" width="9.42578125" style="418" customWidth="1"/>
    <col min="1550" max="1550" width="8.7109375" style="418" customWidth="1"/>
    <col min="1551" max="1551" width="10.42578125" style="418" customWidth="1"/>
    <col min="1552" max="1552" width="10.28515625" style="418" customWidth="1"/>
    <col min="1553" max="1792" width="11.42578125" style="418"/>
    <col min="1793" max="1793" width="7" style="418" customWidth="1"/>
    <col min="1794" max="1794" width="10.7109375" style="418" customWidth="1"/>
    <col min="1795" max="1795" width="10.5703125" style="418" customWidth="1"/>
    <col min="1796" max="1796" width="10.7109375" style="418" customWidth="1"/>
    <col min="1797" max="1797" width="10.28515625" style="418" customWidth="1"/>
    <col min="1798" max="1798" width="10.7109375" style="418" customWidth="1"/>
    <col min="1799" max="1799" width="9.42578125" style="418" customWidth="1"/>
    <col min="1800" max="1800" width="10.5703125" style="418" customWidth="1"/>
    <col min="1801" max="1801" width="13.7109375" style="418" customWidth="1"/>
    <col min="1802" max="1803" width="10.42578125" style="418" customWidth="1"/>
    <col min="1804" max="1804" width="10.28515625" style="418" customWidth="1"/>
    <col min="1805" max="1805" width="9.42578125" style="418" customWidth="1"/>
    <col min="1806" max="1806" width="8.7109375" style="418" customWidth="1"/>
    <col min="1807" max="1807" width="10.42578125" style="418" customWidth="1"/>
    <col min="1808" max="1808" width="10.28515625" style="418" customWidth="1"/>
    <col min="1809" max="2048" width="11.42578125" style="418"/>
    <col min="2049" max="2049" width="7" style="418" customWidth="1"/>
    <col min="2050" max="2050" width="10.7109375" style="418" customWidth="1"/>
    <col min="2051" max="2051" width="10.5703125" style="418" customWidth="1"/>
    <col min="2052" max="2052" width="10.7109375" style="418" customWidth="1"/>
    <col min="2053" max="2053" width="10.28515625" style="418" customWidth="1"/>
    <col min="2054" max="2054" width="10.7109375" style="418" customWidth="1"/>
    <col min="2055" max="2055" width="9.42578125" style="418" customWidth="1"/>
    <col min="2056" max="2056" width="10.5703125" style="418" customWidth="1"/>
    <col min="2057" max="2057" width="13.7109375" style="418" customWidth="1"/>
    <col min="2058" max="2059" width="10.42578125" style="418" customWidth="1"/>
    <col min="2060" max="2060" width="10.28515625" style="418" customWidth="1"/>
    <col min="2061" max="2061" width="9.42578125" style="418" customWidth="1"/>
    <col min="2062" max="2062" width="8.7109375" style="418" customWidth="1"/>
    <col min="2063" max="2063" width="10.42578125" style="418" customWidth="1"/>
    <col min="2064" max="2064" width="10.28515625" style="418" customWidth="1"/>
    <col min="2065" max="2304" width="11.42578125" style="418"/>
    <col min="2305" max="2305" width="7" style="418" customWidth="1"/>
    <col min="2306" max="2306" width="10.7109375" style="418" customWidth="1"/>
    <col min="2307" max="2307" width="10.5703125" style="418" customWidth="1"/>
    <col min="2308" max="2308" width="10.7109375" style="418" customWidth="1"/>
    <col min="2309" max="2309" width="10.28515625" style="418" customWidth="1"/>
    <col min="2310" max="2310" width="10.7109375" style="418" customWidth="1"/>
    <col min="2311" max="2311" width="9.42578125" style="418" customWidth="1"/>
    <col min="2312" max="2312" width="10.5703125" style="418" customWidth="1"/>
    <col min="2313" max="2313" width="13.7109375" style="418" customWidth="1"/>
    <col min="2314" max="2315" width="10.42578125" style="418" customWidth="1"/>
    <col min="2316" max="2316" width="10.28515625" style="418" customWidth="1"/>
    <col min="2317" max="2317" width="9.42578125" style="418" customWidth="1"/>
    <col min="2318" max="2318" width="8.7109375" style="418" customWidth="1"/>
    <col min="2319" max="2319" width="10.42578125" style="418" customWidth="1"/>
    <col min="2320" max="2320" width="10.28515625" style="418" customWidth="1"/>
    <col min="2321" max="2560" width="11.42578125" style="418"/>
    <col min="2561" max="2561" width="7" style="418" customWidth="1"/>
    <col min="2562" max="2562" width="10.7109375" style="418" customWidth="1"/>
    <col min="2563" max="2563" width="10.5703125" style="418" customWidth="1"/>
    <col min="2564" max="2564" width="10.7109375" style="418" customWidth="1"/>
    <col min="2565" max="2565" width="10.28515625" style="418" customWidth="1"/>
    <col min="2566" max="2566" width="10.7109375" style="418" customWidth="1"/>
    <col min="2567" max="2567" width="9.42578125" style="418" customWidth="1"/>
    <col min="2568" max="2568" width="10.5703125" style="418" customWidth="1"/>
    <col min="2569" max="2569" width="13.7109375" style="418" customWidth="1"/>
    <col min="2570" max="2571" width="10.42578125" style="418" customWidth="1"/>
    <col min="2572" max="2572" width="10.28515625" style="418" customWidth="1"/>
    <col min="2573" max="2573" width="9.42578125" style="418" customWidth="1"/>
    <col min="2574" max="2574" width="8.7109375" style="418" customWidth="1"/>
    <col min="2575" max="2575" width="10.42578125" style="418" customWidth="1"/>
    <col min="2576" max="2576" width="10.28515625" style="418" customWidth="1"/>
    <col min="2577" max="2816" width="11.42578125" style="418"/>
    <col min="2817" max="2817" width="7" style="418" customWidth="1"/>
    <col min="2818" max="2818" width="10.7109375" style="418" customWidth="1"/>
    <col min="2819" max="2819" width="10.5703125" style="418" customWidth="1"/>
    <col min="2820" max="2820" width="10.7109375" style="418" customWidth="1"/>
    <col min="2821" max="2821" width="10.28515625" style="418" customWidth="1"/>
    <col min="2822" max="2822" width="10.7109375" style="418" customWidth="1"/>
    <col min="2823" max="2823" width="9.42578125" style="418" customWidth="1"/>
    <col min="2824" max="2824" width="10.5703125" style="418" customWidth="1"/>
    <col min="2825" max="2825" width="13.7109375" style="418" customWidth="1"/>
    <col min="2826" max="2827" width="10.42578125" style="418" customWidth="1"/>
    <col min="2828" max="2828" width="10.28515625" style="418" customWidth="1"/>
    <col min="2829" max="2829" width="9.42578125" style="418" customWidth="1"/>
    <col min="2830" max="2830" width="8.7109375" style="418" customWidth="1"/>
    <col min="2831" max="2831" width="10.42578125" style="418" customWidth="1"/>
    <col min="2832" max="2832" width="10.28515625" style="418" customWidth="1"/>
    <col min="2833" max="3072" width="11.42578125" style="418"/>
    <col min="3073" max="3073" width="7" style="418" customWidth="1"/>
    <col min="3074" max="3074" width="10.7109375" style="418" customWidth="1"/>
    <col min="3075" max="3075" width="10.5703125" style="418" customWidth="1"/>
    <col min="3076" max="3076" width="10.7109375" style="418" customWidth="1"/>
    <col min="3077" max="3077" width="10.28515625" style="418" customWidth="1"/>
    <col min="3078" max="3078" width="10.7109375" style="418" customWidth="1"/>
    <col min="3079" max="3079" width="9.42578125" style="418" customWidth="1"/>
    <col min="3080" max="3080" width="10.5703125" style="418" customWidth="1"/>
    <col min="3081" max="3081" width="13.7109375" style="418" customWidth="1"/>
    <col min="3082" max="3083" width="10.42578125" style="418" customWidth="1"/>
    <col min="3084" max="3084" width="10.28515625" style="418" customWidth="1"/>
    <col min="3085" max="3085" width="9.42578125" style="418" customWidth="1"/>
    <col min="3086" max="3086" width="8.7109375" style="418" customWidth="1"/>
    <col min="3087" max="3087" width="10.42578125" style="418" customWidth="1"/>
    <col min="3088" max="3088" width="10.28515625" style="418" customWidth="1"/>
    <col min="3089" max="3328" width="11.42578125" style="418"/>
    <col min="3329" max="3329" width="7" style="418" customWidth="1"/>
    <col min="3330" max="3330" width="10.7109375" style="418" customWidth="1"/>
    <col min="3331" max="3331" width="10.5703125" style="418" customWidth="1"/>
    <col min="3332" max="3332" width="10.7109375" style="418" customWidth="1"/>
    <col min="3333" max="3333" width="10.28515625" style="418" customWidth="1"/>
    <col min="3334" max="3334" width="10.7109375" style="418" customWidth="1"/>
    <col min="3335" max="3335" width="9.42578125" style="418" customWidth="1"/>
    <col min="3336" max="3336" width="10.5703125" style="418" customWidth="1"/>
    <col min="3337" max="3337" width="13.7109375" style="418" customWidth="1"/>
    <col min="3338" max="3339" width="10.42578125" style="418" customWidth="1"/>
    <col min="3340" max="3340" width="10.28515625" style="418" customWidth="1"/>
    <col min="3341" max="3341" width="9.42578125" style="418" customWidth="1"/>
    <col min="3342" max="3342" width="8.7109375" style="418" customWidth="1"/>
    <col min="3343" max="3343" width="10.42578125" style="418" customWidth="1"/>
    <col min="3344" max="3344" width="10.28515625" style="418" customWidth="1"/>
    <col min="3345" max="3584" width="11.42578125" style="418"/>
    <col min="3585" max="3585" width="7" style="418" customWidth="1"/>
    <col min="3586" max="3586" width="10.7109375" style="418" customWidth="1"/>
    <col min="3587" max="3587" width="10.5703125" style="418" customWidth="1"/>
    <col min="3588" max="3588" width="10.7109375" style="418" customWidth="1"/>
    <col min="3589" max="3589" width="10.28515625" style="418" customWidth="1"/>
    <col min="3590" max="3590" width="10.7109375" style="418" customWidth="1"/>
    <col min="3591" max="3591" width="9.42578125" style="418" customWidth="1"/>
    <col min="3592" max="3592" width="10.5703125" style="418" customWidth="1"/>
    <col min="3593" max="3593" width="13.7109375" style="418" customWidth="1"/>
    <col min="3594" max="3595" width="10.42578125" style="418" customWidth="1"/>
    <col min="3596" max="3596" width="10.28515625" style="418" customWidth="1"/>
    <col min="3597" max="3597" width="9.42578125" style="418" customWidth="1"/>
    <col min="3598" max="3598" width="8.7109375" style="418" customWidth="1"/>
    <col min="3599" max="3599" width="10.42578125" style="418" customWidth="1"/>
    <col min="3600" max="3600" width="10.28515625" style="418" customWidth="1"/>
    <col min="3601" max="3840" width="11.42578125" style="418"/>
    <col min="3841" max="3841" width="7" style="418" customWidth="1"/>
    <col min="3842" max="3842" width="10.7109375" style="418" customWidth="1"/>
    <col min="3843" max="3843" width="10.5703125" style="418" customWidth="1"/>
    <col min="3844" max="3844" width="10.7109375" style="418" customWidth="1"/>
    <col min="3845" max="3845" width="10.28515625" style="418" customWidth="1"/>
    <col min="3846" max="3846" width="10.7109375" style="418" customWidth="1"/>
    <col min="3847" max="3847" width="9.42578125" style="418" customWidth="1"/>
    <col min="3848" max="3848" width="10.5703125" style="418" customWidth="1"/>
    <col min="3849" max="3849" width="13.7109375" style="418" customWidth="1"/>
    <col min="3850" max="3851" width="10.42578125" style="418" customWidth="1"/>
    <col min="3852" max="3852" width="10.28515625" style="418" customWidth="1"/>
    <col min="3853" max="3853" width="9.42578125" style="418" customWidth="1"/>
    <col min="3854" max="3854" width="8.7109375" style="418" customWidth="1"/>
    <col min="3855" max="3855" width="10.42578125" style="418" customWidth="1"/>
    <col min="3856" max="3856" width="10.28515625" style="418" customWidth="1"/>
    <col min="3857" max="4096" width="11.42578125" style="418"/>
    <col min="4097" max="4097" width="7" style="418" customWidth="1"/>
    <col min="4098" max="4098" width="10.7109375" style="418" customWidth="1"/>
    <col min="4099" max="4099" width="10.5703125" style="418" customWidth="1"/>
    <col min="4100" max="4100" width="10.7109375" style="418" customWidth="1"/>
    <col min="4101" max="4101" width="10.28515625" style="418" customWidth="1"/>
    <col min="4102" max="4102" width="10.7109375" style="418" customWidth="1"/>
    <col min="4103" max="4103" width="9.42578125" style="418" customWidth="1"/>
    <col min="4104" max="4104" width="10.5703125" style="418" customWidth="1"/>
    <col min="4105" max="4105" width="13.7109375" style="418" customWidth="1"/>
    <col min="4106" max="4107" width="10.42578125" style="418" customWidth="1"/>
    <col min="4108" max="4108" width="10.28515625" style="418" customWidth="1"/>
    <col min="4109" max="4109" width="9.42578125" style="418" customWidth="1"/>
    <col min="4110" max="4110" width="8.7109375" style="418" customWidth="1"/>
    <col min="4111" max="4111" width="10.42578125" style="418" customWidth="1"/>
    <col min="4112" max="4112" width="10.28515625" style="418" customWidth="1"/>
    <col min="4113" max="4352" width="11.42578125" style="418"/>
    <col min="4353" max="4353" width="7" style="418" customWidth="1"/>
    <col min="4354" max="4354" width="10.7109375" style="418" customWidth="1"/>
    <col min="4355" max="4355" width="10.5703125" style="418" customWidth="1"/>
    <col min="4356" max="4356" width="10.7109375" style="418" customWidth="1"/>
    <col min="4357" max="4357" width="10.28515625" style="418" customWidth="1"/>
    <col min="4358" max="4358" width="10.7109375" style="418" customWidth="1"/>
    <col min="4359" max="4359" width="9.42578125" style="418" customWidth="1"/>
    <col min="4360" max="4360" width="10.5703125" style="418" customWidth="1"/>
    <col min="4361" max="4361" width="13.7109375" style="418" customWidth="1"/>
    <col min="4362" max="4363" width="10.42578125" style="418" customWidth="1"/>
    <col min="4364" max="4364" width="10.28515625" style="418" customWidth="1"/>
    <col min="4365" max="4365" width="9.42578125" style="418" customWidth="1"/>
    <col min="4366" max="4366" width="8.7109375" style="418" customWidth="1"/>
    <col min="4367" max="4367" width="10.42578125" style="418" customWidth="1"/>
    <col min="4368" max="4368" width="10.28515625" style="418" customWidth="1"/>
    <col min="4369" max="4608" width="11.42578125" style="418"/>
    <col min="4609" max="4609" width="7" style="418" customWidth="1"/>
    <col min="4610" max="4610" width="10.7109375" style="418" customWidth="1"/>
    <col min="4611" max="4611" width="10.5703125" style="418" customWidth="1"/>
    <col min="4612" max="4612" width="10.7109375" style="418" customWidth="1"/>
    <col min="4613" max="4613" width="10.28515625" style="418" customWidth="1"/>
    <col min="4614" max="4614" width="10.7109375" style="418" customWidth="1"/>
    <col min="4615" max="4615" width="9.42578125" style="418" customWidth="1"/>
    <col min="4616" max="4616" width="10.5703125" style="418" customWidth="1"/>
    <col min="4617" max="4617" width="13.7109375" style="418" customWidth="1"/>
    <col min="4618" max="4619" width="10.42578125" style="418" customWidth="1"/>
    <col min="4620" max="4620" width="10.28515625" style="418" customWidth="1"/>
    <col min="4621" max="4621" width="9.42578125" style="418" customWidth="1"/>
    <col min="4622" max="4622" width="8.7109375" style="418" customWidth="1"/>
    <col min="4623" max="4623" width="10.42578125" style="418" customWidth="1"/>
    <col min="4624" max="4624" width="10.28515625" style="418" customWidth="1"/>
    <col min="4625" max="4864" width="11.42578125" style="418"/>
    <col min="4865" max="4865" width="7" style="418" customWidth="1"/>
    <col min="4866" max="4866" width="10.7109375" style="418" customWidth="1"/>
    <col min="4867" max="4867" width="10.5703125" style="418" customWidth="1"/>
    <col min="4868" max="4868" width="10.7109375" style="418" customWidth="1"/>
    <col min="4869" max="4869" width="10.28515625" style="418" customWidth="1"/>
    <col min="4870" max="4870" width="10.7109375" style="418" customWidth="1"/>
    <col min="4871" max="4871" width="9.42578125" style="418" customWidth="1"/>
    <col min="4872" max="4872" width="10.5703125" style="418" customWidth="1"/>
    <col min="4873" max="4873" width="13.7109375" style="418" customWidth="1"/>
    <col min="4874" max="4875" width="10.42578125" style="418" customWidth="1"/>
    <col min="4876" max="4876" width="10.28515625" style="418" customWidth="1"/>
    <col min="4877" max="4877" width="9.42578125" style="418" customWidth="1"/>
    <col min="4878" max="4878" width="8.7109375" style="418" customWidth="1"/>
    <col min="4879" max="4879" width="10.42578125" style="418" customWidth="1"/>
    <col min="4880" max="4880" width="10.28515625" style="418" customWidth="1"/>
    <col min="4881" max="5120" width="11.42578125" style="418"/>
    <col min="5121" max="5121" width="7" style="418" customWidth="1"/>
    <col min="5122" max="5122" width="10.7109375" style="418" customWidth="1"/>
    <col min="5123" max="5123" width="10.5703125" style="418" customWidth="1"/>
    <col min="5124" max="5124" width="10.7109375" style="418" customWidth="1"/>
    <col min="5125" max="5125" width="10.28515625" style="418" customWidth="1"/>
    <col min="5126" max="5126" width="10.7109375" style="418" customWidth="1"/>
    <col min="5127" max="5127" width="9.42578125" style="418" customWidth="1"/>
    <col min="5128" max="5128" width="10.5703125" style="418" customWidth="1"/>
    <col min="5129" max="5129" width="13.7109375" style="418" customWidth="1"/>
    <col min="5130" max="5131" width="10.42578125" style="418" customWidth="1"/>
    <col min="5132" max="5132" width="10.28515625" style="418" customWidth="1"/>
    <col min="5133" max="5133" width="9.42578125" style="418" customWidth="1"/>
    <col min="5134" max="5134" width="8.7109375" style="418" customWidth="1"/>
    <col min="5135" max="5135" width="10.42578125" style="418" customWidth="1"/>
    <col min="5136" max="5136" width="10.28515625" style="418" customWidth="1"/>
    <col min="5137" max="5376" width="11.42578125" style="418"/>
    <col min="5377" max="5377" width="7" style="418" customWidth="1"/>
    <col min="5378" max="5378" width="10.7109375" style="418" customWidth="1"/>
    <col min="5379" max="5379" width="10.5703125" style="418" customWidth="1"/>
    <col min="5380" max="5380" width="10.7109375" style="418" customWidth="1"/>
    <col min="5381" max="5381" width="10.28515625" style="418" customWidth="1"/>
    <col min="5382" max="5382" width="10.7109375" style="418" customWidth="1"/>
    <col min="5383" max="5383" width="9.42578125" style="418" customWidth="1"/>
    <col min="5384" max="5384" width="10.5703125" style="418" customWidth="1"/>
    <col min="5385" max="5385" width="13.7109375" style="418" customWidth="1"/>
    <col min="5386" max="5387" width="10.42578125" style="418" customWidth="1"/>
    <col min="5388" max="5388" width="10.28515625" style="418" customWidth="1"/>
    <col min="5389" max="5389" width="9.42578125" style="418" customWidth="1"/>
    <col min="5390" max="5390" width="8.7109375" style="418" customWidth="1"/>
    <col min="5391" max="5391" width="10.42578125" style="418" customWidth="1"/>
    <col min="5392" max="5392" width="10.28515625" style="418" customWidth="1"/>
    <col min="5393" max="5632" width="11.42578125" style="418"/>
    <col min="5633" max="5633" width="7" style="418" customWidth="1"/>
    <col min="5634" max="5634" width="10.7109375" style="418" customWidth="1"/>
    <col min="5635" max="5635" width="10.5703125" style="418" customWidth="1"/>
    <col min="5636" max="5636" width="10.7109375" style="418" customWidth="1"/>
    <col min="5637" max="5637" width="10.28515625" style="418" customWidth="1"/>
    <col min="5638" max="5638" width="10.7109375" style="418" customWidth="1"/>
    <col min="5639" max="5639" width="9.42578125" style="418" customWidth="1"/>
    <col min="5640" max="5640" width="10.5703125" style="418" customWidth="1"/>
    <col min="5641" max="5641" width="13.7109375" style="418" customWidth="1"/>
    <col min="5642" max="5643" width="10.42578125" style="418" customWidth="1"/>
    <col min="5644" max="5644" width="10.28515625" style="418" customWidth="1"/>
    <col min="5645" max="5645" width="9.42578125" style="418" customWidth="1"/>
    <col min="5646" max="5646" width="8.7109375" style="418" customWidth="1"/>
    <col min="5647" max="5647" width="10.42578125" style="418" customWidth="1"/>
    <col min="5648" max="5648" width="10.28515625" style="418" customWidth="1"/>
    <col min="5649" max="5888" width="11.42578125" style="418"/>
    <col min="5889" max="5889" width="7" style="418" customWidth="1"/>
    <col min="5890" max="5890" width="10.7109375" style="418" customWidth="1"/>
    <col min="5891" max="5891" width="10.5703125" style="418" customWidth="1"/>
    <col min="5892" max="5892" width="10.7109375" style="418" customWidth="1"/>
    <col min="5893" max="5893" width="10.28515625" style="418" customWidth="1"/>
    <col min="5894" max="5894" width="10.7109375" style="418" customWidth="1"/>
    <col min="5895" max="5895" width="9.42578125" style="418" customWidth="1"/>
    <col min="5896" max="5896" width="10.5703125" style="418" customWidth="1"/>
    <col min="5897" max="5897" width="13.7109375" style="418" customWidth="1"/>
    <col min="5898" max="5899" width="10.42578125" style="418" customWidth="1"/>
    <col min="5900" max="5900" width="10.28515625" style="418" customWidth="1"/>
    <col min="5901" max="5901" width="9.42578125" style="418" customWidth="1"/>
    <col min="5902" max="5902" width="8.7109375" style="418" customWidth="1"/>
    <col min="5903" max="5903" width="10.42578125" style="418" customWidth="1"/>
    <col min="5904" max="5904" width="10.28515625" style="418" customWidth="1"/>
    <col min="5905" max="6144" width="11.42578125" style="418"/>
    <col min="6145" max="6145" width="7" style="418" customWidth="1"/>
    <col min="6146" max="6146" width="10.7109375" style="418" customWidth="1"/>
    <col min="6147" max="6147" width="10.5703125" style="418" customWidth="1"/>
    <col min="6148" max="6148" width="10.7109375" style="418" customWidth="1"/>
    <col min="6149" max="6149" width="10.28515625" style="418" customWidth="1"/>
    <col min="6150" max="6150" width="10.7109375" style="418" customWidth="1"/>
    <col min="6151" max="6151" width="9.42578125" style="418" customWidth="1"/>
    <col min="6152" max="6152" width="10.5703125" style="418" customWidth="1"/>
    <col min="6153" max="6153" width="13.7109375" style="418" customWidth="1"/>
    <col min="6154" max="6155" width="10.42578125" style="418" customWidth="1"/>
    <col min="6156" max="6156" width="10.28515625" style="418" customWidth="1"/>
    <col min="6157" max="6157" width="9.42578125" style="418" customWidth="1"/>
    <col min="6158" max="6158" width="8.7109375" style="418" customWidth="1"/>
    <col min="6159" max="6159" width="10.42578125" style="418" customWidth="1"/>
    <col min="6160" max="6160" width="10.28515625" style="418" customWidth="1"/>
    <col min="6161" max="6400" width="11.42578125" style="418"/>
    <col min="6401" max="6401" width="7" style="418" customWidth="1"/>
    <col min="6402" max="6402" width="10.7109375" style="418" customWidth="1"/>
    <col min="6403" max="6403" width="10.5703125" style="418" customWidth="1"/>
    <col min="6404" max="6404" width="10.7109375" style="418" customWidth="1"/>
    <col min="6405" max="6405" width="10.28515625" style="418" customWidth="1"/>
    <col min="6406" max="6406" width="10.7109375" style="418" customWidth="1"/>
    <col min="6407" max="6407" width="9.42578125" style="418" customWidth="1"/>
    <col min="6408" max="6408" width="10.5703125" style="418" customWidth="1"/>
    <col min="6409" max="6409" width="13.7109375" style="418" customWidth="1"/>
    <col min="6410" max="6411" width="10.42578125" style="418" customWidth="1"/>
    <col min="6412" max="6412" width="10.28515625" style="418" customWidth="1"/>
    <col min="6413" max="6413" width="9.42578125" style="418" customWidth="1"/>
    <col min="6414" max="6414" width="8.7109375" style="418" customWidth="1"/>
    <col min="6415" max="6415" width="10.42578125" style="418" customWidth="1"/>
    <col min="6416" max="6416" width="10.28515625" style="418" customWidth="1"/>
    <col min="6417" max="6656" width="11.42578125" style="418"/>
    <col min="6657" max="6657" width="7" style="418" customWidth="1"/>
    <col min="6658" max="6658" width="10.7109375" style="418" customWidth="1"/>
    <col min="6659" max="6659" width="10.5703125" style="418" customWidth="1"/>
    <col min="6660" max="6660" width="10.7109375" style="418" customWidth="1"/>
    <col min="6661" max="6661" width="10.28515625" style="418" customWidth="1"/>
    <col min="6662" max="6662" width="10.7109375" style="418" customWidth="1"/>
    <col min="6663" max="6663" width="9.42578125" style="418" customWidth="1"/>
    <col min="6664" max="6664" width="10.5703125" style="418" customWidth="1"/>
    <col min="6665" max="6665" width="13.7109375" style="418" customWidth="1"/>
    <col min="6666" max="6667" width="10.42578125" style="418" customWidth="1"/>
    <col min="6668" max="6668" width="10.28515625" style="418" customWidth="1"/>
    <col min="6669" max="6669" width="9.42578125" style="418" customWidth="1"/>
    <col min="6670" max="6670" width="8.7109375" style="418" customWidth="1"/>
    <col min="6671" max="6671" width="10.42578125" style="418" customWidth="1"/>
    <col min="6672" max="6672" width="10.28515625" style="418" customWidth="1"/>
    <col min="6673" max="6912" width="11.42578125" style="418"/>
    <col min="6913" max="6913" width="7" style="418" customWidth="1"/>
    <col min="6914" max="6914" width="10.7109375" style="418" customWidth="1"/>
    <col min="6915" max="6915" width="10.5703125" style="418" customWidth="1"/>
    <col min="6916" max="6916" width="10.7109375" style="418" customWidth="1"/>
    <col min="6917" max="6917" width="10.28515625" style="418" customWidth="1"/>
    <col min="6918" max="6918" width="10.7109375" style="418" customWidth="1"/>
    <col min="6919" max="6919" width="9.42578125" style="418" customWidth="1"/>
    <col min="6920" max="6920" width="10.5703125" style="418" customWidth="1"/>
    <col min="6921" max="6921" width="13.7109375" style="418" customWidth="1"/>
    <col min="6922" max="6923" width="10.42578125" style="418" customWidth="1"/>
    <col min="6924" max="6924" width="10.28515625" style="418" customWidth="1"/>
    <col min="6925" max="6925" width="9.42578125" style="418" customWidth="1"/>
    <col min="6926" max="6926" width="8.7109375" style="418" customWidth="1"/>
    <col min="6927" max="6927" width="10.42578125" style="418" customWidth="1"/>
    <col min="6928" max="6928" width="10.28515625" style="418" customWidth="1"/>
    <col min="6929" max="7168" width="11.42578125" style="418"/>
    <col min="7169" max="7169" width="7" style="418" customWidth="1"/>
    <col min="7170" max="7170" width="10.7109375" style="418" customWidth="1"/>
    <col min="7171" max="7171" width="10.5703125" style="418" customWidth="1"/>
    <col min="7172" max="7172" width="10.7109375" style="418" customWidth="1"/>
    <col min="7173" max="7173" width="10.28515625" style="418" customWidth="1"/>
    <col min="7174" max="7174" width="10.7109375" style="418" customWidth="1"/>
    <col min="7175" max="7175" width="9.42578125" style="418" customWidth="1"/>
    <col min="7176" max="7176" width="10.5703125" style="418" customWidth="1"/>
    <col min="7177" max="7177" width="13.7109375" style="418" customWidth="1"/>
    <col min="7178" max="7179" width="10.42578125" style="418" customWidth="1"/>
    <col min="7180" max="7180" width="10.28515625" style="418" customWidth="1"/>
    <col min="7181" max="7181" width="9.42578125" style="418" customWidth="1"/>
    <col min="7182" max="7182" width="8.7109375" style="418" customWidth="1"/>
    <col min="7183" max="7183" width="10.42578125" style="418" customWidth="1"/>
    <col min="7184" max="7184" width="10.28515625" style="418" customWidth="1"/>
    <col min="7185" max="7424" width="11.42578125" style="418"/>
    <col min="7425" max="7425" width="7" style="418" customWidth="1"/>
    <col min="7426" max="7426" width="10.7109375" style="418" customWidth="1"/>
    <col min="7427" max="7427" width="10.5703125" style="418" customWidth="1"/>
    <col min="7428" max="7428" width="10.7109375" style="418" customWidth="1"/>
    <col min="7429" max="7429" width="10.28515625" style="418" customWidth="1"/>
    <col min="7430" max="7430" width="10.7109375" style="418" customWidth="1"/>
    <col min="7431" max="7431" width="9.42578125" style="418" customWidth="1"/>
    <col min="7432" max="7432" width="10.5703125" style="418" customWidth="1"/>
    <col min="7433" max="7433" width="13.7109375" style="418" customWidth="1"/>
    <col min="7434" max="7435" width="10.42578125" style="418" customWidth="1"/>
    <col min="7436" max="7436" width="10.28515625" style="418" customWidth="1"/>
    <col min="7437" max="7437" width="9.42578125" style="418" customWidth="1"/>
    <col min="7438" max="7438" width="8.7109375" style="418" customWidth="1"/>
    <col min="7439" max="7439" width="10.42578125" style="418" customWidth="1"/>
    <col min="7440" max="7440" width="10.28515625" style="418" customWidth="1"/>
    <col min="7441" max="7680" width="11.42578125" style="418"/>
    <col min="7681" max="7681" width="7" style="418" customWidth="1"/>
    <col min="7682" max="7682" width="10.7109375" style="418" customWidth="1"/>
    <col min="7683" max="7683" width="10.5703125" style="418" customWidth="1"/>
    <col min="7684" max="7684" width="10.7109375" style="418" customWidth="1"/>
    <col min="7685" max="7685" width="10.28515625" style="418" customWidth="1"/>
    <col min="7686" max="7686" width="10.7109375" style="418" customWidth="1"/>
    <col min="7687" max="7687" width="9.42578125" style="418" customWidth="1"/>
    <col min="7688" max="7688" width="10.5703125" style="418" customWidth="1"/>
    <col min="7689" max="7689" width="13.7109375" style="418" customWidth="1"/>
    <col min="7690" max="7691" width="10.42578125" style="418" customWidth="1"/>
    <col min="7692" max="7692" width="10.28515625" style="418" customWidth="1"/>
    <col min="7693" max="7693" width="9.42578125" style="418" customWidth="1"/>
    <col min="7694" max="7694" width="8.7109375" style="418" customWidth="1"/>
    <col min="7695" max="7695" width="10.42578125" style="418" customWidth="1"/>
    <col min="7696" max="7696" width="10.28515625" style="418" customWidth="1"/>
    <col min="7697" max="7936" width="11.42578125" style="418"/>
    <col min="7937" max="7937" width="7" style="418" customWidth="1"/>
    <col min="7938" max="7938" width="10.7109375" style="418" customWidth="1"/>
    <col min="7939" max="7939" width="10.5703125" style="418" customWidth="1"/>
    <col min="7940" max="7940" width="10.7109375" style="418" customWidth="1"/>
    <col min="7941" max="7941" width="10.28515625" style="418" customWidth="1"/>
    <col min="7942" max="7942" width="10.7109375" style="418" customWidth="1"/>
    <col min="7943" max="7943" width="9.42578125" style="418" customWidth="1"/>
    <col min="7944" max="7944" width="10.5703125" style="418" customWidth="1"/>
    <col min="7945" max="7945" width="13.7109375" style="418" customWidth="1"/>
    <col min="7946" max="7947" width="10.42578125" style="418" customWidth="1"/>
    <col min="7948" max="7948" width="10.28515625" style="418" customWidth="1"/>
    <col min="7949" max="7949" width="9.42578125" style="418" customWidth="1"/>
    <col min="7950" max="7950" width="8.7109375" style="418" customWidth="1"/>
    <col min="7951" max="7951" width="10.42578125" style="418" customWidth="1"/>
    <col min="7952" max="7952" width="10.28515625" style="418" customWidth="1"/>
    <col min="7953" max="8192" width="11.42578125" style="418"/>
    <col min="8193" max="8193" width="7" style="418" customWidth="1"/>
    <col min="8194" max="8194" width="10.7109375" style="418" customWidth="1"/>
    <col min="8195" max="8195" width="10.5703125" style="418" customWidth="1"/>
    <col min="8196" max="8196" width="10.7109375" style="418" customWidth="1"/>
    <col min="8197" max="8197" width="10.28515625" style="418" customWidth="1"/>
    <col min="8198" max="8198" width="10.7109375" style="418" customWidth="1"/>
    <col min="8199" max="8199" width="9.42578125" style="418" customWidth="1"/>
    <col min="8200" max="8200" width="10.5703125" style="418" customWidth="1"/>
    <col min="8201" max="8201" width="13.7109375" style="418" customWidth="1"/>
    <col min="8202" max="8203" width="10.42578125" style="418" customWidth="1"/>
    <col min="8204" max="8204" width="10.28515625" style="418" customWidth="1"/>
    <col min="8205" max="8205" width="9.42578125" style="418" customWidth="1"/>
    <col min="8206" max="8206" width="8.7109375" style="418" customWidth="1"/>
    <col min="8207" max="8207" width="10.42578125" style="418" customWidth="1"/>
    <col min="8208" max="8208" width="10.28515625" style="418" customWidth="1"/>
    <col min="8209" max="8448" width="11.42578125" style="418"/>
    <col min="8449" max="8449" width="7" style="418" customWidth="1"/>
    <col min="8450" max="8450" width="10.7109375" style="418" customWidth="1"/>
    <col min="8451" max="8451" width="10.5703125" style="418" customWidth="1"/>
    <col min="8452" max="8452" width="10.7109375" style="418" customWidth="1"/>
    <col min="8453" max="8453" width="10.28515625" style="418" customWidth="1"/>
    <col min="8454" max="8454" width="10.7109375" style="418" customWidth="1"/>
    <col min="8455" max="8455" width="9.42578125" style="418" customWidth="1"/>
    <col min="8456" max="8456" width="10.5703125" style="418" customWidth="1"/>
    <col min="8457" max="8457" width="13.7109375" style="418" customWidth="1"/>
    <col min="8458" max="8459" width="10.42578125" style="418" customWidth="1"/>
    <col min="8460" max="8460" width="10.28515625" style="418" customWidth="1"/>
    <col min="8461" max="8461" width="9.42578125" style="418" customWidth="1"/>
    <col min="8462" max="8462" width="8.7109375" style="418" customWidth="1"/>
    <col min="8463" max="8463" width="10.42578125" style="418" customWidth="1"/>
    <col min="8464" max="8464" width="10.28515625" style="418" customWidth="1"/>
    <col min="8465" max="8704" width="11.42578125" style="418"/>
    <col min="8705" max="8705" width="7" style="418" customWidth="1"/>
    <col min="8706" max="8706" width="10.7109375" style="418" customWidth="1"/>
    <col min="8707" max="8707" width="10.5703125" style="418" customWidth="1"/>
    <col min="8708" max="8708" width="10.7109375" style="418" customWidth="1"/>
    <col min="8709" max="8709" width="10.28515625" style="418" customWidth="1"/>
    <col min="8710" max="8710" width="10.7109375" style="418" customWidth="1"/>
    <col min="8711" max="8711" width="9.42578125" style="418" customWidth="1"/>
    <col min="8712" max="8712" width="10.5703125" style="418" customWidth="1"/>
    <col min="8713" max="8713" width="13.7109375" style="418" customWidth="1"/>
    <col min="8714" max="8715" width="10.42578125" style="418" customWidth="1"/>
    <col min="8716" max="8716" width="10.28515625" style="418" customWidth="1"/>
    <col min="8717" max="8717" width="9.42578125" style="418" customWidth="1"/>
    <col min="8718" max="8718" width="8.7109375" style="418" customWidth="1"/>
    <col min="8719" max="8719" width="10.42578125" style="418" customWidth="1"/>
    <col min="8720" max="8720" width="10.28515625" style="418" customWidth="1"/>
    <col min="8721" max="8960" width="11.42578125" style="418"/>
    <col min="8961" max="8961" width="7" style="418" customWidth="1"/>
    <col min="8962" max="8962" width="10.7109375" style="418" customWidth="1"/>
    <col min="8963" max="8963" width="10.5703125" style="418" customWidth="1"/>
    <col min="8964" max="8964" width="10.7109375" style="418" customWidth="1"/>
    <col min="8965" max="8965" width="10.28515625" style="418" customWidth="1"/>
    <col min="8966" max="8966" width="10.7109375" style="418" customWidth="1"/>
    <col min="8967" max="8967" width="9.42578125" style="418" customWidth="1"/>
    <col min="8968" max="8968" width="10.5703125" style="418" customWidth="1"/>
    <col min="8969" max="8969" width="13.7109375" style="418" customWidth="1"/>
    <col min="8970" max="8971" width="10.42578125" style="418" customWidth="1"/>
    <col min="8972" max="8972" width="10.28515625" style="418" customWidth="1"/>
    <col min="8973" max="8973" width="9.42578125" style="418" customWidth="1"/>
    <col min="8974" max="8974" width="8.7109375" style="418" customWidth="1"/>
    <col min="8975" max="8975" width="10.42578125" style="418" customWidth="1"/>
    <col min="8976" max="8976" width="10.28515625" style="418" customWidth="1"/>
    <col min="8977" max="9216" width="11.42578125" style="418"/>
    <col min="9217" max="9217" width="7" style="418" customWidth="1"/>
    <col min="9218" max="9218" width="10.7109375" style="418" customWidth="1"/>
    <col min="9219" max="9219" width="10.5703125" style="418" customWidth="1"/>
    <col min="9220" max="9220" width="10.7109375" style="418" customWidth="1"/>
    <col min="9221" max="9221" width="10.28515625" style="418" customWidth="1"/>
    <col min="9222" max="9222" width="10.7109375" style="418" customWidth="1"/>
    <col min="9223" max="9223" width="9.42578125" style="418" customWidth="1"/>
    <col min="9224" max="9224" width="10.5703125" style="418" customWidth="1"/>
    <col min="9225" max="9225" width="13.7109375" style="418" customWidth="1"/>
    <col min="9226" max="9227" width="10.42578125" style="418" customWidth="1"/>
    <col min="9228" max="9228" width="10.28515625" style="418" customWidth="1"/>
    <col min="9229" max="9229" width="9.42578125" style="418" customWidth="1"/>
    <col min="9230" max="9230" width="8.7109375" style="418" customWidth="1"/>
    <col min="9231" max="9231" width="10.42578125" style="418" customWidth="1"/>
    <col min="9232" max="9232" width="10.28515625" style="418" customWidth="1"/>
    <col min="9233" max="9472" width="11.42578125" style="418"/>
    <col min="9473" max="9473" width="7" style="418" customWidth="1"/>
    <col min="9474" max="9474" width="10.7109375" style="418" customWidth="1"/>
    <col min="9475" max="9475" width="10.5703125" style="418" customWidth="1"/>
    <col min="9476" max="9476" width="10.7109375" style="418" customWidth="1"/>
    <col min="9477" max="9477" width="10.28515625" style="418" customWidth="1"/>
    <col min="9478" max="9478" width="10.7109375" style="418" customWidth="1"/>
    <col min="9479" max="9479" width="9.42578125" style="418" customWidth="1"/>
    <col min="9480" max="9480" width="10.5703125" style="418" customWidth="1"/>
    <col min="9481" max="9481" width="13.7109375" style="418" customWidth="1"/>
    <col min="9482" max="9483" width="10.42578125" style="418" customWidth="1"/>
    <col min="9484" max="9484" width="10.28515625" style="418" customWidth="1"/>
    <col min="9485" max="9485" width="9.42578125" style="418" customWidth="1"/>
    <col min="9486" max="9486" width="8.7109375" style="418" customWidth="1"/>
    <col min="9487" max="9487" width="10.42578125" style="418" customWidth="1"/>
    <col min="9488" max="9488" width="10.28515625" style="418" customWidth="1"/>
    <col min="9489" max="9728" width="11.42578125" style="418"/>
    <col min="9729" max="9729" width="7" style="418" customWidth="1"/>
    <col min="9730" max="9730" width="10.7109375" style="418" customWidth="1"/>
    <col min="9731" max="9731" width="10.5703125" style="418" customWidth="1"/>
    <col min="9732" max="9732" width="10.7109375" style="418" customWidth="1"/>
    <col min="9733" max="9733" width="10.28515625" style="418" customWidth="1"/>
    <col min="9734" max="9734" width="10.7109375" style="418" customWidth="1"/>
    <col min="9735" max="9735" width="9.42578125" style="418" customWidth="1"/>
    <col min="9736" max="9736" width="10.5703125" style="418" customWidth="1"/>
    <col min="9737" max="9737" width="13.7109375" style="418" customWidth="1"/>
    <col min="9738" max="9739" width="10.42578125" style="418" customWidth="1"/>
    <col min="9740" max="9740" width="10.28515625" style="418" customWidth="1"/>
    <col min="9741" max="9741" width="9.42578125" style="418" customWidth="1"/>
    <col min="9742" max="9742" width="8.7109375" style="418" customWidth="1"/>
    <col min="9743" max="9743" width="10.42578125" style="418" customWidth="1"/>
    <col min="9744" max="9744" width="10.28515625" style="418" customWidth="1"/>
    <col min="9745" max="9984" width="11.42578125" style="418"/>
    <col min="9985" max="9985" width="7" style="418" customWidth="1"/>
    <col min="9986" max="9986" width="10.7109375" style="418" customWidth="1"/>
    <col min="9987" max="9987" width="10.5703125" style="418" customWidth="1"/>
    <col min="9988" max="9988" width="10.7109375" style="418" customWidth="1"/>
    <col min="9989" max="9989" width="10.28515625" style="418" customWidth="1"/>
    <col min="9990" max="9990" width="10.7109375" style="418" customWidth="1"/>
    <col min="9991" max="9991" width="9.42578125" style="418" customWidth="1"/>
    <col min="9992" max="9992" width="10.5703125" style="418" customWidth="1"/>
    <col min="9993" max="9993" width="13.7109375" style="418" customWidth="1"/>
    <col min="9994" max="9995" width="10.42578125" style="418" customWidth="1"/>
    <col min="9996" max="9996" width="10.28515625" style="418" customWidth="1"/>
    <col min="9997" max="9997" width="9.42578125" style="418" customWidth="1"/>
    <col min="9998" max="9998" width="8.7109375" style="418" customWidth="1"/>
    <col min="9999" max="9999" width="10.42578125" style="418" customWidth="1"/>
    <col min="10000" max="10000" width="10.28515625" style="418" customWidth="1"/>
    <col min="10001" max="10240" width="11.42578125" style="418"/>
    <col min="10241" max="10241" width="7" style="418" customWidth="1"/>
    <col min="10242" max="10242" width="10.7109375" style="418" customWidth="1"/>
    <col min="10243" max="10243" width="10.5703125" style="418" customWidth="1"/>
    <col min="10244" max="10244" width="10.7109375" style="418" customWidth="1"/>
    <col min="10245" max="10245" width="10.28515625" style="418" customWidth="1"/>
    <col min="10246" max="10246" width="10.7109375" style="418" customWidth="1"/>
    <col min="10247" max="10247" width="9.42578125" style="418" customWidth="1"/>
    <col min="10248" max="10248" width="10.5703125" style="418" customWidth="1"/>
    <col min="10249" max="10249" width="13.7109375" style="418" customWidth="1"/>
    <col min="10250" max="10251" width="10.42578125" style="418" customWidth="1"/>
    <col min="10252" max="10252" width="10.28515625" style="418" customWidth="1"/>
    <col min="10253" max="10253" width="9.42578125" style="418" customWidth="1"/>
    <col min="10254" max="10254" width="8.7109375" style="418" customWidth="1"/>
    <col min="10255" max="10255" width="10.42578125" style="418" customWidth="1"/>
    <col min="10256" max="10256" width="10.28515625" style="418" customWidth="1"/>
    <col min="10257" max="10496" width="11.42578125" style="418"/>
    <col min="10497" max="10497" width="7" style="418" customWidth="1"/>
    <col min="10498" max="10498" width="10.7109375" style="418" customWidth="1"/>
    <col min="10499" max="10499" width="10.5703125" style="418" customWidth="1"/>
    <col min="10500" max="10500" width="10.7109375" style="418" customWidth="1"/>
    <col min="10501" max="10501" width="10.28515625" style="418" customWidth="1"/>
    <col min="10502" max="10502" width="10.7109375" style="418" customWidth="1"/>
    <col min="10503" max="10503" width="9.42578125" style="418" customWidth="1"/>
    <col min="10504" max="10504" width="10.5703125" style="418" customWidth="1"/>
    <col min="10505" max="10505" width="13.7109375" style="418" customWidth="1"/>
    <col min="10506" max="10507" width="10.42578125" style="418" customWidth="1"/>
    <col min="10508" max="10508" width="10.28515625" style="418" customWidth="1"/>
    <col min="10509" max="10509" width="9.42578125" style="418" customWidth="1"/>
    <col min="10510" max="10510" width="8.7109375" style="418" customWidth="1"/>
    <col min="10511" max="10511" width="10.42578125" style="418" customWidth="1"/>
    <col min="10512" max="10512" width="10.28515625" style="418" customWidth="1"/>
    <col min="10513" max="10752" width="11.42578125" style="418"/>
    <col min="10753" max="10753" width="7" style="418" customWidth="1"/>
    <col min="10754" max="10754" width="10.7109375" style="418" customWidth="1"/>
    <col min="10755" max="10755" width="10.5703125" style="418" customWidth="1"/>
    <col min="10756" max="10756" width="10.7109375" style="418" customWidth="1"/>
    <col min="10757" max="10757" width="10.28515625" style="418" customWidth="1"/>
    <col min="10758" max="10758" width="10.7109375" style="418" customWidth="1"/>
    <col min="10759" max="10759" width="9.42578125" style="418" customWidth="1"/>
    <col min="10760" max="10760" width="10.5703125" style="418" customWidth="1"/>
    <col min="10761" max="10761" width="13.7109375" style="418" customWidth="1"/>
    <col min="10762" max="10763" width="10.42578125" style="418" customWidth="1"/>
    <col min="10764" max="10764" width="10.28515625" style="418" customWidth="1"/>
    <col min="10765" max="10765" width="9.42578125" style="418" customWidth="1"/>
    <col min="10766" max="10766" width="8.7109375" style="418" customWidth="1"/>
    <col min="10767" max="10767" width="10.42578125" style="418" customWidth="1"/>
    <col min="10768" max="10768" width="10.28515625" style="418" customWidth="1"/>
    <col min="10769" max="11008" width="11.42578125" style="418"/>
    <col min="11009" max="11009" width="7" style="418" customWidth="1"/>
    <col min="11010" max="11010" width="10.7109375" style="418" customWidth="1"/>
    <col min="11011" max="11011" width="10.5703125" style="418" customWidth="1"/>
    <col min="11012" max="11012" width="10.7109375" style="418" customWidth="1"/>
    <col min="11013" max="11013" width="10.28515625" style="418" customWidth="1"/>
    <col min="11014" max="11014" width="10.7109375" style="418" customWidth="1"/>
    <col min="11015" max="11015" width="9.42578125" style="418" customWidth="1"/>
    <col min="11016" max="11016" width="10.5703125" style="418" customWidth="1"/>
    <col min="11017" max="11017" width="13.7109375" style="418" customWidth="1"/>
    <col min="11018" max="11019" width="10.42578125" style="418" customWidth="1"/>
    <col min="11020" max="11020" width="10.28515625" style="418" customWidth="1"/>
    <col min="11021" max="11021" width="9.42578125" style="418" customWidth="1"/>
    <col min="11022" max="11022" width="8.7109375" style="418" customWidth="1"/>
    <col min="11023" max="11023" width="10.42578125" style="418" customWidth="1"/>
    <col min="11024" max="11024" width="10.28515625" style="418" customWidth="1"/>
    <col min="11025" max="11264" width="11.42578125" style="418"/>
    <col min="11265" max="11265" width="7" style="418" customWidth="1"/>
    <col min="11266" max="11266" width="10.7109375" style="418" customWidth="1"/>
    <col min="11267" max="11267" width="10.5703125" style="418" customWidth="1"/>
    <col min="11268" max="11268" width="10.7109375" style="418" customWidth="1"/>
    <col min="11269" max="11269" width="10.28515625" style="418" customWidth="1"/>
    <col min="11270" max="11270" width="10.7109375" style="418" customWidth="1"/>
    <col min="11271" max="11271" width="9.42578125" style="418" customWidth="1"/>
    <col min="11272" max="11272" width="10.5703125" style="418" customWidth="1"/>
    <col min="11273" max="11273" width="13.7109375" style="418" customWidth="1"/>
    <col min="11274" max="11275" width="10.42578125" style="418" customWidth="1"/>
    <col min="11276" max="11276" width="10.28515625" style="418" customWidth="1"/>
    <col min="11277" max="11277" width="9.42578125" style="418" customWidth="1"/>
    <col min="11278" max="11278" width="8.7109375" style="418" customWidth="1"/>
    <col min="11279" max="11279" width="10.42578125" style="418" customWidth="1"/>
    <col min="11280" max="11280" width="10.28515625" style="418" customWidth="1"/>
    <col min="11281" max="11520" width="11.42578125" style="418"/>
    <col min="11521" max="11521" width="7" style="418" customWidth="1"/>
    <col min="11522" max="11522" width="10.7109375" style="418" customWidth="1"/>
    <col min="11523" max="11523" width="10.5703125" style="418" customWidth="1"/>
    <col min="11524" max="11524" width="10.7109375" style="418" customWidth="1"/>
    <col min="11525" max="11525" width="10.28515625" style="418" customWidth="1"/>
    <col min="11526" max="11526" width="10.7109375" style="418" customWidth="1"/>
    <col min="11527" max="11527" width="9.42578125" style="418" customWidth="1"/>
    <col min="11528" max="11528" width="10.5703125" style="418" customWidth="1"/>
    <col min="11529" max="11529" width="13.7109375" style="418" customWidth="1"/>
    <col min="11530" max="11531" width="10.42578125" style="418" customWidth="1"/>
    <col min="11532" max="11532" width="10.28515625" style="418" customWidth="1"/>
    <col min="11533" max="11533" width="9.42578125" style="418" customWidth="1"/>
    <col min="11534" max="11534" width="8.7109375" style="418" customWidth="1"/>
    <col min="11535" max="11535" width="10.42578125" style="418" customWidth="1"/>
    <col min="11536" max="11536" width="10.28515625" style="418" customWidth="1"/>
    <col min="11537" max="11776" width="11.42578125" style="418"/>
    <col min="11777" max="11777" width="7" style="418" customWidth="1"/>
    <col min="11778" max="11778" width="10.7109375" style="418" customWidth="1"/>
    <col min="11779" max="11779" width="10.5703125" style="418" customWidth="1"/>
    <col min="11780" max="11780" width="10.7109375" style="418" customWidth="1"/>
    <col min="11781" max="11781" width="10.28515625" style="418" customWidth="1"/>
    <col min="11782" max="11782" width="10.7109375" style="418" customWidth="1"/>
    <col min="11783" max="11783" width="9.42578125" style="418" customWidth="1"/>
    <col min="11784" max="11784" width="10.5703125" style="418" customWidth="1"/>
    <col min="11785" max="11785" width="13.7109375" style="418" customWidth="1"/>
    <col min="11786" max="11787" width="10.42578125" style="418" customWidth="1"/>
    <col min="11788" max="11788" width="10.28515625" style="418" customWidth="1"/>
    <col min="11789" max="11789" width="9.42578125" style="418" customWidth="1"/>
    <col min="11790" max="11790" width="8.7109375" style="418" customWidth="1"/>
    <col min="11791" max="11791" width="10.42578125" style="418" customWidth="1"/>
    <col min="11792" max="11792" width="10.28515625" style="418" customWidth="1"/>
    <col min="11793" max="12032" width="11.42578125" style="418"/>
    <col min="12033" max="12033" width="7" style="418" customWidth="1"/>
    <col min="12034" max="12034" width="10.7109375" style="418" customWidth="1"/>
    <col min="12035" max="12035" width="10.5703125" style="418" customWidth="1"/>
    <col min="12036" max="12036" width="10.7109375" style="418" customWidth="1"/>
    <col min="12037" max="12037" width="10.28515625" style="418" customWidth="1"/>
    <col min="12038" max="12038" width="10.7109375" style="418" customWidth="1"/>
    <col min="12039" max="12039" width="9.42578125" style="418" customWidth="1"/>
    <col min="12040" max="12040" width="10.5703125" style="418" customWidth="1"/>
    <col min="12041" max="12041" width="13.7109375" style="418" customWidth="1"/>
    <col min="12042" max="12043" width="10.42578125" style="418" customWidth="1"/>
    <col min="12044" max="12044" width="10.28515625" style="418" customWidth="1"/>
    <col min="12045" max="12045" width="9.42578125" style="418" customWidth="1"/>
    <col min="12046" max="12046" width="8.7109375" style="418" customWidth="1"/>
    <col min="12047" max="12047" width="10.42578125" style="418" customWidth="1"/>
    <col min="12048" max="12048" width="10.28515625" style="418" customWidth="1"/>
    <col min="12049" max="12288" width="11.42578125" style="418"/>
    <col min="12289" max="12289" width="7" style="418" customWidth="1"/>
    <col min="12290" max="12290" width="10.7109375" style="418" customWidth="1"/>
    <col min="12291" max="12291" width="10.5703125" style="418" customWidth="1"/>
    <col min="12292" max="12292" width="10.7109375" style="418" customWidth="1"/>
    <col min="12293" max="12293" width="10.28515625" style="418" customWidth="1"/>
    <col min="12294" max="12294" width="10.7109375" style="418" customWidth="1"/>
    <col min="12295" max="12295" width="9.42578125" style="418" customWidth="1"/>
    <col min="12296" max="12296" width="10.5703125" style="418" customWidth="1"/>
    <col min="12297" max="12297" width="13.7109375" style="418" customWidth="1"/>
    <col min="12298" max="12299" width="10.42578125" style="418" customWidth="1"/>
    <col min="12300" max="12300" width="10.28515625" style="418" customWidth="1"/>
    <col min="12301" max="12301" width="9.42578125" style="418" customWidth="1"/>
    <col min="12302" max="12302" width="8.7109375" style="418" customWidth="1"/>
    <col min="12303" max="12303" width="10.42578125" style="418" customWidth="1"/>
    <col min="12304" max="12304" width="10.28515625" style="418" customWidth="1"/>
    <col min="12305" max="12544" width="11.42578125" style="418"/>
    <col min="12545" max="12545" width="7" style="418" customWidth="1"/>
    <col min="12546" max="12546" width="10.7109375" style="418" customWidth="1"/>
    <col min="12547" max="12547" width="10.5703125" style="418" customWidth="1"/>
    <col min="12548" max="12548" width="10.7109375" style="418" customWidth="1"/>
    <col min="12549" max="12549" width="10.28515625" style="418" customWidth="1"/>
    <col min="12550" max="12550" width="10.7109375" style="418" customWidth="1"/>
    <col min="12551" max="12551" width="9.42578125" style="418" customWidth="1"/>
    <col min="12552" max="12552" width="10.5703125" style="418" customWidth="1"/>
    <col min="12553" max="12553" width="13.7109375" style="418" customWidth="1"/>
    <col min="12554" max="12555" width="10.42578125" style="418" customWidth="1"/>
    <col min="12556" max="12556" width="10.28515625" style="418" customWidth="1"/>
    <col min="12557" max="12557" width="9.42578125" style="418" customWidth="1"/>
    <col min="12558" max="12558" width="8.7109375" style="418" customWidth="1"/>
    <col min="12559" max="12559" width="10.42578125" style="418" customWidth="1"/>
    <col min="12560" max="12560" width="10.28515625" style="418" customWidth="1"/>
    <col min="12561" max="12800" width="11.42578125" style="418"/>
    <col min="12801" max="12801" width="7" style="418" customWidth="1"/>
    <col min="12802" max="12802" width="10.7109375" style="418" customWidth="1"/>
    <col min="12803" max="12803" width="10.5703125" style="418" customWidth="1"/>
    <col min="12804" max="12804" width="10.7109375" style="418" customWidth="1"/>
    <col min="12805" max="12805" width="10.28515625" style="418" customWidth="1"/>
    <col min="12806" max="12806" width="10.7109375" style="418" customWidth="1"/>
    <col min="12807" max="12807" width="9.42578125" style="418" customWidth="1"/>
    <col min="12808" max="12808" width="10.5703125" style="418" customWidth="1"/>
    <col min="12809" max="12809" width="13.7109375" style="418" customWidth="1"/>
    <col min="12810" max="12811" width="10.42578125" style="418" customWidth="1"/>
    <col min="12812" max="12812" width="10.28515625" style="418" customWidth="1"/>
    <col min="12813" max="12813" width="9.42578125" style="418" customWidth="1"/>
    <col min="12814" max="12814" width="8.7109375" style="418" customWidth="1"/>
    <col min="12815" max="12815" width="10.42578125" style="418" customWidth="1"/>
    <col min="12816" max="12816" width="10.28515625" style="418" customWidth="1"/>
    <col min="12817" max="13056" width="11.42578125" style="418"/>
    <col min="13057" max="13057" width="7" style="418" customWidth="1"/>
    <col min="13058" max="13058" width="10.7109375" style="418" customWidth="1"/>
    <col min="13059" max="13059" width="10.5703125" style="418" customWidth="1"/>
    <col min="13060" max="13060" width="10.7109375" style="418" customWidth="1"/>
    <col min="13061" max="13061" width="10.28515625" style="418" customWidth="1"/>
    <col min="13062" max="13062" width="10.7109375" style="418" customWidth="1"/>
    <col min="13063" max="13063" width="9.42578125" style="418" customWidth="1"/>
    <col min="13064" max="13064" width="10.5703125" style="418" customWidth="1"/>
    <col min="13065" max="13065" width="13.7109375" style="418" customWidth="1"/>
    <col min="13066" max="13067" width="10.42578125" style="418" customWidth="1"/>
    <col min="13068" max="13068" width="10.28515625" style="418" customWidth="1"/>
    <col min="13069" max="13069" width="9.42578125" style="418" customWidth="1"/>
    <col min="13070" max="13070" width="8.7109375" style="418" customWidth="1"/>
    <col min="13071" max="13071" width="10.42578125" style="418" customWidth="1"/>
    <col min="13072" max="13072" width="10.28515625" style="418" customWidth="1"/>
    <col min="13073" max="13312" width="11.42578125" style="418"/>
    <col min="13313" max="13313" width="7" style="418" customWidth="1"/>
    <col min="13314" max="13314" width="10.7109375" style="418" customWidth="1"/>
    <col min="13315" max="13315" width="10.5703125" style="418" customWidth="1"/>
    <col min="13316" max="13316" width="10.7109375" style="418" customWidth="1"/>
    <col min="13317" max="13317" width="10.28515625" style="418" customWidth="1"/>
    <col min="13318" max="13318" width="10.7109375" style="418" customWidth="1"/>
    <col min="13319" max="13319" width="9.42578125" style="418" customWidth="1"/>
    <col min="13320" max="13320" width="10.5703125" style="418" customWidth="1"/>
    <col min="13321" max="13321" width="13.7109375" style="418" customWidth="1"/>
    <col min="13322" max="13323" width="10.42578125" style="418" customWidth="1"/>
    <col min="13324" max="13324" width="10.28515625" style="418" customWidth="1"/>
    <col min="13325" max="13325" width="9.42578125" style="418" customWidth="1"/>
    <col min="13326" max="13326" width="8.7109375" style="418" customWidth="1"/>
    <col min="13327" max="13327" width="10.42578125" style="418" customWidth="1"/>
    <col min="13328" max="13328" width="10.28515625" style="418" customWidth="1"/>
    <col min="13329" max="13568" width="11.42578125" style="418"/>
    <col min="13569" max="13569" width="7" style="418" customWidth="1"/>
    <col min="13570" max="13570" width="10.7109375" style="418" customWidth="1"/>
    <col min="13571" max="13571" width="10.5703125" style="418" customWidth="1"/>
    <col min="13572" max="13572" width="10.7109375" style="418" customWidth="1"/>
    <col min="13573" max="13573" width="10.28515625" style="418" customWidth="1"/>
    <col min="13574" max="13574" width="10.7109375" style="418" customWidth="1"/>
    <col min="13575" max="13575" width="9.42578125" style="418" customWidth="1"/>
    <col min="13576" max="13576" width="10.5703125" style="418" customWidth="1"/>
    <col min="13577" max="13577" width="13.7109375" style="418" customWidth="1"/>
    <col min="13578" max="13579" width="10.42578125" style="418" customWidth="1"/>
    <col min="13580" max="13580" width="10.28515625" style="418" customWidth="1"/>
    <col min="13581" max="13581" width="9.42578125" style="418" customWidth="1"/>
    <col min="13582" max="13582" width="8.7109375" style="418" customWidth="1"/>
    <col min="13583" max="13583" width="10.42578125" style="418" customWidth="1"/>
    <col min="13584" max="13584" width="10.28515625" style="418" customWidth="1"/>
    <col min="13585" max="13824" width="11.42578125" style="418"/>
    <col min="13825" max="13825" width="7" style="418" customWidth="1"/>
    <col min="13826" max="13826" width="10.7109375" style="418" customWidth="1"/>
    <col min="13827" max="13827" width="10.5703125" style="418" customWidth="1"/>
    <col min="13828" max="13828" width="10.7109375" style="418" customWidth="1"/>
    <col min="13829" max="13829" width="10.28515625" style="418" customWidth="1"/>
    <col min="13830" max="13830" width="10.7109375" style="418" customWidth="1"/>
    <col min="13831" max="13831" width="9.42578125" style="418" customWidth="1"/>
    <col min="13832" max="13832" width="10.5703125" style="418" customWidth="1"/>
    <col min="13833" max="13833" width="13.7109375" style="418" customWidth="1"/>
    <col min="13834" max="13835" width="10.42578125" style="418" customWidth="1"/>
    <col min="13836" max="13836" width="10.28515625" style="418" customWidth="1"/>
    <col min="13837" max="13837" width="9.42578125" style="418" customWidth="1"/>
    <col min="13838" max="13838" width="8.7109375" style="418" customWidth="1"/>
    <col min="13839" max="13839" width="10.42578125" style="418" customWidth="1"/>
    <col min="13840" max="13840" width="10.28515625" style="418" customWidth="1"/>
    <col min="13841" max="14080" width="11.42578125" style="418"/>
    <col min="14081" max="14081" width="7" style="418" customWidth="1"/>
    <col min="14082" max="14082" width="10.7109375" style="418" customWidth="1"/>
    <col min="14083" max="14083" width="10.5703125" style="418" customWidth="1"/>
    <col min="14084" max="14084" width="10.7109375" style="418" customWidth="1"/>
    <col min="14085" max="14085" width="10.28515625" style="418" customWidth="1"/>
    <col min="14086" max="14086" width="10.7109375" style="418" customWidth="1"/>
    <col min="14087" max="14087" width="9.42578125" style="418" customWidth="1"/>
    <col min="14088" max="14088" width="10.5703125" style="418" customWidth="1"/>
    <col min="14089" max="14089" width="13.7109375" style="418" customWidth="1"/>
    <col min="14090" max="14091" width="10.42578125" style="418" customWidth="1"/>
    <col min="14092" max="14092" width="10.28515625" style="418" customWidth="1"/>
    <col min="14093" max="14093" width="9.42578125" style="418" customWidth="1"/>
    <col min="14094" max="14094" width="8.7109375" style="418" customWidth="1"/>
    <col min="14095" max="14095" width="10.42578125" style="418" customWidth="1"/>
    <col min="14096" max="14096" width="10.28515625" style="418" customWidth="1"/>
    <col min="14097" max="14336" width="11.42578125" style="418"/>
    <col min="14337" max="14337" width="7" style="418" customWidth="1"/>
    <col min="14338" max="14338" width="10.7109375" style="418" customWidth="1"/>
    <col min="14339" max="14339" width="10.5703125" style="418" customWidth="1"/>
    <col min="14340" max="14340" width="10.7109375" style="418" customWidth="1"/>
    <col min="14341" max="14341" width="10.28515625" style="418" customWidth="1"/>
    <col min="14342" max="14342" width="10.7109375" style="418" customWidth="1"/>
    <col min="14343" max="14343" width="9.42578125" style="418" customWidth="1"/>
    <col min="14344" max="14344" width="10.5703125" style="418" customWidth="1"/>
    <col min="14345" max="14345" width="13.7109375" style="418" customWidth="1"/>
    <col min="14346" max="14347" width="10.42578125" style="418" customWidth="1"/>
    <col min="14348" max="14348" width="10.28515625" style="418" customWidth="1"/>
    <col min="14349" max="14349" width="9.42578125" style="418" customWidth="1"/>
    <col min="14350" max="14350" width="8.7109375" style="418" customWidth="1"/>
    <col min="14351" max="14351" width="10.42578125" style="418" customWidth="1"/>
    <col min="14352" max="14352" width="10.28515625" style="418" customWidth="1"/>
    <col min="14353" max="14592" width="11.42578125" style="418"/>
    <col min="14593" max="14593" width="7" style="418" customWidth="1"/>
    <col min="14594" max="14594" width="10.7109375" style="418" customWidth="1"/>
    <col min="14595" max="14595" width="10.5703125" style="418" customWidth="1"/>
    <col min="14596" max="14596" width="10.7109375" style="418" customWidth="1"/>
    <col min="14597" max="14597" width="10.28515625" style="418" customWidth="1"/>
    <col min="14598" max="14598" width="10.7109375" style="418" customWidth="1"/>
    <col min="14599" max="14599" width="9.42578125" style="418" customWidth="1"/>
    <col min="14600" max="14600" width="10.5703125" style="418" customWidth="1"/>
    <col min="14601" max="14601" width="13.7109375" style="418" customWidth="1"/>
    <col min="14602" max="14603" width="10.42578125" style="418" customWidth="1"/>
    <col min="14604" max="14604" width="10.28515625" style="418" customWidth="1"/>
    <col min="14605" max="14605" width="9.42578125" style="418" customWidth="1"/>
    <col min="14606" max="14606" width="8.7109375" style="418" customWidth="1"/>
    <col min="14607" max="14607" width="10.42578125" style="418" customWidth="1"/>
    <col min="14608" max="14608" width="10.28515625" style="418" customWidth="1"/>
    <col min="14609" max="14848" width="11.42578125" style="418"/>
    <col min="14849" max="14849" width="7" style="418" customWidth="1"/>
    <col min="14850" max="14850" width="10.7109375" style="418" customWidth="1"/>
    <col min="14851" max="14851" width="10.5703125" style="418" customWidth="1"/>
    <col min="14852" max="14852" width="10.7109375" style="418" customWidth="1"/>
    <col min="14853" max="14853" width="10.28515625" style="418" customWidth="1"/>
    <col min="14854" max="14854" width="10.7109375" style="418" customWidth="1"/>
    <col min="14855" max="14855" width="9.42578125" style="418" customWidth="1"/>
    <col min="14856" max="14856" width="10.5703125" style="418" customWidth="1"/>
    <col min="14857" max="14857" width="13.7109375" style="418" customWidth="1"/>
    <col min="14858" max="14859" width="10.42578125" style="418" customWidth="1"/>
    <col min="14860" max="14860" width="10.28515625" style="418" customWidth="1"/>
    <col min="14861" max="14861" width="9.42578125" style="418" customWidth="1"/>
    <col min="14862" max="14862" width="8.7109375" style="418" customWidth="1"/>
    <col min="14863" max="14863" width="10.42578125" style="418" customWidth="1"/>
    <col min="14864" max="14864" width="10.28515625" style="418" customWidth="1"/>
    <col min="14865" max="15104" width="11.42578125" style="418"/>
    <col min="15105" max="15105" width="7" style="418" customWidth="1"/>
    <col min="15106" max="15106" width="10.7109375" style="418" customWidth="1"/>
    <col min="15107" max="15107" width="10.5703125" style="418" customWidth="1"/>
    <col min="15108" max="15108" width="10.7109375" style="418" customWidth="1"/>
    <col min="15109" max="15109" width="10.28515625" style="418" customWidth="1"/>
    <col min="15110" max="15110" width="10.7109375" style="418" customWidth="1"/>
    <col min="15111" max="15111" width="9.42578125" style="418" customWidth="1"/>
    <col min="15112" max="15112" width="10.5703125" style="418" customWidth="1"/>
    <col min="15113" max="15113" width="13.7109375" style="418" customWidth="1"/>
    <col min="15114" max="15115" width="10.42578125" style="418" customWidth="1"/>
    <col min="15116" max="15116" width="10.28515625" style="418" customWidth="1"/>
    <col min="15117" max="15117" width="9.42578125" style="418" customWidth="1"/>
    <col min="15118" max="15118" width="8.7109375" style="418" customWidth="1"/>
    <col min="15119" max="15119" width="10.42578125" style="418" customWidth="1"/>
    <col min="15120" max="15120" width="10.28515625" style="418" customWidth="1"/>
    <col min="15121" max="15360" width="11.42578125" style="418"/>
    <col min="15361" max="15361" width="7" style="418" customWidth="1"/>
    <col min="15362" max="15362" width="10.7109375" style="418" customWidth="1"/>
    <col min="15363" max="15363" width="10.5703125" style="418" customWidth="1"/>
    <col min="15364" max="15364" width="10.7109375" style="418" customWidth="1"/>
    <col min="15365" max="15365" width="10.28515625" style="418" customWidth="1"/>
    <col min="15366" max="15366" width="10.7109375" style="418" customWidth="1"/>
    <col min="15367" max="15367" width="9.42578125" style="418" customWidth="1"/>
    <col min="15368" max="15368" width="10.5703125" style="418" customWidth="1"/>
    <col min="15369" max="15369" width="13.7109375" style="418" customWidth="1"/>
    <col min="15370" max="15371" width="10.42578125" style="418" customWidth="1"/>
    <col min="15372" max="15372" width="10.28515625" style="418" customWidth="1"/>
    <col min="15373" max="15373" width="9.42578125" style="418" customWidth="1"/>
    <col min="15374" max="15374" width="8.7109375" style="418" customWidth="1"/>
    <col min="15375" max="15375" width="10.42578125" style="418" customWidth="1"/>
    <col min="15376" max="15376" width="10.28515625" style="418" customWidth="1"/>
    <col min="15377" max="15616" width="11.42578125" style="418"/>
    <col min="15617" max="15617" width="7" style="418" customWidth="1"/>
    <col min="15618" max="15618" width="10.7109375" style="418" customWidth="1"/>
    <col min="15619" max="15619" width="10.5703125" style="418" customWidth="1"/>
    <col min="15620" max="15620" width="10.7109375" style="418" customWidth="1"/>
    <col min="15621" max="15621" width="10.28515625" style="418" customWidth="1"/>
    <col min="15622" max="15622" width="10.7109375" style="418" customWidth="1"/>
    <col min="15623" max="15623" width="9.42578125" style="418" customWidth="1"/>
    <col min="15624" max="15624" width="10.5703125" style="418" customWidth="1"/>
    <col min="15625" max="15625" width="13.7109375" style="418" customWidth="1"/>
    <col min="15626" max="15627" width="10.42578125" style="418" customWidth="1"/>
    <col min="15628" max="15628" width="10.28515625" style="418" customWidth="1"/>
    <col min="15629" max="15629" width="9.42578125" style="418" customWidth="1"/>
    <col min="15630" max="15630" width="8.7109375" style="418" customWidth="1"/>
    <col min="15631" max="15631" width="10.42578125" style="418" customWidth="1"/>
    <col min="15632" max="15632" width="10.28515625" style="418" customWidth="1"/>
    <col min="15633" max="15872" width="11.42578125" style="418"/>
    <col min="15873" max="15873" width="7" style="418" customWidth="1"/>
    <col min="15874" max="15874" width="10.7109375" style="418" customWidth="1"/>
    <col min="15875" max="15875" width="10.5703125" style="418" customWidth="1"/>
    <col min="15876" max="15876" width="10.7109375" style="418" customWidth="1"/>
    <col min="15877" max="15877" width="10.28515625" style="418" customWidth="1"/>
    <col min="15878" max="15878" width="10.7109375" style="418" customWidth="1"/>
    <col min="15879" max="15879" width="9.42578125" style="418" customWidth="1"/>
    <col min="15880" max="15880" width="10.5703125" style="418" customWidth="1"/>
    <col min="15881" max="15881" width="13.7109375" style="418" customWidth="1"/>
    <col min="15882" max="15883" width="10.42578125" style="418" customWidth="1"/>
    <col min="15884" max="15884" width="10.28515625" style="418" customWidth="1"/>
    <col min="15885" max="15885" width="9.42578125" style="418" customWidth="1"/>
    <col min="15886" max="15886" width="8.7109375" style="418" customWidth="1"/>
    <col min="15887" max="15887" width="10.42578125" style="418" customWidth="1"/>
    <col min="15888" max="15888" width="10.28515625" style="418" customWidth="1"/>
    <col min="15889" max="16128" width="11.42578125" style="418"/>
    <col min="16129" max="16129" width="7" style="418" customWidth="1"/>
    <col min="16130" max="16130" width="10.7109375" style="418" customWidth="1"/>
    <col min="16131" max="16131" width="10.5703125" style="418" customWidth="1"/>
    <col min="16132" max="16132" width="10.7109375" style="418" customWidth="1"/>
    <col min="16133" max="16133" width="10.28515625" style="418" customWidth="1"/>
    <col min="16134" max="16134" width="10.7109375" style="418" customWidth="1"/>
    <col min="16135" max="16135" width="9.42578125" style="418" customWidth="1"/>
    <col min="16136" max="16136" width="10.5703125" style="418" customWidth="1"/>
    <col min="16137" max="16137" width="13.7109375" style="418" customWidth="1"/>
    <col min="16138" max="16139" width="10.42578125" style="418" customWidth="1"/>
    <col min="16140" max="16140" width="10.28515625" style="418" customWidth="1"/>
    <col min="16141" max="16141" width="9.42578125" style="418" customWidth="1"/>
    <col min="16142" max="16142" width="8.7109375" style="418" customWidth="1"/>
    <col min="16143" max="16143" width="10.42578125" style="418" customWidth="1"/>
    <col min="16144" max="16144" width="10.28515625" style="418" customWidth="1"/>
    <col min="16145" max="16384" width="11.42578125" style="418"/>
  </cols>
  <sheetData>
    <row r="1" spans="1:21" ht="15" customHeight="1" x14ac:dyDescent="0.2">
      <c r="A1" s="857" t="s">
        <v>1627</v>
      </c>
      <c r="B1" s="857"/>
      <c r="C1" s="857"/>
      <c r="D1" s="857"/>
      <c r="E1" s="857"/>
      <c r="F1" s="857"/>
      <c r="G1" s="857"/>
      <c r="H1" s="857"/>
      <c r="I1" s="857"/>
      <c r="J1" s="857"/>
      <c r="K1" s="857"/>
      <c r="L1" s="857"/>
      <c r="M1" s="857"/>
      <c r="N1" s="857"/>
      <c r="O1" s="857"/>
      <c r="P1" s="857"/>
    </row>
    <row r="2" spans="1:21" ht="15" customHeight="1" x14ac:dyDescent="0.2">
      <c r="A2" s="857" t="s">
        <v>1628</v>
      </c>
      <c r="B2" s="857"/>
      <c r="C2" s="857"/>
      <c r="D2" s="857"/>
      <c r="E2" s="857"/>
      <c r="F2" s="857" t="s">
        <v>1629</v>
      </c>
      <c r="G2" s="857"/>
      <c r="H2" s="857"/>
      <c r="I2" s="857"/>
      <c r="J2" s="857"/>
      <c r="K2" s="857"/>
      <c r="L2" s="857"/>
      <c r="M2" s="857"/>
      <c r="N2" s="857"/>
      <c r="O2" s="857"/>
      <c r="P2" s="857"/>
    </row>
    <row r="3" spans="1:21" ht="15" customHeight="1" x14ac:dyDescent="0.2">
      <c r="E3" s="419"/>
    </row>
    <row r="4" spans="1:21" ht="15" customHeight="1" x14ac:dyDescent="0.25">
      <c r="A4" s="858" t="s">
        <v>1630</v>
      </c>
      <c r="B4" s="858"/>
      <c r="C4" s="858"/>
      <c r="D4" s="858"/>
      <c r="E4" s="858"/>
      <c r="F4" s="419"/>
      <c r="K4" s="419"/>
      <c r="N4" s="419" t="s">
        <v>1631</v>
      </c>
      <c r="O4" s="420">
        <f>IF(HorasAmortizaciónEquipoCamión=0,0,ROUND(Valor_CamiónSolo*PorcentajeEquipoAmortizarCamión/HorasAmortizaciónEquipoCamión,3))</f>
        <v>0</v>
      </c>
    </row>
    <row r="5" spans="1:21" ht="15" customHeight="1" x14ac:dyDescent="0.2">
      <c r="A5" s="421"/>
      <c r="B5" s="421"/>
      <c r="C5" s="421"/>
      <c r="D5" s="421"/>
      <c r="E5" s="421"/>
      <c r="F5" s="419"/>
      <c r="K5" s="419"/>
      <c r="O5" s="422"/>
    </row>
    <row r="6" spans="1:21" ht="15" customHeight="1" x14ac:dyDescent="0.2">
      <c r="A6" s="490"/>
      <c r="B6" s="490"/>
      <c r="C6" s="490"/>
      <c r="D6" s="490"/>
      <c r="E6" s="490"/>
      <c r="F6" s="419"/>
      <c r="K6" s="419"/>
      <c r="O6" s="422"/>
      <c r="Q6" s="421"/>
      <c r="R6" s="421"/>
      <c r="S6" s="421"/>
      <c r="T6" s="421"/>
      <c r="U6" s="421"/>
    </row>
    <row r="7" spans="1:21" ht="15" customHeight="1" x14ac:dyDescent="0.2">
      <c r="A7" s="844" t="s">
        <v>1632</v>
      </c>
      <c r="B7" s="845"/>
      <c r="C7" s="845"/>
      <c r="D7" s="846"/>
      <c r="E7" s="468"/>
      <c r="F7" s="419"/>
      <c r="G7" s="423"/>
      <c r="H7" s="421"/>
      <c r="I7" s="859"/>
      <c r="J7" s="424"/>
      <c r="K7" s="425"/>
      <c r="N7" s="419" t="s">
        <v>1633</v>
      </c>
      <c r="O7" s="456">
        <f>ROUND(Valor_CamiónSolo*E10/4000,3)</f>
        <v>0</v>
      </c>
      <c r="Q7" s="423"/>
      <c r="R7" s="426"/>
      <c r="S7" s="854"/>
      <c r="T7" s="427"/>
      <c r="U7" s="424"/>
    </row>
    <row r="8" spans="1:21" ht="15" customHeight="1" x14ac:dyDescent="0.2">
      <c r="A8" s="844" t="s">
        <v>1634</v>
      </c>
      <c r="B8" s="845"/>
      <c r="C8" s="845"/>
      <c r="D8" s="846"/>
      <c r="E8" s="469"/>
      <c r="F8" s="419"/>
      <c r="G8" s="855"/>
      <c r="H8" s="855"/>
      <c r="I8" s="859"/>
      <c r="K8" s="419"/>
      <c r="O8" s="422"/>
      <c r="Q8" s="855"/>
      <c r="R8" s="855"/>
      <c r="S8" s="854"/>
      <c r="T8" s="421"/>
      <c r="U8" s="421"/>
    </row>
    <row r="9" spans="1:21" ht="15" customHeight="1" x14ac:dyDescent="0.2">
      <c r="A9" s="844" t="s">
        <v>1635</v>
      </c>
      <c r="B9" s="845"/>
      <c r="C9" s="845"/>
      <c r="D9" s="846"/>
      <c r="E9" s="470"/>
      <c r="F9" s="419"/>
      <c r="K9" s="419"/>
      <c r="O9" s="422"/>
    </row>
    <row r="10" spans="1:21" ht="15" customHeight="1" x14ac:dyDescent="0.2">
      <c r="A10" s="844" t="s">
        <v>1636</v>
      </c>
      <c r="B10" s="845"/>
      <c r="C10" s="845"/>
      <c r="D10" s="846"/>
      <c r="E10" s="470"/>
      <c r="F10" s="419"/>
      <c r="K10" s="419"/>
      <c r="N10" s="419" t="s">
        <v>1637</v>
      </c>
      <c r="O10" s="420">
        <f>ROUND(O4*Porcentaje_Reparaciones_Repuestos,3)</f>
        <v>0</v>
      </c>
      <c r="Q10" s="421"/>
      <c r="R10" s="421"/>
      <c r="S10" s="421"/>
      <c r="T10" s="421"/>
      <c r="U10" s="421"/>
    </row>
    <row r="11" spans="1:21" ht="15" customHeight="1" x14ac:dyDescent="0.2">
      <c r="A11" s="844" t="s">
        <v>1638</v>
      </c>
      <c r="B11" s="845"/>
      <c r="C11" s="845"/>
      <c r="D11" s="846"/>
      <c r="E11" s="470"/>
      <c r="F11" s="419"/>
      <c r="K11" s="419"/>
      <c r="O11" s="422"/>
      <c r="Q11" s="421"/>
      <c r="R11" s="421"/>
      <c r="S11" s="421"/>
      <c r="T11" s="421"/>
      <c r="U11" s="421"/>
    </row>
    <row r="12" spans="1:21" ht="15" customHeight="1" x14ac:dyDescent="0.2">
      <c r="A12" s="844" t="s">
        <v>1639</v>
      </c>
      <c r="B12" s="845"/>
      <c r="C12" s="845"/>
      <c r="D12" s="846"/>
      <c r="E12" s="470"/>
      <c r="F12" s="419"/>
      <c r="K12" s="419"/>
      <c r="O12" s="422"/>
      <c r="Q12" s="421"/>
      <c r="R12" s="421"/>
      <c r="S12" s="421"/>
      <c r="T12" s="421"/>
      <c r="U12" s="421"/>
    </row>
    <row r="13" spans="1:21" ht="15" customHeight="1" x14ac:dyDescent="0.2">
      <c r="A13" s="844" t="s">
        <v>1640</v>
      </c>
      <c r="B13" s="845"/>
      <c r="C13" s="845"/>
      <c r="D13" s="846"/>
      <c r="E13" s="469"/>
      <c r="F13" s="419"/>
      <c r="G13" s="421"/>
      <c r="H13" s="421"/>
      <c r="I13" s="421"/>
      <c r="J13" s="421"/>
      <c r="K13" s="428"/>
      <c r="N13" s="419" t="s">
        <v>1641</v>
      </c>
      <c r="O13" s="420">
        <f>ROUND(Tiempo_lavado_en_horas*Mano_Obra_Lavado*Cantidad_lavado_al_mes*12/2000,3)</f>
        <v>0</v>
      </c>
      <c r="Q13" s="421"/>
      <c r="R13" s="421"/>
      <c r="S13" s="421"/>
      <c r="T13" s="421"/>
      <c r="U13" s="421"/>
    </row>
    <row r="14" spans="1:21" ht="15" customHeight="1" x14ac:dyDescent="0.2">
      <c r="A14" s="844" t="s">
        <v>1642</v>
      </c>
      <c r="B14" s="845"/>
      <c r="C14" s="845"/>
      <c r="D14" s="846"/>
      <c r="E14" s="471"/>
      <c r="F14" s="419"/>
      <c r="G14" s="421"/>
      <c r="H14" s="421"/>
      <c r="I14" s="421"/>
      <c r="J14" s="421"/>
      <c r="K14" s="428"/>
      <c r="O14" s="422"/>
      <c r="Q14" s="421"/>
      <c r="R14" s="421"/>
      <c r="S14" s="421"/>
      <c r="T14" s="421"/>
      <c r="U14" s="421"/>
    </row>
    <row r="15" spans="1:21" ht="15" customHeight="1" x14ac:dyDescent="0.2">
      <c r="A15" s="844" t="s">
        <v>1643</v>
      </c>
      <c r="B15" s="845"/>
      <c r="C15" s="845"/>
      <c r="D15" s="846"/>
      <c r="E15" s="472"/>
      <c r="F15" s="419"/>
      <c r="G15" s="423"/>
      <c r="H15" s="421"/>
      <c r="I15" s="854"/>
      <c r="J15" s="424"/>
      <c r="K15" s="429"/>
      <c r="O15" s="422"/>
      <c r="Q15" s="430"/>
      <c r="R15" s="431"/>
      <c r="S15" s="854"/>
      <c r="T15" s="427"/>
      <c r="U15" s="432"/>
    </row>
    <row r="16" spans="1:21" ht="15" customHeight="1" x14ac:dyDescent="0.2">
      <c r="A16" s="844" t="s">
        <v>1644</v>
      </c>
      <c r="B16" s="845"/>
      <c r="C16" s="845"/>
      <c r="D16" s="846"/>
      <c r="E16" s="473"/>
      <c r="F16" s="419"/>
      <c r="G16" s="855"/>
      <c r="H16" s="855"/>
      <c r="I16" s="854"/>
      <c r="J16" s="421"/>
      <c r="K16" s="428"/>
      <c r="N16" s="419" t="s">
        <v>1645</v>
      </c>
      <c r="O16" s="420">
        <f>ROUND(Valor_CamiónSolo*PorSegurosPatentesImpustoCamión/2000,3)</f>
        <v>0</v>
      </c>
      <c r="Q16" s="856"/>
      <c r="R16" s="856"/>
      <c r="S16" s="854"/>
      <c r="T16" s="421"/>
      <c r="U16" s="421"/>
    </row>
    <row r="17" spans="1:21" ht="15" customHeight="1" x14ac:dyDescent="0.2">
      <c r="A17" s="844" t="s">
        <v>1646</v>
      </c>
      <c r="B17" s="845"/>
      <c r="C17" s="845"/>
      <c r="D17" s="846"/>
      <c r="E17" s="474"/>
      <c r="F17" s="419"/>
      <c r="K17" s="419"/>
      <c r="O17" s="422"/>
    </row>
    <row r="18" spans="1:21" ht="15" customHeight="1" x14ac:dyDescent="0.2">
      <c r="A18" s="844" t="s">
        <v>1647</v>
      </c>
      <c r="B18" s="845"/>
      <c r="C18" s="845"/>
      <c r="D18" s="846"/>
      <c r="E18" s="475"/>
      <c r="F18" s="419"/>
      <c r="K18" s="419"/>
      <c r="O18" s="422"/>
    </row>
    <row r="19" spans="1:21" ht="15" customHeight="1" x14ac:dyDescent="0.2">
      <c r="A19" s="844" t="s">
        <v>1648</v>
      </c>
      <c r="B19" s="845"/>
      <c r="C19" s="845"/>
      <c r="D19" s="846"/>
      <c r="E19" s="476"/>
      <c r="F19" s="419"/>
      <c r="G19" s="423"/>
      <c r="H19" s="421"/>
      <c r="I19" s="421"/>
      <c r="J19" s="424"/>
      <c r="K19" s="429"/>
      <c r="N19" s="419" t="s">
        <v>1649</v>
      </c>
      <c r="O19" s="420">
        <f>IF(V_Ul_cámara_cubiertas_CamiónSolo=0,0,ROUND(Cantidad_camaras_cubiertas*Valor_cámara_cubiertas_CamiónSolo/V_Ul_cámara_cubiertas_CamiónSolo,3))</f>
        <v>0</v>
      </c>
      <c r="Q19" s="433"/>
      <c r="R19" s="434"/>
      <c r="S19" s="435"/>
      <c r="T19" s="436"/>
      <c r="U19" s="437"/>
    </row>
    <row r="20" spans="1:21" ht="15" customHeight="1" x14ac:dyDescent="0.2">
      <c r="A20" s="844" t="s">
        <v>1650</v>
      </c>
      <c r="B20" s="845"/>
      <c r="C20" s="845"/>
      <c r="D20" s="846"/>
      <c r="E20" s="470"/>
      <c r="F20" s="419"/>
      <c r="G20" s="855"/>
      <c r="H20" s="855"/>
      <c r="I20" s="421"/>
      <c r="J20" s="421"/>
      <c r="K20" s="428"/>
      <c r="O20" s="422"/>
    </row>
    <row r="21" spans="1:21" ht="15" customHeight="1" x14ac:dyDescent="0.2">
      <c r="A21" s="844" t="s">
        <v>1701</v>
      </c>
      <c r="B21" s="845"/>
      <c r="C21" s="845"/>
      <c r="D21" s="846" t="s">
        <v>1651</v>
      </c>
      <c r="E21" s="477"/>
      <c r="G21" s="849"/>
      <c r="H21" s="849"/>
      <c r="I21" s="849"/>
      <c r="K21" s="419"/>
      <c r="O21" s="422"/>
    </row>
    <row r="22" spans="1:21" ht="15" customHeight="1" x14ac:dyDescent="0.2">
      <c r="A22" s="844" t="s">
        <v>1702</v>
      </c>
      <c r="B22" s="845"/>
      <c r="C22" s="845"/>
      <c r="D22" s="846" t="s">
        <v>1652</v>
      </c>
      <c r="E22" s="478"/>
      <c r="G22" s="421"/>
      <c r="H22" s="421"/>
      <c r="I22" s="421"/>
      <c r="J22" s="421"/>
      <c r="K22" s="428"/>
      <c r="N22" s="419" t="s">
        <v>1653</v>
      </c>
      <c r="O22" s="420">
        <f>ROUND(Consumo_gasoil_CamiónSolo_porkm*Costo_gasoil*(1+Porcentaje_Lubricantes),3)</f>
        <v>0</v>
      </c>
    </row>
    <row r="23" spans="1:21" ht="15" customHeight="1" x14ac:dyDescent="0.25">
      <c r="A23" s="491"/>
      <c r="B23" s="491"/>
      <c r="C23" s="491"/>
      <c r="D23" s="491"/>
      <c r="E23" s="491"/>
      <c r="G23" s="438"/>
      <c r="H23" s="439"/>
      <c r="I23" s="440"/>
      <c r="J23" s="441"/>
      <c r="K23" s="429"/>
    </row>
    <row r="24" spans="1:21" ht="15" customHeight="1" x14ac:dyDescent="0.2">
      <c r="A24" s="421"/>
      <c r="B24" s="421"/>
      <c r="C24" s="421"/>
      <c r="D24" s="421"/>
      <c r="E24" s="421"/>
      <c r="F24" s="421"/>
      <c r="G24" s="421"/>
      <c r="H24" s="421"/>
      <c r="I24" s="421"/>
      <c r="J24" s="421"/>
      <c r="K24" s="421"/>
      <c r="L24" s="421"/>
      <c r="M24" s="421"/>
      <c r="N24" s="421"/>
      <c r="O24" s="421"/>
      <c r="P24" s="421"/>
    </row>
    <row r="25" spans="1:21" ht="15" customHeight="1" x14ac:dyDescent="0.2">
      <c r="A25" s="851" t="s">
        <v>1654</v>
      </c>
      <c r="B25" s="851"/>
      <c r="C25" s="851"/>
      <c r="D25" s="851"/>
      <c r="E25" s="851"/>
      <c r="F25" s="851"/>
      <c r="G25" s="851"/>
      <c r="H25" s="852" t="s">
        <v>1655</v>
      </c>
      <c r="I25" s="852"/>
      <c r="J25" s="852"/>
      <c r="K25" s="852"/>
      <c r="L25" s="852"/>
      <c r="M25" s="852"/>
      <c r="N25" s="852"/>
      <c r="O25" s="852"/>
      <c r="P25" s="853" t="s">
        <v>1656</v>
      </c>
    </row>
    <row r="26" spans="1:21" ht="15" customHeight="1" x14ac:dyDescent="0.2">
      <c r="A26" s="442" t="s">
        <v>1657</v>
      </c>
      <c r="B26" s="442" t="s">
        <v>1658</v>
      </c>
      <c r="C26" s="442" t="s">
        <v>1659</v>
      </c>
      <c r="D26" s="442" t="s">
        <v>1660</v>
      </c>
      <c r="E26" s="442" t="s">
        <v>1661</v>
      </c>
      <c r="F26" s="442" t="s">
        <v>985</v>
      </c>
      <c r="G26" s="442" t="s">
        <v>1662</v>
      </c>
      <c r="H26" s="848" t="s">
        <v>1603</v>
      </c>
      <c r="I26" s="848" t="s">
        <v>1663</v>
      </c>
      <c r="J26" s="442" t="s">
        <v>1664</v>
      </c>
      <c r="K26" s="442" t="s">
        <v>1665</v>
      </c>
      <c r="L26" s="442" t="s">
        <v>1666</v>
      </c>
      <c r="M26" s="442" t="s">
        <v>1667</v>
      </c>
      <c r="N26" s="442" t="s">
        <v>1668</v>
      </c>
      <c r="O26" s="443" t="s">
        <v>1669</v>
      </c>
      <c r="P26" s="853"/>
    </row>
    <row r="27" spans="1:21" ht="15" customHeight="1" x14ac:dyDescent="0.2">
      <c r="A27" s="442" t="s">
        <v>1670</v>
      </c>
      <c r="B27" s="442" t="s">
        <v>1671</v>
      </c>
      <c r="C27" s="442" t="s">
        <v>1672</v>
      </c>
      <c r="D27" s="442" t="s">
        <v>1673</v>
      </c>
      <c r="E27" s="442" t="s">
        <v>1674</v>
      </c>
      <c r="F27" s="442" t="s">
        <v>1675</v>
      </c>
      <c r="G27" s="442" t="s">
        <v>1676</v>
      </c>
      <c r="H27" s="848"/>
      <c r="I27" s="848"/>
      <c r="J27" s="442" t="s">
        <v>1677</v>
      </c>
      <c r="K27" s="442" t="s">
        <v>1678</v>
      </c>
      <c r="L27" s="442" t="s">
        <v>1679</v>
      </c>
      <c r="M27" s="442" t="s">
        <v>1680</v>
      </c>
      <c r="N27" s="442" t="s">
        <v>1681</v>
      </c>
      <c r="O27" s="443" t="s">
        <v>1682</v>
      </c>
      <c r="P27" s="853"/>
    </row>
    <row r="28" spans="1:21" ht="15" customHeight="1" x14ac:dyDescent="0.2">
      <c r="A28" s="847" t="s">
        <v>1683</v>
      </c>
      <c r="B28" s="847" t="s">
        <v>1684</v>
      </c>
      <c r="C28" s="847" t="s">
        <v>1685</v>
      </c>
      <c r="D28" s="847" t="s">
        <v>1686</v>
      </c>
      <c r="E28" s="847" t="s">
        <v>1687</v>
      </c>
      <c r="F28" s="847" t="s">
        <v>1688</v>
      </c>
      <c r="G28" s="847" t="s">
        <v>1689</v>
      </c>
      <c r="H28" s="847" t="s">
        <v>1690</v>
      </c>
      <c r="I28" s="847" t="s">
        <v>1691</v>
      </c>
      <c r="J28" s="847" t="s">
        <v>1692</v>
      </c>
      <c r="K28" s="847" t="s">
        <v>1693</v>
      </c>
      <c r="L28" s="847" t="s">
        <v>1694</v>
      </c>
      <c r="M28" s="847" t="s">
        <v>1695</v>
      </c>
      <c r="N28" s="847" t="s">
        <v>1696</v>
      </c>
      <c r="O28" s="847" t="s">
        <v>1697</v>
      </c>
      <c r="P28" s="850" t="s">
        <v>1698</v>
      </c>
    </row>
    <row r="29" spans="1:21" ht="15" customHeight="1" x14ac:dyDescent="0.2">
      <c r="A29" s="847"/>
      <c r="B29" s="847"/>
      <c r="C29" s="847"/>
      <c r="D29" s="847"/>
      <c r="E29" s="847"/>
      <c r="F29" s="847"/>
      <c r="G29" s="847"/>
      <c r="H29" s="847"/>
      <c r="I29" s="847"/>
      <c r="J29" s="847"/>
      <c r="K29" s="847"/>
      <c r="L29" s="847"/>
      <c r="M29" s="847"/>
      <c r="N29" s="847"/>
      <c r="O29" s="847"/>
      <c r="P29" s="850"/>
    </row>
    <row r="30" spans="1:21" ht="15" customHeight="1" x14ac:dyDescent="0.2">
      <c r="A30" s="444">
        <v>1</v>
      </c>
      <c r="B30" s="445"/>
      <c r="C30" s="446">
        <f>IF(B30=0,0,(2*A30*60)/B30)</f>
        <v>0</v>
      </c>
      <c r="D30" s="447"/>
      <c r="E30" s="446">
        <f t="shared" ref="E30:E64" si="0">+C30+D30</f>
        <v>0</v>
      </c>
      <c r="F30" s="448"/>
      <c r="G30" s="449">
        <f t="shared" ref="G30:G64" si="1">+A30*2</f>
        <v>2</v>
      </c>
      <c r="H30" s="450">
        <f t="shared" ref="H30:H64" si="2">A*(E30/60)</f>
        <v>0</v>
      </c>
      <c r="I30" s="450">
        <f t="shared" ref="I30:I38" si="3">B*(E30/60)</f>
        <v>0</v>
      </c>
      <c r="J30" s="450">
        <f t="shared" ref="J30:J38" si="4">C_*(C30/60)</f>
        <v>0</v>
      </c>
      <c r="K30" s="450">
        <f t="shared" ref="K30:K38" si="5">D*(E30/60)</f>
        <v>0</v>
      </c>
      <c r="L30" s="450">
        <f t="shared" ref="L30:L38" si="6">E*(E30/60)</f>
        <v>0</v>
      </c>
      <c r="M30" s="450">
        <f t="shared" ref="M30:M38" si="7">+G30*F_</f>
        <v>0</v>
      </c>
      <c r="N30" s="450">
        <f t="shared" ref="N30:N38" si="8">Mano_Obra_Lavado*(E30/60)</f>
        <v>0</v>
      </c>
      <c r="O30" s="450">
        <f t="shared" ref="O30:O38" si="9">+G30*G</f>
        <v>0</v>
      </c>
      <c r="P30" s="451">
        <f>IF(F30=0,0,ROUND(SUM(H30:O30)/F30,3))</f>
        <v>0</v>
      </c>
      <c r="R30" s="452"/>
    </row>
    <row r="31" spans="1:21" ht="15" customHeight="1" x14ac:dyDescent="0.2">
      <c r="A31" s="444">
        <v>1.5</v>
      </c>
      <c r="B31" s="445"/>
      <c r="C31" s="446">
        <f t="shared" ref="C31:C64" si="10">IF(B31=0,0,(2*A31*60)/B31)</f>
        <v>0</v>
      </c>
      <c r="D31" s="447"/>
      <c r="E31" s="446">
        <f t="shared" si="0"/>
        <v>0</v>
      </c>
      <c r="F31" s="448"/>
      <c r="G31" s="449">
        <f t="shared" si="1"/>
        <v>3</v>
      </c>
      <c r="H31" s="450">
        <f t="shared" si="2"/>
        <v>0</v>
      </c>
      <c r="I31" s="450">
        <f t="shared" si="3"/>
        <v>0</v>
      </c>
      <c r="J31" s="450">
        <f t="shared" si="4"/>
        <v>0</v>
      </c>
      <c r="K31" s="450">
        <f t="shared" si="5"/>
        <v>0</v>
      </c>
      <c r="L31" s="450">
        <f t="shared" si="6"/>
        <v>0</v>
      </c>
      <c r="M31" s="450">
        <f t="shared" si="7"/>
        <v>0</v>
      </c>
      <c r="N31" s="450">
        <f t="shared" si="8"/>
        <v>0</v>
      </c>
      <c r="O31" s="450">
        <f t="shared" si="9"/>
        <v>0</v>
      </c>
      <c r="P31" s="451">
        <f t="shared" ref="P31:P64" si="11">IF(F31=0,0,ROUND(SUM(H31:O31)/F31,3))</f>
        <v>0</v>
      </c>
      <c r="R31" s="452"/>
    </row>
    <row r="32" spans="1:21" ht="15" customHeight="1" x14ac:dyDescent="0.2">
      <c r="A32" s="444">
        <v>2</v>
      </c>
      <c r="B32" s="445"/>
      <c r="C32" s="446">
        <f t="shared" si="10"/>
        <v>0</v>
      </c>
      <c r="D32" s="447"/>
      <c r="E32" s="446">
        <f t="shared" si="0"/>
        <v>0</v>
      </c>
      <c r="F32" s="448"/>
      <c r="G32" s="449">
        <f t="shared" si="1"/>
        <v>4</v>
      </c>
      <c r="H32" s="450">
        <f t="shared" si="2"/>
        <v>0</v>
      </c>
      <c r="I32" s="450">
        <f t="shared" si="3"/>
        <v>0</v>
      </c>
      <c r="J32" s="450">
        <f t="shared" si="4"/>
        <v>0</v>
      </c>
      <c r="K32" s="450">
        <f t="shared" si="5"/>
        <v>0</v>
      </c>
      <c r="L32" s="450">
        <f t="shared" si="6"/>
        <v>0</v>
      </c>
      <c r="M32" s="450">
        <f t="shared" si="7"/>
        <v>0</v>
      </c>
      <c r="N32" s="450">
        <f t="shared" si="8"/>
        <v>0</v>
      </c>
      <c r="O32" s="450">
        <f t="shared" si="9"/>
        <v>0</v>
      </c>
      <c r="P32" s="451">
        <f t="shared" si="11"/>
        <v>0</v>
      </c>
      <c r="R32" s="452"/>
    </row>
    <row r="33" spans="1:18" ht="15" customHeight="1" x14ac:dyDescent="0.2">
      <c r="A33" s="444">
        <v>2.5</v>
      </c>
      <c r="B33" s="445"/>
      <c r="C33" s="446">
        <f t="shared" si="10"/>
        <v>0</v>
      </c>
      <c r="D33" s="447"/>
      <c r="E33" s="446">
        <f t="shared" si="0"/>
        <v>0</v>
      </c>
      <c r="F33" s="448"/>
      <c r="G33" s="449">
        <f t="shared" si="1"/>
        <v>5</v>
      </c>
      <c r="H33" s="450">
        <f t="shared" si="2"/>
        <v>0</v>
      </c>
      <c r="I33" s="450">
        <f t="shared" si="3"/>
        <v>0</v>
      </c>
      <c r="J33" s="450">
        <f t="shared" si="4"/>
        <v>0</v>
      </c>
      <c r="K33" s="450">
        <f t="shared" si="5"/>
        <v>0</v>
      </c>
      <c r="L33" s="450">
        <f t="shared" si="6"/>
        <v>0</v>
      </c>
      <c r="M33" s="450">
        <f t="shared" si="7"/>
        <v>0</v>
      </c>
      <c r="N33" s="450">
        <f t="shared" si="8"/>
        <v>0</v>
      </c>
      <c r="O33" s="450">
        <f t="shared" si="9"/>
        <v>0</v>
      </c>
      <c r="P33" s="451">
        <f t="shared" si="11"/>
        <v>0</v>
      </c>
      <c r="R33" s="452"/>
    </row>
    <row r="34" spans="1:18" ht="15" customHeight="1" x14ac:dyDescent="0.2">
      <c r="A34" s="444">
        <v>3</v>
      </c>
      <c r="B34" s="445"/>
      <c r="C34" s="446">
        <f t="shared" si="10"/>
        <v>0</v>
      </c>
      <c r="D34" s="447"/>
      <c r="E34" s="446">
        <f t="shared" si="0"/>
        <v>0</v>
      </c>
      <c r="F34" s="448"/>
      <c r="G34" s="449">
        <f t="shared" si="1"/>
        <v>6</v>
      </c>
      <c r="H34" s="450">
        <f t="shared" si="2"/>
        <v>0</v>
      </c>
      <c r="I34" s="450">
        <f t="shared" si="3"/>
        <v>0</v>
      </c>
      <c r="J34" s="450">
        <f t="shared" si="4"/>
        <v>0</v>
      </c>
      <c r="K34" s="450">
        <f t="shared" si="5"/>
        <v>0</v>
      </c>
      <c r="L34" s="450">
        <f t="shared" si="6"/>
        <v>0</v>
      </c>
      <c r="M34" s="450">
        <f t="shared" si="7"/>
        <v>0</v>
      </c>
      <c r="N34" s="450">
        <f t="shared" si="8"/>
        <v>0</v>
      </c>
      <c r="O34" s="450">
        <f t="shared" si="9"/>
        <v>0</v>
      </c>
      <c r="P34" s="451">
        <f t="shared" si="11"/>
        <v>0</v>
      </c>
      <c r="R34" s="452"/>
    </row>
    <row r="35" spans="1:18" ht="15" customHeight="1" x14ac:dyDescent="0.2">
      <c r="A35" s="444">
        <v>3.5</v>
      </c>
      <c r="B35" s="445"/>
      <c r="C35" s="446">
        <f t="shared" si="10"/>
        <v>0</v>
      </c>
      <c r="D35" s="447"/>
      <c r="E35" s="446">
        <f t="shared" si="0"/>
        <v>0</v>
      </c>
      <c r="F35" s="448"/>
      <c r="G35" s="449">
        <f t="shared" si="1"/>
        <v>7</v>
      </c>
      <c r="H35" s="450">
        <f t="shared" si="2"/>
        <v>0</v>
      </c>
      <c r="I35" s="450">
        <f t="shared" si="3"/>
        <v>0</v>
      </c>
      <c r="J35" s="450">
        <f t="shared" si="4"/>
        <v>0</v>
      </c>
      <c r="K35" s="450">
        <f t="shared" si="5"/>
        <v>0</v>
      </c>
      <c r="L35" s="450">
        <f t="shared" si="6"/>
        <v>0</v>
      </c>
      <c r="M35" s="450">
        <f t="shared" si="7"/>
        <v>0</v>
      </c>
      <c r="N35" s="450">
        <f t="shared" si="8"/>
        <v>0</v>
      </c>
      <c r="O35" s="450">
        <f t="shared" si="9"/>
        <v>0</v>
      </c>
      <c r="P35" s="451">
        <f t="shared" si="11"/>
        <v>0</v>
      </c>
      <c r="R35" s="452"/>
    </row>
    <row r="36" spans="1:18" ht="15" customHeight="1" x14ac:dyDescent="0.2">
      <c r="A36" s="444">
        <v>4</v>
      </c>
      <c r="B36" s="445"/>
      <c r="C36" s="446">
        <f t="shared" si="10"/>
        <v>0</v>
      </c>
      <c r="D36" s="447"/>
      <c r="E36" s="446">
        <f t="shared" si="0"/>
        <v>0</v>
      </c>
      <c r="F36" s="448"/>
      <c r="G36" s="449">
        <f t="shared" si="1"/>
        <v>8</v>
      </c>
      <c r="H36" s="450">
        <f t="shared" si="2"/>
        <v>0</v>
      </c>
      <c r="I36" s="450">
        <f t="shared" si="3"/>
        <v>0</v>
      </c>
      <c r="J36" s="450">
        <f t="shared" si="4"/>
        <v>0</v>
      </c>
      <c r="K36" s="450">
        <f t="shared" si="5"/>
        <v>0</v>
      </c>
      <c r="L36" s="450">
        <f t="shared" si="6"/>
        <v>0</v>
      </c>
      <c r="M36" s="450">
        <f t="shared" si="7"/>
        <v>0</v>
      </c>
      <c r="N36" s="450">
        <f t="shared" si="8"/>
        <v>0</v>
      </c>
      <c r="O36" s="450">
        <f t="shared" si="9"/>
        <v>0</v>
      </c>
      <c r="P36" s="451">
        <f t="shared" si="11"/>
        <v>0</v>
      </c>
      <c r="R36" s="452"/>
    </row>
    <row r="37" spans="1:18" ht="15" customHeight="1" x14ac:dyDescent="0.2">
      <c r="A37" s="444">
        <v>4.5</v>
      </c>
      <c r="B37" s="445"/>
      <c r="C37" s="446">
        <f t="shared" si="10"/>
        <v>0</v>
      </c>
      <c r="D37" s="447"/>
      <c r="E37" s="446">
        <f t="shared" si="0"/>
        <v>0</v>
      </c>
      <c r="F37" s="448"/>
      <c r="G37" s="449">
        <f t="shared" si="1"/>
        <v>9</v>
      </c>
      <c r="H37" s="450">
        <f t="shared" si="2"/>
        <v>0</v>
      </c>
      <c r="I37" s="450">
        <f t="shared" si="3"/>
        <v>0</v>
      </c>
      <c r="J37" s="450">
        <f t="shared" si="4"/>
        <v>0</v>
      </c>
      <c r="K37" s="450">
        <f t="shared" si="5"/>
        <v>0</v>
      </c>
      <c r="L37" s="450">
        <f t="shared" si="6"/>
        <v>0</v>
      </c>
      <c r="M37" s="450">
        <f t="shared" si="7"/>
        <v>0</v>
      </c>
      <c r="N37" s="450">
        <f t="shared" si="8"/>
        <v>0</v>
      </c>
      <c r="O37" s="450">
        <f t="shared" si="9"/>
        <v>0</v>
      </c>
      <c r="P37" s="451">
        <f t="shared" si="11"/>
        <v>0</v>
      </c>
      <c r="R37" s="452"/>
    </row>
    <row r="38" spans="1:18" ht="15" customHeight="1" x14ac:dyDescent="0.2">
      <c r="A38" s="444">
        <v>5</v>
      </c>
      <c r="B38" s="445"/>
      <c r="C38" s="446">
        <f t="shared" si="10"/>
        <v>0</v>
      </c>
      <c r="D38" s="447"/>
      <c r="E38" s="446">
        <f t="shared" si="0"/>
        <v>0</v>
      </c>
      <c r="F38" s="448"/>
      <c r="G38" s="449">
        <f t="shared" si="1"/>
        <v>10</v>
      </c>
      <c r="H38" s="450">
        <f t="shared" si="2"/>
        <v>0</v>
      </c>
      <c r="I38" s="450">
        <f t="shared" si="3"/>
        <v>0</v>
      </c>
      <c r="J38" s="450">
        <f t="shared" si="4"/>
        <v>0</v>
      </c>
      <c r="K38" s="450">
        <f t="shared" si="5"/>
        <v>0</v>
      </c>
      <c r="L38" s="450">
        <f t="shared" si="6"/>
        <v>0</v>
      </c>
      <c r="M38" s="450">
        <f t="shared" si="7"/>
        <v>0</v>
      </c>
      <c r="N38" s="450">
        <f t="shared" si="8"/>
        <v>0</v>
      </c>
      <c r="O38" s="450">
        <f t="shared" si="9"/>
        <v>0</v>
      </c>
      <c r="P38" s="451">
        <f t="shared" si="11"/>
        <v>0</v>
      </c>
      <c r="R38" s="452"/>
    </row>
    <row r="39" spans="1:18" ht="15" customHeight="1" x14ac:dyDescent="0.2">
      <c r="A39" s="444">
        <v>6</v>
      </c>
      <c r="B39" s="445"/>
      <c r="C39" s="446">
        <f t="shared" si="10"/>
        <v>0</v>
      </c>
      <c r="D39" s="447"/>
      <c r="E39" s="446">
        <f t="shared" si="0"/>
        <v>0</v>
      </c>
      <c r="F39" s="448"/>
      <c r="G39" s="449">
        <f t="shared" si="1"/>
        <v>12</v>
      </c>
      <c r="H39" s="450">
        <f t="shared" si="2"/>
        <v>0</v>
      </c>
      <c r="I39" s="450">
        <f t="shared" ref="I39:I64" si="12">B*(E39/60)</f>
        <v>0</v>
      </c>
      <c r="J39" s="450">
        <f t="shared" ref="J39:J64" si="13">C_*(C39/60)</f>
        <v>0</v>
      </c>
      <c r="K39" s="450">
        <f t="shared" ref="K39:K64" si="14">D*(E39/60)</f>
        <v>0</v>
      </c>
      <c r="L39" s="450">
        <f t="shared" ref="L39:L64" si="15">E*(E39/60)</f>
        <v>0</v>
      </c>
      <c r="M39" s="450">
        <f t="shared" ref="M39:M64" si="16">+G39*F_</f>
        <v>0</v>
      </c>
      <c r="N39" s="450">
        <f t="shared" ref="N39:N64" si="17">Mano_Obra_Lavado*(E39/60)</f>
        <v>0</v>
      </c>
      <c r="O39" s="450">
        <f t="shared" ref="O39:O64" si="18">+G39*G</f>
        <v>0</v>
      </c>
      <c r="P39" s="451">
        <f t="shared" si="11"/>
        <v>0</v>
      </c>
      <c r="R39" s="452"/>
    </row>
    <row r="40" spans="1:18" ht="15" customHeight="1" x14ac:dyDescent="0.2">
      <c r="A40" s="444">
        <v>7</v>
      </c>
      <c r="B40" s="445"/>
      <c r="C40" s="446">
        <f t="shared" si="10"/>
        <v>0</v>
      </c>
      <c r="D40" s="447"/>
      <c r="E40" s="446">
        <f t="shared" si="0"/>
        <v>0</v>
      </c>
      <c r="F40" s="448"/>
      <c r="G40" s="449">
        <f t="shared" si="1"/>
        <v>14</v>
      </c>
      <c r="H40" s="450">
        <f t="shared" si="2"/>
        <v>0</v>
      </c>
      <c r="I40" s="450">
        <f t="shared" si="12"/>
        <v>0</v>
      </c>
      <c r="J40" s="450">
        <f t="shared" si="13"/>
        <v>0</v>
      </c>
      <c r="K40" s="450">
        <f t="shared" si="14"/>
        <v>0</v>
      </c>
      <c r="L40" s="450">
        <f t="shared" si="15"/>
        <v>0</v>
      </c>
      <c r="M40" s="450">
        <f t="shared" si="16"/>
        <v>0</v>
      </c>
      <c r="N40" s="450">
        <f t="shared" si="17"/>
        <v>0</v>
      </c>
      <c r="O40" s="450">
        <f t="shared" si="18"/>
        <v>0</v>
      </c>
      <c r="P40" s="451">
        <f t="shared" si="11"/>
        <v>0</v>
      </c>
      <c r="R40" s="452"/>
    </row>
    <row r="41" spans="1:18" ht="15" customHeight="1" x14ac:dyDescent="0.2">
      <c r="A41" s="444">
        <v>8</v>
      </c>
      <c r="B41" s="445"/>
      <c r="C41" s="446">
        <f t="shared" si="10"/>
        <v>0</v>
      </c>
      <c r="D41" s="447"/>
      <c r="E41" s="446">
        <f t="shared" si="0"/>
        <v>0</v>
      </c>
      <c r="F41" s="448"/>
      <c r="G41" s="449">
        <f t="shared" si="1"/>
        <v>16</v>
      </c>
      <c r="H41" s="450">
        <f t="shared" si="2"/>
        <v>0</v>
      </c>
      <c r="I41" s="450">
        <f t="shared" si="12"/>
        <v>0</v>
      </c>
      <c r="J41" s="450">
        <f t="shared" si="13"/>
        <v>0</v>
      </c>
      <c r="K41" s="450">
        <f t="shared" si="14"/>
        <v>0</v>
      </c>
      <c r="L41" s="450">
        <f t="shared" si="15"/>
        <v>0</v>
      </c>
      <c r="M41" s="450">
        <f t="shared" si="16"/>
        <v>0</v>
      </c>
      <c r="N41" s="450">
        <f t="shared" si="17"/>
        <v>0</v>
      </c>
      <c r="O41" s="450">
        <f t="shared" si="18"/>
        <v>0</v>
      </c>
      <c r="P41" s="451">
        <f t="shared" si="11"/>
        <v>0</v>
      </c>
      <c r="R41" s="452"/>
    </row>
    <row r="42" spans="1:18" ht="15" customHeight="1" x14ac:dyDescent="0.2">
      <c r="A42" s="444">
        <v>9</v>
      </c>
      <c r="B42" s="445"/>
      <c r="C42" s="446">
        <f t="shared" si="10"/>
        <v>0</v>
      </c>
      <c r="D42" s="447"/>
      <c r="E42" s="446">
        <f t="shared" si="0"/>
        <v>0</v>
      </c>
      <c r="F42" s="448"/>
      <c r="G42" s="449">
        <f t="shared" si="1"/>
        <v>18</v>
      </c>
      <c r="H42" s="450">
        <f t="shared" si="2"/>
        <v>0</v>
      </c>
      <c r="I42" s="450">
        <f t="shared" si="12"/>
        <v>0</v>
      </c>
      <c r="J42" s="450">
        <f t="shared" si="13"/>
        <v>0</v>
      </c>
      <c r="K42" s="450">
        <f t="shared" si="14"/>
        <v>0</v>
      </c>
      <c r="L42" s="450">
        <f t="shared" si="15"/>
        <v>0</v>
      </c>
      <c r="M42" s="450">
        <f t="shared" si="16"/>
        <v>0</v>
      </c>
      <c r="N42" s="450">
        <f t="shared" si="17"/>
        <v>0</v>
      </c>
      <c r="O42" s="450">
        <f t="shared" si="18"/>
        <v>0</v>
      </c>
      <c r="P42" s="451">
        <f t="shared" si="11"/>
        <v>0</v>
      </c>
      <c r="R42" s="452"/>
    </row>
    <row r="43" spans="1:18" ht="15" customHeight="1" x14ac:dyDescent="0.2">
      <c r="A43" s="444">
        <v>10</v>
      </c>
      <c r="B43" s="445"/>
      <c r="C43" s="446">
        <f t="shared" si="10"/>
        <v>0</v>
      </c>
      <c r="D43" s="447"/>
      <c r="E43" s="446">
        <f t="shared" si="0"/>
        <v>0</v>
      </c>
      <c r="F43" s="448"/>
      <c r="G43" s="449">
        <f t="shared" si="1"/>
        <v>20</v>
      </c>
      <c r="H43" s="450">
        <f t="shared" si="2"/>
        <v>0</v>
      </c>
      <c r="I43" s="450">
        <f t="shared" si="12"/>
        <v>0</v>
      </c>
      <c r="J43" s="450">
        <f t="shared" si="13"/>
        <v>0</v>
      </c>
      <c r="K43" s="450">
        <f t="shared" si="14"/>
        <v>0</v>
      </c>
      <c r="L43" s="450">
        <f t="shared" si="15"/>
        <v>0</v>
      </c>
      <c r="M43" s="450">
        <f t="shared" si="16"/>
        <v>0</v>
      </c>
      <c r="N43" s="450">
        <f t="shared" si="17"/>
        <v>0</v>
      </c>
      <c r="O43" s="450">
        <f t="shared" si="18"/>
        <v>0</v>
      </c>
      <c r="P43" s="451">
        <f t="shared" si="11"/>
        <v>0</v>
      </c>
      <c r="R43" s="452"/>
    </row>
    <row r="44" spans="1:18" ht="15" customHeight="1" x14ac:dyDescent="0.2">
      <c r="A44" s="444">
        <v>12</v>
      </c>
      <c r="B44" s="445"/>
      <c r="C44" s="446">
        <f t="shared" si="10"/>
        <v>0</v>
      </c>
      <c r="D44" s="447"/>
      <c r="E44" s="446">
        <f t="shared" si="0"/>
        <v>0</v>
      </c>
      <c r="F44" s="448"/>
      <c r="G44" s="449">
        <f t="shared" si="1"/>
        <v>24</v>
      </c>
      <c r="H44" s="450">
        <f t="shared" si="2"/>
        <v>0</v>
      </c>
      <c r="I44" s="450">
        <f t="shared" si="12"/>
        <v>0</v>
      </c>
      <c r="J44" s="450">
        <f t="shared" si="13"/>
        <v>0</v>
      </c>
      <c r="K44" s="450">
        <f t="shared" si="14"/>
        <v>0</v>
      </c>
      <c r="L44" s="450">
        <f t="shared" si="15"/>
        <v>0</v>
      </c>
      <c r="M44" s="450">
        <f t="shared" si="16"/>
        <v>0</v>
      </c>
      <c r="N44" s="450">
        <f t="shared" si="17"/>
        <v>0</v>
      </c>
      <c r="O44" s="450">
        <f t="shared" si="18"/>
        <v>0</v>
      </c>
      <c r="P44" s="451">
        <f t="shared" si="11"/>
        <v>0</v>
      </c>
      <c r="R44" s="452"/>
    </row>
    <row r="45" spans="1:18" ht="15" customHeight="1" x14ac:dyDescent="0.2">
      <c r="A45" s="444">
        <v>15</v>
      </c>
      <c r="B45" s="445"/>
      <c r="C45" s="446">
        <f t="shared" si="10"/>
        <v>0</v>
      </c>
      <c r="D45" s="447"/>
      <c r="E45" s="446">
        <f t="shared" si="0"/>
        <v>0</v>
      </c>
      <c r="F45" s="448"/>
      <c r="G45" s="449">
        <f t="shared" si="1"/>
        <v>30</v>
      </c>
      <c r="H45" s="450">
        <f t="shared" si="2"/>
        <v>0</v>
      </c>
      <c r="I45" s="450">
        <f t="shared" si="12"/>
        <v>0</v>
      </c>
      <c r="J45" s="450">
        <f t="shared" si="13"/>
        <v>0</v>
      </c>
      <c r="K45" s="450">
        <f t="shared" si="14"/>
        <v>0</v>
      </c>
      <c r="L45" s="450">
        <f t="shared" si="15"/>
        <v>0</v>
      </c>
      <c r="M45" s="450">
        <f t="shared" si="16"/>
        <v>0</v>
      </c>
      <c r="N45" s="450">
        <f t="shared" si="17"/>
        <v>0</v>
      </c>
      <c r="O45" s="450">
        <f t="shared" si="18"/>
        <v>0</v>
      </c>
      <c r="P45" s="451">
        <f t="shared" si="11"/>
        <v>0</v>
      </c>
      <c r="R45" s="452"/>
    </row>
    <row r="46" spans="1:18" ht="15" customHeight="1" x14ac:dyDescent="0.2">
      <c r="A46" s="444">
        <v>17</v>
      </c>
      <c r="B46" s="445"/>
      <c r="C46" s="446">
        <f t="shared" si="10"/>
        <v>0</v>
      </c>
      <c r="D46" s="447"/>
      <c r="E46" s="446">
        <f t="shared" si="0"/>
        <v>0</v>
      </c>
      <c r="F46" s="448"/>
      <c r="G46" s="449">
        <f t="shared" si="1"/>
        <v>34</v>
      </c>
      <c r="H46" s="450">
        <f t="shared" si="2"/>
        <v>0</v>
      </c>
      <c r="I46" s="450">
        <f t="shared" si="12"/>
        <v>0</v>
      </c>
      <c r="J46" s="450">
        <f t="shared" si="13"/>
        <v>0</v>
      </c>
      <c r="K46" s="450">
        <f t="shared" si="14"/>
        <v>0</v>
      </c>
      <c r="L46" s="450">
        <f t="shared" si="15"/>
        <v>0</v>
      </c>
      <c r="M46" s="450">
        <f t="shared" si="16"/>
        <v>0</v>
      </c>
      <c r="N46" s="450">
        <f t="shared" si="17"/>
        <v>0</v>
      </c>
      <c r="O46" s="450">
        <f t="shared" si="18"/>
        <v>0</v>
      </c>
      <c r="P46" s="451">
        <f t="shared" si="11"/>
        <v>0</v>
      </c>
      <c r="R46" s="452"/>
    </row>
    <row r="47" spans="1:18" ht="15" customHeight="1" x14ac:dyDescent="0.2">
      <c r="A47" s="444">
        <v>19</v>
      </c>
      <c r="B47" s="445"/>
      <c r="C47" s="446">
        <f t="shared" si="10"/>
        <v>0</v>
      </c>
      <c r="D47" s="447"/>
      <c r="E47" s="446">
        <f t="shared" si="0"/>
        <v>0</v>
      </c>
      <c r="F47" s="448"/>
      <c r="G47" s="449">
        <f t="shared" si="1"/>
        <v>38</v>
      </c>
      <c r="H47" s="450">
        <f t="shared" si="2"/>
        <v>0</v>
      </c>
      <c r="I47" s="450">
        <f t="shared" si="12"/>
        <v>0</v>
      </c>
      <c r="J47" s="450">
        <f t="shared" si="13"/>
        <v>0</v>
      </c>
      <c r="K47" s="450">
        <f t="shared" si="14"/>
        <v>0</v>
      </c>
      <c r="L47" s="450">
        <f t="shared" si="15"/>
        <v>0</v>
      </c>
      <c r="M47" s="450">
        <f t="shared" si="16"/>
        <v>0</v>
      </c>
      <c r="N47" s="450">
        <f t="shared" si="17"/>
        <v>0</v>
      </c>
      <c r="O47" s="450">
        <f t="shared" si="18"/>
        <v>0</v>
      </c>
      <c r="P47" s="451">
        <f t="shared" si="11"/>
        <v>0</v>
      </c>
      <c r="R47" s="452"/>
    </row>
    <row r="48" spans="1:18" ht="15" customHeight="1" x14ac:dyDescent="0.2">
      <c r="A48" s="444">
        <v>20</v>
      </c>
      <c r="B48" s="445"/>
      <c r="C48" s="446">
        <f t="shared" si="10"/>
        <v>0</v>
      </c>
      <c r="D48" s="447"/>
      <c r="E48" s="446">
        <f t="shared" si="0"/>
        <v>0</v>
      </c>
      <c r="F48" s="448"/>
      <c r="G48" s="449">
        <f t="shared" si="1"/>
        <v>40</v>
      </c>
      <c r="H48" s="450">
        <f t="shared" si="2"/>
        <v>0</v>
      </c>
      <c r="I48" s="450">
        <f t="shared" si="12"/>
        <v>0</v>
      </c>
      <c r="J48" s="450">
        <f t="shared" si="13"/>
        <v>0</v>
      </c>
      <c r="K48" s="450">
        <f t="shared" si="14"/>
        <v>0</v>
      </c>
      <c r="L48" s="450">
        <f t="shared" si="15"/>
        <v>0</v>
      </c>
      <c r="M48" s="450">
        <f t="shared" si="16"/>
        <v>0</v>
      </c>
      <c r="N48" s="450">
        <f t="shared" si="17"/>
        <v>0</v>
      </c>
      <c r="O48" s="450">
        <f t="shared" si="18"/>
        <v>0</v>
      </c>
      <c r="P48" s="451">
        <f t="shared" si="11"/>
        <v>0</v>
      </c>
      <c r="R48" s="452"/>
    </row>
    <row r="49" spans="1:18" ht="15" customHeight="1" x14ac:dyDescent="0.2">
      <c r="A49" s="444">
        <v>25</v>
      </c>
      <c r="B49" s="445"/>
      <c r="C49" s="446">
        <f t="shared" si="10"/>
        <v>0</v>
      </c>
      <c r="D49" s="447"/>
      <c r="E49" s="446">
        <f t="shared" si="0"/>
        <v>0</v>
      </c>
      <c r="F49" s="448"/>
      <c r="G49" s="449">
        <f t="shared" si="1"/>
        <v>50</v>
      </c>
      <c r="H49" s="450">
        <f t="shared" si="2"/>
        <v>0</v>
      </c>
      <c r="I49" s="450">
        <f t="shared" si="12"/>
        <v>0</v>
      </c>
      <c r="J49" s="450">
        <f t="shared" si="13"/>
        <v>0</v>
      </c>
      <c r="K49" s="450">
        <f t="shared" si="14"/>
        <v>0</v>
      </c>
      <c r="L49" s="450">
        <f t="shared" si="15"/>
        <v>0</v>
      </c>
      <c r="M49" s="450">
        <f t="shared" si="16"/>
        <v>0</v>
      </c>
      <c r="N49" s="450">
        <f t="shared" si="17"/>
        <v>0</v>
      </c>
      <c r="O49" s="450">
        <f t="shared" si="18"/>
        <v>0</v>
      </c>
      <c r="P49" s="451">
        <f t="shared" si="11"/>
        <v>0</v>
      </c>
      <c r="R49" s="452"/>
    </row>
    <row r="50" spans="1:18" ht="15" customHeight="1" x14ac:dyDescent="0.2">
      <c r="A50" s="444">
        <v>30</v>
      </c>
      <c r="B50" s="445"/>
      <c r="C50" s="446">
        <f t="shared" si="10"/>
        <v>0</v>
      </c>
      <c r="D50" s="447"/>
      <c r="E50" s="446">
        <f t="shared" si="0"/>
        <v>0</v>
      </c>
      <c r="F50" s="448"/>
      <c r="G50" s="449">
        <f t="shared" si="1"/>
        <v>60</v>
      </c>
      <c r="H50" s="450">
        <f t="shared" si="2"/>
        <v>0</v>
      </c>
      <c r="I50" s="450">
        <f t="shared" si="12"/>
        <v>0</v>
      </c>
      <c r="J50" s="450">
        <f t="shared" si="13"/>
        <v>0</v>
      </c>
      <c r="K50" s="450">
        <f t="shared" si="14"/>
        <v>0</v>
      </c>
      <c r="L50" s="450">
        <f t="shared" si="15"/>
        <v>0</v>
      </c>
      <c r="M50" s="450">
        <f t="shared" si="16"/>
        <v>0</v>
      </c>
      <c r="N50" s="450">
        <f t="shared" si="17"/>
        <v>0</v>
      </c>
      <c r="O50" s="450">
        <f t="shared" si="18"/>
        <v>0</v>
      </c>
      <c r="P50" s="451">
        <f t="shared" si="11"/>
        <v>0</v>
      </c>
      <c r="R50" s="452"/>
    </row>
    <row r="51" spans="1:18" ht="15" customHeight="1" x14ac:dyDescent="0.2">
      <c r="A51" s="444">
        <v>35</v>
      </c>
      <c r="B51" s="445"/>
      <c r="C51" s="446">
        <f t="shared" si="10"/>
        <v>0</v>
      </c>
      <c r="D51" s="447"/>
      <c r="E51" s="446">
        <f t="shared" si="0"/>
        <v>0</v>
      </c>
      <c r="F51" s="448"/>
      <c r="G51" s="449">
        <f t="shared" si="1"/>
        <v>70</v>
      </c>
      <c r="H51" s="450">
        <f t="shared" si="2"/>
        <v>0</v>
      </c>
      <c r="I51" s="450">
        <f t="shared" si="12"/>
        <v>0</v>
      </c>
      <c r="J51" s="450">
        <f t="shared" si="13"/>
        <v>0</v>
      </c>
      <c r="K51" s="450">
        <f t="shared" si="14"/>
        <v>0</v>
      </c>
      <c r="L51" s="450">
        <f t="shared" si="15"/>
        <v>0</v>
      </c>
      <c r="M51" s="450">
        <f t="shared" si="16"/>
        <v>0</v>
      </c>
      <c r="N51" s="450">
        <f t="shared" si="17"/>
        <v>0</v>
      </c>
      <c r="O51" s="450">
        <f t="shared" si="18"/>
        <v>0</v>
      </c>
      <c r="P51" s="451">
        <f t="shared" si="11"/>
        <v>0</v>
      </c>
      <c r="R51" s="452"/>
    </row>
    <row r="52" spans="1:18" ht="15" customHeight="1" x14ac:dyDescent="0.2">
      <c r="A52" s="444">
        <v>40</v>
      </c>
      <c r="B52" s="445"/>
      <c r="C52" s="446">
        <f t="shared" si="10"/>
        <v>0</v>
      </c>
      <c r="D52" s="447"/>
      <c r="E52" s="446">
        <f t="shared" si="0"/>
        <v>0</v>
      </c>
      <c r="F52" s="448"/>
      <c r="G52" s="449">
        <f t="shared" si="1"/>
        <v>80</v>
      </c>
      <c r="H52" s="450">
        <f t="shared" si="2"/>
        <v>0</v>
      </c>
      <c r="I52" s="450">
        <f t="shared" si="12"/>
        <v>0</v>
      </c>
      <c r="J52" s="450">
        <f t="shared" si="13"/>
        <v>0</v>
      </c>
      <c r="K52" s="450">
        <f t="shared" si="14"/>
        <v>0</v>
      </c>
      <c r="L52" s="450">
        <f t="shared" si="15"/>
        <v>0</v>
      </c>
      <c r="M52" s="450">
        <f t="shared" si="16"/>
        <v>0</v>
      </c>
      <c r="N52" s="450">
        <f t="shared" si="17"/>
        <v>0</v>
      </c>
      <c r="O52" s="450">
        <f t="shared" si="18"/>
        <v>0</v>
      </c>
      <c r="P52" s="451">
        <f t="shared" si="11"/>
        <v>0</v>
      </c>
      <c r="R52" s="452"/>
    </row>
    <row r="53" spans="1:18" ht="15" customHeight="1" x14ac:dyDescent="0.2">
      <c r="A53" s="444">
        <v>45</v>
      </c>
      <c r="B53" s="445"/>
      <c r="C53" s="446">
        <f t="shared" si="10"/>
        <v>0</v>
      </c>
      <c r="D53" s="447"/>
      <c r="E53" s="446">
        <f t="shared" si="0"/>
        <v>0</v>
      </c>
      <c r="F53" s="448"/>
      <c r="G53" s="449">
        <f t="shared" si="1"/>
        <v>90</v>
      </c>
      <c r="H53" s="450">
        <f t="shared" si="2"/>
        <v>0</v>
      </c>
      <c r="I53" s="450">
        <f t="shared" si="12"/>
        <v>0</v>
      </c>
      <c r="J53" s="450">
        <f t="shared" si="13"/>
        <v>0</v>
      </c>
      <c r="K53" s="450">
        <f t="shared" si="14"/>
        <v>0</v>
      </c>
      <c r="L53" s="450">
        <f t="shared" si="15"/>
        <v>0</v>
      </c>
      <c r="M53" s="450">
        <f t="shared" si="16"/>
        <v>0</v>
      </c>
      <c r="N53" s="450">
        <f t="shared" si="17"/>
        <v>0</v>
      </c>
      <c r="O53" s="450">
        <f t="shared" si="18"/>
        <v>0</v>
      </c>
      <c r="P53" s="451">
        <f t="shared" si="11"/>
        <v>0</v>
      </c>
      <c r="R53" s="452"/>
    </row>
    <row r="54" spans="1:18" ht="15" customHeight="1" x14ac:dyDescent="0.2">
      <c r="A54" s="444">
        <v>50</v>
      </c>
      <c r="B54" s="445"/>
      <c r="C54" s="446">
        <f t="shared" si="10"/>
        <v>0</v>
      </c>
      <c r="D54" s="447"/>
      <c r="E54" s="446">
        <f t="shared" si="0"/>
        <v>0</v>
      </c>
      <c r="F54" s="448"/>
      <c r="G54" s="449">
        <f t="shared" si="1"/>
        <v>100</v>
      </c>
      <c r="H54" s="450">
        <f t="shared" si="2"/>
        <v>0</v>
      </c>
      <c r="I54" s="450">
        <f t="shared" si="12"/>
        <v>0</v>
      </c>
      <c r="J54" s="450">
        <f t="shared" si="13"/>
        <v>0</v>
      </c>
      <c r="K54" s="450">
        <f t="shared" si="14"/>
        <v>0</v>
      </c>
      <c r="L54" s="450">
        <f t="shared" si="15"/>
        <v>0</v>
      </c>
      <c r="M54" s="450">
        <f t="shared" si="16"/>
        <v>0</v>
      </c>
      <c r="N54" s="450">
        <f t="shared" si="17"/>
        <v>0</v>
      </c>
      <c r="O54" s="450">
        <f t="shared" si="18"/>
        <v>0</v>
      </c>
      <c r="P54" s="451">
        <f t="shared" si="11"/>
        <v>0</v>
      </c>
      <c r="R54" s="452"/>
    </row>
    <row r="55" spans="1:18" ht="15" customHeight="1" x14ac:dyDescent="0.2">
      <c r="A55" s="444">
        <v>55</v>
      </c>
      <c r="B55" s="445"/>
      <c r="C55" s="446">
        <f t="shared" si="10"/>
        <v>0</v>
      </c>
      <c r="D55" s="447"/>
      <c r="E55" s="446">
        <f t="shared" si="0"/>
        <v>0</v>
      </c>
      <c r="F55" s="448"/>
      <c r="G55" s="449">
        <f t="shared" si="1"/>
        <v>110</v>
      </c>
      <c r="H55" s="450">
        <f t="shared" si="2"/>
        <v>0</v>
      </c>
      <c r="I55" s="450">
        <f t="shared" si="12"/>
        <v>0</v>
      </c>
      <c r="J55" s="450">
        <f t="shared" si="13"/>
        <v>0</v>
      </c>
      <c r="K55" s="450">
        <f t="shared" si="14"/>
        <v>0</v>
      </c>
      <c r="L55" s="450">
        <f t="shared" si="15"/>
        <v>0</v>
      </c>
      <c r="M55" s="450">
        <f t="shared" si="16"/>
        <v>0</v>
      </c>
      <c r="N55" s="450">
        <f t="shared" si="17"/>
        <v>0</v>
      </c>
      <c r="O55" s="450">
        <f t="shared" si="18"/>
        <v>0</v>
      </c>
      <c r="P55" s="451">
        <f t="shared" si="11"/>
        <v>0</v>
      </c>
      <c r="R55" s="452"/>
    </row>
    <row r="56" spans="1:18" ht="15" customHeight="1" x14ac:dyDescent="0.2">
      <c r="A56" s="444">
        <v>60</v>
      </c>
      <c r="B56" s="445"/>
      <c r="C56" s="446">
        <f t="shared" si="10"/>
        <v>0</v>
      </c>
      <c r="D56" s="447"/>
      <c r="E56" s="446">
        <f t="shared" si="0"/>
        <v>0</v>
      </c>
      <c r="F56" s="448"/>
      <c r="G56" s="449">
        <f t="shared" si="1"/>
        <v>120</v>
      </c>
      <c r="H56" s="450">
        <f t="shared" si="2"/>
        <v>0</v>
      </c>
      <c r="I56" s="450">
        <f t="shared" si="12"/>
        <v>0</v>
      </c>
      <c r="J56" s="450">
        <f t="shared" si="13"/>
        <v>0</v>
      </c>
      <c r="K56" s="450">
        <f t="shared" si="14"/>
        <v>0</v>
      </c>
      <c r="L56" s="450">
        <f t="shared" si="15"/>
        <v>0</v>
      </c>
      <c r="M56" s="450">
        <f t="shared" si="16"/>
        <v>0</v>
      </c>
      <c r="N56" s="450">
        <f t="shared" si="17"/>
        <v>0</v>
      </c>
      <c r="O56" s="450">
        <f t="shared" si="18"/>
        <v>0</v>
      </c>
      <c r="P56" s="451">
        <f t="shared" si="11"/>
        <v>0</v>
      </c>
      <c r="R56" s="452"/>
    </row>
    <row r="57" spans="1:18" ht="15" customHeight="1" x14ac:dyDescent="0.2">
      <c r="A57" s="444">
        <v>65</v>
      </c>
      <c r="B57" s="445"/>
      <c r="C57" s="446">
        <f t="shared" si="10"/>
        <v>0</v>
      </c>
      <c r="D57" s="447"/>
      <c r="E57" s="446">
        <f t="shared" si="0"/>
        <v>0</v>
      </c>
      <c r="F57" s="448"/>
      <c r="G57" s="449">
        <f t="shared" si="1"/>
        <v>130</v>
      </c>
      <c r="H57" s="450">
        <f t="shared" si="2"/>
        <v>0</v>
      </c>
      <c r="I57" s="450">
        <f t="shared" si="12"/>
        <v>0</v>
      </c>
      <c r="J57" s="450">
        <f t="shared" si="13"/>
        <v>0</v>
      </c>
      <c r="K57" s="450">
        <f t="shared" si="14"/>
        <v>0</v>
      </c>
      <c r="L57" s="450">
        <f t="shared" si="15"/>
        <v>0</v>
      </c>
      <c r="M57" s="450">
        <f t="shared" si="16"/>
        <v>0</v>
      </c>
      <c r="N57" s="450">
        <f t="shared" si="17"/>
        <v>0</v>
      </c>
      <c r="O57" s="450">
        <f t="shared" si="18"/>
        <v>0</v>
      </c>
      <c r="P57" s="451">
        <f t="shared" si="11"/>
        <v>0</v>
      </c>
      <c r="R57" s="452"/>
    </row>
    <row r="58" spans="1:18" ht="15" customHeight="1" x14ac:dyDescent="0.2">
      <c r="A58" s="444">
        <v>70</v>
      </c>
      <c r="B58" s="445"/>
      <c r="C58" s="446">
        <f t="shared" si="10"/>
        <v>0</v>
      </c>
      <c r="D58" s="447"/>
      <c r="E58" s="446">
        <f t="shared" si="0"/>
        <v>0</v>
      </c>
      <c r="F58" s="448"/>
      <c r="G58" s="449">
        <f t="shared" si="1"/>
        <v>140</v>
      </c>
      <c r="H58" s="450">
        <f t="shared" si="2"/>
        <v>0</v>
      </c>
      <c r="I58" s="450">
        <f t="shared" si="12"/>
        <v>0</v>
      </c>
      <c r="J58" s="450">
        <f t="shared" si="13"/>
        <v>0</v>
      </c>
      <c r="K58" s="450">
        <f t="shared" si="14"/>
        <v>0</v>
      </c>
      <c r="L58" s="450">
        <f t="shared" si="15"/>
        <v>0</v>
      </c>
      <c r="M58" s="450">
        <f t="shared" si="16"/>
        <v>0</v>
      </c>
      <c r="N58" s="450">
        <f t="shared" si="17"/>
        <v>0</v>
      </c>
      <c r="O58" s="450">
        <f t="shared" si="18"/>
        <v>0</v>
      </c>
      <c r="P58" s="451">
        <f t="shared" si="11"/>
        <v>0</v>
      </c>
      <c r="R58" s="452"/>
    </row>
    <row r="59" spans="1:18" ht="15" customHeight="1" x14ac:dyDescent="0.2">
      <c r="A59" s="444">
        <v>75</v>
      </c>
      <c r="B59" s="445"/>
      <c r="C59" s="446">
        <f t="shared" si="10"/>
        <v>0</v>
      </c>
      <c r="D59" s="447"/>
      <c r="E59" s="446">
        <f t="shared" si="0"/>
        <v>0</v>
      </c>
      <c r="F59" s="448"/>
      <c r="G59" s="449">
        <f t="shared" si="1"/>
        <v>150</v>
      </c>
      <c r="H59" s="450">
        <f t="shared" si="2"/>
        <v>0</v>
      </c>
      <c r="I59" s="450">
        <f t="shared" si="12"/>
        <v>0</v>
      </c>
      <c r="J59" s="450">
        <f t="shared" si="13"/>
        <v>0</v>
      </c>
      <c r="K59" s="450">
        <f t="shared" si="14"/>
        <v>0</v>
      </c>
      <c r="L59" s="450">
        <f t="shared" si="15"/>
        <v>0</v>
      </c>
      <c r="M59" s="450">
        <f t="shared" si="16"/>
        <v>0</v>
      </c>
      <c r="N59" s="450">
        <f t="shared" si="17"/>
        <v>0</v>
      </c>
      <c r="O59" s="450">
        <f t="shared" si="18"/>
        <v>0</v>
      </c>
      <c r="P59" s="451">
        <f t="shared" si="11"/>
        <v>0</v>
      </c>
      <c r="R59" s="452"/>
    </row>
    <row r="60" spans="1:18" ht="15" customHeight="1" x14ac:dyDescent="0.2">
      <c r="A60" s="444">
        <v>80</v>
      </c>
      <c r="B60" s="445"/>
      <c r="C60" s="446">
        <f t="shared" si="10"/>
        <v>0</v>
      </c>
      <c r="D60" s="447"/>
      <c r="E60" s="446">
        <f t="shared" si="0"/>
        <v>0</v>
      </c>
      <c r="F60" s="448"/>
      <c r="G60" s="449">
        <f t="shared" si="1"/>
        <v>160</v>
      </c>
      <c r="H60" s="450">
        <f t="shared" si="2"/>
        <v>0</v>
      </c>
      <c r="I60" s="450">
        <f t="shared" si="12"/>
        <v>0</v>
      </c>
      <c r="J60" s="450">
        <f t="shared" si="13"/>
        <v>0</v>
      </c>
      <c r="K60" s="450">
        <f t="shared" si="14"/>
        <v>0</v>
      </c>
      <c r="L60" s="450">
        <f t="shared" si="15"/>
        <v>0</v>
      </c>
      <c r="M60" s="450">
        <f t="shared" si="16"/>
        <v>0</v>
      </c>
      <c r="N60" s="450">
        <f t="shared" si="17"/>
        <v>0</v>
      </c>
      <c r="O60" s="450">
        <f t="shared" si="18"/>
        <v>0</v>
      </c>
      <c r="P60" s="451">
        <f t="shared" si="11"/>
        <v>0</v>
      </c>
      <c r="R60" s="452"/>
    </row>
    <row r="61" spans="1:18" ht="15" customHeight="1" x14ac:dyDescent="0.2">
      <c r="A61" s="444">
        <v>85</v>
      </c>
      <c r="B61" s="445"/>
      <c r="C61" s="446">
        <f t="shared" si="10"/>
        <v>0</v>
      </c>
      <c r="D61" s="447"/>
      <c r="E61" s="446">
        <f t="shared" si="0"/>
        <v>0</v>
      </c>
      <c r="F61" s="448"/>
      <c r="G61" s="449">
        <f t="shared" si="1"/>
        <v>170</v>
      </c>
      <c r="H61" s="450">
        <f t="shared" si="2"/>
        <v>0</v>
      </c>
      <c r="I61" s="450">
        <f t="shared" si="12"/>
        <v>0</v>
      </c>
      <c r="J61" s="450">
        <f t="shared" si="13"/>
        <v>0</v>
      </c>
      <c r="K61" s="450">
        <f t="shared" si="14"/>
        <v>0</v>
      </c>
      <c r="L61" s="450">
        <f t="shared" si="15"/>
        <v>0</v>
      </c>
      <c r="M61" s="450">
        <f t="shared" si="16"/>
        <v>0</v>
      </c>
      <c r="N61" s="450">
        <f t="shared" si="17"/>
        <v>0</v>
      </c>
      <c r="O61" s="450">
        <f t="shared" si="18"/>
        <v>0</v>
      </c>
      <c r="P61" s="451">
        <f t="shared" si="11"/>
        <v>0</v>
      </c>
      <c r="R61" s="452"/>
    </row>
    <row r="62" spans="1:18" ht="15" customHeight="1" x14ac:dyDescent="0.2">
      <c r="A62" s="444">
        <v>90</v>
      </c>
      <c r="B62" s="445"/>
      <c r="C62" s="446">
        <f t="shared" si="10"/>
        <v>0</v>
      </c>
      <c r="D62" s="447"/>
      <c r="E62" s="446">
        <f t="shared" si="0"/>
        <v>0</v>
      </c>
      <c r="F62" s="448"/>
      <c r="G62" s="449">
        <f t="shared" si="1"/>
        <v>180</v>
      </c>
      <c r="H62" s="450">
        <f t="shared" si="2"/>
        <v>0</v>
      </c>
      <c r="I62" s="450">
        <f t="shared" si="12"/>
        <v>0</v>
      </c>
      <c r="J62" s="450">
        <f t="shared" si="13"/>
        <v>0</v>
      </c>
      <c r="K62" s="450">
        <f t="shared" si="14"/>
        <v>0</v>
      </c>
      <c r="L62" s="450">
        <f t="shared" si="15"/>
        <v>0</v>
      </c>
      <c r="M62" s="450">
        <f t="shared" si="16"/>
        <v>0</v>
      </c>
      <c r="N62" s="450">
        <f t="shared" si="17"/>
        <v>0</v>
      </c>
      <c r="O62" s="450">
        <f t="shared" si="18"/>
        <v>0</v>
      </c>
      <c r="P62" s="451">
        <f t="shared" si="11"/>
        <v>0</v>
      </c>
      <c r="R62" s="452"/>
    </row>
    <row r="63" spans="1:18" ht="15" customHeight="1" x14ac:dyDescent="0.2">
      <c r="A63" s="444">
        <v>95</v>
      </c>
      <c r="B63" s="445"/>
      <c r="C63" s="446">
        <f t="shared" si="10"/>
        <v>0</v>
      </c>
      <c r="D63" s="447"/>
      <c r="E63" s="446">
        <f t="shared" si="0"/>
        <v>0</v>
      </c>
      <c r="F63" s="448"/>
      <c r="G63" s="449">
        <f t="shared" si="1"/>
        <v>190</v>
      </c>
      <c r="H63" s="450">
        <f t="shared" si="2"/>
        <v>0</v>
      </c>
      <c r="I63" s="450">
        <f t="shared" si="12"/>
        <v>0</v>
      </c>
      <c r="J63" s="450">
        <f t="shared" si="13"/>
        <v>0</v>
      </c>
      <c r="K63" s="450">
        <f t="shared" si="14"/>
        <v>0</v>
      </c>
      <c r="L63" s="450">
        <f t="shared" si="15"/>
        <v>0</v>
      </c>
      <c r="M63" s="450">
        <f t="shared" si="16"/>
        <v>0</v>
      </c>
      <c r="N63" s="450">
        <f t="shared" si="17"/>
        <v>0</v>
      </c>
      <c r="O63" s="450">
        <f t="shared" si="18"/>
        <v>0</v>
      </c>
      <c r="P63" s="451">
        <f t="shared" si="11"/>
        <v>0</v>
      </c>
      <c r="R63" s="452"/>
    </row>
    <row r="64" spans="1:18" ht="15" customHeight="1" x14ac:dyDescent="0.2">
      <c r="A64" s="444">
        <v>100</v>
      </c>
      <c r="B64" s="445"/>
      <c r="C64" s="446">
        <f t="shared" si="10"/>
        <v>0</v>
      </c>
      <c r="D64" s="447"/>
      <c r="E64" s="446">
        <f t="shared" si="0"/>
        <v>0</v>
      </c>
      <c r="F64" s="448"/>
      <c r="G64" s="449">
        <f t="shared" si="1"/>
        <v>200</v>
      </c>
      <c r="H64" s="450">
        <f t="shared" si="2"/>
        <v>0</v>
      </c>
      <c r="I64" s="450">
        <f t="shared" si="12"/>
        <v>0</v>
      </c>
      <c r="J64" s="450">
        <f t="shared" si="13"/>
        <v>0</v>
      </c>
      <c r="K64" s="450">
        <f t="shared" si="14"/>
        <v>0</v>
      </c>
      <c r="L64" s="450">
        <f t="shared" si="15"/>
        <v>0</v>
      </c>
      <c r="M64" s="450">
        <f t="shared" si="16"/>
        <v>0</v>
      </c>
      <c r="N64" s="450">
        <f t="shared" si="17"/>
        <v>0</v>
      </c>
      <c r="O64" s="450">
        <f t="shared" si="18"/>
        <v>0</v>
      </c>
      <c r="P64" s="451">
        <f t="shared" si="11"/>
        <v>0</v>
      </c>
      <c r="R64" s="452"/>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18" customWidth="1"/>
    <col min="2" max="4" width="10.7109375" style="418" customWidth="1"/>
    <col min="5" max="5" width="13.85546875" style="418" bestFit="1" customWidth="1"/>
    <col min="6" max="6" width="10.7109375" style="418" customWidth="1"/>
    <col min="7" max="7" width="9.42578125" style="418" customWidth="1"/>
    <col min="8" max="8" width="10.5703125" style="418" customWidth="1"/>
    <col min="9" max="9" width="13.7109375" style="418" customWidth="1"/>
    <col min="10" max="11" width="10.42578125" style="418" customWidth="1"/>
    <col min="12" max="12" width="10.28515625" style="418" customWidth="1"/>
    <col min="13" max="13" width="9.42578125" style="418" customWidth="1"/>
    <col min="14" max="14" width="8.7109375" style="418" customWidth="1"/>
    <col min="15" max="15" width="13.28515625" style="418" bestFit="1" customWidth="1"/>
    <col min="16" max="16" width="10.28515625" style="418" customWidth="1"/>
    <col min="17" max="256" width="11.42578125" style="418"/>
    <col min="257" max="257" width="7" style="418" customWidth="1"/>
    <col min="258" max="258" width="10.7109375" style="418" customWidth="1"/>
    <col min="259" max="259" width="10.5703125" style="418" customWidth="1"/>
    <col min="260" max="260" width="10.7109375" style="418" customWidth="1"/>
    <col min="261" max="261" width="10.28515625" style="418" customWidth="1"/>
    <col min="262" max="262" width="10.7109375" style="418" customWidth="1"/>
    <col min="263" max="263" width="9.42578125" style="418" customWidth="1"/>
    <col min="264" max="264" width="10.5703125" style="418" customWidth="1"/>
    <col min="265" max="265" width="13.7109375" style="418" customWidth="1"/>
    <col min="266" max="267" width="10.42578125" style="418" customWidth="1"/>
    <col min="268" max="268" width="10.28515625" style="418" customWidth="1"/>
    <col min="269" max="269" width="9.42578125" style="418" customWidth="1"/>
    <col min="270" max="270" width="8.7109375" style="418" customWidth="1"/>
    <col min="271" max="271" width="10.42578125" style="418" customWidth="1"/>
    <col min="272" max="272" width="10.28515625" style="418" customWidth="1"/>
    <col min="273" max="512" width="11.42578125" style="418"/>
    <col min="513" max="513" width="7" style="418" customWidth="1"/>
    <col min="514" max="514" width="10.7109375" style="418" customWidth="1"/>
    <col min="515" max="515" width="10.5703125" style="418" customWidth="1"/>
    <col min="516" max="516" width="10.7109375" style="418" customWidth="1"/>
    <col min="517" max="517" width="10.28515625" style="418" customWidth="1"/>
    <col min="518" max="518" width="10.7109375" style="418" customWidth="1"/>
    <col min="519" max="519" width="9.42578125" style="418" customWidth="1"/>
    <col min="520" max="520" width="10.5703125" style="418" customWidth="1"/>
    <col min="521" max="521" width="13.7109375" style="418" customWidth="1"/>
    <col min="522" max="523" width="10.42578125" style="418" customWidth="1"/>
    <col min="524" max="524" width="10.28515625" style="418" customWidth="1"/>
    <col min="525" max="525" width="9.42578125" style="418" customWidth="1"/>
    <col min="526" max="526" width="8.7109375" style="418" customWidth="1"/>
    <col min="527" max="527" width="10.42578125" style="418" customWidth="1"/>
    <col min="528" max="528" width="10.28515625" style="418" customWidth="1"/>
    <col min="529" max="768" width="11.42578125" style="418"/>
    <col min="769" max="769" width="7" style="418" customWidth="1"/>
    <col min="770" max="770" width="10.7109375" style="418" customWidth="1"/>
    <col min="771" max="771" width="10.5703125" style="418" customWidth="1"/>
    <col min="772" max="772" width="10.7109375" style="418" customWidth="1"/>
    <col min="773" max="773" width="10.28515625" style="418" customWidth="1"/>
    <col min="774" max="774" width="10.7109375" style="418" customWidth="1"/>
    <col min="775" max="775" width="9.42578125" style="418" customWidth="1"/>
    <col min="776" max="776" width="10.5703125" style="418" customWidth="1"/>
    <col min="777" max="777" width="13.7109375" style="418" customWidth="1"/>
    <col min="778" max="779" width="10.42578125" style="418" customWidth="1"/>
    <col min="780" max="780" width="10.28515625" style="418" customWidth="1"/>
    <col min="781" max="781" width="9.42578125" style="418" customWidth="1"/>
    <col min="782" max="782" width="8.7109375" style="418" customWidth="1"/>
    <col min="783" max="783" width="10.42578125" style="418" customWidth="1"/>
    <col min="784" max="784" width="10.28515625" style="418" customWidth="1"/>
    <col min="785" max="1024" width="11.42578125" style="418"/>
    <col min="1025" max="1025" width="7" style="418" customWidth="1"/>
    <col min="1026" max="1026" width="10.7109375" style="418" customWidth="1"/>
    <col min="1027" max="1027" width="10.5703125" style="418" customWidth="1"/>
    <col min="1028" max="1028" width="10.7109375" style="418" customWidth="1"/>
    <col min="1029" max="1029" width="10.28515625" style="418" customWidth="1"/>
    <col min="1030" max="1030" width="10.7109375" style="418" customWidth="1"/>
    <col min="1031" max="1031" width="9.42578125" style="418" customWidth="1"/>
    <col min="1032" max="1032" width="10.5703125" style="418" customWidth="1"/>
    <col min="1033" max="1033" width="13.7109375" style="418" customWidth="1"/>
    <col min="1034" max="1035" width="10.42578125" style="418" customWidth="1"/>
    <col min="1036" max="1036" width="10.28515625" style="418" customWidth="1"/>
    <col min="1037" max="1037" width="9.42578125" style="418" customWidth="1"/>
    <col min="1038" max="1038" width="8.7109375" style="418" customWidth="1"/>
    <col min="1039" max="1039" width="10.42578125" style="418" customWidth="1"/>
    <col min="1040" max="1040" width="10.28515625" style="418" customWidth="1"/>
    <col min="1041" max="1280" width="11.42578125" style="418"/>
    <col min="1281" max="1281" width="7" style="418" customWidth="1"/>
    <col min="1282" max="1282" width="10.7109375" style="418" customWidth="1"/>
    <col min="1283" max="1283" width="10.5703125" style="418" customWidth="1"/>
    <col min="1284" max="1284" width="10.7109375" style="418" customWidth="1"/>
    <col min="1285" max="1285" width="10.28515625" style="418" customWidth="1"/>
    <col min="1286" max="1286" width="10.7109375" style="418" customWidth="1"/>
    <col min="1287" max="1287" width="9.42578125" style="418" customWidth="1"/>
    <col min="1288" max="1288" width="10.5703125" style="418" customWidth="1"/>
    <col min="1289" max="1289" width="13.7109375" style="418" customWidth="1"/>
    <col min="1290" max="1291" width="10.42578125" style="418" customWidth="1"/>
    <col min="1292" max="1292" width="10.28515625" style="418" customWidth="1"/>
    <col min="1293" max="1293" width="9.42578125" style="418" customWidth="1"/>
    <col min="1294" max="1294" width="8.7109375" style="418" customWidth="1"/>
    <col min="1295" max="1295" width="10.42578125" style="418" customWidth="1"/>
    <col min="1296" max="1296" width="10.28515625" style="418" customWidth="1"/>
    <col min="1297" max="1536" width="11.42578125" style="418"/>
    <col min="1537" max="1537" width="7" style="418" customWidth="1"/>
    <col min="1538" max="1538" width="10.7109375" style="418" customWidth="1"/>
    <col min="1539" max="1539" width="10.5703125" style="418" customWidth="1"/>
    <col min="1540" max="1540" width="10.7109375" style="418" customWidth="1"/>
    <col min="1541" max="1541" width="10.28515625" style="418" customWidth="1"/>
    <col min="1542" max="1542" width="10.7109375" style="418" customWidth="1"/>
    <col min="1543" max="1543" width="9.42578125" style="418" customWidth="1"/>
    <col min="1544" max="1544" width="10.5703125" style="418" customWidth="1"/>
    <col min="1545" max="1545" width="13.7109375" style="418" customWidth="1"/>
    <col min="1546" max="1547" width="10.42578125" style="418" customWidth="1"/>
    <col min="1548" max="1548" width="10.28515625" style="418" customWidth="1"/>
    <col min="1549" max="1549" width="9.42578125" style="418" customWidth="1"/>
    <col min="1550" max="1550" width="8.7109375" style="418" customWidth="1"/>
    <col min="1551" max="1551" width="10.42578125" style="418" customWidth="1"/>
    <col min="1552" max="1552" width="10.28515625" style="418" customWidth="1"/>
    <col min="1553" max="1792" width="11.42578125" style="418"/>
    <col min="1793" max="1793" width="7" style="418" customWidth="1"/>
    <col min="1794" max="1794" width="10.7109375" style="418" customWidth="1"/>
    <col min="1795" max="1795" width="10.5703125" style="418" customWidth="1"/>
    <col min="1796" max="1796" width="10.7109375" style="418" customWidth="1"/>
    <col min="1797" max="1797" width="10.28515625" style="418" customWidth="1"/>
    <col min="1798" max="1798" width="10.7109375" style="418" customWidth="1"/>
    <col min="1799" max="1799" width="9.42578125" style="418" customWidth="1"/>
    <col min="1800" max="1800" width="10.5703125" style="418" customWidth="1"/>
    <col min="1801" max="1801" width="13.7109375" style="418" customWidth="1"/>
    <col min="1802" max="1803" width="10.42578125" style="418" customWidth="1"/>
    <col min="1804" max="1804" width="10.28515625" style="418" customWidth="1"/>
    <col min="1805" max="1805" width="9.42578125" style="418" customWidth="1"/>
    <col min="1806" max="1806" width="8.7109375" style="418" customWidth="1"/>
    <col min="1807" max="1807" width="10.42578125" style="418" customWidth="1"/>
    <col min="1808" max="1808" width="10.28515625" style="418" customWidth="1"/>
    <col min="1809" max="2048" width="11.42578125" style="418"/>
    <col min="2049" max="2049" width="7" style="418" customWidth="1"/>
    <col min="2050" max="2050" width="10.7109375" style="418" customWidth="1"/>
    <col min="2051" max="2051" width="10.5703125" style="418" customWidth="1"/>
    <col min="2052" max="2052" width="10.7109375" style="418" customWidth="1"/>
    <col min="2053" max="2053" width="10.28515625" style="418" customWidth="1"/>
    <col min="2054" max="2054" width="10.7109375" style="418" customWidth="1"/>
    <col min="2055" max="2055" width="9.42578125" style="418" customWidth="1"/>
    <col min="2056" max="2056" width="10.5703125" style="418" customWidth="1"/>
    <col min="2057" max="2057" width="13.7109375" style="418" customWidth="1"/>
    <col min="2058" max="2059" width="10.42578125" style="418" customWidth="1"/>
    <col min="2060" max="2060" width="10.28515625" style="418" customWidth="1"/>
    <col min="2061" max="2061" width="9.42578125" style="418" customWidth="1"/>
    <col min="2062" max="2062" width="8.7109375" style="418" customWidth="1"/>
    <col min="2063" max="2063" width="10.42578125" style="418" customWidth="1"/>
    <col min="2064" max="2064" width="10.28515625" style="418" customWidth="1"/>
    <col min="2065" max="2304" width="11.42578125" style="418"/>
    <col min="2305" max="2305" width="7" style="418" customWidth="1"/>
    <col min="2306" max="2306" width="10.7109375" style="418" customWidth="1"/>
    <col min="2307" max="2307" width="10.5703125" style="418" customWidth="1"/>
    <col min="2308" max="2308" width="10.7109375" style="418" customWidth="1"/>
    <col min="2309" max="2309" width="10.28515625" style="418" customWidth="1"/>
    <col min="2310" max="2310" width="10.7109375" style="418" customWidth="1"/>
    <col min="2311" max="2311" width="9.42578125" style="418" customWidth="1"/>
    <col min="2312" max="2312" width="10.5703125" style="418" customWidth="1"/>
    <col min="2313" max="2313" width="13.7109375" style="418" customWidth="1"/>
    <col min="2314" max="2315" width="10.42578125" style="418" customWidth="1"/>
    <col min="2316" max="2316" width="10.28515625" style="418" customWidth="1"/>
    <col min="2317" max="2317" width="9.42578125" style="418" customWidth="1"/>
    <col min="2318" max="2318" width="8.7109375" style="418" customWidth="1"/>
    <col min="2319" max="2319" width="10.42578125" style="418" customWidth="1"/>
    <col min="2320" max="2320" width="10.28515625" style="418" customWidth="1"/>
    <col min="2321" max="2560" width="11.42578125" style="418"/>
    <col min="2561" max="2561" width="7" style="418" customWidth="1"/>
    <col min="2562" max="2562" width="10.7109375" style="418" customWidth="1"/>
    <col min="2563" max="2563" width="10.5703125" style="418" customWidth="1"/>
    <col min="2564" max="2564" width="10.7109375" style="418" customWidth="1"/>
    <col min="2565" max="2565" width="10.28515625" style="418" customWidth="1"/>
    <col min="2566" max="2566" width="10.7109375" style="418" customWidth="1"/>
    <col min="2567" max="2567" width="9.42578125" style="418" customWidth="1"/>
    <col min="2568" max="2568" width="10.5703125" style="418" customWidth="1"/>
    <col min="2569" max="2569" width="13.7109375" style="418" customWidth="1"/>
    <col min="2570" max="2571" width="10.42578125" style="418" customWidth="1"/>
    <col min="2572" max="2572" width="10.28515625" style="418" customWidth="1"/>
    <col min="2573" max="2573" width="9.42578125" style="418" customWidth="1"/>
    <col min="2574" max="2574" width="8.7109375" style="418" customWidth="1"/>
    <col min="2575" max="2575" width="10.42578125" style="418" customWidth="1"/>
    <col min="2576" max="2576" width="10.28515625" style="418" customWidth="1"/>
    <col min="2577" max="2816" width="11.42578125" style="418"/>
    <col min="2817" max="2817" width="7" style="418" customWidth="1"/>
    <col min="2818" max="2818" width="10.7109375" style="418" customWidth="1"/>
    <col min="2819" max="2819" width="10.5703125" style="418" customWidth="1"/>
    <col min="2820" max="2820" width="10.7109375" style="418" customWidth="1"/>
    <col min="2821" max="2821" width="10.28515625" style="418" customWidth="1"/>
    <col min="2822" max="2822" width="10.7109375" style="418" customWidth="1"/>
    <col min="2823" max="2823" width="9.42578125" style="418" customWidth="1"/>
    <col min="2824" max="2824" width="10.5703125" style="418" customWidth="1"/>
    <col min="2825" max="2825" width="13.7109375" style="418" customWidth="1"/>
    <col min="2826" max="2827" width="10.42578125" style="418" customWidth="1"/>
    <col min="2828" max="2828" width="10.28515625" style="418" customWidth="1"/>
    <col min="2829" max="2829" width="9.42578125" style="418" customWidth="1"/>
    <col min="2830" max="2830" width="8.7109375" style="418" customWidth="1"/>
    <col min="2831" max="2831" width="10.42578125" style="418" customWidth="1"/>
    <col min="2832" max="2832" width="10.28515625" style="418" customWidth="1"/>
    <col min="2833" max="3072" width="11.42578125" style="418"/>
    <col min="3073" max="3073" width="7" style="418" customWidth="1"/>
    <col min="3074" max="3074" width="10.7109375" style="418" customWidth="1"/>
    <col min="3075" max="3075" width="10.5703125" style="418" customWidth="1"/>
    <col min="3076" max="3076" width="10.7109375" style="418" customWidth="1"/>
    <col min="3077" max="3077" width="10.28515625" style="418" customWidth="1"/>
    <col min="3078" max="3078" width="10.7109375" style="418" customWidth="1"/>
    <col min="3079" max="3079" width="9.42578125" style="418" customWidth="1"/>
    <col min="3080" max="3080" width="10.5703125" style="418" customWidth="1"/>
    <col min="3081" max="3081" width="13.7109375" style="418" customWidth="1"/>
    <col min="3082" max="3083" width="10.42578125" style="418" customWidth="1"/>
    <col min="3084" max="3084" width="10.28515625" style="418" customWidth="1"/>
    <col min="3085" max="3085" width="9.42578125" style="418" customWidth="1"/>
    <col min="3086" max="3086" width="8.7109375" style="418" customWidth="1"/>
    <col min="3087" max="3087" width="10.42578125" style="418" customWidth="1"/>
    <col min="3088" max="3088" width="10.28515625" style="418" customWidth="1"/>
    <col min="3089" max="3328" width="11.42578125" style="418"/>
    <col min="3329" max="3329" width="7" style="418" customWidth="1"/>
    <col min="3330" max="3330" width="10.7109375" style="418" customWidth="1"/>
    <col min="3331" max="3331" width="10.5703125" style="418" customWidth="1"/>
    <col min="3332" max="3332" width="10.7109375" style="418" customWidth="1"/>
    <col min="3333" max="3333" width="10.28515625" style="418" customWidth="1"/>
    <col min="3334" max="3334" width="10.7109375" style="418" customWidth="1"/>
    <col min="3335" max="3335" width="9.42578125" style="418" customWidth="1"/>
    <col min="3336" max="3336" width="10.5703125" style="418" customWidth="1"/>
    <col min="3337" max="3337" width="13.7109375" style="418" customWidth="1"/>
    <col min="3338" max="3339" width="10.42578125" style="418" customWidth="1"/>
    <col min="3340" max="3340" width="10.28515625" style="418" customWidth="1"/>
    <col min="3341" max="3341" width="9.42578125" style="418" customWidth="1"/>
    <col min="3342" max="3342" width="8.7109375" style="418" customWidth="1"/>
    <col min="3343" max="3343" width="10.42578125" style="418" customWidth="1"/>
    <col min="3344" max="3344" width="10.28515625" style="418" customWidth="1"/>
    <col min="3345" max="3584" width="11.42578125" style="418"/>
    <col min="3585" max="3585" width="7" style="418" customWidth="1"/>
    <col min="3586" max="3586" width="10.7109375" style="418" customWidth="1"/>
    <col min="3587" max="3587" width="10.5703125" style="418" customWidth="1"/>
    <col min="3588" max="3588" width="10.7109375" style="418" customWidth="1"/>
    <col min="3589" max="3589" width="10.28515625" style="418" customWidth="1"/>
    <col min="3590" max="3590" width="10.7109375" style="418" customWidth="1"/>
    <col min="3591" max="3591" width="9.42578125" style="418" customWidth="1"/>
    <col min="3592" max="3592" width="10.5703125" style="418" customWidth="1"/>
    <col min="3593" max="3593" width="13.7109375" style="418" customWidth="1"/>
    <col min="3594" max="3595" width="10.42578125" style="418" customWidth="1"/>
    <col min="3596" max="3596" width="10.28515625" style="418" customWidth="1"/>
    <col min="3597" max="3597" width="9.42578125" style="418" customWidth="1"/>
    <col min="3598" max="3598" width="8.7109375" style="418" customWidth="1"/>
    <col min="3599" max="3599" width="10.42578125" style="418" customWidth="1"/>
    <col min="3600" max="3600" width="10.28515625" style="418" customWidth="1"/>
    <col min="3601" max="3840" width="11.42578125" style="418"/>
    <col min="3841" max="3841" width="7" style="418" customWidth="1"/>
    <col min="3842" max="3842" width="10.7109375" style="418" customWidth="1"/>
    <col min="3843" max="3843" width="10.5703125" style="418" customWidth="1"/>
    <col min="3844" max="3844" width="10.7109375" style="418" customWidth="1"/>
    <col min="3845" max="3845" width="10.28515625" style="418" customWidth="1"/>
    <col min="3846" max="3846" width="10.7109375" style="418" customWidth="1"/>
    <col min="3847" max="3847" width="9.42578125" style="418" customWidth="1"/>
    <col min="3848" max="3848" width="10.5703125" style="418" customWidth="1"/>
    <col min="3849" max="3849" width="13.7109375" style="418" customWidth="1"/>
    <col min="3850" max="3851" width="10.42578125" style="418" customWidth="1"/>
    <col min="3852" max="3852" width="10.28515625" style="418" customWidth="1"/>
    <col min="3853" max="3853" width="9.42578125" style="418" customWidth="1"/>
    <col min="3854" max="3854" width="8.7109375" style="418" customWidth="1"/>
    <col min="3855" max="3855" width="10.42578125" style="418" customWidth="1"/>
    <col min="3856" max="3856" width="10.28515625" style="418" customWidth="1"/>
    <col min="3857" max="4096" width="11.42578125" style="418"/>
    <col min="4097" max="4097" width="7" style="418" customWidth="1"/>
    <col min="4098" max="4098" width="10.7109375" style="418" customWidth="1"/>
    <col min="4099" max="4099" width="10.5703125" style="418" customWidth="1"/>
    <col min="4100" max="4100" width="10.7109375" style="418" customWidth="1"/>
    <col min="4101" max="4101" width="10.28515625" style="418" customWidth="1"/>
    <col min="4102" max="4102" width="10.7109375" style="418" customWidth="1"/>
    <col min="4103" max="4103" width="9.42578125" style="418" customWidth="1"/>
    <col min="4104" max="4104" width="10.5703125" style="418" customWidth="1"/>
    <col min="4105" max="4105" width="13.7109375" style="418" customWidth="1"/>
    <col min="4106" max="4107" width="10.42578125" style="418" customWidth="1"/>
    <col min="4108" max="4108" width="10.28515625" style="418" customWidth="1"/>
    <col min="4109" max="4109" width="9.42578125" style="418" customWidth="1"/>
    <col min="4110" max="4110" width="8.7109375" style="418" customWidth="1"/>
    <col min="4111" max="4111" width="10.42578125" style="418" customWidth="1"/>
    <col min="4112" max="4112" width="10.28515625" style="418" customWidth="1"/>
    <col min="4113" max="4352" width="11.42578125" style="418"/>
    <col min="4353" max="4353" width="7" style="418" customWidth="1"/>
    <col min="4354" max="4354" width="10.7109375" style="418" customWidth="1"/>
    <col min="4355" max="4355" width="10.5703125" style="418" customWidth="1"/>
    <col min="4356" max="4356" width="10.7109375" style="418" customWidth="1"/>
    <col min="4357" max="4357" width="10.28515625" style="418" customWidth="1"/>
    <col min="4358" max="4358" width="10.7109375" style="418" customWidth="1"/>
    <col min="4359" max="4359" width="9.42578125" style="418" customWidth="1"/>
    <col min="4360" max="4360" width="10.5703125" style="418" customWidth="1"/>
    <col min="4361" max="4361" width="13.7109375" style="418" customWidth="1"/>
    <col min="4362" max="4363" width="10.42578125" style="418" customWidth="1"/>
    <col min="4364" max="4364" width="10.28515625" style="418" customWidth="1"/>
    <col min="4365" max="4365" width="9.42578125" style="418" customWidth="1"/>
    <col min="4366" max="4366" width="8.7109375" style="418" customWidth="1"/>
    <col min="4367" max="4367" width="10.42578125" style="418" customWidth="1"/>
    <col min="4368" max="4368" width="10.28515625" style="418" customWidth="1"/>
    <col min="4369" max="4608" width="11.42578125" style="418"/>
    <col min="4609" max="4609" width="7" style="418" customWidth="1"/>
    <col min="4610" max="4610" width="10.7109375" style="418" customWidth="1"/>
    <col min="4611" max="4611" width="10.5703125" style="418" customWidth="1"/>
    <col min="4612" max="4612" width="10.7109375" style="418" customWidth="1"/>
    <col min="4613" max="4613" width="10.28515625" style="418" customWidth="1"/>
    <col min="4614" max="4614" width="10.7109375" style="418" customWidth="1"/>
    <col min="4615" max="4615" width="9.42578125" style="418" customWidth="1"/>
    <col min="4616" max="4616" width="10.5703125" style="418" customWidth="1"/>
    <col min="4617" max="4617" width="13.7109375" style="418" customWidth="1"/>
    <col min="4618" max="4619" width="10.42578125" style="418" customWidth="1"/>
    <col min="4620" max="4620" width="10.28515625" style="418" customWidth="1"/>
    <col min="4621" max="4621" width="9.42578125" style="418" customWidth="1"/>
    <col min="4622" max="4622" width="8.7109375" style="418" customWidth="1"/>
    <col min="4623" max="4623" width="10.42578125" style="418" customWidth="1"/>
    <col min="4624" max="4624" width="10.28515625" style="418" customWidth="1"/>
    <col min="4625" max="4864" width="11.42578125" style="418"/>
    <col min="4865" max="4865" width="7" style="418" customWidth="1"/>
    <col min="4866" max="4866" width="10.7109375" style="418" customWidth="1"/>
    <col min="4867" max="4867" width="10.5703125" style="418" customWidth="1"/>
    <col min="4868" max="4868" width="10.7109375" style="418" customWidth="1"/>
    <col min="4869" max="4869" width="10.28515625" style="418" customWidth="1"/>
    <col min="4870" max="4870" width="10.7109375" style="418" customWidth="1"/>
    <col min="4871" max="4871" width="9.42578125" style="418" customWidth="1"/>
    <col min="4872" max="4872" width="10.5703125" style="418" customWidth="1"/>
    <col min="4873" max="4873" width="13.7109375" style="418" customWidth="1"/>
    <col min="4874" max="4875" width="10.42578125" style="418" customWidth="1"/>
    <col min="4876" max="4876" width="10.28515625" style="418" customWidth="1"/>
    <col min="4877" max="4877" width="9.42578125" style="418" customWidth="1"/>
    <col min="4878" max="4878" width="8.7109375" style="418" customWidth="1"/>
    <col min="4879" max="4879" width="10.42578125" style="418" customWidth="1"/>
    <col min="4880" max="4880" width="10.28515625" style="418" customWidth="1"/>
    <col min="4881" max="5120" width="11.42578125" style="418"/>
    <col min="5121" max="5121" width="7" style="418" customWidth="1"/>
    <col min="5122" max="5122" width="10.7109375" style="418" customWidth="1"/>
    <col min="5123" max="5123" width="10.5703125" style="418" customWidth="1"/>
    <col min="5124" max="5124" width="10.7109375" style="418" customWidth="1"/>
    <col min="5125" max="5125" width="10.28515625" style="418" customWidth="1"/>
    <col min="5126" max="5126" width="10.7109375" style="418" customWidth="1"/>
    <col min="5127" max="5127" width="9.42578125" style="418" customWidth="1"/>
    <col min="5128" max="5128" width="10.5703125" style="418" customWidth="1"/>
    <col min="5129" max="5129" width="13.7109375" style="418" customWidth="1"/>
    <col min="5130" max="5131" width="10.42578125" style="418" customWidth="1"/>
    <col min="5132" max="5132" width="10.28515625" style="418" customWidth="1"/>
    <col min="5133" max="5133" width="9.42578125" style="418" customWidth="1"/>
    <col min="5134" max="5134" width="8.7109375" style="418" customWidth="1"/>
    <col min="5135" max="5135" width="10.42578125" style="418" customWidth="1"/>
    <col min="5136" max="5136" width="10.28515625" style="418" customWidth="1"/>
    <col min="5137" max="5376" width="11.42578125" style="418"/>
    <col min="5377" max="5377" width="7" style="418" customWidth="1"/>
    <col min="5378" max="5378" width="10.7109375" style="418" customWidth="1"/>
    <col min="5379" max="5379" width="10.5703125" style="418" customWidth="1"/>
    <col min="5380" max="5380" width="10.7109375" style="418" customWidth="1"/>
    <col min="5381" max="5381" width="10.28515625" style="418" customWidth="1"/>
    <col min="5382" max="5382" width="10.7109375" style="418" customWidth="1"/>
    <col min="5383" max="5383" width="9.42578125" style="418" customWidth="1"/>
    <col min="5384" max="5384" width="10.5703125" style="418" customWidth="1"/>
    <col min="5385" max="5385" width="13.7109375" style="418" customWidth="1"/>
    <col min="5386" max="5387" width="10.42578125" style="418" customWidth="1"/>
    <col min="5388" max="5388" width="10.28515625" style="418" customWidth="1"/>
    <col min="5389" max="5389" width="9.42578125" style="418" customWidth="1"/>
    <col min="5390" max="5390" width="8.7109375" style="418" customWidth="1"/>
    <col min="5391" max="5391" width="10.42578125" style="418" customWidth="1"/>
    <col min="5392" max="5392" width="10.28515625" style="418" customWidth="1"/>
    <col min="5393" max="5632" width="11.42578125" style="418"/>
    <col min="5633" max="5633" width="7" style="418" customWidth="1"/>
    <col min="5634" max="5634" width="10.7109375" style="418" customWidth="1"/>
    <col min="5635" max="5635" width="10.5703125" style="418" customWidth="1"/>
    <col min="5636" max="5636" width="10.7109375" style="418" customWidth="1"/>
    <col min="5637" max="5637" width="10.28515625" style="418" customWidth="1"/>
    <col min="5638" max="5638" width="10.7109375" style="418" customWidth="1"/>
    <col min="5639" max="5639" width="9.42578125" style="418" customWidth="1"/>
    <col min="5640" max="5640" width="10.5703125" style="418" customWidth="1"/>
    <col min="5641" max="5641" width="13.7109375" style="418" customWidth="1"/>
    <col min="5642" max="5643" width="10.42578125" style="418" customWidth="1"/>
    <col min="5644" max="5644" width="10.28515625" style="418" customWidth="1"/>
    <col min="5645" max="5645" width="9.42578125" style="418" customWidth="1"/>
    <col min="5646" max="5646" width="8.7109375" style="418" customWidth="1"/>
    <col min="5647" max="5647" width="10.42578125" style="418" customWidth="1"/>
    <col min="5648" max="5648" width="10.28515625" style="418" customWidth="1"/>
    <col min="5649" max="5888" width="11.42578125" style="418"/>
    <col min="5889" max="5889" width="7" style="418" customWidth="1"/>
    <col min="5890" max="5890" width="10.7109375" style="418" customWidth="1"/>
    <col min="5891" max="5891" width="10.5703125" style="418" customWidth="1"/>
    <col min="5892" max="5892" width="10.7109375" style="418" customWidth="1"/>
    <col min="5893" max="5893" width="10.28515625" style="418" customWidth="1"/>
    <col min="5894" max="5894" width="10.7109375" style="418" customWidth="1"/>
    <col min="5895" max="5895" width="9.42578125" style="418" customWidth="1"/>
    <col min="5896" max="5896" width="10.5703125" style="418" customWidth="1"/>
    <col min="5897" max="5897" width="13.7109375" style="418" customWidth="1"/>
    <col min="5898" max="5899" width="10.42578125" style="418" customWidth="1"/>
    <col min="5900" max="5900" width="10.28515625" style="418" customWidth="1"/>
    <col min="5901" max="5901" width="9.42578125" style="418" customWidth="1"/>
    <col min="5902" max="5902" width="8.7109375" style="418" customWidth="1"/>
    <col min="5903" max="5903" width="10.42578125" style="418" customWidth="1"/>
    <col min="5904" max="5904" width="10.28515625" style="418" customWidth="1"/>
    <col min="5905" max="6144" width="11.42578125" style="418"/>
    <col min="6145" max="6145" width="7" style="418" customWidth="1"/>
    <col min="6146" max="6146" width="10.7109375" style="418" customWidth="1"/>
    <col min="6147" max="6147" width="10.5703125" style="418" customWidth="1"/>
    <col min="6148" max="6148" width="10.7109375" style="418" customWidth="1"/>
    <col min="6149" max="6149" width="10.28515625" style="418" customWidth="1"/>
    <col min="6150" max="6150" width="10.7109375" style="418" customWidth="1"/>
    <col min="6151" max="6151" width="9.42578125" style="418" customWidth="1"/>
    <col min="6152" max="6152" width="10.5703125" style="418" customWidth="1"/>
    <col min="6153" max="6153" width="13.7109375" style="418" customWidth="1"/>
    <col min="6154" max="6155" width="10.42578125" style="418" customWidth="1"/>
    <col min="6156" max="6156" width="10.28515625" style="418" customWidth="1"/>
    <col min="6157" max="6157" width="9.42578125" style="418" customWidth="1"/>
    <col min="6158" max="6158" width="8.7109375" style="418" customWidth="1"/>
    <col min="6159" max="6159" width="10.42578125" style="418" customWidth="1"/>
    <col min="6160" max="6160" width="10.28515625" style="418" customWidth="1"/>
    <col min="6161" max="6400" width="11.42578125" style="418"/>
    <col min="6401" max="6401" width="7" style="418" customWidth="1"/>
    <col min="6402" max="6402" width="10.7109375" style="418" customWidth="1"/>
    <col min="6403" max="6403" width="10.5703125" style="418" customWidth="1"/>
    <col min="6404" max="6404" width="10.7109375" style="418" customWidth="1"/>
    <col min="6405" max="6405" width="10.28515625" style="418" customWidth="1"/>
    <col min="6406" max="6406" width="10.7109375" style="418" customWidth="1"/>
    <col min="6407" max="6407" width="9.42578125" style="418" customWidth="1"/>
    <col min="6408" max="6408" width="10.5703125" style="418" customWidth="1"/>
    <col min="6409" max="6409" width="13.7109375" style="418" customWidth="1"/>
    <col min="6410" max="6411" width="10.42578125" style="418" customWidth="1"/>
    <col min="6412" max="6412" width="10.28515625" style="418" customWidth="1"/>
    <col min="6413" max="6413" width="9.42578125" style="418" customWidth="1"/>
    <col min="6414" max="6414" width="8.7109375" style="418" customWidth="1"/>
    <col min="6415" max="6415" width="10.42578125" style="418" customWidth="1"/>
    <col min="6416" max="6416" width="10.28515625" style="418" customWidth="1"/>
    <col min="6417" max="6656" width="11.42578125" style="418"/>
    <col min="6657" max="6657" width="7" style="418" customWidth="1"/>
    <col min="6658" max="6658" width="10.7109375" style="418" customWidth="1"/>
    <col min="6659" max="6659" width="10.5703125" style="418" customWidth="1"/>
    <col min="6660" max="6660" width="10.7109375" style="418" customWidth="1"/>
    <col min="6661" max="6661" width="10.28515625" style="418" customWidth="1"/>
    <col min="6662" max="6662" width="10.7109375" style="418" customWidth="1"/>
    <col min="6663" max="6663" width="9.42578125" style="418" customWidth="1"/>
    <col min="6664" max="6664" width="10.5703125" style="418" customWidth="1"/>
    <col min="6665" max="6665" width="13.7109375" style="418" customWidth="1"/>
    <col min="6666" max="6667" width="10.42578125" style="418" customWidth="1"/>
    <col min="6668" max="6668" width="10.28515625" style="418" customWidth="1"/>
    <col min="6669" max="6669" width="9.42578125" style="418" customWidth="1"/>
    <col min="6670" max="6670" width="8.7109375" style="418" customWidth="1"/>
    <col min="6671" max="6671" width="10.42578125" style="418" customWidth="1"/>
    <col min="6672" max="6672" width="10.28515625" style="418" customWidth="1"/>
    <col min="6673" max="6912" width="11.42578125" style="418"/>
    <col min="6913" max="6913" width="7" style="418" customWidth="1"/>
    <col min="6914" max="6914" width="10.7109375" style="418" customWidth="1"/>
    <col min="6915" max="6915" width="10.5703125" style="418" customWidth="1"/>
    <col min="6916" max="6916" width="10.7109375" style="418" customWidth="1"/>
    <col min="6917" max="6917" width="10.28515625" style="418" customWidth="1"/>
    <col min="6918" max="6918" width="10.7109375" style="418" customWidth="1"/>
    <col min="6919" max="6919" width="9.42578125" style="418" customWidth="1"/>
    <col min="6920" max="6920" width="10.5703125" style="418" customWidth="1"/>
    <col min="6921" max="6921" width="13.7109375" style="418" customWidth="1"/>
    <col min="6922" max="6923" width="10.42578125" style="418" customWidth="1"/>
    <col min="6924" max="6924" width="10.28515625" style="418" customWidth="1"/>
    <col min="6925" max="6925" width="9.42578125" style="418" customWidth="1"/>
    <col min="6926" max="6926" width="8.7109375" style="418" customWidth="1"/>
    <col min="6927" max="6927" width="10.42578125" style="418" customWidth="1"/>
    <col min="6928" max="6928" width="10.28515625" style="418" customWidth="1"/>
    <col min="6929" max="7168" width="11.42578125" style="418"/>
    <col min="7169" max="7169" width="7" style="418" customWidth="1"/>
    <col min="7170" max="7170" width="10.7109375" style="418" customWidth="1"/>
    <col min="7171" max="7171" width="10.5703125" style="418" customWidth="1"/>
    <col min="7172" max="7172" width="10.7109375" style="418" customWidth="1"/>
    <col min="7173" max="7173" width="10.28515625" style="418" customWidth="1"/>
    <col min="7174" max="7174" width="10.7109375" style="418" customWidth="1"/>
    <col min="7175" max="7175" width="9.42578125" style="418" customWidth="1"/>
    <col min="7176" max="7176" width="10.5703125" style="418" customWidth="1"/>
    <col min="7177" max="7177" width="13.7109375" style="418" customWidth="1"/>
    <col min="7178" max="7179" width="10.42578125" style="418" customWidth="1"/>
    <col min="7180" max="7180" width="10.28515625" style="418" customWidth="1"/>
    <col min="7181" max="7181" width="9.42578125" style="418" customWidth="1"/>
    <col min="7182" max="7182" width="8.7109375" style="418" customWidth="1"/>
    <col min="7183" max="7183" width="10.42578125" style="418" customWidth="1"/>
    <col min="7184" max="7184" width="10.28515625" style="418" customWidth="1"/>
    <col min="7185" max="7424" width="11.42578125" style="418"/>
    <col min="7425" max="7425" width="7" style="418" customWidth="1"/>
    <col min="7426" max="7426" width="10.7109375" style="418" customWidth="1"/>
    <col min="7427" max="7427" width="10.5703125" style="418" customWidth="1"/>
    <col min="7428" max="7428" width="10.7109375" style="418" customWidth="1"/>
    <col min="7429" max="7429" width="10.28515625" style="418" customWidth="1"/>
    <col min="7430" max="7430" width="10.7109375" style="418" customWidth="1"/>
    <col min="7431" max="7431" width="9.42578125" style="418" customWidth="1"/>
    <col min="7432" max="7432" width="10.5703125" style="418" customWidth="1"/>
    <col min="7433" max="7433" width="13.7109375" style="418" customWidth="1"/>
    <col min="7434" max="7435" width="10.42578125" style="418" customWidth="1"/>
    <col min="7436" max="7436" width="10.28515625" style="418" customWidth="1"/>
    <col min="7437" max="7437" width="9.42578125" style="418" customWidth="1"/>
    <col min="7438" max="7438" width="8.7109375" style="418" customWidth="1"/>
    <col min="7439" max="7439" width="10.42578125" style="418" customWidth="1"/>
    <col min="7440" max="7440" width="10.28515625" style="418" customWidth="1"/>
    <col min="7441" max="7680" width="11.42578125" style="418"/>
    <col min="7681" max="7681" width="7" style="418" customWidth="1"/>
    <col min="7682" max="7682" width="10.7109375" style="418" customWidth="1"/>
    <col min="7683" max="7683" width="10.5703125" style="418" customWidth="1"/>
    <col min="7684" max="7684" width="10.7109375" style="418" customWidth="1"/>
    <col min="7685" max="7685" width="10.28515625" style="418" customWidth="1"/>
    <col min="7686" max="7686" width="10.7109375" style="418" customWidth="1"/>
    <col min="7687" max="7687" width="9.42578125" style="418" customWidth="1"/>
    <col min="7688" max="7688" width="10.5703125" style="418" customWidth="1"/>
    <col min="7689" max="7689" width="13.7109375" style="418" customWidth="1"/>
    <col min="7690" max="7691" width="10.42578125" style="418" customWidth="1"/>
    <col min="7692" max="7692" width="10.28515625" style="418" customWidth="1"/>
    <col min="7693" max="7693" width="9.42578125" style="418" customWidth="1"/>
    <col min="7694" max="7694" width="8.7109375" style="418" customWidth="1"/>
    <col min="7695" max="7695" width="10.42578125" style="418" customWidth="1"/>
    <col min="7696" max="7696" width="10.28515625" style="418" customWidth="1"/>
    <col min="7697" max="7936" width="11.42578125" style="418"/>
    <col min="7937" max="7937" width="7" style="418" customWidth="1"/>
    <col min="7938" max="7938" width="10.7109375" style="418" customWidth="1"/>
    <col min="7939" max="7939" width="10.5703125" style="418" customWidth="1"/>
    <col min="7940" max="7940" width="10.7109375" style="418" customWidth="1"/>
    <col min="7941" max="7941" width="10.28515625" style="418" customWidth="1"/>
    <col min="7942" max="7942" width="10.7109375" style="418" customWidth="1"/>
    <col min="7943" max="7943" width="9.42578125" style="418" customWidth="1"/>
    <col min="7944" max="7944" width="10.5703125" style="418" customWidth="1"/>
    <col min="7945" max="7945" width="13.7109375" style="418" customWidth="1"/>
    <col min="7946" max="7947" width="10.42578125" style="418" customWidth="1"/>
    <col min="7948" max="7948" width="10.28515625" style="418" customWidth="1"/>
    <col min="7949" max="7949" width="9.42578125" style="418" customWidth="1"/>
    <col min="7950" max="7950" width="8.7109375" style="418" customWidth="1"/>
    <col min="7951" max="7951" width="10.42578125" style="418" customWidth="1"/>
    <col min="7952" max="7952" width="10.28515625" style="418" customWidth="1"/>
    <col min="7953" max="8192" width="11.42578125" style="418"/>
    <col min="8193" max="8193" width="7" style="418" customWidth="1"/>
    <col min="8194" max="8194" width="10.7109375" style="418" customWidth="1"/>
    <col min="8195" max="8195" width="10.5703125" style="418" customWidth="1"/>
    <col min="8196" max="8196" width="10.7109375" style="418" customWidth="1"/>
    <col min="8197" max="8197" width="10.28515625" style="418" customWidth="1"/>
    <col min="8198" max="8198" width="10.7109375" style="418" customWidth="1"/>
    <col min="8199" max="8199" width="9.42578125" style="418" customWidth="1"/>
    <col min="8200" max="8200" width="10.5703125" style="418" customWidth="1"/>
    <col min="8201" max="8201" width="13.7109375" style="418" customWidth="1"/>
    <col min="8202" max="8203" width="10.42578125" style="418" customWidth="1"/>
    <col min="8204" max="8204" width="10.28515625" style="418" customWidth="1"/>
    <col min="8205" max="8205" width="9.42578125" style="418" customWidth="1"/>
    <col min="8206" max="8206" width="8.7109375" style="418" customWidth="1"/>
    <col min="8207" max="8207" width="10.42578125" style="418" customWidth="1"/>
    <col min="8208" max="8208" width="10.28515625" style="418" customWidth="1"/>
    <col min="8209" max="8448" width="11.42578125" style="418"/>
    <col min="8449" max="8449" width="7" style="418" customWidth="1"/>
    <col min="8450" max="8450" width="10.7109375" style="418" customWidth="1"/>
    <col min="8451" max="8451" width="10.5703125" style="418" customWidth="1"/>
    <col min="8452" max="8452" width="10.7109375" style="418" customWidth="1"/>
    <col min="8453" max="8453" width="10.28515625" style="418" customWidth="1"/>
    <col min="8454" max="8454" width="10.7109375" style="418" customWidth="1"/>
    <col min="8455" max="8455" width="9.42578125" style="418" customWidth="1"/>
    <col min="8456" max="8456" width="10.5703125" style="418" customWidth="1"/>
    <col min="8457" max="8457" width="13.7109375" style="418" customWidth="1"/>
    <col min="8458" max="8459" width="10.42578125" style="418" customWidth="1"/>
    <col min="8460" max="8460" width="10.28515625" style="418" customWidth="1"/>
    <col min="8461" max="8461" width="9.42578125" style="418" customWidth="1"/>
    <col min="8462" max="8462" width="8.7109375" style="418" customWidth="1"/>
    <col min="8463" max="8463" width="10.42578125" style="418" customWidth="1"/>
    <col min="8464" max="8464" width="10.28515625" style="418" customWidth="1"/>
    <col min="8465" max="8704" width="11.42578125" style="418"/>
    <col min="8705" max="8705" width="7" style="418" customWidth="1"/>
    <col min="8706" max="8706" width="10.7109375" style="418" customWidth="1"/>
    <col min="8707" max="8707" width="10.5703125" style="418" customWidth="1"/>
    <col min="8708" max="8708" width="10.7109375" style="418" customWidth="1"/>
    <col min="8709" max="8709" width="10.28515625" style="418" customWidth="1"/>
    <col min="8710" max="8710" width="10.7109375" style="418" customWidth="1"/>
    <col min="8711" max="8711" width="9.42578125" style="418" customWidth="1"/>
    <col min="8712" max="8712" width="10.5703125" style="418" customWidth="1"/>
    <col min="8713" max="8713" width="13.7109375" style="418" customWidth="1"/>
    <col min="8714" max="8715" width="10.42578125" style="418" customWidth="1"/>
    <col min="8716" max="8716" width="10.28515625" style="418" customWidth="1"/>
    <col min="8717" max="8717" width="9.42578125" style="418" customWidth="1"/>
    <col min="8718" max="8718" width="8.7109375" style="418" customWidth="1"/>
    <col min="8719" max="8719" width="10.42578125" style="418" customWidth="1"/>
    <col min="8720" max="8720" width="10.28515625" style="418" customWidth="1"/>
    <col min="8721" max="8960" width="11.42578125" style="418"/>
    <col min="8961" max="8961" width="7" style="418" customWidth="1"/>
    <col min="8962" max="8962" width="10.7109375" style="418" customWidth="1"/>
    <col min="8963" max="8963" width="10.5703125" style="418" customWidth="1"/>
    <col min="8964" max="8964" width="10.7109375" style="418" customWidth="1"/>
    <col min="8965" max="8965" width="10.28515625" style="418" customWidth="1"/>
    <col min="8966" max="8966" width="10.7109375" style="418" customWidth="1"/>
    <col min="8967" max="8967" width="9.42578125" style="418" customWidth="1"/>
    <col min="8968" max="8968" width="10.5703125" style="418" customWidth="1"/>
    <col min="8969" max="8969" width="13.7109375" style="418" customWidth="1"/>
    <col min="8970" max="8971" width="10.42578125" style="418" customWidth="1"/>
    <col min="8972" max="8972" width="10.28515625" style="418" customWidth="1"/>
    <col min="8973" max="8973" width="9.42578125" style="418" customWidth="1"/>
    <col min="8974" max="8974" width="8.7109375" style="418" customWidth="1"/>
    <col min="8975" max="8975" width="10.42578125" style="418" customWidth="1"/>
    <col min="8976" max="8976" width="10.28515625" style="418" customWidth="1"/>
    <col min="8977" max="9216" width="11.42578125" style="418"/>
    <col min="9217" max="9217" width="7" style="418" customWidth="1"/>
    <col min="9218" max="9218" width="10.7109375" style="418" customWidth="1"/>
    <col min="9219" max="9219" width="10.5703125" style="418" customWidth="1"/>
    <col min="9220" max="9220" width="10.7109375" style="418" customWidth="1"/>
    <col min="9221" max="9221" width="10.28515625" style="418" customWidth="1"/>
    <col min="9222" max="9222" width="10.7109375" style="418" customWidth="1"/>
    <col min="9223" max="9223" width="9.42578125" style="418" customWidth="1"/>
    <col min="9224" max="9224" width="10.5703125" style="418" customWidth="1"/>
    <col min="9225" max="9225" width="13.7109375" style="418" customWidth="1"/>
    <col min="9226" max="9227" width="10.42578125" style="418" customWidth="1"/>
    <col min="9228" max="9228" width="10.28515625" style="418" customWidth="1"/>
    <col min="9229" max="9229" width="9.42578125" style="418" customWidth="1"/>
    <col min="9230" max="9230" width="8.7109375" style="418" customWidth="1"/>
    <col min="9231" max="9231" width="10.42578125" style="418" customWidth="1"/>
    <col min="9232" max="9232" width="10.28515625" style="418" customWidth="1"/>
    <col min="9233" max="9472" width="11.42578125" style="418"/>
    <col min="9473" max="9473" width="7" style="418" customWidth="1"/>
    <col min="9474" max="9474" width="10.7109375" style="418" customWidth="1"/>
    <col min="9475" max="9475" width="10.5703125" style="418" customWidth="1"/>
    <col min="9476" max="9476" width="10.7109375" style="418" customWidth="1"/>
    <col min="9477" max="9477" width="10.28515625" style="418" customWidth="1"/>
    <col min="9478" max="9478" width="10.7109375" style="418" customWidth="1"/>
    <col min="9479" max="9479" width="9.42578125" style="418" customWidth="1"/>
    <col min="9480" max="9480" width="10.5703125" style="418" customWidth="1"/>
    <col min="9481" max="9481" width="13.7109375" style="418" customWidth="1"/>
    <col min="9482" max="9483" width="10.42578125" style="418" customWidth="1"/>
    <col min="9484" max="9484" width="10.28515625" style="418" customWidth="1"/>
    <col min="9485" max="9485" width="9.42578125" style="418" customWidth="1"/>
    <col min="9486" max="9486" width="8.7109375" style="418" customWidth="1"/>
    <col min="9487" max="9487" width="10.42578125" style="418" customWidth="1"/>
    <col min="9488" max="9488" width="10.28515625" style="418" customWidth="1"/>
    <col min="9489" max="9728" width="11.42578125" style="418"/>
    <col min="9729" max="9729" width="7" style="418" customWidth="1"/>
    <col min="9730" max="9730" width="10.7109375" style="418" customWidth="1"/>
    <col min="9731" max="9731" width="10.5703125" style="418" customWidth="1"/>
    <col min="9732" max="9732" width="10.7109375" style="418" customWidth="1"/>
    <col min="9733" max="9733" width="10.28515625" style="418" customWidth="1"/>
    <col min="9734" max="9734" width="10.7109375" style="418" customWidth="1"/>
    <col min="9735" max="9735" width="9.42578125" style="418" customWidth="1"/>
    <col min="9736" max="9736" width="10.5703125" style="418" customWidth="1"/>
    <col min="9737" max="9737" width="13.7109375" style="418" customWidth="1"/>
    <col min="9738" max="9739" width="10.42578125" style="418" customWidth="1"/>
    <col min="9740" max="9740" width="10.28515625" style="418" customWidth="1"/>
    <col min="9741" max="9741" width="9.42578125" style="418" customWidth="1"/>
    <col min="9742" max="9742" width="8.7109375" style="418" customWidth="1"/>
    <col min="9743" max="9743" width="10.42578125" style="418" customWidth="1"/>
    <col min="9744" max="9744" width="10.28515625" style="418" customWidth="1"/>
    <col min="9745" max="9984" width="11.42578125" style="418"/>
    <col min="9985" max="9985" width="7" style="418" customWidth="1"/>
    <col min="9986" max="9986" width="10.7109375" style="418" customWidth="1"/>
    <col min="9987" max="9987" width="10.5703125" style="418" customWidth="1"/>
    <col min="9988" max="9988" width="10.7109375" style="418" customWidth="1"/>
    <col min="9989" max="9989" width="10.28515625" style="418" customWidth="1"/>
    <col min="9990" max="9990" width="10.7109375" style="418" customWidth="1"/>
    <col min="9991" max="9991" width="9.42578125" style="418" customWidth="1"/>
    <col min="9992" max="9992" width="10.5703125" style="418" customWidth="1"/>
    <col min="9993" max="9993" width="13.7109375" style="418" customWidth="1"/>
    <col min="9994" max="9995" width="10.42578125" style="418" customWidth="1"/>
    <col min="9996" max="9996" width="10.28515625" style="418" customWidth="1"/>
    <col min="9997" max="9997" width="9.42578125" style="418" customWidth="1"/>
    <col min="9998" max="9998" width="8.7109375" style="418" customWidth="1"/>
    <col min="9999" max="9999" width="10.42578125" style="418" customWidth="1"/>
    <col min="10000" max="10000" width="10.28515625" style="418" customWidth="1"/>
    <col min="10001" max="10240" width="11.42578125" style="418"/>
    <col min="10241" max="10241" width="7" style="418" customWidth="1"/>
    <col min="10242" max="10242" width="10.7109375" style="418" customWidth="1"/>
    <col min="10243" max="10243" width="10.5703125" style="418" customWidth="1"/>
    <col min="10244" max="10244" width="10.7109375" style="418" customWidth="1"/>
    <col min="10245" max="10245" width="10.28515625" style="418" customWidth="1"/>
    <col min="10246" max="10246" width="10.7109375" style="418" customWidth="1"/>
    <col min="10247" max="10247" width="9.42578125" style="418" customWidth="1"/>
    <col min="10248" max="10248" width="10.5703125" style="418" customWidth="1"/>
    <col min="10249" max="10249" width="13.7109375" style="418" customWidth="1"/>
    <col min="10250" max="10251" width="10.42578125" style="418" customWidth="1"/>
    <col min="10252" max="10252" width="10.28515625" style="418" customWidth="1"/>
    <col min="10253" max="10253" width="9.42578125" style="418" customWidth="1"/>
    <col min="10254" max="10254" width="8.7109375" style="418" customWidth="1"/>
    <col min="10255" max="10255" width="10.42578125" style="418" customWidth="1"/>
    <col min="10256" max="10256" width="10.28515625" style="418" customWidth="1"/>
    <col min="10257" max="10496" width="11.42578125" style="418"/>
    <col min="10497" max="10497" width="7" style="418" customWidth="1"/>
    <col min="10498" max="10498" width="10.7109375" style="418" customWidth="1"/>
    <col min="10499" max="10499" width="10.5703125" style="418" customWidth="1"/>
    <col min="10500" max="10500" width="10.7109375" style="418" customWidth="1"/>
    <col min="10501" max="10501" width="10.28515625" style="418" customWidth="1"/>
    <col min="10502" max="10502" width="10.7109375" style="418" customWidth="1"/>
    <col min="10503" max="10503" width="9.42578125" style="418" customWidth="1"/>
    <col min="10504" max="10504" width="10.5703125" style="418" customWidth="1"/>
    <col min="10505" max="10505" width="13.7109375" style="418" customWidth="1"/>
    <col min="10506" max="10507" width="10.42578125" style="418" customWidth="1"/>
    <col min="10508" max="10508" width="10.28515625" style="418" customWidth="1"/>
    <col min="10509" max="10509" width="9.42578125" style="418" customWidth="1"/>
    <col min="10510" max="10510" width="8.7109375" style="418" customWidth="1"/>
    <col min="10511" max="10511" width="10.42578125" style="418" customWidth="1"/>
    <col min="10512" max="10512" width="10.28515625" style="418" customWidth="1"/>
    <col min="10513" max="10752" width="11.42578125" style="418"/>
    <col min="10753" max="10753" width="7" style="418" customWidth="1"/>
    <col min="10754" max="10754" width="10.7109375" style="418" customWidth="1"/>
    <col min="10755" max="10755" width="10.5703125" style="418" customWidth="1"/>
    <col min="10756" max="10756" width="10.7109375" style="418" customWidth="1"/>
    <col min="10757" max="10757" width="10.28515625" style="418" customWidth="1"/>
    <col min="10758" max="10758" width="10.7109375" style="418" customWidth="1"/>
    <col min="10759" max="10759" width="9.42578125" style="418" customWidth="1"/>
    <col min="10760" max="10760" width="10.5703125" style="418" customWidth="1"/>
    <col min="10761" max="10761" width="13.7109375" style="418" customWidth="1"/>
    <col min="10762" max="10763" width="10.42578125" style="418" customWidth="1"/>
    <col min="10764" max="10764" width="10.28515625" style="418" customWidth="1"/>
    <col min="10765" max="10765" width="9.42578125" style="418" customWidth="1"/>
    <col min="10766" max="10766" width="8.7109375" style="418" customWidth="1"/>
    <col min="10767" max="10767" width="10.42578125" style="418" customWidth="1"/>
    <col min="10768" max="10768" width="10.28515625" style="418" customWidth="1"/>
    <col min="10769" max="11008" width="11.42578125" style="418"/>
    <col min="11009" max="11009" width="7" style="418" customWidth="1"/>
    <col min="11010" max="11010" width="10.7109375" style="418" customWidth="1"/>
    <col min="11011" max="11011" width="10.5703125" style="418" customWidth="1"/>
    <col min="11012" max="11012" width="10.7109375" style="418" customWidth="1"/>
    <col min="11013" max="11013" width="10.28515625" style="418" customWidth="1"/>
    <col min="11014" max="11014" width="10.7109375" style="418" customWidth="1"/>
    <col min="11015" max="11015" width="9.42578125" style="418" customWidth="1"/>
    <col min="11016" max="11016" width="10.5703125" style="418" customWidth="1"/>
    <col min="11017" max="11017" width="13.7109375" style="418" customWidth="1"/>
    <col min="11018" max="11019" width="10.42578125" style="418" customWidth="1"/>
    <col min="11020" max="11020" width="10.28515625" style="418" customWidth="1"/>
    <col min="11021" max="11021" width="9.42578125" style="418" customWidth="1"/>
    <col min="11022" max="11022" width="8.7109375" style="418" customWidth="1"/>
    <col min="11023" max="11023" width="10.42578125" style="418" customWidth="1"/>
    <col min="11024" max="11024" width="10.28515625" style="418" customWidth="1"/>
    <col min="11025" max="11264" width="11.42578125" style="418"/>
    <col min="11265" max="11265" width="7" style="418" customWidth="1"/>
    <col min="11266" max="11266" width="10.7109375" style="418" customWidth="1"/>
    <col min="11267" max="11267" width="10.5703125" style="418" customWidth="1"/>
    <col min="11268" max="11268" width="10.7109375" style="418" customWidth="1"/>
    <col min="11269" max="11269" width="10.28515625" style="418" customWidth="1"/>
    <col min="11270" max="11270" width="10.7109375" style="418" customWidth="1"/>
    <col min="11271" max="11271" width="9.42578125" style="418" customWidth="1"/>
    <col min="11272" max="11272" width="10.5703125" style="418" customWidth="1"/>
    <col min="11273" max="11273" width="13.7109375" style="418" customWidth="1"/>
    <col min="11274" max="11275" width="10.42578125" style="418" customWidth="1"/>
    <col min="11276" max="11276" width="10.28515625" style="418" customWidth="1"/>
    <col min="11277" max="11277" width="9.42578125" style="418" customWidth="1"/>
    <col min="11278" max="11278" width="8.7109375" style="418" customWidth="1"/>
    <col min="11279" max="11279" width="10.42578125" style="418" customWidth="1"/>
    <col min="11280" max="11280" width="10.28515625" style="418" customWidth="1"/>
    <col min="11281" max="11520" width="11.42578125" style="418"/>
    <col min="11521" max="11521" width="7" style="418" customWidth="1"/>
    <col min="11522" max="11522" width="10.7109375" style="418" customWidth="1"/>
    <col min="11523" max="11523" width="10.5703125" style="418" customWidth="1"/>
    <col min="11524" max="11524" width="10.7109375" style="418" customWidth="1"/>
    <col min="11525" max="11525" width="10.28515625" style="418" customWidth="1"/>
    <col min="11526" max="11526" width="10.7109375" style="418" customWidth="1"/>
    <col min="11527" max="11527" width="9.42578125" style="418" customWidth="1"/>
    <col min="11528" max="11528" width="10.5703125" style="418" customWidth="1"/>
    <col min="11529" max="11529" width="13.7109375" style="418" customWidth="1"/>
    <col min="11530" max="11531" width="10.42578125" style="418" customWidth="1"/>
    <col min="11532" max="11532" width="10.28515625" style="418" customWidth="1"/>
    <col min="11533" max="11533" width="9.42578125" style="418" customWidth="1"/>
    <col min="11534" max="11534" width="8.7109375" style="418" customWidth="1"/>
    <col min="11535" max="11535" width="10.42578125" style="418" customWidth="1"/>
    <col min="11536" max="11536" width="10.28515625" style="418" customWidth="1"/>
    <col min="11537" max="11776" width="11.42578125" style="418"/>
    <col min="11777" max="11777" width="7" style="418" customWidth="1"/>
    <col min="11778" max="11778" width="10.7109375" style="418" customWidth="1"/>
    <col min="11779" max="11779" width="10.5703125" style="418" customWidth="1"/>
    <col min="11780" max="11780" width="10.7109375" style="418" customWidth="1"/>
    <col min="11781" max="11781" width="10.28515625" style="418" customWidth="1"/>
    <col min="11782" max="11782" width="10.7109375" style="418" customWidth="1"/>
    <col min="11783" max="11783" width="9.42578125" style="418" customWidth="1"/>
    <col min="11784" max="11784" width="10.5703125" style="418" customWidth="1"/>
    <col min="11785" max="11785" width="13.7109375" style="418" customWidth="1"/>
    <col min="11786" max="11787" width="10.42578125" style="418" customWidth="1"/>
    <col min="11788" max="11788" width="10.28515625" style="418" customWidth="1"/>
    <col min="11789" max="11789" width="9.42578125" style="418" customWidth="1"/>
    <col min="11790" max="11790" width="8.7109375" style="418" customWidth="1"/>
    <col min="11791" max="11791" width="10.42578125" style="418" customWidth="1"/>
    <col min="11792" max="11792" width="10.28515625" style="418" customWidth="1"/>
    <col min="11793" max="12032" width="11.42578125" style="418"/>
    <col min="12033" max="12033" width="7" style="418" customWidth="1"/>
    <col min="12034" max="12034" width="10.7109375" style="418" customWidth="1"/>
    <col min="12035" max="12035" width="10.5703125" style="418" customWidth="1"/>
    <col min="12036" max="12036" width="10.7109375" style="418" customWidth="1"/>
    <col min="12037" max="12037" width="10.28515625" style="418" customWidth="1"/>
    <col min="12038" max="12038" width="10.7109375" style="418" customWidth="1"/>
    <col min="12039" max="12039" width="9.42578125" style="418" customWidth="1"/>
    <col min="12040" max="12040" width="10.5703125" style="418" customWidth="1"/>
    <col min="12041" max="12041" width="13.7109375" style="418" customWidth="1"/>
    <col min="12042" max="12043" width="10.42578125" style="418" customWidth="1"/>
    <col min="12044" max="12044" width="10.28515625" style="418" customWidth="1"/>
    <col min="12045" max="12045" width="9.42578125" style="418" customWidth="1"/>
    <col min="12046" max="12046" width="8.7109375" style="418" customWidth="1"/>
    <col min="12047" max="12047" width="10.42578125" style="418" customWidth="1"/>
    <col min="12048" max="12048" width="10.28515625" style="418" customWidth="1"/>
    <col min="12049" max="12288" width="11.42578125" style="418"/>
    <col min="12289" max="12289" width="7" style="418" customWidth="1"/>
    <col min="12290" max="12290" width="10.7109375" style="418" customWidth="1"/>
    <col min="12291" max="12291" width="10.5703125" style="418" customWidth="1"/>
    <col min="12292" max="12292" width="10.7109375" style="418" customWidth="1"/>
    <col min="12293" max="12293" width="10.28515625" style="418" customWidth="1"/>
    <col min="12294" max="12294" width="10.7109375" style="418" customWidth="1"/>
    <col min="12295" max="12295" width="9.42578125" style="418" customWidth="1"/>
    <col min="12296" max="12296" width="10.5703125" style="418" customWidth="1"/>
    <col min="12297" max="12297" width="13.7109375" style="418" customWidth="1"/>
    <col min="12298" max="12299" width="10.42578125" style="418" customWidth="1"/>
    <col min="12300" max="12300" width="10.28515625" style="418" customWidth="1"/>
    <col min="12301" max="12301" width="9.42578125" style="418" customWidth="1"/>
    <col min="12302" max="12302" width="8.7109375" style="418" customWidth="1"/>
    <col min="12303" max="12303" width="10.42578125" style="418" customWidth="1"/>
    <col min="12304" max="12304" width="10.28515625" style="418" customWidth="1"/>
    <col min="12305" max="12544" width="11.42578125" style="418"/>
    <col min="12545" max="12545" width="7" style="418" customWidth="1"/>
    <col min="12546" max="12546" width="10.7109375" style="418" customWidth="1"/>
    <col min="12547" max="12547" width="10.5703125" style="418" customWidth="1"/>
    <col min="12548" max="12548" width="10.7109375" style="418" customWidth="1"/>
    <col min="12549" max="12549" width="10.28515625" style="418" customWidth="1"/>
    <col min="12550" max="12550" width="10.7109375" style="418" customWidth="1"/>
    <col min="12551" max="12551" width="9.42578125" style="418" customWidth="1"/>
    <col min="12552" max="12552" width="10.5703125" style="418" customWidth="1"/>
    <col min="12553" max="12553" width="13.7109375" style="418" customWidth="1"/>
    <col min="12554" max="12555" width="10.42578125" style="418" customWidth="1"/>
    <col min="12556" max="12556" width="10.28515625" style="418" customWidth="1"/>
    <col min="12557" max="12557" width="9.42578125" style="418" customWidth="1"/>
    <col min="12558" max="12558" width="8.7109375" style="418" customWidth="1"/>
    <col min="12559" max="12559" width="10.42578125" style="418" customWidth="1"/>
    <col min="12560" max="12560" width="10.28515625" style="418" customWidth="1"/>
    <col min="12561" max="12800" width="11.42578125" style="418"/>
    <col min="12801" max="12801" width="7" style="418" customWidth="1"/>
    <col min="12802" max="12802" width="10.7109375" style="418" customWidth="1"/>
    <col min="12803" max="12803" width="10.5703125" style="418" customWidth="1"/>
    <col min="12804" max="12804" width="10.7109375" style="418" customWidth="1"/>
    <col min="12805" max="12805" width="10.28515625" style="418" customWidth="1"/>
    <col min="12806" max="12806" width="10.7109375" style="418" customWidth="1"/>
    <col min="12807" max="12807" width="9.42578125" style="418" customWidth="1"/>
    <col min="12808" max="12808" width="10.5703125" style="418" customWidth="1"/>
    <col min="12809" max="12809" width="13.7109375" style="418" customWidth="1"/>
    <col min="12810" max="12811" width="10.42578125" style="418" customWidth="1"/>
    <col min="12812" max="12812" width="10.28515625" style="418" customWidth="1"/>
    <col min="12813" max="12813" width="9.42578125" style="418" customWidth="1"/>
    <col min="12814" max="12814" width="8.7109375" style="418" customWidth="1"/>
    <col min="12815" max="12815" width="10.42578125" style="418" customWidth="1"/>
    <col min="12816" max="12816" width="10.28515625" style="418" customWidth="1"/>
    <col min="12817" max="13056" width="11.42578125" style="418"/>
    <col min="13057" max="13057" width="7" style="418" customWidth="1"/>
    <col min="13058" max="13058" width="10.7109375" style="418" customWidth="1"/>
    <col min="13059" max="13059" width="10.5703125" style="418" customWidth="1"/>
    <col min="13060" max="13060" width="10.7109375" style="418" customWidth="1"/>
    <col min="13061" max="13061" width="10.28515625" style="418" customWidth="1"/>
    <col min="13062" max="13062" width="10.7109375" style="418" customWidth="1"/>
    <col min="13063" max="13063" width="9.42578125" style="418" customWidth="1"/>
    <col min="13064" max="13064" width="10.5703125" style="418" customWidth="1"/>
    <col min="13065" max="13065" width="13.7109375" style="418" customWidth="1"/>
    <col min="13066" max="13067" width="10.42578125" style="418" customWidth="1"/>
    <col min="13068" max="13068" width="10.28515625" style="418" customWidth="1"/>
    <col min="13069" max="13069" width="9.42578125" style="418" customWidth="1"/>
    <col min="13070" max="13070" width="8.7109375" style="418" customWidth="1"/>
    <col min="13071" max="13071" width="10.42578125" style="418" customWidth="1"/>
    <col min="13072" max="13072" width="10.28515625" style="418" customWidth="1"/>
    <col min="13073" max="13312" width="11.42578125" style="418"/>
    <col min="13313" max="13313" width="7" style="418" customWidth="1"/>
    <col min="13314" max="13314" width="10.7109375" style="418" customWidth="1"/>
    <col min="13315" max="13315" width="10.5703125" style="418" customWidth="1"/>
    <col min="13316" max="13316" width="10.7109375" style="418" customWidth="1"/>
    <col min="13317" max="13317" width="10.28515625" style="418" customWidth="1"/>
    <col min="13318" max="13318" width="10.7109375" style="418" customWidth="1"/>
    <col min="13319" max="13319" width="9.42578125" style="418" customWidth="1"/>
    <col min="13320" max="13320" width="10.5703125" style="418" customWidth="1"/>
    <col min="13321" max="13321" width="13.7109375" style="418" customWidth="1"/>
    <col min="13322" max="13323" width="10.42578125" style="418" customWidth="1"/>
    <col min="13324" max="13324" width="10.28515625" style="418" customWidth="1"/>
    <col min="13325" max="13325" width="9.42578125" style="418" customWidth="1"/>
    <col min="13326" max="13326" width="8.7109375" style="418" customWidth="1"/>
    <col min="13327" max="13327" width="10.42578125" style="418" customWidth="1"/>
    <col min="13328" max="13328" width="10.28515625" style="418" customWidth="1"/>
    <col min="13329" max="13568" width="11.42578125" style="418"/>
    <col min="13569" max="13569" width="7" style="418" customWidth="1"/>
    <col min="13570" max="13570" width="10.7109375" style="418" customWidth="1"/>
    <col min="13571" max="13571" width="10.5703125" style="418" customWidth="1"/>
    <col min="13572" max="13572" width="10.7109375" style="418" customWidth="1"/>
    <col min="13573" max="13573" width="10.28515625" style="418" customWidth="1"/>
    <col min="13574" max="13574" width="10.7109375" style="418" customWidth="1"/>
    <col min="13575" max="13575" width="9.42578125" style="418" customWidth="1"/>
    <col min="13576" max="13576" width="10.5703125" style="418" customWidth="1"/>
    <col min="13577" max="13577" width="13.7109375" style="418" customWidth="1"/>
    <col min="13578" max="13579" width="10.42578125" style="418" customWidth="1"/>
    <col min="13580" max="13580" width="10.28515625" style="418" customWidth="1"/>
    <col min="13581" max="13581" width="9.42578125" style="418" customWidth="1"/>
    <col min="13582" max="13582" width="8.7109375" style="418" customWidth="1"/>
    <col min="13583" max="13583" width="10.42578125" style="418" customWidth="1"/>
    <col min="13584" max="13584" width="10.28515625" style="418" customWidth="1"/>
    <col min="13585" max="13824" width="11.42578125" style="418"/>
    <col min="13825" max="13825" width="7" style="418" customWidth="1"/>
    <col min="13826" max="13826" width="10.7109375" style="418" customWidth="1"/>
    <col min="13827" max="13827" width="10.5703125" style="418" customWidth="1"/>
    <col min="13828" max="13828" width="10.7109375" style="418" customWidth="1"/>
    <col min="13829" max="13829" width="10.28515625" style="418" customWidth="1"/>
    <col min="13830" max="13830" width="10.7109375" style="418" customWidth="1"/>
    <col min="13831" max="13831" width="9.42578125" style="418" customWidth="1"/>
    <col min="13832" max="13832" width="10.5703125" style="418" customWidth="1"/>
    <col min="13833" max="13833" width="13.7109375" style="418" customWidth="1"/>
    <col min="13834" max="13835" width="10.42578125" style="418" customWidth="1"/>
    <col min="13836" max="13836" width="10.28515625" style="418" customWidth="1"/>
    <col min="13837" max="13837" width="9.42578125" style="418" customWidth="1"/>
    <col min="13838" max="13838" width="8.7109375" style="418" customWidth="1"/>
    <col min="13839" max="13839" width="10.42578125" style="418" customWidth="1"/>
    <col min="13840" max="13840" width="10.28515625" style="418" customWidth="1"/>
    <col min="13841" max="14080" width="11.42578125" style="418"/>
    <col min="14081" max="14081" width="7" style="418" customWidth="1"/>
    <col min="14082" max="14082" width="10.7109375" style="418" customWidth="1"/>
    <col min="14083" max="14083" width="10.5703125" style="418" customWidth="1"/>
    <col min="14084" max="14084" width="10.7109375" style="418" customWidth="1"/>
    <col min="14085" max="14085" width="10.28515625" style="418" customWidth="1"/>
    <col min="14086" max="14086" width="10.7109375" style="418" customWidth="1"/>
    <col min="14087" max="14087" width="9.42578125" style="418" customWidth="1"/>
    <col min="14088" max="14088" width="10.5703125" style="418" customWidth="1"/>
    <col min="14089" max="14089" width="13.7109375" style="418" customWidth="1"/>
    <col min="14090" max="14091" width="10.42578125" style="418" customWidth="1"/>
    <col min="14092" max="14092" width="10.28515625" style="418" customWidth="1"/>
    <col min="14093" max="14093" width="9.42578125" style="418" customWidth="1"/>
    <col min="14094" max="14094" width="8.7109375" style="418" customWidth="1"/>
    <col min="14095" max="14095" width="10.42578125" style="418" customWidth="1"/>
    <col min="14096" max="14096" width="10.28515625" style="418" customWidth="1"/>
    <col min="14097" max="14336" width="11.42578125" style="418"/>
    <col min="14337" max="14337" width="7" style="418" customWidth="1"/>
    <col min="14338" max="14338" width="10.7109375" style="418" customWidth="1"/>
    <col min="14339" max="14339" width="10.5703125" style="418" customWidth="1"/>
    <col min="14340" max="14340" width="10.7109375" style="418" customWidth="1"/>
    <col min="14341" max="14341" width="10.28515625" style="418" customWidth="1"/>
    <col min="14342" max="14342" width="10.7109375" style="418" customWidth="1"/>
    <col min="14343" max="14343" width="9.42578125" style="418" customWidth="1"/>
    <col min="14344" max="14344" width="10.5703125" style="418" customWidth="1"/>
    <col min="14345" max="14345" width="13.7109375" style="418" customWidth="1"/>
    <col min="14346" max="14347" width="10.42578125" style="418" customWidth="1"/>
    <col min="14348" max="14348" width="10.28515625" style="418" customWidth="1"/>
    <col min="14349" max="14349" width="9.42578125" style="418" customWidth="1"/>
    <col min="14350" max="14350" width="8.7109375" style="418" customWidth="1"/>
    <col min="14351" max="14351" width="10.42578125" style="418" customWidth="1"/>
    <col min="14352" max="14352" width="10.28515625" style="418" customWidth="1"/>
    <col min="14353" max="14592" width="11.42578125" style="418"/>
    <col min="14593" max="14593" width="7" style="418" customWidth="1"/>
    <col min="14594" max="14594" width="10.7109375" style="418" customWidth="1"/>
    <col min="14595" max="14595" width="10.5703125" style="418" customWidth="1"/>
    <col min="14596" max="14596" width="10.7109375" style="418" customWidth="1"/>
    <col min="14597" max="14597" width="10.28515625" style="418" customWidth="1"/>
    <col min="14598" max="14598" width="10.7109375" style="418" customWidth="1"/>
    <col min="14599" max="14599" width="9.42578125" style="418" customWidth="1"/>
    <col min="14600" max="14600" width="10.5703125" style="418" customWidth="1"/>
    <col min="14601" max="14601" width="13.7109375" style="418" customWidth="1"/>
    <col min="14602" max="14603" width="10.42578125" style="418" customWidth="1"/>
    <col min="14604" max="14604" width="10.28515625" style="418" customWidth="1"/>
    <col min="14605" max="14605" width="9.42578125" style="418" customWidth="1"/>
    <col min="14606" max="14606" width="8.7109375" style="418" customWidth="1"/>
    <col min="14607" max="14607" width="10.42578125" style="418" customWidth="1"/>
    <col min="14608" max="14608" width="10.28515625" style="418" customWidth="1"/>
    <col min="14609" max="14848" width="11.42578125" style="418"/>
    <col min="14849" max="14849" width="7" style="418" customWidth="1"/>
    <col min="14850" max="14850" width="10.7109375" style="418" customWidth="1"/>
    <col min="14851" max="14851" width="10.5703125" style="418" customWidth="1"/>
    <col min="14852" max="14852" width="10.7109375" style="418" customWidth="1"/>
    <col min="14853" max="14853" width="10.28515625" style="418" customWidth="1"/>
    <col min="14854" max="14854" width="10.7109375" style="418" customWidth="1"/>
    <col min="14855" max="14855" width="9.42578125" style="418" customWidth="1"/>
    <col min="14856" max="14856" width="10.5703125" style="418" customWidth="1"/>
    <col min="14857" max="14857" width="13.7109375" style="418" customWidth="1"/>
    <col min="14858" max="14859" width="10.42578125" style="418" customWidth="1"/>
    <col min="14860" max="14860" width="10.28515625" style="418" customWidth="1"/>
    <col min="14861" max="14861" width="9.42578125" style="418" customWidth="1"/>
    <col min="14862" max="14862" width="8.7109375" style="418" customWidth="1"/>
    <col min="14863" max="14863" width="10.42578125" style="418" customWidth="1"/>
    <col min="14864" max="14864" width="10.28515625" style="418" customWidth="1"/>
    <col min="14865" max="15104" width="11.42578125" style="418"/>
    <col min="15105" max="15105" width="7" style="418" customWidth="1"/>
    <col min="15106" max="15106" width="10.7109375" style="418" customWidth="1"/>
    <col min="15107" max="15107" width="10.5703125" style="418" customWidth="1"/>
    <col min="15108" max="15108" width="10.7109375" style="418" customWidth="1"/>
    <col min="15109" max="15109" width="10.28515625" style="418" customWidth="1"/>
    <col min="15110" max="15110" width="10.7109375" style="418" customWidth="1"/>
    <col min="15111" max="15111" width="9.42578125" style="418" customWidth="1"/>
    <col min="15112" max="15112" width="10.5703125" style="418" customWidth="1"/>
    <col min="15113" max="15113" width="13.7109375" style="418" customWidth="1"/>
    <col min="15114" max="15115" width="10.42578125" style="418" customWidth="1"/>
    <col min="15116" max="15116" width="10.28515625" style="418" customWidth="1"/>
    <col min="15117" max="15117" width="9.42578125" style="418" customWidth="1"/>
    <col min="15118" max="15118" width="8.7109375" style="418" customWidth="1"/>
    <col min="15119" max="15119" width="10.42578125" style="418" customWidth="1"/>
    <col min="15120" max="15120" width="10.28515625" style="418" customWidth="1"/>
    <col min="15121" max="15360" width="11.42578125" style="418"/>
    <col min="15361" max="15361" width="7" style="418" customWidth="1"/>
    <col min="15362" max="15362" width="10.7109375" style="418" customWidth="1"/>
    <col min="15363" max="15363" width="10.5703125" style="418" customWidth="1"/>
    <col min="15364" max="15364" width="10.7109375" style="418" customWidth="1"/>
    <col min="15365" max="15365" width="10.28515625" style="418" customWidth="1"/>
    <col min="15366" max="15366" width="10.7109375" style="418" customWidth="1"/>
    <col min="15367" max="15367" width="9.42578125" style="418" customWidth="1"/>
    <col min="15368" max="15368" width="10.5703125" style="418" customWidth="1"/>
    <col min="15369" max="15369" width="13.7109375" style="418" customWidth="1"/>
    <col min="15370" max="15371" width="10.42578125" style="418" customWidth="1"/>
    <col min="15372" max="15372" width="10.28515625" style="418" customWidth="1"/>
    <col min="15373" max="15373" width="9.42578125" style="418" customWidth="1"/>
    <col min="15374" max="15374" width="8.7109375" style="418" customWidth="1"/>
    <col min="15375" max="15375" width="10.42578125" style="418" customWidth="1"/>
    <col min="15376" max="15376" width="10.28515625" style="418" customWidth="1"/>
    <col min="15377" max="15616" width="11.42578125" style="418"/>
    <col min="15617" max="15617" width="7" style="418" customWidth="1"/>
    <col min="15618" max="15618" width="10.7109375" style="418" customWidth="1"/>
    <col min="15619" max="15619" width="10.5703125" style="418" customWidth="1"/>
    <col min="15620" max="15620" width="10.7109375" style="418" customWidth="1"/>
    <col min="15621" max="15621" width="10.28515625" style="418" customWidth="1"/>
    <col min="15622" max="15622" width="10.7109375" style="418" customWidth="1"/>
    <col min="15623" max="15623" width="9.42578125" style="418" customWidth="1"/>
    <col min="15624" max="15624" width="10.5703125" style="418" customWidth="1"/>
    <col min="15625" max="15625" width="13.7109375" style="418" customWidth="1"/>
    <col min="15626" max="15627" width="10.42578125" style="418" customWidth="1"/>
    <col min="15628" max="15628" width="10.28515625" style="418" customWidth="1"/>
    <col min="15629" max="15629" width="9.42578125" style="418" customWidth="1"/>
    <col min="15630" max="15630" width="8.7109375" style="418" customWidth="1"/>
    <col min="15631" max="15631" width="10.42578125" style="418" customWidth="1"/>
    <col min="15632" max="15632" width="10.28515625" style="418" customWidth="1"/>
    <col min="15633" max="15872" width="11.42578125" style="418"/>
    <col min="15873" max="15873" width="7" style="418" customWidth="1"/>
    <col min="15874" max="15874" width="10.7109375" style="418" customWidth="1"/>
    <col min="15875" max="15875" width="10.5703125" style="418" customWidth="1"/>
    <col min="15876" max="15876" width="10.7109375" style="418" customWidth="1"/>
    <col min="15877" max="15877" width="10.28515625" style="418" customWidth="1"/>
    <col min="15878" max="15878" width="10.7109375" style="418" customWidth="1"/>
    <col min="15879" max="15879" width="9.42578125" style="418" customWidth="1"/>
    <col min="15880" max="15880" width="10.5703125" style="418" customWidth="1"/>
    <col min="15881" max="15881" width="13.7109375" style="418" customWidth="1"/>
    <col min="15882" max="15883" width="10.42578125" style="418" customWidth="1"/>
    <col min="15884" max="15884" width="10.28515625" style="418" customWidth="1"/>
    <col min="15885" max="15885" width="9.42578125" style="418" customWidth="1"/>
    <col min="15886" max="15886" width="8.7109375" style="418" customWidth="1"/>
    <col min="15887" max="15887" width="10.42578125" style="418" customWidth="1"/>
    <col min="15888" max="15888" width="10.28515625" style="418" customWidth="1"/>
    <col min="15889" max="16128" width="11.42578125" style="418"/>
    <col min="16129" max="16129" width="7" style="418" customWidth="1"/>
    <col min="16130" max="16130" width="10.7109375" style="418" customWidth="1"/>
    <col min="16131" max="16131" width="10.5703125" style="418" customWidth="1"/>
    <col min="16132" max="16132" width="10.7109375" style="418" customWidth="1"/>
    <col min="16133" max="16133" width="10.28515625" style="418" customWidth="1"/>
    <col min="16134" max="16134" width="10.7109375" style="418" customWidth="1"/>
    <col min="16135" max="16135" width="9.42578125" style="418" customWidth="1"/>
    <col min="16136" max="16136" width="10.5703125" style="418" customWidth="1"/>
    <col min="16137" max="16137" width="13.7109375" style="418" customWidth="1"/>
    <col min="16138" max="16139" width="10.42578125" style="418" customWidth="1"/>
    <col min="16140" max="16140" width="10.28515625" style="418" customWidth="1"/>
    <col min="16141" max="16141" width="9.42578125" style="418" customWidth="1"/>
    <col min="16142" max="16142" width="8.7109375" style="418" customWidth="1"/>
    <col min="16143" max="16143" width="10.42578125" style="418" customWidth="1"/>
    <col min="16144" max="16144" width="10.28515625" style="418" customWidth="1"/>
    <col min="16145" max="16384" width="11.42578125" style="418"/>
  </cols>
  <sheetData>
    <row r="1" spans="1:21" ht="15" customHeight="1" x14ac:dyDescent="0.2">
      <c r="A1" s="857" t="s">
        <v>1627</v>
      </c>
      <c r="B1" s="857"/>
      <c r="C1" s="857"/>
      <c r="D1" s="857"/>
      <c r="E1" s="857"/>
      <c r="F1" s="857"/>
      <c r="G1" s="857"/>
      <c r="H1" s="857"/>
      <c r="I1" s="857"/>
      <c r="J1" s="857"/>
      <c r="K1" s="857"/>
      <c r="L1" s="857"/>
      <c r="M1" s="857"/>
      <c r="N1" s="857"/>
      <c r="O1" s="857"/>
      <c r="P1" s="857"/>
    </row>
    <row r="2" spans="1:21" ht="15" customHeight="1" x14ac:dyDescent="0.2">
      <c r="A2" s="857" t="s">
        <v>1699</v>
      </c>
      <c r="B2" s="857"/>
      <c r="C2" s="857"/>
      <c r="D2" s="857"/>
      <c r="E2" s="857"/>
      <c r="F2" s="857" t="s">
        <v>1629</v>
      </c>
      <c r="G2" s="857"/>
      <c r="H2" s="857"/>
      <c r="I2" s="857"/>
      <c r="J2" s="857"/>
      <c r="K2" s="857"/>
      <c r="L2" s="857"/>
      <c r="M2" s="857"/>
      <c r="N2" s="857"/>
      <c r="O2" s="857"/>
      <c r="P2" s="857"/>
    </row>
    <row r="3" spans="1:21" ht="15" customHeight="1" x14ac:dyDescent="0.2">
      <c r="E3" s="419"/>
    </row>
    <row r="4" spans="1:21" ht="15" customHeight="1" x14ac:dyDescent="0.25">
      <c r="A4" s="858" t="s">
        <v>1630</v>
      </c>
      <c r="B4" s="858"/>
      <c r="C4" s="858"/>
      <c r="D4" s="858"/>
      <c r="E4" s="858"/>
      <c r="F4" s="419"/>
      <c r="K4" s="419"/>
      <c r="N4" s="419" t="s">
        <v>1631</v>
      </c>
      <c r="O4" s="420">
        <f>IF(HorasAmortizaciónEquipoCamión=0,0,ROUND(Valor_CamiónAcoplado*PorcentajeEquipoAmortizarCamión/HorasAmortizaciónEquipoCamión,3))</f>
        <v>0</v>
      </c>
    </row>
    <row r="5" spans="1:21" ht="15" customHeight="1" x14ac:dyDescent="0.2">
      <c r="A5" s="421"/>
      <c r="B5" s="421"/>
      <c r="C5" s="421"/>
      <c r="D5" s="421"/>
      <c r="E5" s="421"/>
      <c r="F5" s="419"/>
      <c r="K5" s="419"/>
      <c r="O5" s="422"/>
    </row>
    <row r="6" spans="1:21" ht="15" customHeight="1" x14ac:dyDescent="0.2">
      <c r="A6" s="490"/>
      <c r="B6" s="490"/>
      <c r="C6" s="490"/>
      <c r="D6" s="490"/>
      <c r="E6" s="490"/>
      <c r="F6" s="419"/>
      <c r="K6" s="419"/>
      <c r="O6" s="422"/>
      <c r="Q6" s="421"/>
      <c r="R6" s="421"/>
      <c r="S6" s="421"/>
      <c r="T6" s="421"/>
      <c r="U6" s="421"/>
    </row>
    <row r="7" spans="1:21" ht="15" customHeight="1" x14ac:dyDescent="0.2">
      <c r="A7" s="860" t="s">
        <v>1632</v>
      </c>
      <c r="B7" s="860"/>
      <c r="C7" s="860"/>
      <c r="D7" s="860"/>
      <c r="E7" s="479"/>
      <c r="F7" s="419"/>
      <c r="G7" s="423"/>
      <c r="H7" s="421"/>
      <c r="I7" s="859"/>
      <c r="J7" s="424"/>
      <c r="K7" s="425"/>
      <c r="N7" s="419" t="s">
        <v>1633</v>
      </c>
      <c r="O7" s="420">
        <f>ROUND(Valor_CamiónAcoplado*E10/4000,3)</f>
        <v>0</v>
      </c>
      <c r="Q7" s="423"/>
      <c r="R7" s="426"/>
      <c r="S7" s="854"/>
      <c r="T7" s="427"/>
      <c r="U7" s="424"/>
    </row>
    <row r="8" spans="1:21" ht="15" customHeight="1" x14ac:dyDescent="0.2">
      <c r="A8" s="860" t="s">
        <v>1634</v>
      </c>
      <c r="B8" s="860"/>
      <c r="C8" s="860"/>
      <c r="D8" s="860"/>
      <c r="E8" s="480"/>
      <c r="F8" s="419"/>
      <c r="G8" s="855"/>
      <c r="H8" s="855"/>
      <c r="I8" s="859"/>
      <c r="K8" s="419"/>
      <c r="O8" s="422"/>
      <c r="Q8" s="855"/>
      <c r="R8" s="855"/>
      <c r="S8" s="854"/>
      <c r="T8" s="421"/>
      <c r="U8" s="421"/>
    </row>
    <row r="9" spans="1:21" ht="15" customHeight="1" x14ac:dyDescent="0.2">
      <c r="A9" s="860" t="s">
        <v>1635</v>
      </c>
      <c r="B9" s="860"/>
      <c r="C9" s="860"/>
      <c r="D9" s="860"/>
      <c r="E9" s="481"/>
      <c r="F9" s="419"/>
      <c r="K9" s="419"/>
      <c r="O9" s="422"/>
    </row>
    <row r="10" spans="1:21" ht="15" customHeight="1" x14ac:dyDescent="0.2">
      <c r="A10" s="860" t="s">
        <v>1636</v>
      </c>
      <c r="B10" s="860"/>
      <c r="C10" s="860"/>
      <c r="D10" s="860"/>
      <c r="E10" s="481"/>
      <c r="F10" s="419"/>
      <c r="K10" s="419"/>
      <c r="N10" s="419" t="s">
        <v>1637</v>
      </c>
      <c r="O10" s="420">
        <f>ROUND(O4*Porcentaje_Reparaciones_Repuestos,3)</f>
        <v>0</v>
      </c>
      <c r="Q10" s="421"/>
      <c r="R10" s="421"/>
      <c r="S10" s="421"/>
      <c r="T10" s="421"/>
      <c r="U10" s="421"/>
    </row>
    <row r="11" spans="1:21" ht="15" customHeight="1" x14ac:dyDescent="0.2">
      <c r="A11" s="860" t="s">
        <v>1638</v>
      </c>
      <c r="B11" s="860"/>
      <c r="C11" s="860"/>
      <c r="D11" s="860"/>
      <c r="E11" s="481"/>
      <c r="F11" s="419"/>
      <c r="K11" s="419"/>
      <c r="O11" s="422"/>
      <c r="Q11" s="421"/>
      <c r="R11" s="421"/>
      <c r="S11" s="421"/>
      <c r="T11" s="421"/>
      <c r="U11" s="421"/>
    </row>
    <row r="12" spans="1:21" ht="15" customHeight="1" x14ac:dyDescent="0.2">
      <c r="A12" s="860" t="s">
        <v>1639</v>
      </c>
      <c r="B12" s="860"/>
      <c r="C12" s="860"/>
      <c r="D12" s="860"/>
      <c r="E12" s="481"/>
      <c r="F12" s="419"/>
      <c r="K12" s="419"/>
      <c r="O12" s="422"/>
      <c r="Q12" s="421"/>
      <c r="R12" s="421"/>
      <c r="S12" s="421"/>
      <c r="T12" s="421"/>
      <c r="U12" s="421"/>
    </row>
    <row r="13" spans="1:21" ht="15" customHeight="1" x14ac:dyDescent="0.2">
      <c r="A13" s="860" t="s">
        <v>1640</v>
      </c>
      <c r="B13" s="860"/>
      <c r="C13" s="860"/>
      <c r="D13" s="860"/>
      <c r="E13" s="480"/>
      <c r="F13" s="419"/>
      <c r="G13" s="421"/>
      <c r="H13" s="421"/>
      <c r="I13" s="421"/>
      <c r="J13" s="421"/>
      <c r="K13" s="428"/>
      <c r="N13" s="419" t="s">
        <v>1641</v>
      </c>
      <c r="O13" s="420">
        <f>ROUND(Tiempo_lavado_en_horas*Mano_Obra_Lavado*Cantidad_lavado_al_mes*12/2000,3)</f>
        <v>0</v>
      </c>
      <c r="Q13" s="421"/>
      <c r="R13" s="421"/>
      <c r="S13" s="421"/>
      <c r="T13" s="421"/>
      <c r="U13" s="421"/>
    </row>
    <row r="14" spans="1:21" ht="15" customHeight="1" x14ac:dyDescent="0.2">
      <c r="A14" s="860" t="s">
        <v>1642</v>
      </c>
      <c r="B14" s="860"/>
      <c r="C14" s="860"/>
      <c r="D14" s="860"/>
      <c r="E14" s="482"/>
      <c r="F14" s="419"/>
      <c r="G14" s="421"/>
      <c r="H14" s="421"/>
      <c r="I14" s="421"/>
      <c r="J14" s="421"/>
      <c r="K14" s="428"/>
      <c r="O14" s="422"/>
      <c r="Q14" s="421"/>
      <c r="R14" s="421"/>
      <c r="S14" s="421"/>
      <c r="T14" s="421"/>
      <c r="U14" s="421"/>
    </row>
    <row r="15" spans="1:21" ht="15" customHeight="1" x14ac:dyDescent="0.2">
      <c r="A15" s="860" t="s">
        <v>1643</v>
      </c>
      <c r="B15" s="860"/>
      <c r="C15" s="860"/>
      <c r="D15" s="860"/>
      <c r="E15" s="483"/>
      <c r="F15" s="419"/>
      <c r="G15" s="423"/>
      <c r="H15" s="421"/>
      <c r="I15" s="854"/>
      <c r="J15" s="424"/>
      <c r="K15" s="429"/>
      <c r="O15" s="422"/>
      <c r="Q15" s="430"/>
      <c r="R15" s="431"/>
      <c r="S15" s="854"/>
      <c r="T15" s="427"/>
      <c r="U15" s="432"/>
    </row>
    <row r="16" spans="1:21" ht="15" customHeight="1" x14ac:dyDescent="0.2">
      <c r="A16" s="860" t="s">
        <v>1644</v>
      </c>
      <c r="B16" s="860"/>
      <c r="C16" s="860"/>
      <c r="D16" s="860"/>
      <c r="E16" s="484"/>
      <c r="F16" s="419"/>
      <c r="G16" s="855"/>
      <c r="H16" s="855"/>
      <c r="I16" s="854"/>
      <c r="J16" s="421"/>
      <c r="K16" s="428"/>
      <c r="N16" s="419" t="s">
        <v>1645</v>
      </c>
      <c r="O16" s="420">
        <f>ROUND(Valor_CamiónAcoplado*PorSegurosPatentesImpustoCamión/2000,3)</f>
        <v>0</v>
      </c>
      <c r="Q16" s="856"/>
      <c r="R16" s="856"/>
      <c r="S16" s="854"/>
      <c r="T16" s="421"/>
      <c r="U16" s="421"/>
    </row>
    <row r="17" spans="1:21" ht="15" customHeight="1" x14ac:dyDescent="0.2">
      <c r="A17" s="860" t="s">
        <v>1646</v>
      </c>
      <c r="B17" s="860"/>
      <c r="C17" s="860"/>
      <c r="D17" s="860"/>
      <c r="E17" s="485"/>
      <c r="F17" s="419"/>
      <c r="K17" s="419"/>
      <c r="O17" s="422"/>
    </row>
    <row r="18" spans="1:21" ht="15" customHeight="1" x14ac:dyDescent="0.2">
      <c r="A18" s="860" t="s">
        <v>1647</v>
      </c>
      <c r="B18" s="860"/>
      <c r="C18" s="860"/>
      <c r="D18" s="860"/>
      <c r="E18" s="486"/>
      <c r="F18" s="419"/>
      <c r="K18" s="419"/>
      <c r="O18" s="422"/>
    </row>
    <row r="19" spans="1:21" ht="15" customHeight="1" x14ac:dyDescent="0.2">
      <c r="A19" s="860" t="s">
        <v>1648</v>
      </c>
      <c r="B19" s="860"/>
      <c r="C19" s="860"/>
      <c r="D19" s="860"/>
      <c r="E19" s="487"/>
      <c r="F19" s="419"/>
      <c r="G19" s="423"/>
      <c r="H19" s="421"/>
      <c r="I19" s="421"/>
      <c r="J19" s="424"/>
      <c r="K19" s="429"/>
      <c r="N19" s="419" t="s">
        <v>1649</v>
      </c>
      <c r="O19" s="420">
        <f>IF(V_U_cámara_cubiertas_CamiónAcoplado=0,0,ROUND(Cantidad_camaras_cubiertas*Valor_cámara_cubiertas_CamiónAcoplado/V_U_cámara_cubiertas_CamiónAcoplado,3))</f>
        <v>0</v>
      </c>
      <c r="Q19" s="433"/>
      <c r="R19" s="434"/>
      <c r="S19" s="435"/>
      <c r="T19" s="436"/>
      <c r="U19" s="437"/>
    </row>
    <row r="20" spans="1:21" ht="15" customHeight="1" x14ac:dyDescent="0.2">
      <c r="A20" s="860" t="s">
        <v>1650</v>
      </c>
      <c r="B20" s="860"/>
      <c r="C20" s="860"/>
      <c r="D20" s="860"/>
      <c r="E20" s="481"/>
      <c r="F20" s="419"/>
      <c r="G20" s="855"/>
      <c r="H20" s="855"/>
      <c r="I20" s="421"/>
      <c r="J20" s="421"/>
      <c r="K20" s="428"/>
      <c r="O20" s="422"/>
    </row>
    <row r="21" spans="1:21" ht="15" customHeight="1" x14ac:dyDescent="0.2">
      <c r="A21" s="860" t="s">
        <v>1701</v>
      </c>
      <c r="B21" s="860"/>
      <c r="C21" s="860"/>
      <c r="D21" s="860" t="s">
        <v>1651</v>
      </c>
      <c r="E21" s="488"/>
      <c r="G21" s="849"/>
      <c r="H21" s="849"/>
      <c r="I21" s="849"/>
      <c r="K21" s="419"/>
      <c r="O21" s="422"/>
    </row>
    <row r="22" spans="1:21" ht="15" customHeight="1" x14ac:dyDescent="0.2">
      <c r="A22" s="860" t="s">
        <v>1702</v>
      </c>
      <c r="B22" s="860"/>
      <c r="C22" s="860"/>
      <c r="D22" s="860" t="s">
        <v>1652</v>
      </c>
      <c r="E22" s="489"/>
      <c r="G22" s="421"/>
      <c r="H22" s="421"/>
      <c r="I22" s="421"/>
      <c r="J22" s="421"/>
      <c r="K22" s="428"/>
      <c r="N22" s="419" t="s">
        <v>1653</v>
      </c>
      <c r="O22" s="420">
        <f>ROUND(Consumo_gasoil_CamiónAcoplado_porkm*Costo_gasoil*(1+Porcentaje_Lubricantes),3)</f>
        <v>0</v>
      </c>
    </row>
    <row r="23" spans="1:21" ht="15" customHeight="1" x14ac:dyDescent="0.25">
      <c r="A23" s="491"/>
      <c r="B23" s="491"/>
      <c r="C23" s="491"/>
      <c r="D23" s="491"/>
      <c r="E23" s="491"/>
      <c r="G23" s="438"/>
      <c r="H23" s="439"/>
      <c r="I23" s="440"/>
      <c r="J23" s="441"/>
      <c r="K23" s="429"/>
    </row>
    <row r="24" spans="1:21" s="421" customFormat="1" ht="15" customHeight="1" x14ac:dyDescent="0.2"/>
    <row r="25" spans="1:21" ht="15" customHeight="1" x14ac:dyDescent="0.2">
      <c r="A25" s="851" t="s">
        <v>1654</v>
      </c>
      <c r="B25" s="851"/>
      <c r="C25" s="851"/>
      <c r="D25" s="851"/>
      <c r="E25" s="851"/>
      <c r="F25" s="851"/>
      <c r="G25" s="851"/>
      <c r="H25" s="852" t="s">
        <v>1655</v>
      </c>
      <c r="I25" s="852"/>
      <c r="J25" s="852"/>
      <c r="K25" s="852"/>
      <c r="L25" s="852"/>
      <c r="M25" s="852"/>
      <c r="N25" s="852"/>
      <c r="O25" s="852"/>
      <c r="P25" s="853" t="s">
        <v>1656</v>
      </c>
    </row>
    <row r="26" spans="1:21" ht="15" customHeight="1" x14ac:dyDescent="0.2">
      <c r="A26" s="442" t="s">
        <v>1657</v>
      </c>
      <c r="B26" s="442" t="s">
        <v>1658</v>
      </c>
      <c r="C26" s="442" t="s">
        <v>1659</v>
      </c>
      <c r="D26" s="442" t="s">
        <v>1660</v>
      </c>
      <c r="E26" s="442" t="s">
        <v>1661</v>
      </c>
      <c r="F26" s="442" t="s">
        <v>985</v>
      </c>
      <c r="G26" s="442" t="s">
        <v>1662</v>
      </c>
      <c r="H26" s="848" t="s">
        <v>1603</v>
      </c>
      <c r="I26" s="848" t="s">
        <v>1663</v>
      </c>
      <c r="J26" s="442" t="s">
        <v>1664</v>
      </c>
      <c r="K26" s="442" t="s">
        <v>1665</v>
      </c>
      <c r="L26" s="442" t="s">
        <v>1666</v>
      </c>
      <c r="M26" s="442" t="s">
        <v>1667</v>
      </c>
      <c r="N26" s="442" t="s">
        <v>1668</v>
      </c>
      <c r="O26" s="443" t="s">
        <v>1700</v>
      </c>
      <c r="P26" s="853"/>
    </row>
    <row r="27" spans="1:21" ht="15" customHeight="1" x14ac:dyDescent="0.2">
      <c r="A27" s="442" t="s">
        <v>1670</v>
      </c>
      <c r="B27" s="442" t="s">
        <v>1671</v>
      </c>
      <c r="C27" s="442" t="s">
        <v>1672</v>
      </c>
      <c r="D27" s="442" t="s">
        <v>1673</v>
      </c>
      <c r="E27" s="442" t="s">
        <v>1674</v>
      </c>
      <c r="F27" s="442" t="s">
        <v>1675</v>
      </c>
      <c r="G27" s="442" t="s">
        <v>1676</v>
      </c>
      <c r="H27" s="848"/>
      <c r="I27" s="848"/>
      <c r="J27" s="442" t="s">
        <v>1677</v>
      </c>
      <c r="K27" s="442" t="s">
        <v>1678</v>
      </c>
      <c r="L27" s="442" t="s">
        <v>1679</v>
      </c>
      <c r="M27" s="442" t="s">
        <v>1680</v>
      </c>
      <c r="N27" s="442" t="s">
        <v>1681</v>
      </c>
      <c r="O27" s="443" t="s">
        <v>1682</v>
      </c>
      <c r="P27" s="853"/>
    </row>
    <row r="28" spans="1:21" ht="15" customHeight="1" x14ac:dyDescent="0.2">
      <c r="A28" s="847" t="s">
        <v>1683</v>
      </c>
      <c r="B28" s="847" t="s">
        <v>1684</v>
      </c>
      <c r="C28" s="847" t="s">
        <v>1685</v>
      </c>
      <c r="D28" s="847" t="s">
        <v>1686</v>
      </c>
      <c r="E28" s="847" t="s">
        <v>1687</v>
      </c>
      <c r="F28" s="847" t="s">
        <v>1688</v>
      </c>
      <c r="G28" s="847" t="s">
        <v>1689</v>
      </c>
      <c r="H28" s="847" t="s">
        <v>1690</v>
      </c>
      <c r="I28" s="847" t="s">
        <v>1691</v>
      </c>
      <c r="J28" s="847" t="s">
        <v>1692</v>
      </c>
      <c r="K28" s="847" t="s">
        <v>1693</v>
      </c>
      <c r="L28" s="847" t="s">
        <v>1694</v>
      </c>
      <c r="M28" s="847" t="s">
        <v>1695</v>
      </c>
      <c r="N28" s="847" t="s">
        <v>1696</v>
      </c>
      <c r="O28" s="847" t="s">
        <v>1697</v>
      </c>
      <c r="P28" s="850" t="s">
        <v>1698</v>
      </c>
    </row>
    <row r="29" spans="1:21" ht="15" customHeight="1" x14ac:dyDescent="0.2">
      <c r="A29" s="847"/>
      <c r="B29" s="847"/>
      <c r="C29" s="847"/>
      <c r="D29" s="847"/>
      <c r="E29" s="847"/>
      <c r="F29" s="847"/>
      <c r="G29" s="847"/>
      <c r="H29" s="847"/>
      <c r="I29" s="847"/>
      <c r="J29" s="847"/>
      <c r="K29" s="847"/>
      <c r="L29" s="847"/>
      <c r="M29" s="847"/>
      <c r="N29" s="847"/>
      <c r="O29" s="847"/>
      <c r="P29" s="850"/>
    </row>
    <row r="30" spans="1:21" ht="15" customHeight="1" x14ac:dyDescent="0.2">
      <c r="A30" s="444">
        <v>55</v>
      </c>
      <c r="B30" s="453"/>
      <c r="C30" s="446">
        <f>IF(B30=0,0,(2*A30*60)/B30)</f>
        <v>0</v>
      </c>
      <c r="D30" s="446"/>
      <c r="E30" s="446">
        <f t="shared" ref="E30:E64" si="0">+C30+D30</f>
        <v>0</v>
      </c>
      <c r="F30" s="454">
        <f>A30*$E$21</f>
        <v>0</v>
      </c>
      <c r="G30" s="449">
        <f t="shared" ref="G30:G64" si="1">+A30*2</f>
        <v>110</v>
      </c>
      <c r="H30" s="450">
        <f>'Transp. Camión con Acoplado'!A*(E30/60)</f>
        <v>0</v>
      </c>
      <c r="I30" s="450">
        <f>'Transp. Camión con Acoplado'!B*(E30/60)</f>
        <v>0</v>
      </c>
      <c r="J30" s="450">
        <f>'Transp. Camión con Acoplado'!C_*(C30/60)</f>
        <v>0</v>
      </c>
      <c r="K30" s="450">
        <f>'Transp. Camión con Acoplado'!D*(E30/60)</f>
        <v>0</v>
      </c>
      <c r="L30" s="450">
        <f>'Transp. Camión con Acoplado'!E*(E30/60)</f>
        <v>0</v>
      </c>
      <c r="M30" s="450">
        <f>'Transp. Camión con Acoplado'!F_*G30</f>
        <v>0</v>
      </c>
      <c r="N30" s="450">
        <f t="shared" ref="N30:N64" si="2">Mano_Obra_Lavado*(E30/60)</f>
        <v>0</v>
      </c>
      <c r="O30" s="450">
        <f>+G30*'Transp. Camión con Acoplado'!G</f>
        <v>0</v>
      </c>
      <c r="P30" s="451">
        <f>IF(F30=0,0,ROUND(SUM(H30:O30)/F30,3))</f>
        <v>0</v>
      </c>
      <c r="R30" s="452"/>
    </row>
    <row r="31" spans="1:21" ht="15" customHeight="1" x14ac:dyDescent="0.2">
      <c r="A31" s="444">
        <v>60</v>
      </c>
      <c r="B31" s="453"/>
      <c r="C31" s="446">
        <f t="shared" ref="C31:C64" si="3">IF(B31=0,0,(2*A31*60)/B31)</f>
        <v>0</v>
      </c>
      <c r="D31" s="446"/>
      <c r="E31" s="446">
        <f t="shared" si="0"/>
        <v>0</v>
      </c>
      <c r="F31" s="454">
        <f t="shared" ref="F31:F64" si="4">A31*$E$21</f>
        <v>0</v>
      </c>
      <c r="G31" s="449">
        <f t="shared" si="1"/>
        <v>120</v>
      </c>
      <c r="H31" s="450">
        <f>'Transp. Camión con Acoplado'!A*(E31/60)</f>
        <v>0</v>
      </c>
      <c r="I31" s="450">
        <f>'Transp. Camión con Acoplado'!B*(E31/60)</f>
        <v>0</v>
      </c>
      <c r="J31" s="450">
        <f>'Transp. Camión con Acoplado'!C_*(C31/60)</f>
        <v>0</v>
      </c>
      <c r="K31" s="450">
        <f>'Transp. Camión con Acoplado'!D*(E31/60)</f>
        <v>0</v>
      </c>
      <c r="L31" s="450">
        <f>'Transp. Camión con Acoplado'!E*(E31/60)</f>
        <v>0</v>
      </c>
      <c r="M31" s="450">
        <f>'Transp. Camión con Acoplado'!F_*G31</f>
        <v>0</v>
      </c>
      <c r="N31" s="450">
        <f t="shared" si="2"/>
        <v>0</v>
      </c>
      <c r="O31" s="450">
        <f>+G31*'Transp. Camión con Acoplado'!G</f>
        <v>0</v>
      </c>
      <c r="P31" s="451">
        <f t="shared" ref="P31:P64" si="5">IF(F31=0,0,ROUND(SUM(H31:O31)/F31,3))</f>
        <v>0</v>
      </c>
      <c r="R31" s="452"/>
    </row>
    <row r="32" spans="1:21" ht="15" customHeight="1" x14ac:dyDescent="0.2">
      <c r="A32" s="444">
        <v>65</v>
      </c>
      <c r="B32" s="453"/>
      <c r="C32" s="446">
        <f t="shared" si="3"/>
        <v>0</v>
      </c>
      <c r="D32" s="446"/>
      <c r="E32" s="446">
        <f t="shared" si="0"/>
        <v>0</v>
      </c>
      <c r="F32" s="454">
        <f t="shared" si="4"/>
        <v>0</v>
      </c>
      <c r="G32" s="449">
        <f t="shared" si="1"/>
        <v>130</v>
      </c>
      <c r="H32" s="450">
        <f>'Transp. Camión con Acoplado'!A*(E32/60)</f>
        <v>0</v>
      </c>
      <c r="I32" s="450">
        <f>'Transp. Camión con Acoplado'!B*(E32/60)</f>
        <v>0</v>
      </c>
      <c r="J32" s="450">
        <f>'Transp. Camión con Acoplado'!C_*(C32/60)</f>
        <v>0</v>
      </c>
      <c r="K32" s="450">
        <f>'Transp. Camión con Acoplado'!D*(E32/60)</f>
        <v>0</v>
      </c>
      <c r="L32" s="450">
        <f>'Transp. Camión con Acoplado'!E*(E32/60)</f>
        <v>0</v>
      </c>
      <c r="M32" s="450">
        <f>'Transp. Camión con Acoplado'!F_*G32</f>
        <v>0</v>
      </c>
      <c r="N32" s="450">
        <f t="shared" si="2"/>
        <v>0</v>
      </c>
      <c r="O32" s="450">
        <f>+G32*'Transp. Camión con Acoplado'!G</f>
        <v>0</v>
      </c>
      <c r="P32" s="451">
        <f t="shared" si="5"/>
        <v>0</v>
      </c>
      <c r="R32" s="452"/>
    </row>
    <row r="33" spans="1:18" ht="15" customHeight="1" x14ac:dyDescent="0.2">
      <c r="A33" s="444">
        <v>70</v>
      </c>
      <c r="B33" s="453"/>
      <c r="C33" s="446">
        <f t="shared" si="3"/>
        <v>0</v>
      </c>
      <c r="D33" s="446"/>
      <c r="E33" s="446">
        <f t="shared" si="0"/>
        <v>0</v>
      </c>
      <c r="F33" s="454">
        <f t="shared" si="4"/>
        <v>0</v>
      </c>
      <c r="G33" s="449">
        <f t="shared" si="1"/>
        <v>140</v>
      </c>
      <c r="H33" s="450">
        <f>'Transp. Camión con Acoplado'!A*(E33/60)</f>
        <v>0</v>
      </c>
      <c r="I33" s="450">
        <f>'Transp. Camión con Acoplado'!B*(E33/60)</f>
        <v>0</v>
      </c>
      <c r="J33" s="450">
        <f>'Transp. Camión con Acoplado'!C_*(C33/60)</f>
        <v>0</v>
      </c>
      <c r="K33" s="450">
        <f>'Transp. Camión con Acoplado'!D*(E33/60)</f>
        <v>0</v>
      </c>
      <c r="L33" s="450">
        <f>'Transp. Camión con Acoplado'!E*(E33/60)</f>
        <v>0</v>
      </c>
      <c r="M33" s="450">
        <f>'Transp. Camión con Acoplado'!F_*G33</f>
        <v>0</v>
      </c>
      <c r="N33" s="450">
        <f t="shared" si="2"/>
        <v>0</v>
      </c>
      <c r="O33" s="450">
        <f>+G33*'Transp. Camión con Acoplado'!G</f>
        <v>0</v>
      </c>
      <c r="P33" s="451">
        <f t="shared" si="5"/>
        <v>0</v>
      </c>
      <c r="R33" s="452"/>
    </row>
    <row r="34" spans="1:18" ht="15" customHeight="1" x14ac:dyDescent="0.2">
      <c r="A34" s="444">
        <v>75</v>
      </c>
      <c r="B34" s="453"/>
      <c r="C34" s="446">
        <f t="shared" si="3"/>
        <v>0</v>
      </c>
      <c r="D34" s="446"/>
      <c r="E34" s="446">
        <f t="shared" si="0"/>
        <v>0</v>
      </c>
      <c r="F34" s="454">
        <f t="shared" si="4"/>
        <v>0</v>
      </c>
      <c r="G34" s="449">
        <f t="shared" si="1"/>
        <v>150</v>
      </c>
      <c r="H34" s="450">
        <f>'Transp. Camión con Acoplado'!A*(E34/60)</f>
        <v>0</v>
      </c>
      <c r="I34" s="450">
        <f>'Transp. Camión con Acoplado'!B*(E34/60)</f>
        <v>0</v>
      </c>
      <c r="J34" s="450">
        <f>'Transp. Camión con Acoplado'!C_*(C34/60)</f>
        <v>0</v>
      </c>
      <c r="K34" s="450">
        <f>'Transp. Camión con Acoplado'!D*(E34/60)</f>
        <v>0</v>
      </c>
      <c r="L34" s="450">
        <f>'Transp. Camión con Acoplado'!E*(E34/60)</f>
        <v>0</v>
      </c>
      <c r="M34" s="450">
        <f>'Transp. Camión con Acoplado'!F_*G34</f>
        <v>0</v>
      </c>
      <c r="N34" s="450">
        <f t="shared" si="2"/>
        <v>0</v>
      </c>
      <c r="O34" s="450">
        <f>+G34*'Transp. Camión con Acoplado'!G</f>
        <v>0</v>
      </c>
      <c r="P34" s="451">
        <f t="shared" si="5"/>
        <v>0</v>
      </c>
      <c r="R34" s="452"/>
    </row>
    <row r="35" spans="1:18" ht="15" customHeight="1" x14ac:dyDescent="0.2">
      <c r="A35" s="444">
        <v>80</v>
      </c>
      <c r="B35" s="453"/>
      <c r="C35" s="446">
        <f t="shared" si="3"/>
        <v>0</v>
      </c>
      <c r="D35" s="446"/>
      <c r="E35" s="446">
        <f t="shared" si="0"/>
        <v>0</v>
      </c>
      <c r="F35" s="454">
        <f t="shared" si="4"/>
        <v>0</v>
      </c>
      <c r="G35" s="449">
        <f t="shared" si="1"/>
        <v>160</v>
      </c>
      <c r="H35" s="450">
        <f>'Transp. Camión con Acoplado'!A*(E35/60)</f>
        <v>0</v>
      </c>
      <c r="I35" s="450">
        <f>'Transp. Camión con Acoplado'!B*(E35/60)</f>
        <v>0</v>
      </c>
      <c r="J35" s="450">
        <f>'Transp. Camión con Acoplado'!C_*(C35/60)</f>
        <v>0</v>
      </c>
      <c r="K35" s="450">
        <f>'Transp. Camión con Acoplado'!D*(E35/60)</f>
        <v>0</v>
      </c>
      <c r="L35" s="450">
        <f>'Transp. Camión con Acoplado'!E*(E35/60)</f>
        <v>0</v>
      </c>
      <c r="M35" s="450">
        <f>'Transp. Camión con Acoplado'!F_*G35</f>
        <v>0</v>
      </c>
      <c r="N35" s="450">
        <f t="shared" si="2"/>
        <v>0</v>
      </c>
      <c r="O35" s="450">
        <f>+G35*'Transp. Camión con Acoplado'!G</f>
        <v>0</v>
      </c>
      <c r="P35" s="451">
        <f t="shared" si="5"/>
        <v>0</v>
      </c>
      <c r="R35" s="452"/>
    </row>
    <row r="36" spans="1:18" ht="15" customHeight="1" x14ac:dyDescent="0.2">
      <c r="A36" s="444">
        <v>85</v>
      </c>
      <c r="B36" s="453"/>
      <c r="C36" s="446">
        <f t="shared" si="3"/>
        <v>0</v>
      </c>
      <c r="D36" s="446"/>
      <c r="E36" s="446">
        <f t="shared" si="0"/>
        <v>0</v>
      </c>
      <c r="F36" s="454">
        <f t="shared" si="4"/>
        <v>0</v>
      </c>
      <c r="G36" s="449">
        <f t="shared" si="1"/>
        <v>170</v>
      </c>
      <c r="H36" s="450">
        <f>'Transp. Camión con Acoplado'!A*(E36/60)</f>
        <v>0</v>
      </c>
      <c r="I36" s="450">
        <f>'Transp. Camión con Acoplado'!B*(E36/60)</f>
        <v>0</v>
      </c>
      <c r="J36" s="450">
        <f>'Transp. Camión con Acoplado'!C_*(C36/60)</f>
        <v>0</v>
      </c>
      <c r="K36" s="450">
        <f>'Transp. Camión con Acoplado'!D*(E36/60)</f>
        <v>0</v>
      </c>
      <c r="L36" s="450">
        <f>'Transp. Camión con Acoplado'!E*(E36/60)</f>
        <v>0</v>
      </c>
      <c r="M36" s="450">
        <f>'Transp. Camión con Acoplado'!F_*G36</f>
        <v>0</v>
      </c>
      <c r="N36" s="450">
        <f t="shared" si="2"/>
        <v>0</v>
      </c>
      <c r="O36" s="450">
        <f>+G36*'Transp. Camión con Acoplado'!G</f>
        <v>0</v>
      </c>
      <c r="P36" s="451">
        <f t="shared" si="5"/>
        <v>0</v>
      </c>
      <c r="R36" s="452"/>
    </row>
    <row r="37" spans="1:18" ht="15" customHeight="1" x14ac:dyDescent="0.2">
      <c r="A37" s="444">
        <v>90</v>
      </c>
      <c r="B37" s="453"/>
      <c r="C37" s="446">
        <f t="shared" si="3"/>
        <v>0</v>
      </c>
      <c r="D37" s="446"/>
      <c r="E37" s="446">
        <f t="shared" si="0"/>
        <v>0</v>
      </c>
      <c r="F37" s="454">
        <f t="shared" si="4"/>
        <v>0</v>
      </c>
      <c r="G37" s="449">
        <f t="shared" si="1"/>
        <v>180</v>
      </c>
      <c r="H37" s="450">
        <f>'Transp. Camión con Acoplado'!A*(E37/60)</f>
        <v>0</v>
      </c>
      <c r="I37" s="450">
        <f>'Transp. Camión con Acoplado'!B*(E37/60)</f>
        <v>0</v>
      </c>
      <c r="J37" s="450">
        <f>'Transp. Camión con Acoplado'!C_*(C37/60)</f>
        <v>0</v>
      </c>
      <c r="K37" s="450">
        <f>'Transp. Camión con Acoplado'!D*(E37/60)</f>
        <v>0</v>
      </c>
      <c r="L37" s="450">
        <f>'Transp. Camión con Acoplado'!E*(E37/60)</f>
        <v>0</v>
      </c>
      <c r="M37" s="450">
        <f>'Transp. Camión con Acoplado'!F_*G37</f>
        <v>0</v>
      </c>
      <c r="N37" s="450">
        <f t="shared" si="2"/>
        <v>0</v>
      </c>
      <c r="O37" s="450">
        <f>+G37*'Transp. Camión con Acoplado'!G</f>
        <v>0</v>
      </c>
      <c r="P37" s="451">
        <f t="shared" si="5"/>
        <v>0</v>
      </c>
      <c r="R37" s="452"/>
    </row>
    <row r="38" spans="1:18" ht="15" customHeight="1" x14ac:dyDescent="0.2">
      <c r="A38" s="444">
        <v>95</v>
      </c>
      <c r="B38" s="453"/>
      <c r="C38" s="446">
        <f t="shared" si="3"/>
        <v>0</v>
      </c>
      <c r="D38" s="446"/>
      <c r="E38" s="446">
        <f t="shared" si="0"/>
        <v>0</v>
      </c>
      <c r="F38" s="454">
        <f t="shared" si="4"/>
        <v>0</v>
      </c>
      <c r="G38" s="449">
        <f t="shared" si="1"/>
        <v>190</v>
      </c>
      <c r="H38" s="450">
        <f>'Transp. Camión con Acoplado'!A*(E38/60)</f>
        <v>0</v>
      </c>
      <c r="I38" s="450">
        <f>'Transp. Camión con Acoplado'!B*(E38/60)</f>
        <v>0</v>
      </c>
      <c r="J38" s="450">
        <f>'Transp. Camión con Acoplado'!C_*(C38/60)</f>
        <v>0</v>
      </c>
      <c r="K38" s="450">
        <f>'Transp. Camión con Acoplado'!D*(E38/60)</f>
        <v>0</v>
      </c>
      <c r="L38" s="450">
        <f>'Transp. Camión con Acoplado'!E*(E38/60)</f>
        <v>0</v>
      </c>
      <c r="M38" s="450">
        <f>'Transp. Camión con Acoplado'!F_*G38</f>
        <v>0</v>
      </c>
      <c r="N38" s="450">
        <f t="shared" si="2"/>
        <v>0</v>
      </c>
      <c r="O38" s="450">
        <f>+G38*'Transp. Camión con Acoplado'!G</f>
        <v>0</v>
      </c>
      <c r="P38" s="451">
        <f t="shared" si="5"/>
        <v>0</v>
      </c>
      <c r="R38" s="452"/>
    </row>
    <row r="39" spans="1:18" ht="15" customHeight="1" x14ac:dyDescent="0.2">
      <c r="A39" s="444">
        <v>100</v>
      </c>
      <c r="B39" s="453"/>
      <c r="C39" s="446">
        <f t="shared" si="3"/>
        <v>0</v>
      </c>
      <c r="D39" s="446"/>
      <c r="E39" s="446">
        <f t="shared" si="0"/>
        <v>0</v>
      </c>
      <c r="F39" s="454">
        <f t="shared" si="4"/>
        <v>0</v>
      </c>
      <c r="G39" s="449">
        <f t="shared" si="1"/>
        <v>200</v>
      </c>
      <c r="H39" s="450">
        <f>'Transp. Camión con Acoplado'!A*(E39/60)</f>
        <v>0</v>
      </c>
      <c r="I39" s="450">
        <f>'Transp. Camión con Acoplado'!B*(E39/60)</f>
        <v>0</v>
      </c>
      <c r="J39" s="450">
        <f>'Transp. Camión con Acoplado'!C_*(C39/60)</f>
        <v>0</v>
      </c>
      <c r="K39" s="450">
        <f>'Transp. Camión con Acoplado'!D*(E39/60)</f>
        <v>0</v>
      </c>
      <c r="L39" s="450">
        <f>'Transp. Camión con Acoplado'!E*(E39/60)</f>
        <v>0</v>
      </c>
      <c r="M39" s="450">
        <f>'Transp. Camión con Acoplado'!F_*G39</f>
        <v>0</v>
      </c>
      <c r="N39" s="450">
        <f t="shared" si="2"/>
        <v>0</v>
      </c>
      <c r="O39" s="450">
        <f>+G39*'Transp. Camión con Acoplado'!G</f>
        <v>0</v>
      </c>
      <c r="P39" s="451">
        <f t="shared" si="5"/>
        <v>0</v>
      </c>
      <c r="R39" s="452"/>
    </row>
    <row r="40" spans="1:18" ht="15" customHeight="1" x14ac:dyDescent="0.2">
      <c r="A40" s="444">
        <v>105</v>
      </c>
      <c r="B40" s="453"/>
      <c r="C40" s="446">
        <f t="shared" si="3"/>
        <v>0</v>
      </c>
      <c r="D40" s="446"/>
      <c r="E40" s="446">
        <f t="shared" si="0"/>
        <v>0</v>
      </c>
      <c r="F40" s="454">
        <f t="shared" si="4"/>
        <v>0</v>
      </c>
      <c r="G40" s="449">
        <f t="shared" si="1"/>
        <v>210</v>
      </c>
      <c r="H40" s="450">
        <f>'Transp. Camión con Acoplado'!A*(E40/60)</f>
        <v>0</v>
      </c>
      <c r="I40" s="450">
        <f>'Transp. Camión con Acoplado'!B*(E40/60)</f>
        <v>0</v>
      </c>
      <c r="J40" s="450">
        <f>'Transp. Camión con Acoplado'!C_*(C40/60)</f>
        <v>0</v>
      </c>
      <c r="K40" s="450">
        <f>'Transp. Camión con Acoplado'!D*(E40/60)</f>
        <v>0</v>
      </c>
      <c r="L40" s="450">
        <f>'Transp. Camión con Acoplado'!E*(E40/60)</f>
        <v>0</v>
      </c>
      <c r="M40" s="450">
        <f>'Transp. Camión con Acoplado'!F_*G40</f>
        <v>0</v>
      </c>
      <c r="N40" s="450">
        <f t="shared" si="2"/>
        <v>0</v>
      </c>
      <c r="O40" s="450">
        <f>+G40*'Transp. Camión con Acoplado'!G</f>
        <v>0</v>
      </c>
      <c r="P40" s="451">
        <f t="shared" si="5"/>
        <v>0</v>
      </c>
      <c r="R40" s="452"/>
    </row>
    <row r="41" spans="1:18" ht="15" customHeight="1" x14ac:dyDescent="0.2">
      <c r="A41" s="444">
        <v>110</v>
      </c>
      <c r="B41" s="453"/>
      <c r="C41" s="446">
        <f t="shared" si="3"/>
        <v>0</v>
      </c>
      <c r="D41" s="446"/>
      <c r="E41" s="446">
        <f t="shared" si="0"/>
        <v>0</v>
      </c>
      <c r="F41" s="454">
        <f t="shared" si="4"/>
        <v>0</v>
      </c>
      <c r="G41" s="449">
        <f t="shared" si="1"/>
        <v>220</v>
      </c>
      <c r="H41" s="450">
        <f>'Transp. Camión con Acoplado'!A*(E41/60)</f>
        <v>0</v>
      </c>
      <c r="I41" s="450">
        <f>'Transp. Camión con Acoplado'!B*(E41/60)</f>
        <v>0</v>
      </c>
      <c r="J41" s="450">
        <f>'Transp. Camión con Acoplado'!C_*(C41/60)</f>
        <v>0</v>
      </c>
      <c r="K41" s="450">
        <f>'Transp. Camión con Acoplado'!D*(E41/60)</f>
        <v>0</v>
      </c>
      <c r="L41" s="450">
        <f>'Transp. Camión con Acoplado'!E*(E41/60)</f>
        <v>0</v>
      </c>
      <c r="M41" s="450">
        <f>'Transp. Camión con Acoplado'!F_*G41</f>
        <v>0</v>
      </c>
      <c r="N41" s="450">
        <f t="shared" si="2"/>
        <v>0</v>
      </c>
      <c r="O41" s="450">
        <f>+G41*'Transp. Camión con Acoplado'!G</f>
        <v>0</v>
      </c>
      <c r="P41" s="451">
        <f t="shared" si="5"/>
        <v>0</v>
      </c>
      <c r="R41" s="452"/>
    </row>
    <row r="42" spans="1:18" ht="15" customHeight="1" x14ac:dyDescent="0.2">
      <c r="A42" s="444">
        <v>120</v>
      </c>
      <c r="B42" s="453"/>
      <c r="C42" s="446">
        <f t="shared" si="3"/>
        <v>0</v>
      </c>
      <c r="D42" s="446"/>
      <c r="E42" s="446">
        <f t="shared" si="0"/>
        <v>0</v>
      </c>
      <c r="F42" s="454">
        <f t="shared" si="4"/>
        <v>0</v>
      </c>
      <c r="G42" s="449">
        <f t="shared" si="1"/>
        <v>240</v>
      </c>
      <c r="H42" s="450">
        <f>'Transp. Camión con Acoplado'!A*(E42/60)</f>
        <v>0</v>
      </c>
      <c r="I42" s="450">
        <f>'Transp. Camión con Acoplado'!B*(E42/60)</f>
        <v>0</v>
      </c>
      <c r="J42" s="450">
        <f>'Transp. Camión con Acoplado'!C_*(C42/60)</f>
        <v>0</v>
      </c>
      <c r="K42" s="450">
        <f>'Transp. Camión con Acoplado'!D*(E42/60)</f>
        <v>0</v>
      </c>
      <c r="L42" s="450">
        <f>'Transp. Camión con Acoplado'!E*(E42/60)</f>
        <v>0</v>
      </c>
      <c r="M42" s="450">
        <f>'Transp. Camión con Acoplado'!F_*G42</f>
        <v>0</v>
      </c>
      <c r="N42" s="450">
        <f t="shared" si="2"/>
        <v>0</v>
      </c>
      <c r="O42" s="450">
        <f>+G42*'Transp. Camión con Acoplado'!G</f>
        <v>0</v>
      </c>
      <c r="P42" s="451">
        <f t="shared" si="5"/>
        <v>0</v>
      </c>
      <c r="R42" s="452"/>
    </row>
    <row r="43" spans="1:18" ht="15" customHeight="1" x14ac:dyDescent="0.2">
      <c r="A43" s="444">
        <v>130</v>
      </c>
      <c r="B43" s="453"/>
      <c r="C43" s="446">
        <f t="shared" si="3"/>
        <v>0</v>
      </c>
      <c r="D43" s="446"/>
      <c r="E43" s="446">
        <f t="shared" si="0"/>
        <v>0</v>
      </c>
      <c r="F43" s="454">
        <f t="shared" si="4"/>
        <v>0</v>
      </c>
      <c r="G43" s="449">
        <f t="shared" si="1"/>
        <v>260</v>
      </c>
      <c r="H43" s="450">
        <f>'Transp. Camión con Acoplado'!A*(E43/60)</f>
        <v>0</v>
      </c>
      <c r="I43" s="450">
        <f>'Transp. Camión con Acoplado'!B*(E43/60)</f>
        <v>0</v>
      </c>
      <c r="J43" s="450">
        <f>'Transp. Camión con Acoplado'!C_*(C43/60)</f>
        <v>0</v>
      </c>
      <c r="K43" s="450">
        <f>'Transp. Camión con Acoplado'!D*(E43/60)</f>
        <v>0</v>
      </c>
      <c r="L43" s="450">
        <f>'Transp. Camión con Acoplado'!E*(E43/60)</f>
        <v>0</v>
      </c>
      <c r="M43" s="450">
        <f>'Transp. Camión con Acoplado'!F_*G43</f>
        <v>0</v>
      </c>
      <c r="N43" s="450">
        <f t="shared" si="2"/>
        <v>0</v>
      </c>
      <c r="O43" s="450">
        <f>+G43*'Transp. Camión con Acoplado'!G</f>
        <v>0</v>
      </c>
      <c r="P43" s="451">
        <f t="shared" si="5"/>
        <v>0</v>
      </c>
      <c r="R43" s="452"/>
    </row>
    <row r="44" spans="1:18" ht="15" customHeight="1" x14ac:dyDescent="0.2">
      <c r="A44" s="444">
        <v>140</v>
      </c>
      <c r="B44" s="453"/>
      <c r="C44" s="446">
        <f t="shared" si="3"/>
        <v>0</v>
      </c>
      <c r="D44" s="446"/>
      <c r="E44" s="446">
        <f t="shared" si="0"/>
        <v>0</v>
      </c>
      <c r="F44" s="454">
        <f t="shared" si="4"/>
        <v>0</v>
      </c>
      <c r="G44" s="449">
        <f t="shared" si="1"/>
        <v>280</v>
      </c>
      <c r="H44" s="450">
        <f>'Transp. Camión con Acoplado'!A*(E44/60)</f>
        <v>0</v>
      </c>
      <c r="I44" s="450">
        <f>'Transp. Camión con Acoplado'!B*(E44/60)</f>
        <v>0</v>
      </c>
      <c r="J44" s="450">
        <f>'Transp. Camión con Acoplado'!C_*(C44/60)</f>
        <v>0</v>
      </c>
      <c r="K44" s="450">
        <f>'Transp. Camión con Acoplado'!D*(E44/60)</f>
        <v>0</v>
      </c>
      <c r="L44" s="450">
        <f>'Transp. Camión con Acoplado'!E*(E44/60)</f>
        <v>0</v>
      </c>
      <c r="M44" s="450">
        <f>'Transp. Camión con Acoplado'!F_*G44</f>
        <v>0</v>
      </c>
      <c r="N44" s="450">
        <f t="shared" si="2"/>
        <v>0</v>
      </c>
      <c r="O44" s="450">
        <f>+G44*'Transp. Camión con Acoplado'!G</f>
        <v>0</v>
      </c>
      <c r="P44" s="451">
        <f t="shared" si="5"/>
        <v>0</v>
      </c>
      <c r="R44" s="452"/>
    </row>
    <row r="45" spans="1:18" ht="15" customHeight="1" x14ac:dyDescent="0.2">
      <c r="A45" s="444">
        <v>150</v>
      </c>
      <c r="B45" s="453"/>
      <c r="C45" s="446">
        <f t="shared" si="3"/>
        <v>0</v>
      </c>
      <c r="D45" s="446"/>
      <c r="E45" s="446">
        <f t="shared" si="0"/>
        <v>0</v>
      </c>
      <c r="F45" s="454">
        <f t="shared" si="4"/>
        <v>0</v>
      </c>
      <c r="G45" s="449">
        <f t="shared" si="1"/>
        <v>300</v>
      </c>
      <c r="H45" s="450">
        <f>'Transp. Camión con Acoplado'!A*(E45/60)</f>
        <v>0</v>
      </c>
      <c r="I45" s="450">
        <f>'Transp. Camión con Acoplado'!B*(E45/60)</f>
        <v>0</v>
      </c>
      <c r="J45" s="450">
        <f>'Transp. Camión con Acoplado'!C_*(C45/60)</f>
        <v>0</v>
      </c>
      <c r="K45" s="450">
        <f>'Transp. Camión con Acoplado'!D*(E45/60)</f>
        <v>0</v>
      </c>
      <c r="L45" s="450">
        <f>'Transp. Camión con Acoplado'!E*(E45/60)</f>
        <v>0</v>
      </c>
      <c r="M45" s="450">
        <f>'Transp. Camión con Acoplado'!F_*G45</f>
        <v>0</v>
      </c>
      <c r="N45" s="450">
        <f t="shared" si="2"/>
        <v>0</v>
      </c>
      <c r="O45" s="450">
        <f>+G45*'Transp. Camión con Acoplado'!G</f>
        <v>0</v>
      </c>
      <c r="P45" s="451">
        <f t="shared" si="5"/>
        <v>0</v>
      </c>
      <c r="R45" s="452"/>
    </row>
    <row r="46" spans="1:18" ht="15" customHeight="1" x14ac:dyDescent="0.2">
      <c r="A46" s="444">
        <v>160</v>
      </c>
      <c r="B46" s="453"/>
      <c r="C46" s="446">
        <f t="shared" si="3"/>
        <v>0</v>
      </c>
      <c r="D46" s="446"/>
      <c r="E46" s="446">
        <f t="shared" si="0"/>
        <v>0</v>
      </c>
      <c r="F46" s="454">
        <f t="shared" si="4"/>
        <v>0</v>
      </c>
      <c r="G46" s="449">
        <f t="shared" si="1"/>
        <v>320</v>
      </c>
      <c r="H46" s="450">
        <f>'Transp. Camión con Acoplado'!A*(E46/60)</f>
        <v>0</v>
      </c>
      <c r="I46" s="450">
        <f>'Transp. Camión con Acoplado'!B*(E46/60)</f>
        <v>0</v>
      </c>
      <c r="J46" s="450">
        <f>'Transp. Camión con Acoplado'!C_*(C46/60)</f>
        <v>0</v>
      </c>
      <c r="K46" s="450">
        <f>'Transp. Camión con Acoplado'!D*(E46/60)</f>
        <v>0</v>
      </c>
      <c r="L46" s="450">
        <f>'Transp. Camión con Acoplado'!E*(E46/60)</f>
        <v>0</v>
      </c>
      <c r="M46" s="450">
        <f>'Transp. Camión con Acoplado'!F_*G46</f>
        <v>0</v>
      </c>
      <c r="N46" s="450">
        <f t="shared" si="2"/>
        <v>0</v>
      </c>
      <c r="O46" s="450">
        <f>+G46*'Transp. Camión con Acoplado'!G</f>
        <v>0</v>
      </c>
      <c r="P46" s="451">
        <f t="shared" si="5"/>
        <v>0</v>
      </c>
      <c r="R46" s="452"/>
    </row>
    <row r="47" spans="1:18" ht="15" customHeight="1" x14ac:dyDescent="0.2">
      <c r="A47" s="444">
        <v>170</v>
      </c>
      <c r="B47" s="453"/>
      <c r="C47" s="446">
        <f t="shared" si="3"/>
        <v>0</v>
      </c>
      <c r="D47" s="446"/>
      <c r="E47" s="446">
        <f t="shared" si="0"/>
        <v>0</v>
      </c>
      <c r="F47" s="454">
        <f t="shared" si="4"/>
        <v>0</v>
      </c>
      <c r="G47" s="449">
        <f t="shared" si="1"/>
        <v>340</v>
      </c>
      <c r="H47" s="450">
        <f>'Transp. Camión con Acoplado'!A*(E47/60)</f>
        <v>0</v>
      </c>
      <c r="I47" s="450">
        <f>'Transp. Camión con Acoplado'!B*(E47/60)</f>
        <v>0</v>
      </c>
      <c r="J47" s="450">
        <f>'Transp. Camión con Acoplado'!C_*(C47/60)</f>
        <v>0</v>
      </c>
      <c r="K47" s="450">
        <f>'Transp. Camión con Acoplado'!D*(E47/60)</f>
        <v>0</v>
      </c>
      <c r="L47" s="450">
        <f>'Transp. Camión con Acoplado'!E*(E47/60)</f>
        <v>0</v>
      </c>
      <c r="M47" s="450">
        <f>'Transp. Camión con Acoplado'!F_*G47</f>
        <v>0</v>
      </c>
      <c r="N47" s="450">
        <f t="shared" si="2"/>
        <v>0</v>
      </c>
      <c r="O47" s="450">
        <f>+G47*'Transp. Camión con Acoplado'!G</f>
        <v>0</v>
      </c>
      <c r="P47" s="451">
        <f t="shared" si="5"/>
        <v>0</v>
      </c>
      <c r="R47" s="452"/>
    </row>
    <row r="48" spans="1:18" ht="15" customHeight="1" x14ac:dyDescent="0.2">
      <c r="A48" s="444">
        <v>180</v>
      </c>
      <c r="B48" s="453"/>
      <c r="C48" s="446">
        <f t="shared" si="3"/>
        <v>0</v>
      </c>
      <c r="D48" s="446"/>
      <c r="E48" s="446">
        <f t="shared" si="0"/>
        <v>0</v>
      </c>
      <c r="F48" s="454">
        <f t="shared" si="4"/>
        <v>0</v>
      </c>
      <c r="G48" s="449">
        <f t="shared" si="1"/>
        <v>360</v>
      </c>
      <c r="H48" s="450">
        <f>'Transp. Camión con Acoplado'!A*(E48/60)</f>
        <v>0</v>
      </c>
      <c r="I48" s="450">
        <f>'Transp. Camión con Acoplado'!B*(E48/60)</f>
        <v>0</v>
      </c>
      <c r="J48" s="450">
        <f>'Transp. Camión con Acoplado'!C_*(C48/60)</f>
        <v>0</v>
      </c>
      <c r="K48" s="450">
        <f>'Transp. Camión con Acoplado'!D*(E48/60)</f>
        <v>0</v>
      </c>
      <c r="L48" s="450">
        <f>'Transp. Camión con Acoplado'!E*(E48/60)</f>
        <v>0</v>
      </c>
      <c r="M48" s="450">
        <f>'Transp. Camión con Acoplado'!F_*G48</f>
        <v>0</v>
      </c>
      <c r="N48" s="450">
        <f t="shared" si="2"/>
        <v>0</v>
      </c>
      <c r="O48" s="450">
        <f>+G48*'Transp. Camión con Acoplado'!G</f>
        <v>0</v>
      </c>
      <c r="P48" s="451">
        <f t="shared" si="5"/>
        <v>0</v>
      </c>
      <c r="R48" s="452"/>
    </row>
    <row r="49" spans="1:18" ht="15" customHeight="1" x14ac:dyDescent="0.2">
      <c r="A49" s="444">
        <v>200</v>
      </c>
      <c r="B49" s="453"/>
      <c r="C49" s="446">
        <f t="shared" si="3"/>
        <v>0</v>
      </c>
      <c r="D49" s="446"/>
      <c r="E49" s="446">
        <f t="shared" si="0"/>
        <v>0</v>
      </c>
      <c r="F49" s="454">
        <f t="shared" si="4"/>
        <v>0</v>
      </c>
      <c r="G49" s="449">
        <f t="shared" si="1"/>
        <v>400</v>
      </c>
      <c r="H49" s="450">
        <f>'Transp. Camión con Acoplado'!A*(E49/60)</f>
        <v>0</v>
      </c>
      <c r="I49" s="450">
        <f>'Transp. Camión con Acoplado'!B*(E49/60)</f>
        <v>0</v>
      </c>
      <c r="J49" s="450">
        <f>'Transp. Camión con Acoplado'!C_*(C49/60)</f>
        <v>0</v>
      </c>
      <c r="K49" s="450">
        <f>'Transp. Camión con Acoplado'!D*(E49/60)</f>
        <v>0</v>
      </c>
      <c r="L49" s="450">
        <f>'Transp. Camión con Acoplado'!E*(E49/60)</f>
        <v>0</v>
      </c>
      <c r="M49" s="450">
        <f>'Transp. Camión con Acoplado'!F_*G49</f>
        <v>0</v>
      </c>
      <c r="N49" s="450">
        <f t="shared" si="2"/>
        <v>0</v>
      </c>
      <c r="O49" s="450">
        <f>+G49*'Transp. Camión con Acoplado'!G</f>
        <v>0</v>
      </c>
      <c r="P49" s="451">
        <f t="shared" si="5"/>
        <v>0</v>
      </c>
      <c r="R49" s="452"/>
    </row>
    <row r="50" spans="1:18" ht="15" customHeight="1" x14ac:dyDescent="0.2">
      <c r="A50" s="444">
        <v>225</v>
      </c>
      <c r="B50" s="453"/>
      <c r="C50" s="446">
        <f t="shared" si="3"/>
        <v>0</v>
      </c>
      <c r="D50" s="446"/>
      <c r="E50" s="446">
        <f t="shared" si="0"/>
        <v>0</v>
      </c>
      <c r="F50" s="454">
        <f t="shared" si="4"/>
        <v>0</v>
      </c>
      <c r="G50" s="449">
        <f t="shared" si="1"/>
        <v>450</v>
      </c>
      <c r="H50" s="450">
        <f>'Transp. Camión con Acoplado'!A*(E50/60)</f>
        <v>0</v>
      </c>
      <c r="I50" s="450">
        <f>'Transp. Camión con Acoplado'!B*(E50/60)</f>
        <v>0</v>
      </c>
      <c r="J50" s="450">
        <f>'Transp. Camión con Acoplado'!C_*(C50/60)</f>
        <v>0</v>
      </c>
      <c r="K50" s="450">
        <f>'Transp. Camión con Acoplado'!D*(E50/60)</f>
        <v>0</v>
      </c>
      <c r="L50" s="450">
        <f>'Transp. Camión con Acoplado'!E*(E50/60)</f>
        <v>0</v>
      </c>
      <c r="M50" s="450">
        <f>'Transp. Camión con Acoplado'!F_*G50</f>
        <v>0</v>
      </c>
      <c r="N50" s="450">
        <f t="shared" si="2"/>
        <v>0</v>
      </c>
      <c r="O50" s="450">
        <f>+G50*'Transp. Camión con Acoplado'!G</f>
        <v>0</v>
      </c>
      <c r="P50" s="451">
        <f t="shared" si="5"/>
        <v>0</v>
      </c>
      <c r="R50" s="452"/>
    </row>
    <row r="51" spans="1:18" ht="15" customHeight="1" x14ac:dyDescent="0.2">
      <c r="A51" s="444">
        <v>250</v>
      </c>
      <c r="B51" s="453"/>
      <c r="C51" s="446">
        <f t="shared" si="3"/>
        <v>0</v>
      </c>
      <c r="D51" s="446"/>
      <c r="E51" s="446">
        <f t="shared" si="0"/>
        <v>0</v>
      </c>
      <c r="F51" s="454">
        <f t="shared" si="4"/>
        <v>0</v>
      </c>
      <c r="G51" s="449">
        <f t="shared" si="1"/>
        <v>500</v>
      </c>
      <c r="H51" s="450">
        <f>'Transp. Camión con Acoplado'!A*(E51/60)</f>
        <v>0</v>
      </c>
      <c r="I51" s="450">
        <f>'Transp. Camión con Acoplado'!B*(E51/60)</f>
        <v>0</v>
      </c>
      <c r="J51" s="450">
        <f>'Transp. Camión con Acoplado'!C_*(C51/60)</f>
        <v>0</v>
      </c>
      <c r="K51" s="450">
        <f>'Transp. Camión con Acoplado'!D*(E51/60)</f>
        <v>0</v>
      </c>
      <c r="L51" s="450">
        <f>'Transp. Camión con Acoplado'!E*(E51/60)</f>
        <v>0</v>
      </c>
      <c r="M51" s="450">
        <f>'Transp. Camión con Acoplado'!F_*G51</f>
        <v>0</v>
      </c>
      <c r="N51" s="450">
        <f t="shared" si="2"/>
        <v>0</v>
      </c>
      <c r="O51" s="450">
        <f>+G51*'Transp. Camión con Acoplado'!G</f>
        <v>0</v>
      </c>
      <c r="P51" s="451">
        <f t="shared" si="5"/>
        <v>0</v>
      </c>
      <c r="R51" s="452"/>
    </row>
    <row r="52" spans="1:18" ht="15" customHeight="1" x14ac:dyDescent="0.2">
      <c r="A52" s="444">
        <v>275</v>
      </c>
      <c r="B52" s="453"/>
      <c r="C52" s="446">
        <f t="shared" si="3"/>
        <v>0</v>
      </c>
      <c r="D52" s="446"/>
      <c r="E52" s="446">
        <f t="shared" si="0"/>
        <v>0</v>
      </c>
      <c r="F52" s="454">
        <f t="shared" si="4"/>
        <v>0</v>
      </c>
      <c r="G52" s="449">
        <f t="shared" si="1"/>
        <v>550</v>
      </c>
      <c r="H52" s="450">
        <f>'Transp. Camión con Acoplado'!A*(E52/60)</f>
        <v>0</v>
      </c>
      <c r="I52" s="450">
        <f>'Transp. Camión con Acoplado'!B*(E52/60)</f>
        <v>0</v>
      </c>
      <c r="J52" s="450">
        <f>'Transp. Camión con Acoplado'!C_*(C52/60)</f>
        <v>0</v>
      </c>
      <c r="K52" s="450">
        <f>'Transp. Camión con Acoplado'!D*(E52/60)</f>
        <v>0</v>
      </c>
      <c r="L52" s="450">
        <f>'Transp. Camión con Acoplado'!E*(E52/60)</f>
        <v>0</v>
      </c>
      <c r="M52" s="450">
        <f>'Transp. Camión con Acoplado'!F_*G52</f>
        <v>0</v>
      </c>
      <c r="N52" s="450">
        <f t="shared" si="2"/>
        <v>0</v>
      </c>
      <c r="O52" s="450">
        <f>+G52*'Transp. Camión con Acoplado'!G</f>
        <v>0</v>
      </c>
      <c r="P52" s="451">
        <f t="shared" si="5"/>
        <v>0</v>
      </c>
      <c r="R52" s="452"/>
    </row>
    <row r="53" spans="1:18" ht="15" customHeight="1" x14ac:dyDescent="0.2">
      <c r="A53" s="444">
        <v>300</v>
      </c>
      <c r="B53" s="453"/>
      <c r="C53" s="446">
        <f t="shared" si="3"/>
        <v>0</v>
      </c>
      <c r="D53" s="446"/>
      <c r="E53" s="446">
        <f t="shared" si="0"/>
        <v>0</v>
      </c>
      <c r="F53" s="454">
        <f t="shared" si="4"/>
        <v>0</v>
      </c>
      <c r="G53" s="449">
        <f t="shared" si="1"/>
        <v>600</v>
      </c>
      <c r="H53" s="450">
        <f>'Transp. Camión con Acoplado'!A*(E53/60)</f>
        <v>0</v>
      </c>
      <c r="I53" s="450">
        <f>'Transp. Camión con Acoplado'!B*(E53/60)</f>
        <v>0</v>
      </c>
      <c r="J53" s="450">
        <f>'Transp. Camión con Acoplado'!C_*(C53/60)</f>
        <v>0</v>
      </c>
      <c r="K53" s="450">
        <f>'Transp. Camión con Acoplado'!D*(E53/60)</f>
        <v>0</v>
      </c>
      <c r="L53" s="450">
        <f>'Transp. Camión con Acoplado'!E*(E53/60)</f>
        <v>0</v>
      </c>
      <c r="M53" s="450">
        <f>'Transp. Camión con Acoplado'!F_*G53</f>
        <v>0</v>
      </c>
      <c r="N53" s="450">
        <f t="shared" si="2"/>
        <v>0</v>
      </c>
      <c r="O53" s="450">
        <f>+G53*'Transp. Camión con Acoplado'!G</f>
        <v>0</v>
      </c>
      <c r="P53" s="451">
        <f t="shared" si="5"/>
        <v>0</v>
      </c>
      <c r="R53" s="452"/>
    </row>
    <row r="54" spans="1:18" ht="15" customHeight="1" x14ac:dyDescent="0.2">
      <c r="A54" s="444">
        <v>325</v>
      </c>
      <c r="B54" s="453"/>
      <c r="C54" s="446">
        <f t="shared" si="3"/>
        <v>0</v>
      </c>
      <c r="D54" s="446"/>
      <c r="E54" s="446">
        <f t="shared" si="0"/>
        <v>0</v>
      </c>
      <c r="F54" s="454">
        <f t="shared" si="4"/>
        <v>0</v>
      </c>
      <c r="G54" s="449">
        <f t="shared" si="1"/>
        <v>650</v>
      </c>
      <c r="H54" s="450">
        <f>'Transp. Camión con Acoplado'!A*(E54/60)</f>
        <v>0</v>
      </c>
      <c r="I54" s="450">
        <f>'Transp. Camión con Acoplado'!B*(E54/60)</f>
        <v>0</v>
      </c>
      <c r="J54" s="450">
        <f>'Transp. Camión con Acoplado'!C_*(C54/60)</f>
        <v>0</v>
      </c>
      <c r="K54" s="450">
        <f>'Transp. Camión con Acoplado'!D*(E54/60)</f>
        <v>0</v>
      </c>
      <c r="L54" s="450">
        <f>'Transp. Camión con Acoplado'!E*(E54/60)</f>
        <v>0</v>
      </c>
      <c r="M54" s="450">
        <f>'Transp. Camión con Acoplado'!F_*G54</f>
        <v>0</v>
      </c>
      <c r="N54" s="450">
        <f t="shared" si="2"/>
        <v>0</v>
      </c>
      <c r="O54" s="450">
        <f>+G54*'Transp. Camión con Acoplado'!G</f>
        <v>0</v>
      </c>
      <c r="P54" s="451">
        <f t="shared" si="5"/>
        <v>0</v>
      </c>
      <c r="R54" s="452"/>
    </row>
    <row r="55" spans="1:18" ht="15" customHeight="1" x14ac:dyDescent="0.2">
      <c r="A55" s="444">
        <v>350</v>
      </c>
      <c r="B55" s="453"/>
      <c r="C55" s="446">
        <f t="shared" si="3"/>
        <v>0</v>
      </c>
      <c r="D55" s="446"/>
      <c r="E55" s="446">
        <f t="shared" si="0"/>
        <v>0</v>
      </c>
      <c r="F55" s="454">
        <f t="shared" si="4"/>
        <v>0</v>
      </c>
      <c r="G55" s="449">
        <f t="shared" si="1"/>
        <v>700</v>
      </c>
      <c r="H55" s="450">
        <f>'Transp. Camión con Acoplado'!A*(E55/60)</f>
        <v>0</v>
      </c>
      <c r="I55" s="450">
        <f>'Transp. Camión con Acoplado'!B*(E55/60)</f>
        <v>0</v>
      </c>
      <c r="J55" s="450">
        <f>'Transp. Camión con Acoplado'!C_*(C55/60)</f>
        <v>0</v>
      </c>
      <c r="K55" s="450">
        <f>'Transp. Camión con Acoplado'!D*(E55/60)</f>
        <v>0</v>
      </c>
      <c r="L55" s="450">
        <f>'Transp. Camión con Acoplado'!E*(E55/60)</f>
        <v>0</v>
      </c>
      <c r="M55" s="450">
        <f>'Transp. Camión con Acoplado'!F_*G55</f>
        <v>0</v>
      </c>
      <c r="N55" s="450">
        <f t="shared" si="2"/>
        <v>0</v>
      </c>
      <c r="O55" s="450">
        <f>+G55*'Transp. Camión con Acoplado'!G</f>
        <v>0</v>
      </c>
      <c r="P55" s="451">
        <f t="shared" si="5"/>
        <v>0</v>
      </c>
      <c r="R55" s="452"/>
    </row>
    <row r="56" spans="1:18" ht="15" customHeight="1" x14ac:dyDescent="0.2">
      <c r="A56" s="444">
        <v>375</v>
      </c>
      <c r="B56" s="453"/>
      <c r="C56" s="446">
        <f t="shared" si="3"/>
        <v>0</v>
      </c>
      <c r="D56" s="446"/>
      <c r="E56" s="446">
        <f t="shared" si="0"/>
        <v>0</v>
      </c>
      <c r="F56" s="454">
        <f t="shared" si="4"/>
        <v>0</v>
      </c>
      <c r="G56" s="449">
        <f t="shared" si="1"/>
        <v>750</v>
      </c>
      <c r="H56" s="450">
        <f>'Transp. Camión con Acoplado'!A*(E56/60)</f>
        <v>0</v>
      </c>
      <c r="I56" s="450">
        <f>'Transp. Camión con Acoplado'!B*(E56/60)</f>
        <v>0</v>
      </c>
      <c r="J56" s="450">
        <f>'Transp. Camión con Acoplado'!C_*(C56/60)</f>
        <v>0</v>
      </c>
      <c r="K56" s="450">
        <f>'Transp. Camión con Acoplado'!D*(E56/60)</f>
        <v>0</v>
      </c>
      <c r="L56" s="450">
        <f>'Transp. Camión con Acoplado'!E*(E56/60)</f>
        <v>0</v>
      </c>
      <c r="M56" s="450">
        <f>'Transp. Camión con Acoplado'!F_*G56</f>
        <v>0</v>
      </c>
      <c r="N56" s="450">
        <f t="shared" si="2"/>
        <v>0</v>
      </c>
      <c r="O56" s="450">
        <f>+G56*'Transp. Camión con Acoplado'!G</f>
        <v>0</v>
      </c>
      <c r="P56" s="451">
        <f t="shared" si="5"/>
        <v>0</v>
      </c>
      <c r="R56" s="452"/>
    </row>
    <row r="57" spans="1:18" ht="15" customHeight="1" x14ac:dyDescent="0.2">
      <c r="A57" s="444">
        <v>400</v>
      </c>
      <c r="B57" s="453"/>
      <c r="C57" s="446">
        <f t="shared" si="3"/>
        <v>0</v>
      </c>
      <c r="D57" s="446"/>
      <c r="E57" s="446">
        <f t="shared" si="0"/>
        <v>0</v>
      </c>
      <c r="F57" s="454">
        <f t="shared" si="4"/>
        <v>0</v>
      </c>
      <c r="G57" s="449">
        <f t="shared" si="1"/>
        <v>800</v>
      </c>
      <c r="H57" s="450">
        <f>'Transp. Camión con Acoplado'!A*(E57/60)</f>
        <v>0</v>
      </c>
      <c r="I57" s="450">
        <f>'Transp. Camión con Acoplado'!B*(E57/60)</f>
        <v>0</v>
      </c>
      <c r="J57" s="450">
        <f>'Transp. Camión con Acoplado'!C_*(C57/60)</f>
        <v>0</v>
      </c>
      <c r="K57" s="450">
        <f>'Transp. Camión con Acoplado'!D*(E57/60)</f>
        <v>0</v>
      </c>
      <c r="L57" s="450">
        <f>'Transp. Camión con Acoplado'!E*(E57/60)</f>
        <v>0</v>
      </c>
      <c r="M57" s="450">
        <f>'Transp. Camión con Acoplado'!F_*G57</f>
        <v>0</v>
      </c>
      <c r="N57" s="450">
        <f t="shared" si="2"/>
        <v>0</v>
      </c>
      <c r="O57" s="450">
        <f>+G57*'Transp. Camión con Acoplado'!G</f>
        <v>0</v>
      </c>
      <c r="P57" s="451">
        <f t="shared" si="5"/>
        <v>0</v>
      </c>
      <c r="R57" s="452"/>
    </row>
    <row r="58" spans="1:18" ht="15" customHeight="1" x14ac:dyDescent="0.2">
      <c r="A58" s="444">
        <v>425</v>
      </c>
      <c r="B58" s="453"/>
      <c r="C58" s="446">
        <f t="shared" si="3"/>
        <v>0</v>
      </c>
      <c r="D58" s="446"/>
      <c r="E58" s="446">
        <f t="shared" si="0"/>
        <v>0</v>
      </c>
      <c r="F58" s="454">
        <f t="shared" si="4"/>
        <v>0</v>
      </c>
      <c r="G58" s="449">
        <f t="shared" si="1"/>
        <v>850</v>
      </c>
      <c r="H58" s="450">
        <f>'Transp. Camión con Acoplado'!A*(E58/60)</f>
        <v>0</v>
      </c>
      <c r="I58" s="450">
        <f>'Transp. Camión con Acoplado'!B*(E58/60)</f>
        <v>0</v>
      </c>
      <c r="J58" s="450">
        <f>'Transp. Camión con Acoplado'!C_*(C58/60)</f>
        <v>0</v>
      </c>
      <c r="K58" s="450">
        <f>'Transp. Camión con Acoplado'!D*(E58/60)</f>
        <v>0</v>
      </c>
      <c r="L58" s="450">
        <f>'Transp. Camión con Acoplado'!E*(E58/60)</f>
        <v>0</v>
      </c>
      <c r="M58" s="450">
        <f>'Transp. Camión con Acoplado'!F_*G58</f>
        <v>0</v>
      </c>
      <c r="N58" s="450">
        <f t="shared" si="2"/>
        <v>0</v>
      </c>
      <c r="O58" s="450">
        <f>+G58*'Transp. Camión con Acoplado'!G</f>
        <v>0</v>
      </c>
      <c r="P58" s="451">
        <f t="shared" si="5"/>
        <v>0</v>
      </c>
      <c r="R58" s="452"/>
    </row>
    <row r="59" spans="1:18" ht="15" customHeight="1" x14ac:dyDescent="0.2">
      <c r="A59" s="444">
        <v>450</v>
      </c>
      <c r="B59" s="453"/>
      <c r="C59" s="446">
        <f t="shared" si="3"/>
        <v>0</v>
      </c>
      <c r="D59" s="446"/>
      <c r="E59" s="446">
        <f t="shared" si="0"/>
        <v>0</v>
      </c>
      <c r="F59" s="454">
        <f t="shared" si="4"/>
        <v>0</v>
      </c>
      <c r="G59" s="449">
        <f t="shared" si="1"/>
        <v>900</v>
      </c>
      <c r="H59" s="450">
        <f>'Transp. Camión con Acoplado'!A*(E59/60)</f>
        <v>0</v>
      </c>
      <c r="I59" s="450">
        <f>'Transp. Camión con Acoplado'!B*(E59/60)</f>
        <v>0</v>
      </c>
      <c r="J59" s="450">
        <f>'Transp. Camión con Acoplado'!C_*(C59/60)</f>
        <v>0</v>
      </c>
      <c r="K59" s="450">
        <f>'Transp. Camión con Acoplado'!D*(E59/60)</f>
        <v>0</v>
      </c>
      <c r="L59" s="450">
        <f>'Transp. Camión con Acoplado'!E*(E59/60)</f>
        <v>0</v>
      </c>
      <c r="M59" s="450">
        <f>'Transp. Camión con Acoplado'!F_*G59</f>
        <v>0</v>
      </c>
      <c r="N59" s="450">
        <f t="shared" si="2"/>
        <v>0</v>
      </c>
      <c r="O59" s="450">
        <f>+G59*'Transp. Camión con Acoplado'!G</f>
        <v>0</v>
      </c>
      <c r="P59" s="451">
        <f t="shared" si="5"/>
        <v>0</v>
      </c>
      <c r="R59" s="452"/>
    </row>
    <row r="60" spans="1:18" ht="15" customHeight="1" x14ac:dyDescent="0.2">
      <c r="A60" s="444">
        <v>475</v>
      </c>
      <c r="B60" s="453"/>
      <c r="C60" s="446">
        <f t="shared" si="3"/>
        <v>0</v>
      </c>
      <c r="D60" s="446"/>
      <c r="E60" s="446">
        <f t="shared" si="0"/>
        <v>0</v>
      </c>
      <c r="F60" s="454">
        <f t="shared" si="4"/>
        <v>0</v>
      </c>
      <c r="G60" s="449">
        <f t="shared" si="1"/>
        <v>950</v>
      </c>
      <c r="H60" s="450">
        <f>'Transp. Camión con Acoplado'!A*(E60/60)</f>
        <v>0</v>
      </c>
      <c r="I60" s="450">
        <f>'Transp. Camión con Acoplado'!B*(E60/60)</f>
        <v>0</v>
      </c>
      <c r="J60" s="450">
        <f>'Transp. Camión con Acoplado'!C_*(C60/60)</f>
        <v>0</v>
      </c>
      <c r="K60" s="450">
        <f>'Transp. Camión con Acoplado'!D*(E60/60)</f>
        <v>0</v>
      </c>
      <c r="L60" s="450">
        <f>'Transp. Camión con Acoplado'!E*(E60/60)</f>
        <v>0</v>
      </c>
      <c r="M60" s="450">
        <f>'Transp. Camión con Acoplado'!F_*G60</f>
        <v>0</v>
      </c>
      <c r="N60" s="450">
        <f t="shared" si="2"/>
        <v>0</v>
      </c>
      <c r="O60" s="450">
        <f>+G60*'Transp. Camión con Acoplado'!G</f>
        <v>0</v>
      </c>
      <c r="P60" s="451">
        <f t="shared" si="5"/>
        <v>0</v>
      </c>
      <c r="R60" s="452"/>
    </row>
    <row r="61" spans="1:18" ht="15" customHeight="1" x14ac:dyDescent="0.2">
      <c r="A61" s="444">
        <v>500</v>
      </c>
      <c r="B61" s="453"/>
      <c r="C61" s="446">
        <f t="shared" si="3"/>
        <v>0</v>
      </c>
      <c r="D61" s="446"/>
      <c r="E61" s="446">
        <f t="shared" si="0"/>
        <v>0</v>
      </c>
      <c r="F61" s="454">
        <f t="shared" si="4"/>
        <v>0</v>
      </c>
      <c r="G61" s="449">
        <f t="shared" si="1"/>
        <v>1000</v>
      </c>
      <c r="H61" s="450">
        <f>'Transp. Camión con Acoplado'!A*(E61/60)</f>
        <v>0</v>
      </c>
      <c r="I61" s="450">
        <f>'Transp. Camión con Acoplado'!B*(E61/60)</f>
        <v>0</v>
      </c>
      <c r="J61" s="450">
        <f>'Transp. Camión con Acoplado'!C_*(C61/60)</f>
        <v>0</v>
      </c>
      <c r="K61" s="450">
        <f>'Transp. Camión con Acoplado'!D*(E61/60)</f>
        <v>0</v>
      </c>
      <c r="L61" s="450">
        <f>'Transp. Camión con Acoplado'!E*(E61/60)</f>
        <v>0</v>
      </c>
      <c r="M61" s="450">
        <f>'Transp. Camión con Acoplado'!F_*G61</f>
        <v>0</v>
      </c>
      <c r="N61" s="450">
        <f t="shared" si="2"/>
        <v>0</v>
      </c>
      <c r="O61" s="450">
        <f>+G61*'Transp. Camión con Acoplado'!G</f>
        <v>0</v>
      </c>
      <c r="P61" s="451">
        <f t="shared" si="5"/>
        <v>0</v>
      </c>
      <c r="R61" s="452"/>
    </row>
    <row r="62" spans="1:18" ht="15" customHeight="1" x14ac:dyDescent="0.2">
      <c r="A62" s="444">
        <v>600</v>
      </c>
      <c r="B62" s="453"/>
      <c r="C62" s="446">
        <f t="shared" si="3"/>
        <v>0</v>
      </c>
      <c r="D62" s="446"/>
      <c r="E62" s="446">
        <f t="shared" si="0"/>
        <v>0</v>
      </c>
      <c r="F62" s="454">
        <f t="shared" si="4"/>
        <v>0</v>
      </c>
      <c r="G62" s="449">
        <f t="shared" si="1"/>
        <v>1200</v>
      </c>
      <c r="H62" s="450">
        <f>'Transp. Camión con Acoplado'!A*(E62/60)</f>
        <v>0</v>
      </c>
      <c r="I62" s="450">
        <f>'Transp. Camión con Acoplado'!B*(E62/60)</f>
        <v>0</v>
      </c>
      <c r="J62" s="450">
        <f>'Transp. Camión con Acoplado'!C_*(C62/60)</f>
        <v>0</v>
      </c>
      <c r="K62" s="450">
        <f>'Transp. Camión con Acoplado'!D*(E62/60)</f>
        <v>0</v>
      </c>
      <c r="L62" s="450">
        <f>'Transp. Camión con Acoplado'!E*(E62/60)</f>
        <v>0</v>
      </c>
      <c r="M62" s="450">
        <f>'Transp. Camión con Acoplado'!F_*G62</f>
        <v>0</v>
      </c>
      <c r="N62" s="450">
        <f t="shared" si="2"/>
        <v>0</v>
      </c>
      <c r="O62" s="450">
        <f>+G62*'Transp. Camión con Acoplado'!G</f>
        <v>0</v>
      </c>
      <c r="P62" s="451">
        <f t="shared" si="5"/>
        <v>0</v>
      </c>
      <c r="R62" s="452"/>
    </row>
    <row r="63" spans="1:18" ht="15" customHeight="1" x14ac:dyDescent="0.2">
      <c r="A63" s="444">
        <v>800</v>
      </c>
      <c r="B63" s="453"/>
      <c r="C63" s="446">
        <f t="shared" si="3"/>
        <v>0</v>
      </c>
      <c r="D63" s="446"/>
      <c r="E63" s="446">
        <f t="shared" si="0"/>
        <v>0</v>
      </c>
      <c r="F63" s="454">
        <f t="shared" si="4"/>
        <v>0</v>
      </c>
      <c r="G63" s="449">
        <f t="shared" si="1"/>
        <v>1600</v>
      </c>
      <c r="H63" s="450">
        <f>'Transp. Camión con Acoplado'!A*(E63/60)</f>
        <v>0</v>
      </c>
      <c r="I63" s="450">
        <f>'Transp. Camión con Acoplado'!B*(E63/60)</f>
        <v>0</v>
      </c>
      <c r="J63" s="450">
        <f>'Transp. Camión con Acoplado'!C_*(C63/60)</f>
        <v>0</v>
      </c>
      <c r="K63" s="450">
        <f>'Transp. Camión con Acoplado'!D*(E63/60)</f>
        <v>0</v>
      </c>
      <c r="L63" s="450">
        <f>'Transp. Camión con Acoplado'!E*(E63/60)</f>
        <v>0</v>
      </c>
      <c r="M63" s="450">
        <f>'Transp. Camión con Acoplado'!F_*G63</f>
        <v>0</v>
      </c>
      <c r="N63" s="450">
        <f t="shared" si="2"/>
        <v>0</v>
      </c>
      <c r="O63" s="450">
        <f>+G63*'Transp. Camión con Acoplado'!G</f>
        <v>0</v>
      </c>
      <c r="P63" s="451">
        <f t="shared" si="5"/>
        <v>0</v>
      </c>
      <c r="R63" s="452"/>
    </row>
    <row r="64" spans="1:18" ht="15" customHeight="1" x14ac:dyDescent="0.2">
      <c r="A64" s="444">
        <v>1000</v>
      </c>
      <c r="B64" s="453"/>
      <c r="C64" s="446">
        <f t="shared" si="3"/>
        <v>0</v>
      </c>
      <c r="D64" s="446"/>
      <c r="E64" s="446">
        <f t="shared" si="0"/>
        <v>0</v>
      </c>
      <c r="F64" s="454">
        <f t="shared" si="4"/>
        <v>0</v>
      </c>
      <c r="G64" s="449">
        <f t="shared" si="1"/>
        <v>2000</v>
      </c>
      <c r="H64" s="450">
        <f>'Transp. Camión con Acoplado'!A*(E64/60)</f>
        <v>0</v>
      </c>
      <c r="I64" s="450">
        <f>'Transp. Camión con Acoplado'!B*(E64/60)</f>
        <v>0</v>
      </c>
      <c r="J64" s="450">
        <f>'Transp. Camión con Acoplado'!C_*(C64/60)</f>
        <v>0</v>
      </c>
      <c r="K64" s="450">
        <f>'Transp. Camión con Acoplado'!D*(E64/60)</f>
        <v>0</v>
      </c>
      <c r="L64" s="450">
        <f>'Transp. Camión con Acoplado'!E*(E64/60)</f>
        <v>0</v>
      </c>
      <c r="M64" s="450">
        <f>'Transp. Camión con Acoplado'!F_*G64</f>
        <v>0</v>
      </c>
      <c r="N64" s="450">
        <f t="shared" si="2"/>
        <v>0</v>
      </c>
      <c r="O64" s="450">
        <f>+G64*'Transp. Camión con Acoplado'!G</f>
        <v>0</v>
      </c>
      <c r="P64" s="451">
        <f t="shared" si="5"/>
        <v>0</v>
      </c>
      <c r="R64" s="455"/>
    </row>
    <row r="65" spans="13:16" ht="15" customHeight="1" x14ac:dyDescent="0.2">
      <c r="M65" s="861"/>
      <c r="N65" s="861"/>
      <c r="O65" s="861"/>
      <c r="P65" s="861"/>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8"/>
  <sheetViews>
    <sheetView topLeftCell="A463" workbookViewId="0">
      <selection activeCell="A496" sqref="A496"/>
    </sheetView>
  </sheetViews>
  <sheetFormatPr baseColWidth="10" defaultRowHeight="12.75" x14ac:dyDescent="0.2"/>
  <cols>
    <col min="1" max="1" width="20.7109375" style="607" customWidth="1"/>
    <col min="2" max="4" width="8.7109375" style="608" customWidth="1"/>
    <col min="5" max="5" width="57" style="607" customWidth="1"/>
    <col min="6" max="6" width="15.85546875" style="607" customWidth="1"/>
    <col min="7" max="7" width="16.5703125" style="607" customWidth="1"/>
  </cols>
  <sheetData>
    <row r="1" spans="1:7" x14ac:dyDescent="0.2">
      <c r="A1" s="605"/>
      <c r="B1" s="606" t="s">
        <v>542</v>
      </c>
      <c r="C1" s="606"/>
      <c r="D1" s="606"/>
      <c r="E1" s="605"/>
      <c r="F1" s="605"/>
      <c r="G1" s="605"/>
    </row>
    <row r="3" spans="1:7" x14ac:dyDescent="0.2">
      <c r="A3" s="610" t="s">
        <v>343</v>
      </c>
      <c r="B3" s="608" t="s">
        <v>42</v>
      </c>
      <c r="C3" s="610"/>
      <c r="D3" s="610"/>
      <c r="E3" s="862" t="s">
        <v>43</v>
      </c>
      <c r="F3" s="610"/>
      <c r="G3" s="610"/>
    </row>
    <row r="4" spans="1:7" x14ac:dyDescent="0.2">
      <c r="A4" s="609"/>
      <c r="B4" s="608" t="s">
        <v>44</v>
      </c>
      <c r="C4" s="610"/>
      <c r="D4" s="610"/>
      <c r="E4" s="862"/>
      <c r="F4" s="610"/>
      <c r="G4" s="610"/>
    </row>
    <row r="5" spans="1:7" x14ac:dyDescent="0.2">
      <c r="A5" s="606"/>
      <c r="B5" s="606"/>
      <c r="C5" s="606"/>
      <c r="D5" s="606"/>
      <c r="E5" s="606"/>
      <c r="F5" s="606"/>
      <c r="G5" s="606"/>
    </row>
    <row r="6" spans="1:7" x14ac:dyDescent="0.2">
      <c r="A6" s="608" t="str">
        <f t="shared" ref="A6:A69" si="0">CONCATENATE("INDEC-CM - ",B6,C6,D6)</f>
        <v>INDEC-CM - 37210-51</v>
      </c>
      <c r="B6" s="608">
        <v>37210</v>
      </c>
      <c r="C6" s="608" t="s">
        <v>45</v>
      </c>
      <c r="D6" s="608">
        <v>51</v>
      </c>
      <c r="E6" s="607" t="s">
        <v>46</v>
      </c>
    </row>
    <row r="7" spans="1:7" x14ac:dyDescent="0.2">
      <c r="A7" s="608" t="str">
        <f t="shared" si="0"/>
        <v>INDEC-CM - 37210-52</v>
      </c>
      <c r="B7" s="608">
        <v>37210</v>
      </c>
      <c r="C7" s="608" t="s">
        <v>45</v>
      </c>
      <c r="D7" s="608">
        <v>52</v>
      </c>
      <c r="E7" s="607" t="s">
        <v>47</v>
      </c>
    </row>
    <row r="8" spans="1:7" x14ac:dyDescent="0.2">
      <c r="A8" s="608" t="str">
        <f t="shared" si="0"/>
        <v>INDEC-CM - 42911-81</v>
      </c>
      <c r="B8" s="608">
        <v>42911</v>
      </c>
      <c r="C8" s="608" t="s">
        <v>45</v>
      </c>
      <c r="D8" s="608">
        <v>81</v>
      </c>
      <c r="E8" s="612" t="s">
        <v>48</v>
      </c>
      <c r="F8" s="612"/>
      <c r="G8" s="612"/>
    </row>
    <row r="9" spans="1:7" x14ac:dyDescent="0.2">
      <c r="A9" s="608" t="str">
        <f t="shared" si="0"/>
        <v>INDEC-CM - 41242-11</v>
      </c>
      <c r="B9" s="608">
        <v>41242</v>
      </c>
      <c r="C9" s="608" t="s">
        <v>45</v>
      </c>
      <c r="D9" s="608">
        <v>11</v>
      </c>
      <c r="E9" s="612" t="s">
        <v>49</v>
      </c>
      <c r="F9" s="612"/>
      <c r="G9" s="612"/>
    </row>
    <row r="10" spans="1:7" x14ac:dyDescent="0.2">
      <c r="A10" s="608" t="str">
        <f t="shared" si="0"/>
        <v>INDEC-CM - 37440-21</v>
      </c>
      <c r="B10" s="608">
        <v>37440</v>
      </c>
      <c r="C10" s="608" t="s">
        <v>45</v>
      </c>
      <c r="D10" s="608">
        <v>21</v>
      </c>
      <c r="E10" s="607" t="s">
        <v>50</v>
      </c>
    </row>
    <row r="11" spans="1:7" x14ac:dyDescent="0.2">
      <c r="A11" s="608" t="str">
        <f t="shared" si="0"/>
        <v>INDEC-CM - 38130-13</v>
      </c>
      <c r="B11" s="608">
        <v>38130</v>
      </c>
      <c r="C11" s="608" t="s">
        <v>45</v>
      </c>
      <c r="D11" s="608">
        <v>13</v>
      </c>
      <c r="E11" s="612" t="s">
        <v>51</v>
      </c>
      <c r="F11" s="612"/>
      <c r="G11" s="612"/>
    </row>
    <row r="12" spans="1:7" x14ac:dyDescent="0.2">
      <c r="A12" s="608" t="str">
        <f t="shared" si="0"/>
        <v>INDEC-CM - 38130-12</v>
      </c>
      <c r="B12" s="608">
        <v>38130</v>
      </c>
      <c r="C12" s="608" t="s">
        <v>45</v>
      </c>
      <c r="D12" s="608">
        <v>12</v>
      </c>
      <c r="E12" s="612" t="s">
        <v>52</v>
      </c>
      <c r="F12" s="612"/>
      <c r="G12" s="612"/>
    </row>
    <row r="13" spans="1:7" x14ac:dyDescent="0.2">
      <c r="A13" s="608" t="str">
        <f t="shared" si="0"/>
        <v>INDEC-CM - 38130-11</v>
      </c>
      <c r="B13" s="608">
        <v>38130</v>
      </c>
      <c r="C13" s="608" t="s">
        <v>45</v>
      </c>
      <c r="D13" s="608">
        <v>11</v>
      </c>
      <c r="E13" s="612" t="s">
        <v>53</v>
      </c>
      <c r="F13" s="612"/>
      <c r="G13" s="612"/>
    </row>
    <row r="14" spans="1:7" x14ac:dyDescent="0.2">
      <c r="A14" s="608" t="str">
        <f t="shared" si="0"/>
        <v>INDEC-CM - 27230-11</v>
      </c>
      <c r="B14" s="608">
        <v>27230</v>
      </c>
      <c r="C14" s="608" t="s">
        <v>45</v>
      </c>
      <c r="D14" s="608">
        <v>11</v>
      </c>
      <c r="E14" s="612" t="s">
        <v>54</v>
      </c>
      <c r="F14" s="612"/>
      <c r="G14" s="612"/>
    </row>
    <row r="15" spans="1:7" x14ac:dyDescent="0.2">
      <c r="A15" s="608" t="str">
        <f t="shared" si="0"/>
        <v>INDEC-CM - 44821-11</v>
      </c>
      <c r="B15" s="608">
        <v>44821</v>
      </c>
      <c r="C15" s="608" t="s">
        <v>45</v>
      </c>
      <c r="D15" s="608">
        <v>11</v>
      </c>
      <c r="E15" s="607" t="s">
        <v>55</v>
      </c>
    </row>
    <row r="16" spans="1:7" x14ac:dyDescent="0.2">
      <c r="A16" s="608" t="str">
        <f t="shared" si="0"/>
        <v>INDEC-CM - 37560-11</v>
      </c>
      <c r="B16" s="608">
        <v>37560</v>
      </c>
      <c r="C16" s="608" t="s">
        <v>45</v>
      </c>
      <c r="D16" s="608">
        <v>11</v>
      </c>
      <c r="E16" s="612" t="s">
        <v>56</v>
      </c>
      <c r="F16" s="612"/>
      <c r="G16" s="612"/>
    </row>
    <row r="17" spans="1:7" x14ac:dyDescent="0.2">
      <c r="A17" s="608" t="str">
        <f t="shared" si="0"/>
        <v>INDEC-CM - 15400-11</v>
      </c>
      <c r="B17" s="608">
        <v>15400</v>
      </c>
      <c r="C17" s="608" t="s">
        <v>45</v>
      </c>
      <c r="D17" s="608">
        <v>11</v>
      </c>
      <c r="E17" s="612" t="s">
        <v>57</v>
      </c>
      <c r="F17" s="612"/>
      <c r="G17" s="612"/>
    </row>
    <row r="18" spans="1:7" x14ac:dyDescent="0.2">
      <c r="A18" s="608" t="str">
        <f t="shared" si="0"/>
        <v>INDEC-CM - 15310-11</v>
      </c>
      <c r="B18" s="608">
        <v>15310</v>
      </c>
      <c r="C18" s="608" t="s">
        <v>45</v>
      </c>
      <c r="D18" s="608">
        <v>11</v>
      </c>
      <c r="E18" s="607" t="s">
        <v>58</v>
      </c>
    </row>
    <row r="19" spans="1:7" x14ac:dyDescent="0.2">
      <c r="A19" s="608" t="str">
        <f t="shared" si="0"/>
        <v>INDEC-CM - 46531-11</v>
      </c>
      <c r="B19" s="608">
        <v>46531</v>
      </c>
      <c r="C19" s="608" t="s">
        <v>45</v>
      </c>
      <c r="D19" s="608">
        <v>11</v>
      </c>
      <c r="E19" s="612" t="s">
        <v>59</v>
      </c>
      <c r="F19" s="612"/>
      <c r="G19" s="612"/>
    </row>
    <row r="20" spans="1:7" x14ac:dyDescent="0.2">
      <c r="A20" s="608" t="str">
        <f t="shared" si="0"/>
        <v>INDEC-CM - 43540-11</v>
      </c>
      <c r="B20" s="608">
        <v>43540</v>
      </c>
      <c r="C20" s="608" t="s">
        <v>45</v>
      </c>
      <c r="D20" s="608">
        <v>11</v>
      </c>
      <c r="E20" s="607" t="s">
        <v>60</v>
      </c>
    </row>
    <row r="21" spans="1:7" x14ac:dyDescent="0.2">
      <c r="A21" s="608" t="str">
        <f t="shared" si="0"/>
        <v>INDEC-CM - 43540-12</v>
      </c>
      <c r="B21" s="608">
        <v>43540</v>
      </c>
      <c r="C21" s="608" t="s">
        <v>45</v>
      </c>
      <c r="D21" s="608">
        <v>12</v>
      </c>
      <c r="E21" s="607" t="s">
        <v>61</v>
      </c>
    </row>
    <row r="22" spans="1:7" x14ac:dyDescent="0.2">
      <c r="A22" s="613" t="str">
        <f t="shared" si="0"/>
        <v>INDEC-CM - 37370-21</v>
      </c>
      <c r="B22" s="613">
        <v>37370</v>
      </c>
      <c r="C22" s="613" t="s">
        <v>45</v>
      </c>
      <c r="D22" s="613">
        <v>21</v>
      </c>
      <c r="E22" s="614" t="s">
        <v>62</v>
      </c>
      <c r="F22" s="607" t="s">
        <v>1912</v>
      </c>
    </row>
    <row r="23" spans="1:7" x14ac:dyDescent="0.2">
      <c r="A23" s="613" t="str">
        <f t="shared" si="0"/>
        <v>INDEC-CM - 37370-11</v>
      </c>
      <c r="B23" s="613">
        <v>37370</v>
      </c>
      <c r="C23" s="613" t="s">
        <v>45</v>
      </c>
      <c r="D23" s="613">
        <v>11</v>
      </c>
      <c r="E23" s="614" t="s">
        <v>63</v>
      </c>
      <c r="F23" s="607" t="s">
        <v>1912</v>
      </c>
    </row>
    <row r="24" spans="1:7" x14ac:dyDescent="0.2">
      <c r="A24" s="613" t="str">
        <f t="shared" si="0"/>
        <v>INDEC-CM - 37370-12</v>
      </c>
      <c r="B24" s="613">
        <v>37370</v>
      </c>
      <c r="C24" s="613" t="s">
        <v>45</v>
      </c>
      <c r="D24" s="613">
        <v>12</v>
      </c>
      <c r="E24" s="614" t="s">
        <v>64</v>
      </c>
      <c r="F24" s="607" t="s">
        <v>1912</v>
      </c>
    </row>
    <row r="25" spans="1:7" x14ac:dyDescent="0.2">
      <c r="A25" s="608" t="str">
        <f t="shared" si="0"/>
        <v>INDEC-CM - 37690-11</v>
      </c>
      <c r="B25" s="608">
        <v>37690</v>
      </c>
      <c r="C25" s="608" t="s">
        <v>45</v>
      </c>
      <c r="D25" s="608">
        <v>11</v>
      </c>
      <c r="E25" s="607" t="s">
        <v>65</v>
      </c>
    </row>
    <row r="26" spans="1:7" x14ac:dyDescent="0.2">
      <c r="A26" s="608" t="str">
        <f t="shared" si="0"/>
        <v>INDEC-CM - 42911-11</v>
      </c>
      <c r="B26" s="608">
        <v>42911</v>
      </c>
      <c r="C26" s="608" t="s">
        <v>45</v>
      </c>
      <c r="D26" s="608">
        <v>11</v>
      </c>
      <c r="E26" s="607" t="s">
        <v>66</v>
      </c>
    </row>
    <row r="27" spans="1:7" x14ac:dyDescent="0.2">
      <c r="A27" s="608" t="str">
        <f t="shared" si="0"/>
        <v>INDEC-CM - 37129-11</v>
      </c>
      <c r="B27" s="608">
        <v>37129</v>
      </c>
      <c r="C27" s="608" t="s">
        <v>45</v>
      </c>
      <c r="D27" s="608">
        <v>11</v>
      </c>
      <c r="E27" s="607" t="s">
        <v>67</v>
      </c>
    </row>
    <row r="28" spans="1:7" x14ac:dyDescent="0.2">
      <c r="A28" s="608" t="str">
        <f t="shared" si="0"/>
        <v>INDEC-CM - 35110-41</v>
      </c>
      <c r="B28" s="608">
        <v>35110</v>
      </c>
      <c r="C28" s="608" t="s">
        <v>45</v>
      </c>
      <c r="D28" s="608">
        <v>41</v>
      </c>
      <c r="E28" s="607" t="s">
        <v>68</v>
      </c>
    </row>
    <row r="29" spans="1:7" x14ac:dyDescent="0.2">
      <c r="A29" s="608" t="str">
        <f t="shared" si="0"/>
        <v>INDEC-CM - 37210-23</v>
      </c>
      <c r="B29" s="608">
        <v>37210</v>
      </c>
      <c r="C29" s="608" t="s">
        <v>45</v>
      </c>
      <c r="D29" s="608">
        <v>23</v>
      </c>
      <c r="E29" s="607" t="s">
        <v>69</v>
      </c>
    </row>
    <row r="30" spans="1:7" x14ac:dyDescent="0.2">
      <c r="A30" s="608" t="str">
        <f t="shared" si="0"/>
        <v>INDEC-CM - 37210-22</v>
      </c>
      <c r="B30" s="608">
        <v>37210</v>
      </c>
      <c r="C30" s="608" t="s">
        <v>45</v>
      </c>
      <c r="D30" s="608">
        <v>22</v>
      </c>
      <c r="E30" s="607" t="s">
        <v>70</v>
      </c>
    </row>
    <row r="31" spans="1:7" x14ac:dyDescent="0.2">
      <c r="A31" s="608" t="str">
        <f t="shared" si="0"/>
        <v>INDEC-CM - 37210-21</v>
      </c>
      <c r="B31" s="608">
        <v>37210</v>
      </c>
      <c r="C31" s="608" t="s">
        <v>45</v>
      </c>
      <c r="D31" s="608">
        <v>21</v>
      </c>
      <c r="E31" s="607" t="s">
        <v>71</v>
      </c>
    </row>
    <row r="32" spans="1:7" x14ac:dyDescent="0.2">
      <c r="A32" s="608" t="str">
        <f t="shared" si="0"/>
        <v>INDEC-CM - 41543-21</v>
      </c>
      <c r="B32" s="608">
        <v>41543</v>
      </c>
      <c r="C32" s="608" t="s">
        <v>45</v>
      </c>
      <c r="D32" s="608">
        <v>21</v>
      </c>
      <c r="E32" s="607" t="s">
        <v>72</v>
      </c>
    </row>
    <row r="33" spans="1:6" x14ac:dyDescent="0.2">
      <c r="A33" s="608" t="str">
        <f t="shared" si="0"/>
        <v>INDEC-CM - 46340-31</v>
      </c>
      <c r="B33" s="608">
        <v>46340</v>
      </c>
      <c r="C33" s="608" t="s">
        <v>45</v>
      </c>
      <c r="D33" s="608">
        <v>31</v>
      </c>
      <c r="E33" s="607" t="s">
        <v>73</v>
      </c>
    </row>
    <row r="34" spans="1:6" x14ac:dyDescent="0.2">
      <c r="A34" s="608" t="str">
        <f t="shared" si="0"/>
        <v>INDEC-CM - 46320-11</v>
      </c>
      <c r="B34" s="608">
        <v>46320</v>
      </c>
      <c r="C34" s="608" t="s">
        <v>45</v>
      </c>
      <c r="D34" s="608">
        <v>11</v>
      </c>
      <c r="E34" s="607" t="s">
        <v>74</v>
      </c>
    </row>
    <row r="35" spans="1:6" x14ac:dyDescent="0.2">
      <c r="A35" s="608" t="str">
        <f t="shared" si="0"/>
        <v>INDEC-CM - 46340-11</v>
      </c>
      <c r="B35" s="608">
        <v>46340</v>
      </c>
      <c r="C35" s="608" t="s">
        <v>45</v>
      </c>
      <c r="D35" s="608">
        <v>11</v>
      </c>
      <c r="E35" s="607" t="s">
        <v>75</v>
      </c>
    </row>
    <row r="36" spans="1:6" x14ac:dyDescent="0.2">
      <c r="A36" s="608" t="str">
        <f t="shared" si="0"/>
        <v>INDEC-CM - 46340-12</v>
      </c>
      <c r="B36" s="608">
        <v>46340</v>
      </c>
      <c r="C36" s="608" t="s">
        <v>45</v>
      </c>
      <c r="D36" s="608">
        <v>12</v>
      </c>
      <c r="E36" s="607" t="s">
        <v>76</v>
      </c>
    </row>
    <row r="37" spans="1:6" x14ac:dyDescent="0.2">
      <c r="A37" s="608" t="str">
        <f t="shared" si="0"/>
        <v>INDEC-CM - 46340-21</v>
      </c>
      <c r="B37" s="608">
        <v>46340</v>
      </c>
      <c r="C37" s="608" t="s">
        <v>45</v>
      </c>
      <c r="D37" s="608">
        <v>21</v>
      </c>
      <c r="E37" s="607" t="s">
        <v>77</v>
      </c>
    </row>
    <row r="38" spans="1:6" x14ac:dyDescent="0.2">
      <c r="A38" s="608" t="str">
        <f t="shared" si="0"/>
        <v>INDEC-CM - 46212-21</v>
      </c>
      <c r="B38" s="608">
        <v>46212</v>
      </c>
      <c r="C38" s="608" t="s">
        <v>45</v>
      </c>
      <c r="D38" s="608">
        <v>21</v>
      </c>
      <c r="E38" s="607" t="s">
        <v>78</v>
      </c>
    </row>
    <row r="39" spans="1:6" x14ac:dyDescent="0.2">
      <c r="A39" s="608" t="str">
        <f t="shared" si="0"/>
        <v>INDEC-CM - 42999-23</v>
      </c>
      <c r="B39" s="608">
        <v>42999</v>
      </c>
      <c r="C39" s="608" t="s">
        <v>45</v>
      </c>
      <c r="D39" s="608">
        <v>23</v>
      </c>
      <c r="E39" s="607" t="s">
        <v>79</v>
      </c>
    </row>
    <row r="40" spans="1:6" x14ac:dyDescent="0.2">
      <c r="A40" s="608" t="str">
        <f t="shared" si="0"/>
        <v>INDEC-CM - 42999-21</v>
      </c>
      <c r="B40" s="608">
        <v>42999</v>
      </c>
      <c r="C40" s="608" t="s">
        <v>45</v>
      </c>
      <c r="D40" s="608">
        <v>21</v>
      </c>
      <c r="E40" s="607" t="s">
        <v>80</v>
      </c>
    </row>
    <row r="41" spans="1:6" x14ac:dyDescent="0.2">
      <c r="A41" s="608" t="str">
        <f t="shared" si="0"/>
        <v>INDEC-CM - 42999-31</v>
      </c>
      <c r="B41" s="608">
        <v>42999</v>
      </c>
      <c r="C41" s="608" t="s">
        <v>45</v>
      </c>
      <c r="D41" s="608">
        <v>31</v>
      </c>
      <c r="E41" s="607" t="s">
        <v>81</v>
      </c>
    </row>
    <row r="42" spans="1:6" x14ac:dyDescent="0.2">
      <c r="A42" s="608" t="str">
        <f t="shared" si="0"/>
        <v>INDEC-CM - 42999-22</v>
      </c>
      <c r="B42" s="608">
        <v>42999</v>
      </c>
      <c r="C42" s="608" t="s">
        <v>45</v>
      </c>
      <c r="D42" s="608">
        <v>22</v>
      </c>
      <c r="E42" s="607" t="s">
        <v>82</v>
      </c>
    </row>
    <row r="43" spans="1:6" x14ac:dyDescent="0.2">
      <c r="A43" s="613" t="str">
        <f t="shared" si="0"/>
        <v>INDEC-CM - 31600-63</v>
      </c>
      <c r="B43" s="613">
        <v>31600</v>
      </c>
      <c r="C43" s="613" t="s">
        <v>45</v>
      </c>
      <c r="D43" s="613">
        <v>63</v>
      </c>
      <c r="E43" s="614" t="s">
        <v>83</v>
      </c>
      <c r="F43" s="607" t="s">
        <v>1912</v>
      </c>
    </row>
    <row r="44" spans="1:6" x14ac:dyDescent="0.2">
      <c r="A44" s="613" t="str">
        <f t="shared" si="0"/>
        <v>INDEC-CM - 31600-62</v>
      </c>
      <c r="B44" s="613">
        <v>31600</v>
      </c>
      <c r="C44" s="613" t="s">
        <v>45</v>
      </c>
      <c r="D44" s="613">
        <v>62</v>
      </c>
      <c r="E44" s="614" t="s">
        <v>84</v>
      </c>
      <c r="F44" s="607" t="s">
        <v>1912</v>
      </c>
    </row>
    <row r="45" spans="1:6" x14ac:dyDescent="0.2">
      <c r="A45" s="613" t="str">
        <f t="shared" si="0"/>
        <v>INDEC-CM - 31600-61</v>
      </c>
      <c r="B45" s="613">
        <v>31600</v>
      </c>
      <c r="C45" s="613" t="s">
        <v>45</v>
      </c>
      <c r="D45" s="613">
        <v>61</v>
      </c>
      <c r="E45" s="614" t="s">
        <v>85</v>
      </c>
      <c r="F45" s="607" t="s">
        <v>1912</v>
      </c>
    </row>
    <row r="46" spans="1:6" x14ac:dyDescent="0.2">
      <c r="A46" s="608" t="str">
        <f t="shared" si="0"/>
        <v>INDEC-CM - 37420-11</v>
      </c>
      <c r="B46" s="608">
        <v>37420</v>
      </c>
      <c r="C46" s="608" t="s">
        <v>45</v>
      </c>
      <c r="D46" s="608">
        <v>11</v>
      </c>
      <c r="E46" s="607" t="s">
        <v>86</v>
      </c>
    </row>
    <row r="47" spans="1:6" x14ac:dyDescent="0.2">
      <c r="A47" s="608" t="str">
        <f t="shared" si="0"/>
        <v>INDEC-CM - 37420-12</v>
      </c>
      <c r="B47" s="608">
        <v>37420</v>
      </c>
      <c r="C47" s="608" t="s">
        <v>45</v>
      </c>
      <c r="D47" s="608">
        <v>12</v>
      </c>
      <c r="E47" s="607" t="s">
        <v>87</v>
      </c>
    </row>
    <row r="48" spans="1:6" x14ac:dyDescent="0.2">
      <c r="A48" s="608" t="str">
        <f t="shared" si="0"/>
        <v>INDEC-CM - 44822-11</v>
      </c>
      <c r="B48" s="608">
        <v>44822</v>
      </c>
      <c r="C48" s="608" t="s">
        <v>45</v>
      </c>
      <c r="D48" s="608">
        <v>11</v>
      </c>
      <c r="E48" s="607" t="s">
        <v>88</v>
      </c>
    </row>
    <row r="49" spans="1:5" x14ac:dyDescent="0.2">
      <c r="A49" s="608" t="str">
        <f t="shared" si="0"/>
        <v>INDEC-CM - 44826-11</v>
      </c>
      <c r="B49" s="608">
        <v>44826</v>
      </c>
      <c r="C49" s="608" t="s">
        <v>45</v>
      </c>
      <c r="D49" s="608">
        <v>11</v>
      </c>
      <c r="E49" s="607" t="s">
        <v>89</v>
      </c>
    </row>
    <row r="50" spans="1:5" x14ac:dyDescent="0.2">
      <c r="A50" s="608" t="str">
        <f t="shared" si="0"/>
        <v>INDEC-CM - 44826-12</v>
      </c>
      <c r="B50" s="608">
        <v>44826</v>
      </c>
      <c r="C50" s="608" t="s">
        <v>45</v>
      </c>
      <c r="D50" s="608">
        <v>12</v>
      </c>
      <c r="E50" s="607" t="s">
        <v>90</v>
      </c>
    </row>
    <row r="51" spans="1:5" x14ac:dyDescent="0.2">
      <c r="A51" s="608" t="str">
        <f t="shared" si="0"/>
        <v>INDEC-CM - 42911-21</v>
      </c>
      <c r="B51" s="608">
        <v>42911</v>
      </c>
      <c r="C51" s="608" t="s">
        <v>45</v>
      </c>
      <c r="D51" s="608">
        <v>21</v>
      </c>
      <c r="E51" s="607" t="s">
        <v>91</v>
      </c>
    </row>
    <row r="52" spans="1:5" x14ac:dyDescent="0.2">
      <c r="A52" s="608" t="str">
        <f t="shared" si="0"/>
        <v>INDEC-CM - 41277-21</v>
      </c>
      <c r="B52" s="608">
        <v>41277</v>
      </c>
      <c r="C52" s="608" t="s">
        <v>45</v>
      </c>
      <c r="D52" s="608">
        <v>21</v>
      </c>
      <c r="E52" s="607" t="s">
        <v>92</v>
      </c>
    </row>
    <row r="53" spans="1:5" x14ac:dyDescent="0.2">
      <c r="A53" s="608" t="str">
        <f t="shared" si="0"/>
        <v>INDEC-CM - 41277-11</v>
      </c>
      <c r="B53" s="608">
        <v>41277</v>
      </c>
      <c r="C53" s="608" t="s">
        <v>45</v>
      </c>
      <c r="D53" s="608">
        <v>11</v>
      </c>
      <c r="E53" s="607" t="s">
        <v>93</v>
      </c>
    </row>
    <row r="54" spans="1:5" x14ac:dyDescent="0.2">
      <c r="A54" s="608" t="str">
        <f t="shared" si="0"/>
        <v>INDEC-CM - 41516-11</v>
      </c>
      <c r="B54" s="608">
        <v>41516</v>
      </c>
      <c r="C54" s="608" t="s">
        <v>45</v>
      </c>
      <c r="D54" s="608">
        <v>11</v>
      </c>
      <c r="E54" s="607" t="s">
        <v>94</v>
      </c>
    </row>
    <row r="55" spans="1:5" x14ac:dyDescent="0.2">
      <c r="A55" s="608" t="str">
        <f t="shared" si="0"/>
        <v>INDEC-CM - 41516-12</v>
      </c>
      <c r="B55" s="608">
        <v>41516</v>
      </c>
      <c r="C55" s="608" t="s">
        <v>45</v>
      </c>
      <c r="D55" s="608">
        <v>12</v>
      </c>
      <c r="E55" s="607" t="s">
        <v>95</v>
      </c>
    </row>
    <row r="56" spans="1:5" x14ac:dyDescent="0.2">
      <c r="A56" s="608" t="str">
        <f t="shared" si="0"/>
        <v>INDEC-CM - 41273-11</v>
      </c>
      <c r="B56" s="608">
        <v>41273</v>
      </c>
      <c r="C56" s="608" t="s">
        <v>45</v>
      </c>
      <c r="D56" s="608">
        <v>11</v>
      </c>
      <c r="E56" s="607" t="s">
        <v>96</v>
      </c>
    </row>
    <row r="57" spans="1:5" x14ac:dyDescent="0.2">
      <c r="A57" s="608" t="str">
        <f t="shared" si="0"/>
        <v>INDEC-CM - 41273-12</v>
      </c>
      <c r="B57" s="608">
        <v>41273</v>
      </c>
      <c r="C57" s="608" t="s">
        <v>45</v>
      </c>
      <c r="D57" s="608">
        <v>12</v>
      </c>
      <c r="E57" s="607" t="s">
        <v>97</v>
      </c>
    </row>
    <row r="58" spans="1:5" x14ac:dyDescent="0.2">
      <c r="A58" s="608" t="str">
        <f t="shared" si="0"/>
        <v>INDEC-CM - 41277-41</v>
      </c>
      <c r="B58" s="608">
        <v>41277</v>
      </c>
      <c r="C58" s="608" t="s">
        <v>45</v>
      </c>
      <c r="D58" s="608">
        <v>41</v>
      </c>
      <c r="E58" s="607" t="s">
        <v>98</v>
      </c>
    </row>
    <row r="59" spans="1:5" x14ac:dyDescent="0.2">
      <c r="A59" s="608" t="str">
        <f t="shared" si="0"/>
        <v>INDEC-CM - 41277-31</v>
      </c>
      <c r="B59" s="608">
        <v>41277</v>
      </c>
      <c r="C59" s="608" t="s">
        <v>45</v>
      </c>
      <c r="D59" s="608">
        <v>31</v>
      </c>
      <c r="E59" s="607" t="s">
        <v>99</v>
      </c>
    </row>
    <row r="60" spans="1:5" x14ac:dyDescent="0.2">
      <c r="A60" s="608" t="str">
        <f t="shared" si="0"/>
        <v>INDEC-CM - 41543-11</v>
      </c>
      <c r="B60" s="608">
        <v>41543</v>
      </c>
      <c r="C60" s="608" t="s">
        <v>45</v>
      </c>
      <c r="D60" s="608">
        <v>11</v>
      </c>
      <c r="E60" s="607" t="s">
        <v>100</v>
      </c>
    </row>
    <row r="61" spans="1:5" x14ac:dyDescent="0.2">
      <c r="A61" s="608" t="str">
        <f t="shared" si="0"/>
        <v>INDEC-CM - 36320-21</v>
      </c>
      <c r="B61" s="608">
        <v>36320</v>
      </c>
      <c r="C61" s="608" t="s">
        <v>45</v>
      </c>
      <c r="D61" s="608">
        <v>21</v>
      </c>
      <c r="E61" s="607" t="s">
        <v>101</v>
      </c>
    </row>
    <row r="62" spans="1:5" x14ac:dyDescent="0.2">
      <c r="A62" s="608" t="str">
        <f t="shared" si="0"/>
        <v>INDEC-CM - 36320-22</v>
      </c>
      <c r="B62" s="608">
        <v>36320</v>
      </c>
      <c r="C62" s="608" t="s">
        <v>45</v>
      </c>
      <c r="D62" s="608">
        <v>22</v>
      </c>
      <c r="E62" s="607" t="s">
        <v>102</v>
      </c>
    </row>
    <row r="63" spans="1:5" x14ac:dyDescent="0.2">
      <c r="A63" s="608" t="str">
        <f t="shared" si="0"/>
        <v>INDEC-CM - 36320-11</v>
      </c>
      <c r="B63" s="608">
        <v>36320</v>
      </c>
      <c r="C63" s="608" t="s">
        <v>45</v>
      </c>
      <c r="D63" s="608">
        <v>11</v>
      </c>
      <c r="E63" s="607" t="s">
        <v>103</v>
      </c>
    </row>
    <row r="64" spans="1:5" x14ac:dyDescent="0.2">
      <c r="A64" s="608" t="str">
        <f t="shared" si="0"/>
        <v>INDEC-CM - 36320-12</v>
      </c>
      <c r="B64" s="608">
        <v>36320</v>
      </c>
      <c r="C64" s="608" t="s">
        <v>45</v>
      </c>
      <c r="D64" s="608">
        <v>12</v>
      </c>
      <c r="E64" s="607" t="s">
        <v>104</v>
      </c>
    </row>
    <row r="65" spans="1:7" x14ac:dyDescent="0.2">
      <c r="A65" s="608" t="str">
        <f t="shared" si="0"/>
        <v>INDEC-CM - 15320-11</v>
      </c>
      <c r="B65" s="608">
        <v>15320</v>
      </c>
      <c r="C65" s="608" t="s">
        <v>45</v>
      </c>
      <c r="D65" s="608">
        <v>11</v>
      </c>
      <c r="E65" s="607" t="s">
        <v>105</v>
      </c>
    </row>
    <row r="66" spans="1:7" x14ac:dyDescent="0.2">
      <c r="A66" s="608" t="str">
        <f t="shared" si="0"/>
        <v>INDEC-CM - 37350-61</v>
      </c>
      <c r="B66" s="608">
        <v>37350</v>
      </c>
      <c r="C66" s="608" t="s">
        <v>45</v>
      </c>
      <c r="D66" s="608">
        <v>61</v>
      </c>
      <c r="E66" s="612" t="s">
        <v>106</v>
      </c>
      <c r="F66" s="612"/>
      <c r="G66" s="612"/>
    </row>
    <row r="67" spans="1:7" x14ac:dyDescent="0.2">
      <c r="A67" s="608" t="str">
        <f t="shared" si="0"/>
        <v>INDEC-CM - 37440-31</v>
      </c>
      <c r="B67" s="608">
        <v>37440</v>
      </c>
      <c r="C67" s="608" t="s">
        <v>45</v>
      </c>
      <c r="D67" s="608">
        <v>31</v>
      </c>
      <c r="E67" s="607" t="s">
        <v>107</v>
      </c>
    </row>
    <row r="68" spans="1:7" x14ac:dyDescent="0.2">
      <c r="A68" s="608" t="str">
        <f t="shared" si="0"/>
        <v>INDEC-CM - 37440-11</v>
      </c>
      <c r="B68" s="608">
        <v>37440</v>
      </c>
      <c r="C68" s="608" t="s">
        <v>45</v>
      </c>
      <c r="D68" s="608">
        <v>11</v>
      </c>
      <c r="E68" s="607" t="s">
        <v>108</v>
      </c>
    </row>
    <row r="69" spans="1:7" x14ac:dyDescent="0.2">
      <c r="A69" s="608" t="str">
        <f t="shared" si="0"/>
        <v>INDEC-CM - 44821-21</v>
      </c>
      <c r="B69" s="608">
        <v>44821</v>
      </c>
      <c r="C69" s="608" t="s">
        <v>45</v>
      </c>
      <c r="D69" s="608">
        <v>21</v>
      </c>
      <c r="E69" s="607" t="s">
        <v>109</v>
      </c>
    </row>
    <row r="70" spans="1:7" x14ac:dyDescent="0.2">
      <c r="A70" s="608" t="str">
        <f t="shared" ref="A70:A133" si="1">CONCATENATE("INDEC-CM - ",B70,C70,D70)</f>
        <v>INDEC-CM - 36320-31</v>
      </c>
      <c r="B70" s="608">
        <v>36320</v>
      </c>
      <c r="C70" s="608" t="s">
        <v>45</v>
      </c>
      <c r="D70" s="608">
        <v>31</v>
      </c>
      <c r="E70" s="607" t="s">
        <v>110</v>
      </c>
    </row>
    <row r="71" spans="1:7" x14ac:dyDescent="0.2">
      <c r="A71" s="608" t="str">
        <f t="shared" si="1"/>
        <v>INDEC-CM - 41278-12</v>
      </c>
      <c r="B71" s="608">
        <v>41278</v>
      </c>
      <c r="C71" s="608" t="s">
        <v>45</v>
      </c>
      <c r="D71" s="608">
        <v>12</v>
      </c>
      <c r="E71" s="612" t="s">
        <v>111</v>
      </c>
      <c r="F71" s="612"/>
      <c r="G71" s="612"/>
    </row>
    <row r="72" spans="1:7" x14ac:dyDescent="0.2">
      <c r="A72" s="608" t="str">
        <f t="shared" si="1"/>
        <v>INDEC-CM - 41278-11</v>
      </c>
      <c r="B72" s="608">
        <v>41278</v>
      </c>
      <c r="C72" s="608" t="s">
        <v>45</v>
      </c>
      <c r="D72" s="608">
        <v>11</v>
      </c>
      <c r="E72" s="612" t="s">
        <v>112</v>
      </c>
      <c r="F72" s="612"/>
      <c r="G72" s="612"/>
    </row>
    <row r="73" spans="1:7" x14ac:dyDescent="0.2">
      <c r="A73" s="608" t="str">
        <f t="shared" si="1"/>
        <v>INDEC-CM - 36320-41</v>
      </c>
      <c r="B73" s="608">
        <v>36320</v>
      </c>
      <c r="C73" s="608" t="s">
        <v>45</v>
      </c>
      <c r="D73" s="608">
        <v>41</v>
      </c>
      <c r="E73" s="607" t="s">
        <v>113</v>
      </c>
    </row>
    <row r="74" spans="1:7" x14ac:dyDescent="0.2">
      <c r="A74" s="608" t="str">
        <f t="shared" si="1"/>
        <v>INDEC-CM - 41516-21</v>
      </c>
      <c r="B74" s="608">
        <v>41516</v>
      </c>
      <c r="C74" s="608" t="s">
        <v>45</v>
      </c>
      <c r="D74" s="608">
        <v>21</v>
      </c>
      <c r="E74" s="607" t="s">
        <v>114</v>
      </c>
    </row>
    <row r="75" spans="1:7" x14ac:dyDescent="0.2">
      <c r="A75" s="613" t="str">
        <f t="shared" si="1"/>
        <v>INDEC-CM - 41278-22</v>
      </c>
      <c r="B75" s="613">
        <v>41278</v>
      </c>
      <c r="C75" s="613" t="s">
        <v>45</v>
      </c>
      <c r="D75" s="613">
        <v>22</v>
      </c>
      <c r="E75" s="615" t="s">
        <v>115</v>
      </c>
      <c r="F75" s="607" t="s">
        <v>1912</v>
      </c>
    </row>
    <row r="76" spans="1:7" x14ac:dyDescent="0.2">
      <c r="A76" s="608" t="str">
        <f t="shared" si="1"/>
        <v>INDEC-CM - 46350-11</v>
      </c>
      <c r="B76" s="608">
        <v>46350</v>
      </c>
      <c r="C76" s="608" t="s">
        <v>45</v>
      </c>
      <c r="D76" s="608">
        <v>11</v>
      </c>
      <c r="E76" s="607" t="s">
        <v>116</v>
      </c>
    </row>
    <row r="77" spans="1:7" x14ac:dyDescent="0.2">
      <c r="A77" s="608" t="str">
        <f t="shared" si="1"/>
        <v>INDEC-CM - 41278-41</v>
      </c>
      <c r="B77" s="608">
        <v>41278</v>
      </c>
      <c r="C77" s="608" t="s">
        <v>45</v>
      </c>
      <c r="D77" s="608">
        <v>41</v>
      </c>
      <c r="E77" s="612" t="s">
        <v>117</v>
      </c>
      <c r="F77" s="612"/>
      <c r="G77" s="612"/>
    </row>
    <row r="78" spans="1:7" x14ac:dyDescent="0.2">
      <c r="A78" s="608" t="str">
        <f t="shared" si="1"/>
        <v>INDEC-CM - 42999-11</v>
      </c>
      <c r="B78" s="608">
        <v>42999</v>
      </c>
      <c r="C78" s="608" t="s">
        <v>45</v>
      </c>
      <c r="D78" s="608">
        <v>11</v>
      </c>
      <c r="E78" s="607" t="s">
        <v>118</v>
      </c>
    </row>
    <row r="79" spans="1:7" x14ac:dyDescent="0.2">
      <c r="A79" s="608" t="str">
        <f t="shared" si="1"/>
        <v>INDEC-CM - 36320-51</v>
      </c>
      <c r="B79" s="608">
        <v>36320</v>
      </c>
      <c r="C79" s="608" t="s">
        <v>45</v>
      </c>
      <c r="D79" s="608">
        <v>51</v>
      </c>
      <c r="E79" s="607" t="s">
        <v>119</v>
      </c>
    </row>
    <row r="80" spans="1:7" x14ac:dyDescent="0.2">
      <c r="A80" s="608" t="str">
        <f t="shared" si="1"/>
        <v>INDEC-CM - 31600-12</v>
      </c>
      <c r="B80" s="608">
        <v>31600</v>
      </c>
      <c r="C80" s="608" t="s">
        <v>45</v>
      </c>
      <c r="D80" s="608">
        <v>12</v>
      </c>
      <c r="E80" s="607" t="s">
        <v>120</v>
      </c>
    </row>
    <row r="81" spans="1:7" x14ac:dyDescent="0.2">
      <c r="A81" s="608" t="str">
        <f t="shared" si="1"/>
        <v>INDEC-CM - 36950-11</v>
      </c>
      <c r="B81" s="608">
        <v>36950</v>
      </c>
      <c r="C81" s="608" t="s">
        <v>45</v>
      </c>
      <c r="D81" s="608">
        <v>11</v>
      </c>
      <c r="E81" s="607" t="s">
        <v>121</v>
      </c>
    </row>
    <row r="82" spans="1:7" x14ac:dyDescent="0.2">
      <c r="A82" s="608" t="str">
        <f t="shared" si="1"/>
        <v>INDEC-CM - 31600-11</v>
      </c>
      <c r="B82" s="608">
        <v>31600</v>
      </c>
      <c r="C82" s="608" t="s">
        <v>45</v>
      </c>
      <c r="D82" s="608">
        <v>11</v>
      </c>
      <c r="E82" s="607" t="s">
        <v>122</v>
      </c>
    </row>
    <row r="83" spans="1:7" x14ac:dyDescent="0.2">
      <c r="A83" s="608" t="str">
        <f t="shared" si="1"/>
        <v>INDEC-CM - 37112-11</v>
      </c>
      <c r="B83" s="608">
        <v>37112</v>
      </c>
      <c r="C83" s="608" t="s">
        <v>45</v>
      </c>
      <c r="D83" s="608">
        <v>11</v>
      </c>
      <c r="E83" s="607" t="s">
        <v>123</v>
      </c>
    </row>
    <row r="84" spans="1:7" x14ac:dyDescent="0.2">
      <c r="A84" s="608" t="str">
        <f t="shared" si="1"/>
        <v>INDEC-CM - 41278-31</v>
      </c>
      <c r="B84" s="608">
        <v>41278</v>
      </c>
      <c r="C84" s="608" t="s">
        <v>45</v>
      </c>
      <c r="D84" s="608">
        <v>31</v>
      </c>
      <c r="E84" s="612" t="s">
        <v>124</v>
      </c>
      <c r="F84" s="612"/>
      <c r="G84" s="612"/>
    </row>
    <row r="85" spans="1:7" x14ac:dyDescent="0.2">
      <c r="A85" s="608" t="str">
        <f t="shared" si="1"/>
        <v>INDEC-CM - 41278-13</v>
      </c>
      <c r="B85" s="608">
        <v>41278</v>
      </c>
      <c r="C85" s="608" t="s">
        <v>45</v>
      </c>
      <c r="D85" s="608">
        <v>13</v>
      </c>
      <c r="E85" s="612" t="s">
        <v>125</v>
      </c>
      <c r="F85" s="612"/>
      <c r="G85" s="612"/>
    </row>
    <row r="86" spans="1:7" x14ac:dyDescent="0.2">
      <c r="A86" s="608" t="str">
        <f t="shared" si="1"/>
        <v>INDEC-CM - 37570-11</v>
      </c>
      <c r="B86" s="608">
        <v>37570</v>
      </c>
      <c r="C86" s="608" t="s">
        <v>45</v>
      </c>
      <c r="D86" s="608">
        <v>11</v>
      </c>
      <c r="E86" s="612" t="s">
        <v>126</v>
      </c>
      <c r="F86" s="612"/>
      <c r="G86" s="612"/>
    </row>
    <row r="87" spans="1:7" x14ac:dyDescent="0.2">
      <c r="A87" s="608" t="str">
        <f t="shared" si="1"/>
        <v>INDEC-CM - 43220-11</v>
      </c>
      <c r="B87" s="608">
        <v>43220</v>
      </c>
      <c r="C87" s="608" t="s">
        <v>45</v>
      </c>
      <c r="D87" s="608">
        <v>11</v>
      </c>
      <c r="E87" s="607" t="s">
        <v>127</v>
      </c>
    </row>
    <row r="88" spans="1:7" x14ac:dyDescent="0.2">
      <c r="A88" s="608" t="str">
        <f t="shared" si="1"/>
        <v>INDEC-CM - 43220-12</v>
      </c>
      <c r="B88" s="608">
        <v>43220</v>
      </c>
      <c r="C88" s="608" t="s">
        <v>45</v>
      </c>
      <c r="D88" s="608">
        <v>12</v>
      </c>
      <c r="E88" s="607" t="s">
        <v>128</v>
      </c>
    </row>
    <row r="89" spans="1:7" x14ac:dyDescent="0.2">
      <c r="A89" s="608" t="str">
        <f t="shared" si="1"/>
        <v>INDEC-CM - 43220-21</v>
      </c>
      <c r="B89" s="608">
        <v>43220</v>
      </c>
      <c r="C89" s="608" t="s">
        <v>45</v>
      </c>
      <c r="D89" s="608">
        <v>21</v>
      </c>
      <c r="E89" s="607" t="s">
        <v>129</v>
      </c>
    </row>
    <row r="90" spans="1:7" x14ac:dyDescent="0.2">
      <c r="A90" s="608" t="str">
        <f t="shared" si="1"/>
        <v>INDEC-CM - 43220-22</v>
      </c>
      <c r="B90" s="608">
        <v>43220</v>
      </c>
      <c r="C90" s="608" t="s">
        <v>45</v>
      </c>
      <c r="D90" s="608">
        <v>22</v>
      </c>
      <c r="E90" s="607" t="s">
        <v>130</v>
      </c>
    </row>
    <row r="91" spans="1:7" x14ac:dyDescent="0.2">
      <c r="A91" s="608" t="str">
        <f t="shared" si="1"/>
        <v>INDEC-CM - 43220-23</v>
      </c>
      <c r="B91" s="608">
        <v>43220</v>
      </c>
      <c r="C91" s="608" t="s">
        <v>45</v>
      </c>
      <c r="D91" s="608">
        <v>23</v>
      </c>
      <c r="E91" s="607" t="s">
        <v>131</v>
      </c>
    </row>
    <row r="92" spans="1:7" x14ac:dyDescent="0.2">
      <c r="A92" s="608" t="str">
        <f t="shared" si="1"/>
        <v>INDEC-CM - 43220-31</v>
      </c>
      <c r="B92" s="608">
        <v>43220</v>
      </c>
      <c r="C92" s="608" t="s">
        <v>45</v>
      </c>
      <c r="D92" s="608">
        <v>31</v>
      </c>
      <c r="E92" s="607" t="s">
        <v>132</v>
      </c>
    </row>
    <row r="93" spans="1:7" x14ac:dyDescent="0.2">
      <c r="A93" s="608" t="str">
        <f t="shared" si="1"/>
        <v>INDEC-CM - 43220-32</v>
      </c>
      <c r="B93" s="608">
        <v>43220</v>
      </c>
      <c r="C93" s="608" t="s">
        <v>45</v>
      </c>
      <c r="D93" s="608">
        <v>32</v>
      </c>
      <c r="E93" s="607" t="s">
        <v>133</v>
      </c>
    </row>
    <row r="94" spans="1:7" x14ac:dyDescent="0.2">
      <c r="A94" s="608" t="str">
        <f t="shared" si="1"/>
        <v>INDEC-CM - 41278-32</v>
      </c>
      <c r="B94" s="608">
        <v>41278</v>
      </c>
      <c r="C94" s="608" t="s">
        <v>45</v>
      </c>
      <c r="D94" s="608">
        <v>32</v>
      </c>
      <c r="E94" s="612" t="s">
        <v>134</v>
      </c>
      <c r="F94" s="612"/>
      <c r="G94" s="612"/>
    </row>
    <row r="95" spans="1:7" x14ac:dyDescent="0.2">
      <c r="A95" s="608" t="str">
        <f t="shared" si="1"/>
        <v>INDEC-CM - 36320-32</v>
      </c>
      <c r="B95" s="608">
        <v>36320</v>
      </c>
      <c r="C95" s="608" t="s">
        <v>45</v>
      </c>
      <c r="D95" s="608">
        <v>32</v>
      </c>
      <c r="E95" s="607" t="s">
        <v>135</v>
      </c>
    </row>
    <row r="96" spans="1:7" x14ac:dyDescent="0.2">
      <c r="A96" s="613" t="str">
        <f t="shared" si="1"/>
        <v>INDEC-CM - 41278-23</v>
      </c>
      <c r="B96" s="613">
        <v>41278</v>
      </c>
      <c r="C96" s="613" t="s">
        <v>45</v>
      </c>
      <c r="D96" s="613">
        <v>23</v>
      </c>
      <c r="E96" s="615" t="s">
        <v>136</v>
      </c>
      <c r="F96" s="607" t="s">
        <v>1912</v>
      </c>
    </row>
    <row r="97" spans="1:6" x14ac:dyDescent="0.2">
      <c r="A97" s="608" t="str">
        <f t="shared" si="1"/>
        <v>INDEC-CM - 35110-11</v>
      </c>
      <c r="B97" s="608">
        <v>35110</v>
      </c>
      <c r="C97" s="608" t="s">
        <v>45</v>
      </c>
      <c r="D97" s="608">
        <v>11</v>
      </c>
      <c r="E97" s="607" t="s">
        <v>137</v>
      </c>
    </row>
    <row r="98" spans="1:6" x14ac:dyDescent="0.2">
      <c r="A98" s="608" t="str">
        <f t="shared" si="1"/>
        <v>INDEC-CM - 35110-12</v>
      </c>
      <c r="B98" s="608">
        <v>35110</v>
      </c>
      <c r="C98" s="608" t="s">
        <v>45</v>
      </c>
      <c r="D98" s="608">
        <v>12</v>
      </c>
      <c r="E98" s="607" t="s">
        <v>138</v>
      </c>
    </row>
    <row r="99" spans="1:6" x14ac:dyDescent="0.2">
      <c r="A99" s="608" t="str">
        <f t="shared" si="1"/>
        <v>INDEC-CM - 35110-21</v>
      </c>
      <c r="B99" s="608">
        <v>35110</v>
      </c>
      <c r="C99" s="608" t="s">
        <v>45</v>
      </c>
      <c r="D99" s="608">
        <v>21</v>
      </c>
      <c r="E99" s="607" t="s">
        <v>139</v>
      </c>
    </row>
    <row r="100" spans="1:6" x14ac:dyDescent="0.2">
      <c r="A100" s="608" t="str">
        <f t="shared" si="1"/>
        <v>INDEC-CM - 35110-22</v>
      </c>
      <c r="B100" s="608">
        <v>35110</v>
      </c>
      <c r="C100" s="608" t="s">
        <v>45</v>
      </c>
      <c r="D100" s="608">
        <v>22</v>
      </c>
      <c r="E100" s="607" t="s">
        <v>140</v>
      </c>
    </row>
    <row r="101" spans="1:6" x14ac:dyDescent="0.2">
      <c r="A101" s="608" t="str">
        <f t="shared" si="1"/>
        <v>INDEC-CM - 41547-11</v>
      </c>
      <c r="B101" s="608">
        <v>41547</v>
      </c>
      <c r="C101" s="608" t="s">
        <v>45</v>
      </c>
      <c r="D101" s="608">
        <v>11</v>
      </c>
      <c r="E101" s="607" t="s">
        <v>141</v>
      </c>
    </row>
    <row r="102" spans="1:6" x14ac:dyDescent="0.2">
      <c r="A102" s="613" t="str">
        <f t="shared" si="1"/>
        <v>INDEC-CM - 31600-73</v>
      </c>
      <c r="B102" s="613">
        <v>31600</v>
      </c>
      <c r="C102" s="613" t="s">
        <v>45</v>
      </c>
      <c r="D102" s="613">
        <v>73</v>
      </c>
      <c r="E102" s="614" t="s">
        <v>142</v>
      </c>
      <c r="F102" s="607" t="s">
        <v>1912</v>
      </c>
    </row>
    <row r="103" spans="1:6" x14ac:dyDescent="0.2">
      <c r="A103" s="613" t="str">
        <f t="shared" si="1"/>
        <v>INDEC-CM - 31600-72</v>
      </c>
      <c r="B103" s="613">
        <v>31600</v>
      </c>
      <c r="C103" s="613" t="s">
        <v>45</v>
      </c>
      <c r="D103" s="613">
        <v>72</v>
      </c>
      <c r="E103" s="614" t="s">
        <v>143</v>
      </c>
      <c r="F103" s="607" t="s">
        <v>1912</v>
      </c>
    </row>
    <row r="104" spans="1:6" x14ac:dyDescent="0.2">
      <c r="A104" s="613" t="str">
        <f t="shared" si="1"/>
        <v>INDEC-CM - 31600-71</v>
      </c>
      <c r="B104" s="613">
        <v>31600</v>
      </c>
      <c r="C104" s="613" t="s">
        <v>45</v>
      </c>
      <c r="D104" s="613">
        <v>71</v>
      </c>
      <c r="E104" s="614" t="s">
        <v>144</v>
      </c>
      <c r="F104" s="607" t="s">
        <v>1912</v>
      </c>
    </row>
    <row r="105" spans="1:6" x14ac:dyDescent="0.2">
      <c r="A105" s="608" t="str">
        <f t="shared" si="1"/>
        <v>INDEC-CM - 35110-61</v>
      </c>
      <c r="B105" s="608">
        <v>35110</v>
      </c>
      <c r="C105" s="608" t="s">
        <v>45</v>
      </c>
      <c r="D105" s="608">
        <v>61</v>
      </c>
      <c r="E105" s="607" t="s">
        <v>145</v>
      </c>
    </row>
    <row r="106" spans="1:6" x14ac:dyDescent="0.2">
      <c r="A106" s="608" t="str">
        <f t="shared" si="1"/>
        <v>INDEC-CM - 31600-53</v>
      </c>
      <c r="B106" s="608">
        <v>31600</v>
      </c>
      <c r="C106" s="608" t="s">
        <v>45</v>
      </c>
      <c r="D106" s="608">
        <v>53</v>
      </c>
      <c r="E106" s="607" t="s">
        <v>146</v>
      </c>
    </row>
    <row r="107" spans="1:6" x14ac:dyDescent="0.2">
      <c r="A107" s="608" t="str">
        <f t="shared" si="1"/>
        <v>INDEC-CM - 31600-51</v>
      </c>
      <c r="B107" s="608">
        <v>31600</v>
      </c>
      <c r="C107" s="608" t="s">
        <v>45</v>
      </c>
      <c r="D107" s="608">
        <v>51</v>
      </c>
      <c r="E107" s="607" t="s">
        <v>147</v>
      </c>
    </row>
    <row r="108" spans="1:6" x14ac:dyDescent="0.2">
      <c r="A108" s="608" t="str">
        <f t="shared" si="1"/>
        <v>INDEC-CM - 37550-21</v>
      </c>
      <c r="B108" s="608">
        <v>37550</v>
      </c>
      <c r="C108" s="608" t="s">
        <v>45</v>
      </c>
      <c r="D108" s="608">
        <v>21</v>
      </c>
      <c r="E108" s="607" t="s">
        <v>148</v>
      </c>
    </row>
    <row r="109" spans="1:6" x14ac:dyDescent="0.2">
      <c r="A109" s="608" t="str">
        <f t="shared" si="1"/>
        <v>INDEC-CM - 42999-41</v>
      </c>
      <c r="B109" s="608">
        <v>42999</v>
      </c>
      <c r="C109" s="608" t="s">
        <v>45</v>
      </c>
      <c r="D109" s="608">
        <v>41</v>
      </c>
      <c r="E109" s="607" t="s">
        <v>149</v>
      </c>
    </row>
    <row r="110" spans="1:6" x14ac:dyDescent="0.2">
      <c r="A110" s="608" t="str">
        <f t="shared" si="1"/>
        <v>INDEC-CM - 42911-53</v>
      </c>
      <c r="B110" s="608">
        <v>42911</v>
      </c>
      <c r="C110" s="608" t="s">
        <v>45</v>
      </c>
      <c r="D110" s="608">
        <v>53</v>
      </c>
      <c r="E110" s="607" t="s">
        <v>150</v>
      </c>
    </row>
    <row r="111" spans="1:6" x14ac:dyDescent="0.2">
      <c r="A111" s="608" t="str">
        <f t="shared" si="1"/>
        <v>INDEC-CM - 42911-52</v>
      </c>
      <c r="B111" s="608">
        <v>42911</v>
      </c>
      <c r="C111" s="608" t="s">
        <v>45</v>
      </c>
      <c r="D111" s="608">
        <v>52</v>
      </c>
      <c r="E111" s="607" t="s">
        <v>151</v>
      </c>
    </row>
    <row r="112" spans="1:6" x14ac:dyDescent="0.2">
      <c r="A112" s="608" t="str">
        <f t="shared" si="1"/>
        <v>INDEC-CM - 42911-51</v>
      </c>
      <c r="B112" s="608">
        <v>42911</v>
      </c>
      <c r="C112" s="608" t="s">
        <v>45</v>
      </c>
      <c r="D112" s="608">
        <v>51</v>
      </c>
      <c r="E112" s="607" t="s">
        <v>152</v>
      </c>
    </row>
    <row r="113" spans="1:7" x14ac:dyDescent="0.2">
      <c r="A113" s="608" t="str">
        <f t="shared" si="1"/>
        <v>INDEC-CM - 42911-43</v>
      </c>
      <c r="B113" s="608">
        <v>42911</v>
      </c>
      <c r="C113" s="608" t="s">
        <v>45</v>
      </c>
      <c r="D113" s="608">
        <v>43</v>
      </c>
      <c r="E113" s="607" t="s">
        <v>153</v>
      </c>
    </row>
    <row r="114" spans="1:7" x14ac:dyDescent="0.2">
      <c r="A114" s="608" t="str">
        <f t="shared" si="1"/>
        <v>INDEC-CM - 42911-42</v>
      </c>
      <c r="B114" s="608">
        <v>42911</v>
      </c>
      <c r="C114" s="608" t="s">
        <v>45</v>
      </c>
      <c r="D114" s="608">
        <v>42</v>
      </c>
      <c r="E114" s="607" t="s">
        <v>154</v>
      </c>
    </row>
    <row r="115" spans="1:7" x14ac:dyDescent="0.2">
      <c r="A115" s="608" t="str">
        <f t="shared" si="1"/>
        <v>INDEC-CM - 42911-41</v>
      </c>
      <c r="B115" s="608">
        <v>42911</v>
      </c>
      <c r="C115" s="608" t="s">
        <v>45</v>
      </c>
      <c r="D115" s="608">
        <v>41</v>
      </c>
      <c r="E115" s="607" t="s">
        <v>155</v>
      </c>
    </row>
    <row r="116" spans="1:7" x14ac:dyDescent="0.2">
      <c r="A116" s="608" t="str">
        <f t="shared" si="1"/>
        <v>INDEC-CM - 42911-56</v>
      </c>
      <c r="B116" s="608">
        <v>42911</v>
      </c>
      <c r="C116" s="608" t="s">
        <v>45</v>
      </c>
      <c r="D116" s="608">
        <v>56</v>
      </c>
      <c r="E116" s="607" t="s">
        <v>156</v>
      </c>
    </row>
    <row r="117" spans="1:7" x14ac:dyDescent="0.2">
      <c r="A117" s="608" t="str">
        <f t="shared" si="1"/>
        <v>INDEC-CM - 42911-55</v>
      </c>
      <c r="B117" s="608">
        <v>42911</v>
      </c>
      <c r="C117" s="608" t="s">
        <v>45</v>
      </c>
      <c r="D117" s="608">
        <v>55</v>
      </c>
      <c r="E117" s="607" t="s">
        <v>157</v>
      </c>
    </row>
    <row r="118" spans="1:7" x14ac:dyDescent="0.2">
      <c r="A118" s="608" t="str">
        <f t="shared" si="1"/>
        <v>INDEC-CM - 42911-54</v>
      </c>
      <c r="B118" s="608">
        <v>42911</v>
      </c>
      <c r="C118" s="608" t="s">
        <v>45</v>
      </c>
      <c r="D118" s="608">
        <v>54</v>
      </c>
      <c r="E118" s="607" t="s">
        <v>158</v>
      </c>
    </row>
    <row r="119" spans="1:7" x14ac:dyDescent="0.2">
      <c r="A119" s="608" t="str">
        <f t="shared" si="1"/>
        <v>INDEC-CM - 42911-32</v>
      </c>
      <c r="B119" s="608">
        <v>42911</v>
      </c>
      <c r="C119" s="608" t="s">
        <v>45</v>
      </c>
      <c r="D119" s="608">
        <v>32</v>
      </c>
      <c r="E119" s="607" t="s">
        <v>159</v>
      </c>
    </row>
    <row r="120" spans="1:7" x14ac:dyDescent="0.2">
      <c r="A120" s="608" t="str">
        <f t="shared" si="1"/>
        <v>INDEC-CM - 42911-31</v>
      </c>
      <c r="B120" s="608">
        <v>42911</v>
      </c>
      <c r="C120" s="608" t="s">
        <v>45</v>
      </c>
      <c r="D120" s="608">
        <v>31</v>
      </c>
      <c r="E120" s="607" t="s">
        <v>160</v>
      </c>
    </row>
    <row r="121" spans="1:7" x14ac:dyDescent="0.2">
      <c r="A121" s="608" t="str">
        <f t="shared" si="1"/>
        <v>INDEC-CM - 42911-59</v>
      </c>
      <c r="B121" s="608">
        <v>42911</v>
      </c>
      <c r="C121" s="608" t="s">
        <v>45</v>
      </c>
      <c r="D121" s="608">
        <v>59</v>
      </c>
      <c r="E121" s="607" t="s">
        <v>161</v>
      </c>
    </row>
    <row r="122" spans="1:7" x14ac:dyDescent="0.2">
      <c r="A122" s="608" t="str">
        <f t="shared" si="1"/>
        <v>INDEC-CM - 42911-58</v>
      </c>
      <c r="B122" s="608">
        <v>42911</v>
      </c>
      <c r="C122" s="608" t="s">
        <v>45</v>
      </c>
      <c r="D122" s="608">
        <v>58</v>
      </c>
      <c r="E122" s="612" t="s">
        <v>162</v>
      </c>
      <c r="F122" s="612"/>
      <c r="G122" s="612"/>
    </row>
    <row r="123" spans="1:7" x14ac:dyDescent="0.2">
      <c r="A123" s="608" t="str">
        <f t="shared" si="1"/>
        <v>INDEC-CM - 42911-57</v>
      </c>
      <c r="B123" s="608">
        <v>42911</v>
      </c>
      <c r="C123" s="608" t="s">
        <v>45</v>
      </c>
      <c r="D123" s="608">
        <v>57</v>
      </c>
      <c r="E123" s="612" t="s">
        <v>163</v>
      </c>
      <c r="F123" s="612"/>
      <c r="G123" s="612"/>
    </row>
    <row r="124" spans="1:7" x14ac:dyDescent="0.2">
      <c r="A124" s="608" t="str">
        <f t="shared" si="1"/>
        <v>INDEC-CM - 43923-21</v>
      </c>
      <c r="B124" s="608">
        <v>43923</v>
      </c>
      <c r="C124" s="608" t="s">
        <v>45</v>
      </c>
      <c r="D124" s="608">
        <v>21</v>
      </c>
      <c r="E124" s="612" t="s">
        <v>164</v>
      </c>
      <c r="F124" s="612"/>
      <c r="G124" s="612"/>
    </row>
    <row r="125" spans="1:7" x14ac:dyDescent="0.2">
      <c r="A125" s="764" t="str">
        <f t="shared" si="1"/>
        <v>INDEC-CM - 37510-11</v>
      </c>
      <c r="B125" s="764">
        <v>37510</v>
      </c>
      <c r="C125" s="764" t="s">
        <v>45</v>
      </c>
      <c r="D125" s="764">
        <v>11</v>
      </c>
      <c r="E125" s="767" t="s">
        <v>165</v>
      </c>
    </row>
    <row r="126" spans="1:7" x14ac:dyDescent="0.2">
      <c r="A126" s="608" t="str">
        <f t="shared" si="1"/>
        <v>INDEC-CM - 44821-31</v>
      </c>
      <c r="B126" s="608">
        <v>44821</v>
      </c>
      <c r="C126" s="608" t="s">
        <v>45</v>
      </c>
      <c r="D126" s="608">
        <v>31</v>
      </c>
      <c r="E126" s="607" t="s">
        <v>166</v>
      </c>
    </row>
    <row r="127" spans="1:7" x14ac:dyDescent="0.2">
      <c r="A127" s="608" t="str">
        <f t="shared" si="1"/>
        <v>INDEC-CM - 46531-12</v>
      </c>
      <c r="B127" s="608">
        <v>46531</v>
      </c>
      <c r="C127" s="608" t="s">
        <v>45</v>
      </c>
      <c r="D127" s="608">
        <v>12</v>
      </c>
      <c r="E127" s="612" t="s">
        <v>167</v>
      </c>
      <c r="F127" s="612"/>
      <c r="G127" s="612"/>
    </row>
    <row r="128" spans="1:7" x14ac:dyDescent="0.2">
      <c r="A128" s="608" t="str">
        <f t="shared" si="1"/>
        <v>INDEC-CM - 37210-13</v>
      </c>
      <c r="B128" s="608">
        <v>37210</v>
      </c>
      <c r="C128" s="608" t="s">
        <v>45</v>
      </c>
      <c r="D128" s="608">
        <v>13</v>
      </c>
      <c r="E128" s="607" t="s">
        <v>168</v>
      </c>
    </row>
    <row r="129" spans="1:7" x14ac:dyDescent="0.2">
      <c r="A129" s="608" t="str">
        <f t="shared" si="1"/>
        <v>INDEC-CM - 37210-12</v>
      </c>
      <c r="B129" s="608">
        <v>37210</v>
      </c>
      <c r="C129" s="608" t="s">
        <v>45</v>
      </c>
      <c r="D129" s="608">
        <v>12</v>
      </c>
      <c r="E129" s="607" t="s">
        <v>169</v>
      </c>
    </row>
    <row r="130" spans="1:7" x14ac:dyDescent="0.2">
      <c r="A130" s="608" t="str">
        <f t="shared" si="1"/>
        <v>INDEC-CM - 37210-11</v>
      </c>
      <c r="B130" s="608">
        <v>37210</v>
      </c>
      <c r="C130" s="608" t="s">
        <v>45</v>
      </c>
      <c r="D130" s="608">
        <v>11</v>
      </c>
      <c r="E130" s="612" t="s">
        <v>170</v>
      </c>
      <c r="F130" s="612"/>
      <c r="G130" s="612"/>
    </row>
    <row r="131" spans="1:7" x14ac:dyDescent="0.2">
      <c r="A131" s="608" t="str">
        <f t="shared" si="1"/>
        <v>INDEC-CM - 46212-11</v>
      </c>
      <c r="B131" s="608">
        <v>46212</v>
      </c>
      <c r="C131" s="608" t="s">
        <v>45</v>
      </c>
      <c r="D131" s="608">
        <v>11</v>
      </c>
      <c r="E131" s="607" t="s">
        <v>171</v>
      </c>
    </row>
    <row r="132" spans="1:7" x14ac:dyDescent="0.2">
      <c r="A132" s="608" t="str">
        <f t="shared" si="1"/>
        <v>INDEC-CM - 46212-51</v>
      </c>
      <c r="B132" s="608">
        <v>46212</v>
      </c>
      <c r="C132" s="608" t="s">
        <v>45</v>
      </c>
      <c r="D132" s="608">
        <v>51</v>
      </c>
      <c r="E132" s="607" t="s">
        <v>172</v>
      </c>
    </row>
    <row r="133" spans="1:7" x14ac:dyDescent="0.2">
      <c r="A133" s="608" t="str">
        <f t="shared" si="1"/>
        <v>INDEC-CM - 46212-31</v>
      </c>
      <c r="B133" s="608">
        <v>46212</v>
      </c>
      <c r="C133" s="608" t="s">
        <v>45</v>
      </c>
      <c r="D133" s="608">
        <v>31</v>
      </c>
      <c r="E133" s="607" t="s">
        <v>173</v>
      </c>
    </row>
    <row r="134" spans="1:7" x14ac:dyDescent="0.2">
      <c r="A134" s="608" t="str">
        <f t="shared" ref="A134:A197" si="2">CONCATENATE("INDEC-CM - ",B134,C134,D134)</f>
        <v>INDEC-CM - 46212-41</v>
      </c>
      <c r="B134" s="608">
        <v>46212</v>
      </c>
      <c r="C134" s="608" t="s">
        <v>45</v>
      </c>
      <c r="D134" s="608">
        <v>41</v>
      </c>
      <c r="E134" s="607" t="s">
        <v>174</v>
      </c>
    </row>
    <row r="135" spans="1:7" x14ac:dyDescent="0.2">
      <c r="A135" s="608" t="str">
        <f t="shared" si="2"/>
        <v>INDEC-CM - 42999-51</v>
      </c>
      <c r="B135" s="608">
        <v>42999</v>
      </c>
      <c r="C135" s="608" t="s">
        <v>45</v>
      </c>
      <c r="D135" s="608">
        <v>51</v>
      </c>
      <c r="E135" s="607" t="s">
        <v>175</v>
      </c>
    </row>
    <row r="136" spans="1:7" x14ac:dyDescent="0.2">
      <c r="A136" s="608" t="str">
        <f t="shared" si="2"/>
        <v>INDEC-CM - 35110-51</v>
      </c>
      <c r="B136" s="608">
        <v>35110</v>
      </c>
      <c r="C136" s="608" t="s">
        <v>45</v>
      </c>
      <c r="D136" s="608">
        <v>51</v>
      </c>
      <c r="E136" s="607" t="s">
        <v>176</v>
      </c>
    </row>
    <row r="137" spans="1:7" x14ac:dyDescent="0.2">
      <c r="A137" s="608" t="str">
        <f t="shared" si="2"/>
        <v>INDEC-CM - 37350-11</v>
      </c>
      <c r="B137" s="608">
        <v>37350</v>
      </c>
      <c r="C137" s="608" t="s">
        <v>45</v>
      </c>
      <c r="D137" s="608">
        <v>11</v>
      </c>
      <c r="E137" s="607" t="s">
        <v>177</v>
      </c>
    </row>
    <row r="138" spans="1:7" x14ac:dyDescent="0.2">
      <c r="A138" s="608" t="str">
        <f t="shared" si="2"/>
        <v>INDEC-CM - 37350-41</v>
      </c>
      <c r="B138" s="608">
        <v>37350</v>
      </c>
      <c r="C138" s="608" t="s">
        <v>45</v>
      </c>
      <c r="D138" s="608">
        <v>41</v>
      </c>
      <c r="E138" s="607" t="s">
        <v>178</v>
      </c>
    </row>
    <row r="139" spans="1:7" x14ac:dyDescent="0.2">
      <c r="A139" s="608" t="str">
        <f t="shared" si="2"/>
        <v>INDEC-CM - 37350-21</v>
      </c>
      <c r="B139" s="608">
        <v>37350</v>
      </c>
      <c r="C139" s="608" t="s">
        <v>45</v>
      </c>
      <c r="D139" s="608">
        <v>21</v>
      </c>
      <c r="E139" s="607" t="s">
        <v>179</v>
      </c>
    </row>
    <row r="140" spans="1:7" x14ac:dyDescent="0.2">
      <c r="A140" s="608" t="str">
        <f t="shared" si="2"/>
        <v>INDEC-CM - 37350-31</v>
      </c>
      <c r="B140" s="608">
        <v>37350</v>
      </c>
      <c r="C140" s="608" t="s">
        <v>45</v>
      </c>
      <c r="D140" s="608">
        <v>31</v>
      </c>
      <c r="E140" s="607" t="s">
        <v>180</v>
      </c>
    </row>
    <row r="141" spans="1:7" x14ac:dyDescent="0.2">
      <c r="A141" s="608" t="str">
        <f t="shared" si="2"/>
        <v>INDEC-CM - 37210-32</v>
      </c>
      <c r="B141" s="608">
        <v>37210</v>
      </c>
      <c r="C141" s="608" t="s">
        <v>45</v>
      </c>
      <c r="D141" s="608">
        <v>32</v>
      </c>
      <c r="E141" s="607" t="s">
        <v>181</v>
      </c>
    </row>
    <row r="142" spans="1:7" x14ac:dyDescent="0.2">
      <c r="A142" s="608" t="str">
        <f t="shared" si="2"/>
        <v>INDEC-CM - 37210-31</v>
      </c>
      <c r="B142" s="608">
        <v>37210</v>
      </c>
      <c r="C142" s="608" t="s">
        <v>45</v>
      </c>
      <c r="D142" s="608">
        <v>31</v>
      </c>
      <c r="E142" s="607" t="s">
        <v>182</v>
      </c>
    </row>
    <row r="143" spans="1:7" x14ac:dyDescent="0.2">
      <c r="A143" s="608" t="str">
        <f t="shared" si="2"/>
        <v>INDEC-CM - 37210-33</v>
      </c>
      <c r="B143" s="608">
        <v>37210</v>
      </c>
      <c r="C143" s="608" t="s">
        <v>45</v>
      </c>
      <c r="D143" s="608">
        <v>33</v>
      </c>
      <c r="E143" s="607" t="s">
        <v>183</v>
      </c>
    </row>
    <row r="144" spans="1:7" x14ac:dyDescent="0.2">
      <c r="A144" s="608" t="str">
        <f t="shared" si="2"/>
        <v>INDEC-CM - 31210-41</v>
      </c>
      <c r="B144" s="608">
        <v>31210</v>
      </c>
      <c r="C144" s="608" t="s">
        <v>45</v>
      </c>
      <c r="D144" s="608">
        <v>41</v>
      </c>
      <c r="E144" s="607" t="s">
        <v>184</v>
      </c>
    </row>
    <row r="145" spans="1:7" x14ac:dyDescent="0.2">
      <c r="A145" s="608" t="str">
        <f t="shared" si="2"/>
        <v>INDEC-CM - 43240-21</v>
      </c>
      <c r="B145" s="608">
        <v>43240</v>
      </c>
      <c r="C145" s="608" t="s">
        <v>45</v>
      </c>
      <c r="D145" s="608">
        <v>21</v>
      </c>
      <c r="E145" s="607" t="s">
        <v>185</v>
      </c>
    </row>
    <row r="146" spans="1:7" x14ac:dyDescent="0.2">
      <c r="A146" s="608" t="str">
        <f t="shared" si="2"/>
        <v>INDEC-CM - 43240-32</v>
      </c>
      <c r="B146" s="608">
        <v>43240</v>
      </c>
      <c r="C146" s="608" t="s">
        <v>45</v>
      </c>
      <c r="D146" s="608">
        <v>32</v>
      </c>
      <c r="E146" s="607" t="s">
        <v>186</v>
      </c>
    </row>
    <row r="147" spans="1:7" x14ac:dyDescent="0.2">
      <c r="A147" s="608" t="str">
        <f t="shared" si="2"/>
        <v>INDEC-CM - 43240-31</v>
      </c>
      <c r="B147" s="608">
        <v>43240</v>
      </c>
      <c r="C147" s="608" t="s">
        <v>45</v>
      </c>
      <c r="D147" s="608">
        <v>31</v>
      </c>
      <c r="E147" s="607" t="s">
        <v>187</v>
      </c>
    </row>
    <row r="148" spans="1:7" x14ac:dyDescent="0.2">
      <c r="A148" s="608" t="str">
        <f t="shared" si="2"/>
        <v>INDEC-CM - 43240-41</v>
      </c>
      <c r="B148" s="608">
        <v>43240</v>
      </c>
      <c r="C148" s="608" t="s">
        <v>45</v>
      </c>
      <c r="D148" s="608">
        <v>41</v>
      </c>
      <c r="E148" s="607" t="s">
        <v>188</v>
      </c>
    </row>
    <row r="149" spans="1:7" x14ac:dyDescent="0.2">
      <c r="A149" s="608" t="str">
        <f t="shared" si="2"/>
        <v>INDEC-CM - 37540-32</v>
      </c>
      <c r="B149" s="608">
        <v>37540</v>
      </c>
      <c r="C149" s="608" t="s">
        <v>45</v>
      </c>
      <c r="D149" s="608">
        <v>32</v>
      </c>
      <c r="E149" s="612" t="s">
        <v>189</v>
      </c>
      <c r="F149" s="612"/>
      <c r="G149" s="612"/>
    </row>
    <row r="150" spans="1:7" x14ac:dyDescent="0.2">
      <c r="A150" s="608" t="str">
        <f t="shared" si="2"/>
        <v>INDEC-CM - 37540-31</v>
      </c>
      <c r="B150" s="608">
        <v>37540</v>
      </c>
      <c r="C150" s="608" t="s">
        <v>45</v>
      </c>
      <c r="D150" s="608">
        <v>31</v>
      </c>
      <c r="E150" s="607" t="s">
        <v>190</v>
      </c>
    </row>
    <row r="151" spans="1:7" x14ac:dyDescent="0.2">
      <c r="A151" s="608" t="str">
        <f t="shared" si="2"/>
        <v>INDEC-CM - 31210-21</v>
      </c>
      <c r="B151" s="608">
        <v>31210</v>
      </c>
      <c r="C151" s="608" t="s">
        <v>45</v>
      </c>
      <c r="D151" s="608">
        <v>21</v>
      </c>
      <c r="E151" s="612" t="s">
        <v>191</v>
      </c>
      <c r="F151" s="612"/>
      <c r="G151" s="612"/>
    </row>
    <row r="152" spans="1:7" x14ac:dyDescent="0.2">
      <c r="A152" s="608" t="str">
        <f t="shared" si="2"/>
        <v>INDEC-CM - 42911-61</v>
      </c>
      <c r="B152" s="608">
        <v>42911</v>
      </c>
      <c r="C152" s="608" t="s">
        <v>45</v>
      </c>
      <c r="D152" s="608">
        <v>61</v>
      </c>
      <c r="E152" s="612" t="s">
        <v>192</v>
      </c>
      <c r="F152" s="612"/>
      <c r="G152" s="612"/>
    </row>
    <row r="153" spans="1:7" x14ac:dyDescent="0.2">
      <c r="A153" s="608" t="str">
        <f t="shared" si="2"/>
        <v>INDEC-CM - 43923-11</v>
      </c>
      <c r="B153" s="608">
        <v>43923</v>
      </c>
      <c r="C153" s="608" t="s">
        <v>45</v>
      </c>
      <c r="D153" s="608">
        <v>11</v>
      </c>
      <c r="E153" s="612" t="s">
        <v>193</v>
      </c>
      <c r="F153" s="612"/>
      <c r="G153" s="612"/>
    </row>
    <row r="154" spans="1:7" x14ac:dyDescent="0.2">
      <c r="A154" s="608" t="str">
        <f t="shared" si="2"/>
        <v>INDEC-CM - 37930-12</v>
      </c>
      <c r="B154" s="608">
        <v>37930</v>
      </c>
      <c r="C154" s="608" t="s">
        <v>45</v>
      </c>
      <c r="D154" s="608">
        <v>12</v>
      </c>
      <c r="E154" s="607" t="s">
        <v>194</v>
      </c>
    </row>
    <row r="155" spans="1:7" x14ac:dyDescent="0.2">
      <c r="A155" s="608" t="str">
        <f t="shared" si="2"/>
        <v>INDEC-CM - 37930-11</v>
      </c>
      <c r="B155" s="608">
        <v>37930</v>
      </c>
      <c r="C155" s="608" t="s">
        <v>45</v>
      </c>
      <c r="D155" s="608">
        <v>11</v>
      </c>
      <c r="E155" s="607" t="s">
        <v>195</v>
      </c>
    </row>
    <row r="156" spans="1:7" x14ac:dyDescent="0.2">
      <c r="A156" s="608" t="str">
        <f t="shared" si="2"/>
        <v>INDEC-CM - 42999-61</v>
      </c>
      <c r="B156" s="608">
        <v>42999</v>
      </c>
      <c r="C156" s="608" t="s">
        <v>45</v>
      </c>
      <c r="D156" s="608">
        <v>61</v>
      </c>
      <c r="E156" s="612" t="s">
        <v>196</v>
      </c>
      <c r="F156" s="612"/>
      <c r="G156" s="612"/>
    </row>
    <row r="157" spans="1:7" x14ac:dyDescent="0.2">
      <c r="A157" s="608" t="str">
        <f t="shared" si="2"/>
        <v>INDEC-CM - 42999-62</v>
      </c>
      <c r="B157" s="608">
        <v>42999</v>
      </c>
      <c r="C157" s="608" t="s">
        <v>45</v>
      </c>
      <c r="D157" s="608">
        <v>62</v>
      </c>
      <c r="E157" s="612" t="s">
        <v>197</v>
      </c>
      <c r="F157" s="612"/>
      <c r="G157" s="612"/>
    </row>
    <row r="158" spans="1:7" x14ac:dyDescent="0.2">
      <c r="A158" s="608" t="str">
        <f t="shared" si="2"/>
        <v>INDEC-CM - 37610-11</v>
      </c>
      <c r="B158" s="608">
        <v>37610</v>
      </c>
      <c r="C158" s="608" t="s">
        <v>45</v>
      </c>
      <c r="D158" s="608">
        <v>11</v>
      </c>
      <c r="E158" s="612" t="s">
        <v>198</v>
      </c>
      <c r="F158" s="612"/>
      <c r="G158" s="612"/>
    </row>
    <row r="159" spans="1:7" x14ac:dyDescent="0.2">
      <c r="A159" s="608" t="str">
        <f t="shared" si="2"/>
        <v>INDEC-CM - 37610-12</v>
      </c>
      <c r="B159" s="608">
        <v>37610</v>
      </c>
      <c r="C159" s="608" t="s">
        <v>45</v>
      </c>
      <c r="D159" s="608">
        <v>12</v>
      </c>
      <c r="E159" s="612" t="s">
        <v>199</v>
      </c>
      <c r="F159" s="612"/>
      <c r="G159" s="612"/>
    </row>
    <row r="160" spans="1:7" x14ac:dyDescent="0.2">
      <c r="A160" s="608" t="str">
        <f t="shared" si="2"/>
        <v>INDEC-CM - 42943-11</v>
      </c>
      <c r="B160" s="608">
        <v>42943</v>
      </c>
      <c r="C160" s="608" t="s">
        <v>45</v>
      </c>
      <c r="D160" s="608">
        <v>11</v>
      </c>
      <c r="E160" s="612" t="s">
        <v>200</v>
      </c>
      <c r="F160" s="612"/>
      <c r="G160" s="612"/>
    </row>
    <row r="161" spans="1:7" x14ac:dyDescent="0.2">
      <c r="A161" s="608" t="str">
        <f t="shared" si="2"/>
        <v>INDEC-CM - 37540-11</v>
      </c>
      <c r="B161" s="608">
        <v>37540</v>
      </c>
      <c r="C161" s="608" t="s">
        <v>45</v>
      </c>
      <c r="D161" s="608">
        <v>11</v>
      </c>
      <c r="E161" s="607" t="s">
        <v>201</v>
      </c>
    </row>
    <row r="162" spans="1:7" x14ac:dyDescent="0.2">
      <c r="A162" s="608" t="str">
        <f t="shared" si="2"/>
        <v>INDEC-CM - 38130-16</v>
      </c>
      <c r="B162" s="608">
        <v>38130</v>
      </c>
      <c r="C162" s="608" t="s">
        <v>45</v>
      </c>
      <c r="D162" s="608">
        <v>16</v>
      </c>
      <c r="E162" s="612" t="s">
        <v>202</v>
      </c>
      <c r="F162" s="612"/>
      <c r="G162" s="612"/>
    </row>
    <row r="163" spans="1:7" x14ac:dyDescent="0.2">
      <c r="A163" s="608" t="str">
        <f t="shared" si="2"/>
        <v>INDEC-CM - 38130-15</v>
      </c>
      <c r="B163" s="608">
        <v>38130</v>
      </c>
      <c r="C163" s="608" t="s">
        <v>45</v>
      </c>
      <c r="D163" s="608">
        <v>15</v>
      </c>
      <c r="E163" s="612" t="s">
        <v>203</v>
      </c>
      <c r="F163" s="612"/>
      <c r="G163" s="612"/>
    </row>
    <row r="164" spans="1:7" x14ac:dyDescent="0.2">
      <c r="A164" s="608" t="str">
        <f t="shared" si="2"/>
        <v>INDEC-CM - 38130-14</v>
      </c>
      <c r="B164" s="608">
        <v>38130</v>
      </c>
      <c r="C164" s="608" t="s">
        <v>45</v>
      </c>
      <c r="D164" s="608">
        <v>14</v>
      </c>
      <c r="E164" s="612" t="s">
        <v>204</v>
      </c>
      <c r="F164" s="612"/>
      <c r="G164" s="612"/>
    </row>
    <row r="165" spans="1:7" x14ac:dyDescent="0.2">
      <c r="A165" s="608" t="str">
        <f t="shared" si="2"/>
        <v>INDEC-CM - 35490-11</v>
      </c>
      <c r="B165" s="608">
        <v>35490</v>
      </c>
      <c r="C165" s="608" t="s">
        <v>45</v>
      </c>
      <c r="D165" s="608">
        <v>11</v>
      </c>
      <c r="E165" s="607" t="s">
        <v>205</v>
      </c>
    </row>
    <row r="166" spans="1:7" x14ac:dyDescent="0.2">
      <c r="A166" s="608" t="str">
        <f t="shared" si="2"/>
        <v>INDEC-CM - 41251-11</v>
      </c>
      <c r="B166" s="608">
        <v>41251</v>
      </c>
      <c r="C166" s="608" t="s">
        <v>45</v>
      </c>
      <c r="D166" s="608">
        <v>11</v>
      </c>
      <c r="E166" s="612" t="s">
        <v>206</v>
      </c>
      <c r="F166" s="612"/>
      <c r="G166" s="612"/>
    </row>
    <row r="167" spans="1:7" x14ac:dyDescent="0.2">
      <c r="A167" s="613" t="str">
        <f t="shared" si="2"/>
        <v>INDEC-CM - 41278-21</v>
      </c>
      <c r="B167" s="613">
        <v>41278</v>
      </c>
      <c r="C167" s="613" t="s">
        <v>45</v>
      </c>
      <c r="D167" s="613">
        <v>21</v>
      </c>
      <c r="E167" s="615" t="s">
        <v>207</v>
      </c>
      <c r="F167" s="607" t="s">
        <v>1912</v>
      </c>
    </row>
    <row r="168" spans="1:7" x14ac:dyDescent="0.2">
      <c r="A168" s="608" t="str">
        <f t="shared" si="2"/>
        <v>INDEC-CM - 42911-71</v>
      </c>
      <c r="B168" s="608">
        <v>42911</v>
      </c>
      <c r="C168" s="608" t="s">
        <v>45</v>
      </c>
      <c r="D168" s="608">
        <v>71</v>
      </c>
      <c r="E168" s="612" t="s">
        <v>208</v>
      </c>
      <c r="F168" s="612"/>
      <c r="G168" s="612"/>
    </row>
    <row r="169" spans="1:7" x14ac:dyDescent="0.2">
      <c r="A169" s="608" t="str">
        <f t="shared" si="2"/>
        <v>INDEC-CM - 37210-42</v>
      </c>
      <c r="B169" s="608">
        <v>37210</v>
      </c>
      <c r="C169" s="608" t="s">
        <v>45</v>
      </c>
      <c r="D169" s="608">
        <v>42</v>
      </c>
      <c r="E169" s="612" t="s">
        <v>209</v>
      </c>
      <c r="F169" s="612"/>
      <c r="G169" s="612"/>
    </row>
    <row r="170" spans="1:7" x14ac:dyDescent="0.2">
      <c r="A170" s="608" t="str">
        <f t="shared" si="2"/>
        <v>INDEC-CM - 37210-41</v>
      </c>
      <c r="B170" s="608">
        <v>37210</v>
      </c>
      <c r="C170" s="608" t="s">
        <v>45</v>
      </c>
      <c r="D170" s="608">
        <v>41</v>
      </c>
      <c r="E170" s="612" t="s">
        <v>210</v>
      </c>
      <c r="F170" s="612"/>
      <c r="G170" s="612"/>
    </row>
    <row r="171" spans="1:7" x14ac:dyDescent="0.2">
      <c r="A171" s="608" t="str">
        <f t="shared" si="2"/>
        <v>INDEC-CM - 36930-11</v>
      </c>
      <c r="B171" s="608">
        <v>36930</v>
      </c>
      <c r="C171" s="608" t="s">
        <v>45</v>
      </c>
      <c r="D171" s="608">
        <v>11</v>
      </c>
      <c r="E171" s="607" t="s">
        <v>211</v>
      </c>
    </row>
    <row r="172" spans="1:7" x14ac:dyDescent="0.2">
      <c r="A172" s="608" t="str">
        <f t="shared" si="2"/>
        <v>INDEC-CM - 36950-21</v>
      </c>
      <c r="B172" s="608">
        <v>36950</v>
      </c>
      <c r="C172" s="608" t="s">
        <v>45</v>
      </c>
      <c r="D172" s="608">
        <v>21</v>
      </c>
      <c r="E172" s="607" t="s">
        <v>212</v>
      </c>
    </row>
    <row r="173" spans="1:7" x14ac:dyDescent="0.2">
      <c r="A173" s="608" t="str">
        <f t="shared" si="2"/>
        <v>INDEC-CM - 35110-31</v>
      </c>
      <c r="B173" s="608">
        <v>35110</v>
      </c>
      <c r="C173" s="608" t="s">
        <v>45</v>
      </c>
      <c r="D173" s="608">
        <v>31</v>
      </c>
      <c r="E173" s="607" t="s">
        <v>213</v>
      </c>
    </row>
    <row r="174" spans="1:7" x14ac:dyDescent="0.2">
      <c r="A174" s="608" t="str">
        <f t="shared" si="2"/>
        <v>INDEC-CM - 35110-32</v>
      </c>
      <c r="B174" s="608">
        <v>35110</v>
      </c>
      <c r="C174" s="608" t="s">
        <v>45</v>
      </c>
      <c r="D174" s="608">
        <v>32</v>
      </c>
      <c r="E174" s="607" t="s">
        <v>214</v>
      </c>
    </row>
    <row r="175" spans="1:7" x14ac:dyDescent="0.2">
      <c r="A175" s="608" t="str">
        <f t="shared" si="2"/>
        <v>INDEC-CM - 37940-11</v>
      </c>
      <c r="B175" s="608">
        <v>37940</v>
      </c>
      <c r="C175" s="608" t="s">
        <v>45</v>
      </c>
      <c r="D175" s="608">
        <v>11</v>
      </c>
      <c r="E175" s="607" t="s">
        <v>215</v>
      </c>
    </row>
    <row r="176" spans="1:7" x14ac:dyDescent="0.2">
      <c r="A176" s="608" t="str">
        <f t="shared" si="2"/>
        <v>INDEC-CM - 35110-71</v>
      </c>
      <c r="B176" s="608">
        <v>35110</v>
      </c>
      <c r="C176" s="608" t="s">
        <v>45</v>
      </c>
      <c r="D176" s="608">
        <v>71</v>
      </c>
      <c r="E176" s="607" t="s">
        <v>216</v>
      </c>
    </row>
    <row r="177" spans="1:7" x14ac:dyDescent="0.2">
      <c r="A177" s="608" t="str">
        <f t="shared" si="2"/>
        <v>INDEC-CM - 31210-31</v>
      </c>
      <c r="B177" s="608">
        <v>31210</v>
      </c>
      <c r="C177" s="608" t="s">
        <v>45</v>
      </c>
      <c r="D177" s="608">
        <v>31</v>
      </c>
      <c r="E177" s="607" t="s">
        <v>217</v>
      </c>
    </row>
    <row r="178" spans="1:7" x14ac:dyDescent="0.2">
      <c r="A178" s="608" t="str">
        <f t="shared" si="2"/>
        <v>INDEC-CM - 31210-32</v>
      </c>
      <c r="B178" s="608">
        <v>31210</v>
      </c>
      <c r="C178" s="608" t="s">
        <v>45</v>
      </c>
      <c r="D178" s="608">
        <v>32</v>
      </c>
      <c r="E178" s="607" t="s">
        <v>218</v>
      </c>
    </row>
    <row r="179" spans="1:7" x14ac:dyDescent="0.2">
      <c r="A179" s="608" t="str">
        <f t="shared" si="2"/>
        <v>INDEC-CM - 41541-11</v>
      </c>
      <c r="B179" s="608">
        <v>41541</v>
      </c>
      <c r="C179" s="608" t="s">
        <v>45</v>
      </c>
      <c r="D179" s="608">
        <v>11</v>
      </c>
      <c r="E179" s="607" t="s">
        <v>219</v>
      </c>
    </row>
    <row r="180" spans="1:7" x14ac:dyDescent="0.2">
      <c r="A180" s="608" t="str">
        <f t="shared" si="2"/>
        <v>INDEC-CM - 34720-11</v>
      </c>
      <c r="B180" s="608">
        <v>34720</v>
      </c>
      <c r="C180" s="608" t="s">
        <v>45</v>
      </c>
      <c r="D180" s="608">
        <v>11</v>
      </c>
      <c r="E180" s="612" t="s">
        <v>220</v>
      </c>
      <c r="F180" s="612"/>
      <c r="G180" s="612"/>
    </row>
    <row r="181" spans="1:7" x14ac:dyDescent="0.2">
      <c r="A181" s="608" t="str">
        <f t="shared" si="2"/>
        <v>INDEC-CM - 47220-11</v>
      </c>
      <c r="B181" s="608">
        <v>47220</v>
      </c>
      <c r="C181" s="608" t="s">
        <v>45</v>
      </c>
      <c r="D181" s="608">
        <v>11</v>
      </c>
      <c r="E181" s="612" t="s">
        <v>221</v>
      </c>
      <c r="F181" s="612"/>
      <c r="G181" s="612"/>
    </row>
    <row r="182" spans="1:7" x14ac:dyDescent="0.2">
      <c r="A182" s="608" t="str">
        <f t="shared" si="2"/>
        <v>INDEC-CM - 31600-81</v>
      </c>
      <c r="B182" s="608">
        <v>31600</v>
      </c>
      <c r="C182" s="608" t="s">
        <v>45</v>
      </c>
      <c r="D182" s="608">
        <v>81</v>
      </c>
      <c r="E182" s="607" t="s">
        <v>222</v>
      </c>
    </row>
    <row r="183" spans="1:7" x14ac:dyDescent="0.2">
      <c r="A183" s="608" t="str">
        <f t="shared" si="2"/>
        <v>INDEC-CM - 42120-31</v>
      </c>
      <c r="B183" s="608">
        <v>42120</v>
      </c>
      <c r="C183" s="608" t="s">
        <v>45</v>
      </c>
      <c r="D183" s="608">
        <v>31</v>
      </c>
      <c r="E183" s="607" t="s">
        <v>223</v>
      </c>
    </row>
    <row r="184" spans="1:7" x14ac:dyDescent="0.2">
      <c r="A184" s="608" t="str">
        <f t="shared" si="2"/>
        <v>INDEC-CM - 35490-21</v>
      </c>
      <c r="B184" s="608">
        <v>35490</v>
      </c>
      <c r="C184" s="608" t="s">
        <v>45</v>
      </c>
      <c r="D184" s="608">
        <v>21</v>
      </c>
      <c r="E184" s="612" t="s">
        <v>224</v>
      </c>
      <c r="F184" s="612"/>
      <c r="G184" s="612"/>
    </row>
    <row r="185" spans="1:7" x14ac:dyDescent="0.2">
      <c r="A185" s="608" t="str">
        <f t="shared" si="2"/>
        <v>INDEC-CM - 31600-41</v>
      </c>
      <c r="B185" s="608">
        <v>31600</v>
      </c>
      <c r="C185" s="608" t="s">
        <v>45</v>
      </c>
      <c r="D185" s="608">
        <v>41</v>
      </c>
      <c r="E185" s="612" t="s">
        <v>225</v>
      </c>
      <c r="F185" s="612"/>
      <c r="G185" s="612"/>
    </row>
    <row r="186" spans="1:7" x14ac:dyDescent="0.2">
      <c r="A186" s="608" t="str">
        <f t="shared" si="2"/>
        <v>INDEC-CM - 42120-21</v>
      </c>
      <c r="B186" s="608">
        <v>42120</v>
      </c>
      <c r="C186" s="608" t="s">
        <v>45</v>
      </c>
      <c r="D186" s="608">
        <v>21</v>
      </c>
      <c r="E186" s="612" t="s">
        <v>226</v>
      </c>
      <c r="F186" s="612"/>
      <c r="G186" s="612"/>
    </row>
    <row r="187" spans="1:7" x14ac:dyDescent="0.2">
      <c r="A187" s="608" t="str">
        <f t="shared" si="2"/>
        <v>INDEC-CM - 42120-22</v>
      </c>
      <c r="B187" s="608">
        <v>42120</v>
      </c>
      <c r="C187" s="608" t="s">
        <v>45</v>
      </c>
      <c r="D187" s="608">
        <v>22</v>
      </c>
      <c r="E187" s="612" t="s">
        <v>227</v>
      </c>
      <c r="F187" s="612"/>
      <c r="G187" s="612"/>
    </row>
    <row r="188" spans="1:7" x14ac:dyDescent="0.2">
      <c r="A188" s="608" t="str">
        <f t="shared" si="2"/>
        <v>INDEC-CM - 31600-33</v>
      </c>
      <c r="B188" s="608">
        <v>31600</v>
      </c>
      <c r="C188" s="608" t="s">
        <v>45</v>
      </c>
      <c r="D188" s="608">
        <v>33</v>
      </c>
      <c r="E188" s="607" t="s">
        <v>228</v>
      </c>
    </row>
    <row r="189" spans="1:7" x14ac:dyDescent="0.2">
      <c r="A189" s="608" t="str">
        <f t="shared" si="2"/>
        <v>INDEC-CM - 31600-32</v>
      </c>
      <c r="B189" s="608">
        <v>31600</v>
      </c>
      <c r="C189" s="608" t="s">
        <v>45</v>
      </c>
      <c r="D189" s="608">
        <v>32</v>
      </c>
      <c r="E189" s="607" t="s">
        <v>229</v>
      </c>
    </row>
    <row r="190" spans="1:7" x14ac:dyDescent="0.2">
      <c r="A190" s="608" t="str">
        <f t="shared" si="2"/>
        <v>INDEC-CM - 31600-31</v>
      </c>
      <c r="B190" s="608">
        <v>31600</v>
      </c>
      <c r="C190" s="608" t="s">
        <v>45</v>
      </c>
      <c r="D190" s="608">
        <v>31</v>
      </c>
      <c r="E190" s="607" t="s">
        <v>230</v>
      </c>
    </row>
    <row r="191" spans="1:7" x14ac:dyDescent="0.2">
      <c r="A191" s="608" t="str">
        <f t="shared" si="2"/>
        <v>INDEC-CM - 42120-11</v>
      </c>
      <c r="B191" s="608">
        <v>42120</v>
      </c>
      <c r="C191" s="608" t="s">
        <v>45</v>
      </c>
      <c r="D191" s="608">
        <v>11</v>
      </c>
      <c r="E191" s="607" t="s">
        <v>231</v>
      </c>
    </row>
    <row r="192" spans="1:7" x14ac:dyDescent="0.2">
      <c r="A192" s="608" t="str">
        <f t="shared" si="2"/>
        <v>INDEC-CM - 31600-23</v>
      </c>
      <c r="B192" s="608">
        <v>31600</v>
      </c>
      <c r="C192" s="608" t="s">
        <v>45</v>
      </c>
      <c r="D192" s="608">
        <v>23</v>
      </c>
      <c r="E192" s="607" t="s">
        <v>232</v>
      </c>
    </row>
    <row r="193" spans="1:7" x14ac:dyDescent="0.2">
      <c r="A193" s="608" t="str">
        <f t="shared" si="2"/>
        <v>INDEC-CM - 31600-22</v>
      </c>
      <c r="B193" s="608">
        <v>31600</v>
      </c>
      <c r="C193" s="608" t="s">
        <v>45</v>
      </c>
      <c r="D193" s="608">
        <v>22</v>
      </c>
      <c r="E193" s="607" t="s">
        <v>233</v>
      </c>
    </row>
    <row r="194" spans="1:7" x14ac:dyDescent="0.2">
      <c r="A194" s="608" t="str">
        <f t="shared" si="2"/>
        <v>INDEC-CM - 31600-21</v>
      </c>
      <c r="B194" s="608">
        <v>31600</v>
      </c>
      <c r="C194" s="608" t="s">
        <v>45</v>
      </c>
      <c r="D194" s="608">
        <v>21</v>
      </c>
      <c r="E194" s="607" t="s">
        <v>234</v>
      </c>
    </row>
    <row r="195" spans="1:7" x14ac:dyDescent="0.2">
      <c r="A195" s="608" t="str">
        <f t="shared" si="2"/>
        <v>INDEC-CM - 41278-33</v>
      </c>
      <c r="B195" s="608">
        <v>41278</v>
      </c>
      <c r="C195" s="608" t="s">
        <v>45</v>
      </c>
      <c r="D195" s="608">
        <v>33</v>
      </c>
      <c r="E195" s="612" t="s">
        <v>235</v>
      </c>
      <c r="F195" s="612"/>
      <c r="G195" s="612"/>
    </row>
    <row r="196" spans="1:7" x14ac:dyDescent="0.2">
      <c r="A196" s="608" t="str">
        <f t="shared" si="2"/>
        <v>INDEC-CM - 36320-33</v>
      </c>
      <c r="B196" s="608">
        <v>36320</v>
      </c>
      <c r="C196" s="608" t="s">
        <v>45</v>
      </c>
      <c r="D196" s="608">
        <v>33</v>
      </c>
      <c r="E196" s="607" t="s">
        <v>236</v>
      </c>
    </row>
    <row r="197" spans="1:7" x14ac:dyDescent="0.2">
      <c r="A197" s="608" t="str">
        <f t="shared" si="2"/>
        <v>INDEC-CM - 48270-11</v>
      </c>
      <c r="B197" s="608">
        <v>48270</v>
      </c>
      <c r="C197" s="608" t="s">
        <v>45</v>
      </c>
      <c r="D197" s="608">
        <v>11</v>
      </c>
      <c r="E197" s="612" t="s">
        <v>237</v>
      </c>
      <c r="F197" s="612"/>
      <c r="G197" s="612"/>
    </row>
    <row r="198" spans="1:7" x14ac:dyDescent="0.2">
      <c r="A198" s="608" t="str">
        <f t="shared" ref="A198:A220" si="3">CONCATENATE("INDEC-CM - ",B198,C198,D198)</f>
        <v>INDEC-CM - 42190-11</v>
      </c>
      <c r="B198" s="608">
        <v>42190</v>
      </c>
      <c r="C198" s="608" t="s">
        <v>45</v>
      </c>
      <c r="D198" s="608">
        <v>11</v>
      </c>
      <c r="E198" s="607" t="s">
        <v>238</v>
      </c>
    </row>
    <row r="199" spans="1:7" x14ac:dyDescent="0.2">
      <c r="A199" s="608" t="str">
        <f t="shared" si="3"/>
        <v>INDEC-CM - 43923-31</v>
      </c>
      <c r="B199" s="608">
        <v>43923</v>
      </c>
      <c r="C199" s="608" t="s">
        <v>45</v>
      </c>
      <c r="D199" s="608">
        <v>31</v>
      </c>
      <c r="E199" s="612" t="s">
        <v>239</v>
      </c>
      <c r="F199" s="612"/>
      <c r="G199" s="612"/>
    </row>
    <row r="200" spans="1:7" x14ac:dyDescent="0.2">
      <c r="A200" s="608" t="str">
        <f t="shared" si="3"/>
        <v>INDEC-CM - 31210-11</v>
      </c>
      <c r="B200" s="608">
        <v>31210</v>
      </c>
      <c r="C200" s="608" t="s">
        <v>45</v>
      </c>
      <c r="D200" s="608">
        <v>11</v>
      </c>
      <c r="E200" s="612" t="s">
        <v>240</v>
      </c>
      <c r="F200" s="612"/>
      <c r="G200" s="612"/>
    </row>
    <row r="201" spans="1:7" x14ac:dyDescent="0.2">
      <c r="A201" s="608" t="str">
        <f t="shared" si="3"/>
        <v>INDEC-CM - 37129-21</v>
      </c>
      <c r="B201" s="608">
        <v>37129</v>
      </c>
      <c r="C201" s="608" t="s">
        <v>45</v>
      </c>
      <c r="D201" s="608">
        <v>21</v>
      </c>
      <c r="E201" s="607" t="s">
        <v>241</v>
      </c>
    </row>
    <row r="202" spans="1:7" x14ac:dyDescent="0.2">
      <c r="A202" s="608" t="str">
        <f t="shared" si="3"/>
        <v>INDEC-CM - 37560-21</v>
      </c>
      <c r="B202" s="608">
        <v>37560</v>
      </c>
      <c r="C202" s="608" t="s">
        <v>45</v>
      </c>
      <c r="D202" s="608">
        <v>21</v>
      </c>
      <c r="E202" s="612" t="s">
        <v>242</v>
      </c>
      <c r="F202" s="612"/>
      <c r="G202" s="612"/>
    </row>
    <row r="203" spans="1:7" x14ac:dyDescent="0.2">
      <c r="A203" s="608" t="str">
        <f t="shared" si="3"/>
        <v>INDEC-CM - 42999-71</v>
      </c>
      <c r="B203" s="608">
        <v>42999</v>
      </c>
      <c r="C203" s="608" t="s">
        <v>45</v>
      </c>
      <c r="D203" s="608">
        <v>71</v>
      </c>
      <c r="E203" s="607" t="s">
        <v>243</v>
      </c>
    </row>
    <row r="204" spans="1:7" x14ac:dyDescent="0.2">
      <c r="A204" s="608" t="str">
        <f t="shared" si="3"/>
        <v>INDEC-CM - 41516-22</v>
      </c>
      <c r="B204" s="608">
        <v>41516</v>
      </c>
      <c r="C204" s="608" t="s">
        <v>45</v>
      </c>
      <c r="D204" s="608">
        <v>22</v>
      </c>
      <c r="E204" s="607" t="s">
        <v>244</v>
      </c>
    </row>
    <row r="205" spans="1:7" x14ac:dyDescent="0.2">
      <c r="A205" s="608" t="str">
        <f t="shared" si="3"/>
        <v>INDEC-CM - 37350-51</v>
      </c>
      <c r="B205" s="608">
        <v>37350</v>
      </c>
      <c r="C205" s="608" t="s">
        <v>45</v>
      </c>
      <c r="D205" s="608">
        <v>51</v>
      </c>
      <c r="E205" s="607" t="s">
        <v>245</v>
      </c>
    </row>
    <row r="206" spans="1:7" x14ac:dyDescent="0.2">
      <c r="A206" s="608" t="str">
        <f t="shared" si="3"/>
        <v>INDEC-CM - 44826-21</v>
      </c>
      <c r="B206" s="608">
        <v>44826</v>
      </c>
      <c r="C206" s="608" t="s">
        <v>45</v>
      </c>
      <c r="D206" s="608">
        <v>21</v>
      </c>
      <c r="E206" s="607" t="s">
        <v>246</v>
      </c>
    </row>
    <row r="207" spans="1:7" x14ac:dyDescent="0.2">
      <c r="A207" s="608" t="str">
        <f t="shared" si="3"/>
        <v>INDEC-CM - 31210-22</v>
      </c>
      <c r="B207" s="608">
        <v>31210</v>
      </c>
      <c r="C207" s="608" t="s">
        <v>45</v>
      </c>
      <c r="D207" s="608">
        <v>22</v>
      </c>
      <c r="E207" s="607" t="s">
        <v>247</v>
      </c>
    </row>
    <row r="208" spans="1:7" x14ac:dyDescent="0.2">
      <c r="A208" s="608" t="str">
        <f t="shared" si="3"/>
        <v>INDEC-CM - 31100-11</v>
      </c>
      <c r="B208" s="608">
        <v>31100</v>
      </c>
      <c r="C208" s="608" t="s">
        <v>45</v>
      </c>
      <c r="D208" s="608">
        <v>11</v>
      </c>
      <c r="E208" s="607" t="s">
        <v>248</v>
      </c>
    </row>
    <row r="209" spans="1:7" x14ac:dyDescent="0.2">
      <c r="A209" s="608" t="str">
        <f t="shared" si="3"/>
        <v>INDEC-CM - 46212-53</v>
      </c>
      <c r="B209" s="608">
        <v>46212</v>
      </c>
      <c r="C209" s="608" t="s">
        <v>45</v>
      </c>
      <c r="D209" s="608">
        <v>53</v>
      </c>
      <c r="E209" s="607" t="s">
        <v>249</v>
      </c>
    </row>
    <row r="210" spans="1:7" x14ac:dyDescent="0.2">
      <c r="A210" s="608" t="str">
        <f t="shared" si="3"/>
        <v>INDEC-CM - 46212-52</v>
      </c>
      <c r="B210" s="608">
        <v>46212</v>
      </c>
      <c r="C210" s="608" t="s">
        <v>45</v>
      </c>
      <c r="D210" s="608">
        <v>52</v>
      </c>
      <c r="E210" s="612" t="s">
        <v>250</v>
      </c>
      <c r="F210" s="612"/>
      <c r="G210" s="612"/>
    </row>
    <row r="211" spans="1:7" x14ac:dyDescent="0.2">
      <c r="A211" s="608" t="str">
        <f t="shared" si="3"/>
        <v>INDEC-CM - 15400-21</v>
      </c>
      <c r="B211" s="608">
        <v>15400</v>
      </c>
      <c r="C211" s="608" t="s">
        <v>45</v>
      </c>
      <c r="D211" s="608">
        <v>21</v>
      </c>
      <c r="E211" s="607" t="s">
        <v>251</v>
      </c>
    </row>
    <row r="212" spans="1:7" x14ac:dyDescent="0.2">
      <c r="A212" s="608" t="str">
        <f t="shared" si="3"/>
        <v>INDEC-CM - 43240-11</v>
      </c>
      <c r="B212" s="608">
        <v>43240</v>
      </c>
      <c r="C212" s="608" t="s">
        <v>45</v>
      </c>
      <c r="D212" s="608">
        <v>11</v>
      </c>
      <c r="E212" s="607" t="s">
        <v>252</v>
      </c>
    </row>
    <row r="213" spans="1:7" x14ac:dyDescent="0.2">
      <c r="A213" s="608" t="str">
        <f t="shared" si="3"/>
        <v>INDEC-CM - 31600-42</v>
      </c>
      <c r="B213" s="608">
        <v>31600</v>
      </c>
      <c r="C213" s="608" t="s">
        <v>45</v>
      </c>
      <c r="D213" s="608">
        <v>42</v>
      </c>
      <c r="E213" s="612" t="s">
        <v>253</v>
      </c>
      <c r="F213" s="612"/>
      <c r="G213" s="612"/>
    </row>
    <row r="214" spans="1:7" x14ac:dyDescent="0.2">
      <c r="A214" s="613" t="str">
        <f t="shared" si="3"/>
        <v>INDEC-CM - 42120-42</v>
      </c>
      <c r="B214" s="613">
        <v>42120</v>
      </c>
      <c r="C214" s="613" t="s">
        <v>45</v>
      </c>
      <c r="D214" s="613">
        <v>42</v>
      </c>
      <c r="E214" s="615" t="s">
        <v>254</v>
      </c>
      <c r="F214" s="607" t="s">
        <v>1912</v>
      </c>
    </row>
    <row r="215" spans="1:7" x14ac:dyDescent="0.2">
      <c r="A215" s="613" t="str">
        <f t="shared" si="3"/>
        <v>INDEC-CM - 42120-41</v>
      </c>
      <c r="B215" s="613">
        <v>42120</v>
      </c>
      <c r="C215" s="613" t="s">
        <v>45</v>
      </c>
      <c r="D215" s="613">
        <v>41</v>
      </c>
      <c r="E215" s="615" t="s">
        <v>255</v>
      </c>
      <c r="F215" s="607" t="s">
        <v>1912</v>
      </c>
    </row>
    <row r="216" spans="1:7" x14ac:dyDescent="0.2">
      <c r="A216" s="613" t="str">
        <f t="shared" si="3"/>
        <v>INDEC-CM - 42120-51</v>
      </c>
      <c r="B216" s="613">
        <v>42120</v>
      </c>
      <c r="C216" s="613" t="s">
        <v>45</v>
      </c>
      <c r="D216" s="613">
        <v>51</v>
      </c>
      <c r="E216" s="614" t="s">
        <v>256</v>
      </c>
      <c r="F216" s="607" t="s">
        <v>1912</v>
      </c>
    </row>
    <row r="217" spans="1:7" x14ac:dyDescent="0.2">
      <c r="A217" s="608" t="str">
        <f t="shared" si="3"/>
        <v>INDEC-CM - 37550-11</v>
      </c>
      <c r="B217" s="608">
        <v>37550</v>
      </c>
      <c r="C217" s="608" t="s">
        <v>45</v>
      </c>
      <c r="D217" s="608">
        <v>11</v>
      </c>
      <c r="E217" s="607" t="s">
        <v>257</v>
      </c>
    </row>
    <row r="218" spans="1:7" x14ac:dyDescent="0.2">
      <c r="A218" s="608" t="str">
        <f t="shared" si="3"/>
        <v>INDEC-CM - 37410-11</v>
      </c>
      <c r="B218" s="608">
        <v>37410</v>
      </c>
      <c r="C218" s="608" t="s">
        <v>45</v>
      </c>
      <c r="D218" s="608">
        <v>11</v>
      </c>
      <c r="E218" s="607" t="s">
        <v>258</v>
      </c>
    </row>
    <row r="219" spans="1:7" x14ac:dyDescent="0.2">
      <c r="A219" s="608" t="str">
        <f t="shared" si="3"/>
        <v>INDEC-CM - 31210-33</v>
      </c>
      <c r="B219" s="608">
        <v>31210</v>
      </c>
      <c r="C219" s="608" t="s">
        <v>45</v>
      </c>
      <c r="D219" s="608">
        <v>33</v>
      </c>
      <c r="E219" s="607" t="s">
        <v>259</v>
      </c>
    </row>
    <row r="220" spans="1:7" x14ac:dyDescent="0.2">
      <c r="A220" s="608" t="str">
        <f t="shared" si="3"/>
        <v>INDEC-CM - 37540-21</v>
      </c>
      <c r="B220" s="608">
        <v>37540</v>
      </c>
      <c r="C220" s="608" t="s">
        <v>45</v>
      </c>
      <c r="D220" s="608">
        <v>21</v>
      </c>
      <c r="E220" s="607" t="s">
        <v>260</v>
      </c>
    </row>
    <row r="223" spans="1:7" x14ac:dyDescent="0.2">
      <c r="A223" s="19"/>
      <c r="B223" s="606" t="s">
        <v>535</v>
      </c>
      <c r="C223" s="18"/>
      <c r="D223" s="18"/>
      <c r="E223" s="19"/>
    </row>
    <row r="224" spans="1:7" x14ac:dyDescent="0.2">
      <c r="A224" s="19"/>
      <c r="B224" s="616"/>
      <c r="C224" s="18"/>
      <c r="D224" s="18"/>
      <c r="E224" s="19"/>
    </row>
    <row r="225" spans="1:5" x14ac:dyDescent="0.2">
      <c r="A225" s="862" t="s">
        <v>343</v>
      </c>
      <c r="B225" s="862" t="s">
        <v>42</v>
      </c>
      <c r="C225" s="862"/>
      <c r="D225" s="862"/>
      <c r="E225" s="862" t="s">
        <v>43</v>
      </c>
    </row>
    <row r="226" spans="1:5" x14ac:dyDescent="0.2">
      <c r="A226" s="862"/>
      <c r="B226" s="862" t="s">
        <v>44</v>
      </c>
      <c r="C226" s="862"/>
      <c r="D226" s="862"/>
      <c r="E226" s="862"/>
    </row>
    <row r="227" spans="1:5" x14ac:dyDescent="0.2">
      <c r="A227" s="608" t="str">
        <f>CONCATENATE(B227,C227,D227)</f>
        <v/>
      </c>
      <c r="B227" s="617"/>
      <c r="C227" s="18"/>
      <c r="D227" s="18"/>
      <c r="E227" s="19"/>
    </row>
    <row r="228" spans="1:5" x14ac:dyDescent="0.2">
      <c r="A228" s="608" t="str">
        <f>CONCATENATE("INDEC-CM - ",B228,C228,D228)</f>
        <v>INDEC-CM - 37370-0</v>
      </c>
      <c r="B228" s="18">
        <v>37370</v>
      </c>
      <c r="C228" s="18" t="s">
        <v>45</v>
      </c>
      <c r="D228" s="18">
        <v>0</v>
      </c>
      <c r="E228" s="19" t="s">
        <v>536</v>
      </c>
    </row>
    <row r="229" spans="1:5" x14ac:dyDescent="0.2">
      <c r="A229" s="608" t="str">
        <f>CONCATENATE("INDEC-CM - ",B229,C229,D229)</f>
        <v>INDEC-CM - 31600-6</v>
      </c>
      <c r="B229" s="18">
        <v>31600</v>
      </c>
      <c r="C229" s="18" t="s">
        <v>45</v>
      </c>
      <c r="D229" s="18">
        <v>6</v>
      </c>
      <c r="E229" s="19" t="s">
        <v>537</v>
      </c>
    </row>
    <row r="230" spans="1:5" x14ac:dyDescent="0.2">
      <c r="A230" s="608" t="str">
        <f>CONCATENATE("INDEC-CM - ",B230,C230,D230)</f>
        <v>INDEC-CM - 41278-0</v>
      </c>
      <c r="B230" s="18">
        <v>41278</v>
      </c>
      <c r="C230" s="18" t="s">
        <v>45</v>
      </c>
      <c r="D230" s="18">
        <v>0</v>
      </c>
      <c r="E230" s="19" t="s">
        <v>538</v>
      </c>
    </row>
    <row r="231" spans="1:5" x14ac:dyDescent="0.2">
      <c r="A231" s="608" t="str">
        <f>CONCATENATE("INDEC-CM - ",B231,C231,D231)</f>
        <v>INDEC-CM - 31600-7</v>
      </c>
      <c r="B231" s="18">
        <v>31600</v>
      </c>
      <c r="C231" s="18" t="s">
        <v>45</v>
      </c>
      <c r="D231" s="18">
        <v>7</v>
      </c>
      <c r="E231" s="19" t="s">
        <v>539</v>
      </c>
    </row>
    <row r="232" spans="1:5" x14ac:dyDescent="0.2">
      <c r="A232" s="608" t="str">
        <f>CONCATENATE("INDEC-CM - ",B232,C232,D232)</f>
        <v>INDEC-CM - 42120-41/42/51</v>
      </c>
      <c r="B232" s="18">
        <v>42120</v>
      </c>
      <c r="C232" s="18" t="s">
        <v>45</v>
      </c>
      <c r="D232" s="18" t="s">
        <v>540</v>
      </c>
      <c r="E232" s="19" t="s">
        <v>541</v>
      </c>
    </row>
    <row r="235" spans="1:5" x14ac:dyDescent="0.2">
      <c r="A235" s="606"/>
      <c r="B235" s="606" t="s">
        <v>543</v>
      </c>
      <c r="C235" s="606"/>
      <c r="D235" s="606"/>
      <c r="E235" s="606"/>
    </row>
    <row r="236" spans="1:5" x14ac:dyDescent="0.2">
      <c r="A236" s="618"/>
      <c r="D236" s="619"/>
    </row>
    <row r="237" spans="1:5" x14ac:dyDescent="0.2">
      <c r="A237" s="862" t="s">
        <v>343</v>
      </c>
      <c r="B237" s="862" t="s">
        <v>42</v>
      </c>
      <c r="C237" s="862"/>
      <c r="D237" s="862"/>
      <c r="E237" s="862" t="s">
        <v>331</v>
      </c>
    </row>
    <row r="238" spans="1:5" x14ac:dyDescent="0.2">
      <c r="A238" s="862"/>
      <c r="B238" s="862"/>
      <c r="C238" s="862"/>
      <c r="D238" s="862"/>
      <c r="E238" s="862"/>
    </row>
    <row r="239" spans="1:5" x14ac:dyDescent="0.2">
      <c r="E239" s="620" t="s">
        <v>267</v>
      </c>
    </row>
    <row r="240" spans="1:5" x14ac:dyDescent="0.2">
      <c r="E240" s="620"/>
    </row>
    <row r="241" spans="1:5" x14ac:dyDescent="0.2">
      <c r="A241" s="618"/>
      <c r="D241" s="619"/>
      <c r="E241" s="605" t="s">
        <v>332</v>
      </c>
    </row>
    <row r="242" spans="1:5" x14ac:dyDescent="0.2">
      <c r="A242" s="618"/>
      <c r="D242" s="619"/>
      <c r="E242" s="605"/>
    </row>
    <row r="243" spans="1:5" x14ac:dyDescent="0.2">
      <c r="B243" s="619"/>
      <c r="E243" s="605" t="s">
        <v>333</v>
      </c>
    </row>
    <row r="244" spans="1:5" x14ac:dyDescent="0.2">
      <c r="A244" s="608" t="str">
        <f>CONCATENATE("INDEC-MO - ",B244,C244,D244)</f>
        <v>INDEC-MO - 51560-11</v>
      </c>
      <c r="B244" s="608">
        <v>51560</v>
      </c>
      <c r="C244" s="608" t="s">
        <v>45</v>
      </c>
      <c r="D244" s="608">
        <v>11</v>
      </c>
      <c r="E244" s="621" t="s">
        <v>1741</v>
      </c>
    </row>
    <row r="245" spans="1:5" x14ac:dyDescent="0.2">
      <c r="A245" s="608" t="str">
        <f>CONCATENATE("INDEC-MO - ",B245,C245,D245)</f>
        <v>INDEC-MO - 51560-12</v>
      </c>
      <c r="B245" s="608">
        <v>51560</v>
      </c>
      <c r="C245" s="608" t="s">
        <v>45</v>
      </c>
      <c r="D245" s="608">
        <v>12</v>
      </c>
      <c r="E245" s="621" t="s">
        <v>902</v>
      </c>
    </row>
    <row r="246" spans="1:5" x14ac:dyDescent="0.2">
      <c r="A246" s="608" t="str">
        <f>CONCATENATE("INDEC-MO - ",B246,C246,D246)</f>
        <v>INDEC-MO - 51560-13</v>
      </c>
      <c r="B246" s="608">
        <v>51560</v>
      </c>
      <c r="C246" s="608" t="s">
        <v>45</v>
      </c>
      <c r="D246" s="608">
        <v>13</v>
      </c>
      <c r="E246" s="621" t="s">
        <v>991</v>
      </c>
    </row>
    <row r="247" spans="1:5" x14ac:dyDescent="0.2">
      <c r="A247" s="608" t="str">
        <f>CONCATENATE("INDEC-MO - ",B247,C247,D247)</f>
        <v>INDEC-MO - 51560-14</v>
      </c>
      <c r="B247" s="608">
        <v>51560</v>
      </c>
      <c r="C247" s="608" t="s">
        <v>45</v>
      </c>
      <c r="D247" s="608">
        <v>14</v>
      </c>
      <c r="E247" s="621" t="s">
        <v>717</v>
      </c>
    </row>
    <row r="248" spans="1:5" x14ac:dyDescent="0.2">
      <c r="A248" s="608" t="str">
        <f>CONCATENATE(B248,C248,D248)</f>
        <v/>
      </c>
    </row>
    <row r="249" spans="1:5" x14ac:dyDescent="0.2">
      <c r="A249" s="608" t="str">
        <f>CONCATENATE("INDEC-MO - ",B249,C249,D249)</f>
        <v>INDEC-MO - 51560-32</v>
      </c>
      <c r="B249" s="608">
        <v>51560</v>
      </c>
      <c r="C249" s="608" t="s">
        <v>45</v>
      </c>
      <c r="D249" s="608">
        <v>32</v>
      </c>
      <c r="E249" s="605" t="s">
        <v>334</v>
      </c>
    </row>
    <row r="250" spans="1:5" x14ac:dyDescent="0.2">
      <c r="A250" s="608" t="str">
        <f>CONCATENATE(B250,C250,D250)</f>
        <v/>
      </c>
    </row>
    <row r="251" spans="1:5" x14ac:dyDescent="0.2">
      <c r="A251" s="608" t="str">
        <f>CONCATENATE("INDEC-MO - ",B251,C251,D251)</f>
        <v>INDEC-MO - 81291-1</v>
      </c>
      <c r="B251" s="608">
        <v>81291</v>
      </c>
      <c r="C251" s="608" t="s">
        <v>45</v>
      </c>
      <c r="D251" s="608">
        <v>1</v>
      </c>
      <c r="E251" s="620" t="s">
        <v>335</v>
      </c>
    </row>
    <row r="252" spans="1:5" x14ac:dyDescent="0.2">
      <c r="A252" s="608" t="str">
        <f>CONCATENATE(B252,C252,D252)</f>
        <v/>
      </c>
    </row>
    <row r="253" spans="1:5" x14ac:dyDescent="0.2">
      <c r="A253" s="608" t="str">
        <f>CONCATENATE(B253,C253,D253)</f>
        <v/>
      </c>
      <c r="E253" s="620" t="s">
        <v>336</v>
      </c>
    </row>
    <row r="254" spans="1:5" x14ac:dyDescent="0.2">
      <c r="A254" s="608" t="str">
        <f t="shared" ref="A254:A259" si="4">CONCATENATE("INDEC-MO - ",B254,C254,D254)</f>
        <v>INDEC-MO - 51641-1</v>
      </c>
      <c r="B254" s="608">
        <v>51641</v>
      </c>
      <c r="C254" s="608" t="s">
        <v>45</v>
      </c>
      <c r="D254" s="608">
        <v>1</v>
      </c>
      <c r="E254" s="621" t="s">
        <v>337</v>
      </c>
    </row>
    <row r="255" spans="1:5" x14ac:dyDescent="0.2">
      <c r="A255" s="608" t="str">
        <f t="shared" si="4"/>
        <v>INDEC-MO - 51620-1</v>
      </c>
      <c r="B255" s="608">
        <v>51620</v>
      </c>
      <c r="C255" s="608" t="s">
        <v>45</v>
      </c>
      <c r="D255" s="608">
        <v>1</v>
      </c>
      <c r="E255" s="621" t="s">
        <v>338</v>
      </c>
    </row>
    <row r="256" spans="1:5" x14ac:dyDescent="0.2">
      <c r="A256" s="608" t="str">
        <f t="shared" si="4"/>
        <v>INDEC-MO - 51690-1</v>
      </c>
      <c r="B256" s="608">
        <v>51690</v>
      </c>
      <c r="C256" s="608" t="s">
        <v>45</v>
      </c>
      <c r="D256" s="608">
        <v>1</v>
      </c>
      <c r="E256" s="621" t="s">
        <v>339</v>
      </c>
    </row>
    <row r="257" spans="1:7" x14ac:dyDescent="0.2">
      <c r="A257" s="608" t="str">
        <f t="shared" si="4"/>
        <v>INDEC-MO - 51630-1</v>
      </c>
      <c r="B257" s="608">
        <v>51630</v>
      </c>
      <c r="C257" s="608" t="s">
        <v>45</v>
      </c>
      <c r="D257" s="608">
        <v>1</v>
      </c>
      <c r="E257" s="621" t="s">
        <v>340</v>
      </c>
    </row>
    <row r="258" spans="1:7" x14ac:dyDescent="0.2">
      <c r="A258" s="613" t="str">
        <f t="shared" si="4"/>
        <v>INDEC-MO - 51720-1</v>
      </c>
      <c r="B258" s="613">
        <v>51720</v>
      </c>
      <c r="C258" s="613" t="s">
        <v>45</v>
      </c>
      <c r="D258" s="613">
        <v>1</v>
      </c>
      <c r="E258" s="622" t="s">
        <v>341</v>
      </c>
      <c r="F258" s="607" t="s">
        <v>1912</v>
      </c>
    </row>
    <row r="259" spans="1:7" x14ac:dyDescent="0.2">
      <c r="A259" s="608" t="str">
        <f t="shared" si="4"/>
        <v>INDEC-MO - 51730-1</v>
      </c>
      <c r="B259" s="608">
        <v>51730</v>
      </c>
      <c r="C259" s="608" t="s">
        <v>45</v>
      </c>
      <c r="D259" s="608">
        <v>1</v>
      </c>
      <c r="E259" s="621" t="s">
        <v>342</v>
      </c>
    </row>
    <row r="262" spans="1:7" x14ac:dyDescent="0.2">
      <c r="A262" s="616"/>
      <c r="B262" s="606" t="s">
        <v>544</v>
      </c>
      <c r="C262" s="18"/>
      <c r="D262" s="18"/>
      <c r="E262" s="18"/>
      <c r="F262" s="18"/>
      <c r="G262" s="616"/>
    </row>
    <row r="263" spans="1:7" x14ac:dyDescent="0.2">
      <c r="A263" s="623"/>
      <c r="B263" s="18"/>
      <c r="C263" s="18"/>
      <c r="D263" s="624"/>
      <c r="E263" s="19"/>
      <c r="F263" s="19"/>
      <c r="G263" s="625"/>
    </row>
    <row r="264" spans="1:7" x14ac:dyDescent="0.2">
      <c r="A264" s="862" t="s">
        <v>343</v>
      </c>
      <c r="B264" s="862" t="s">
        <v>42</v>
      </c>
      <c r="C264" s="862"/>
      <c r="D264" s="862"/>
      <c r="E264" s="862" t="s">
        <v>331</v>
      </c>
      <c r="F264" s="626"/>
      <c r="G264" s="626"/>
    </row>
    <row r="265" spans="1:7" x14ac:dyDescent="0.2">
      <c r="A265" s="862"/>
      <c r="B265" s="862"/>
      <c r="C265" s="862"/>
      <c r="D265" s="862"/>
      <c r="E265" s="862"/>
      <c r="F265" s="626"/>
      <c r="G265" s="626"/>
    </row>
    <row r="266" spans="1:7" x14ac:dyDescent="0.2">
      <c r="A266" s="19"/>
      <c r="B266" s="18"/>
      <c r="C266" s="18"/>
      <c r="D266" s="18"/>
      <c r="E266" s="19"/>
      <c r="F266" s="19"/>
      <c r="G266" s="19"/>
    </row>
    <row r="267" spans="1:7" x14ac:dyDescent="0.2">
      <c r="A267" s="608" t="str">
        <f>CONCATENATE("INDEC-MO - ",B267,C267,D267)</f>
        <v>INDEC-MO - 51720-1</v>
      </c>
      <c r="B267" s="608">
        <v>51720</v>
      </c>
      <c r="C267" s="608" t="s">
        <v>45</v>
      </c>
      <c r="D267" s="608">
        <v>1</v>
      </c>
      <c r="E267" s="17" t="s">
        <v>545</v>
      </c>
      <c r="F267" s="19"/>
      <c r="G267" s="19"/>
    </row>
    <row r="268" spans="1:7" x14ac:dyDescent="0.2">
      <c r="A268" s="19"/>
      <c r="B268" s="18"/>
      <c r="C268" s="18"/>
      <c r="D268" s="18"/>
      <c r="E268" s="19"/>
      <c r="F268" s="19"/>
      <c r="G268" s="19"/>
    </row>
    <row r="271" spans="1:7" x14ac:dyDescent="0.2">
      <c r="A271" s="605"/>
      <c r="B271" s="606" t="s">
        <v>344</v>
      </c>
      <c r="C271" s="606"/>
      <c r="D271" s="606"/>
    </row>
    <row r="273" spans="1:6" x14ac:dyDescent="0.2">
      <c r="A273" s="862" t="s">
        <v>343</v>
      </c>
      <c r="B273" s="862" t="s">
        <v>42</v>
      </c>
      <c r="C273" s="862"/>
      <c r="D273" s="862"/>
      <c r="E273" s="862" t="s">
        <v>345</v>
      </c>
    </row>
    <row r="274" spans="1:6" x14ac:dyDescent="0.2">
      <c r="A274" s="862"/>
      <c r="B274" s="862" t="s">
        <v>44</v>
      </c>
      <c r="C274" s="862"/>
      <c r="D274" s="862"/>
      <c r="E274" s="862"/>
    </row>
    <row r="275" spans="1:6" x14ac:dyDescent="0.2">
      <c r="E275" s="610"/>
    </row>
    <row r="276" spans="1:6" x14ac:dyDescent="0.2">
      <c r="A276" s="608" t="str">
        <f t="shared" ref="A276:A283" si="5">CONCATENATE("INDEC-EC - ",B276,C276,D276)</f>
        <v>INDEC-EC - 43520-11</v>
      </c>
      <c r="B276" s="608">
        <v>43520</v>
      </c>
      <c r="C276" s="608" t="s">
        <v>45</v>
      </c>
      <c r="D276" s="608">
        <v>11</v>
      </c>
      <c r="E276" s="621" t="s">
        <v>346</v>
      </c>
    </row>
    <row r="277" spans="1:6" x14ac:dyDescent="0.2">
      <c r="A277" s="608" t="str">
        <f t="shared" si="5"/>
        <v>INDEC-EC - 44440-2</v>
      </c>
      <c r="B277" s="608">
        <v>44440</v>
      </c>
      <c r="C277" s="608" t="s">
        <v>45</v>
      </c>
      <c r="D277" s="608">
        <v>2</v>
      </c>
      <c r="E277" s="621" t="s">
        <v>347</v>
      </c>
    </row>
    <row r="278" spans="1:6" x14ac:dyDescent="0.2">
      <c r="A278" s="608" t="str">
        <f t="shared" si="5"/>
        <v>INDEC-EC - 44221-11</v>
      </c>
      <c r="B278" s="608">
        <v>44221</v>
      </c>
      <c r="C278" s="608" t="s">
        <v>45</v>
      </c>
      <c r="D278" s="608">
        <v>11</v>
      </c>
      <c r="E278" s="621" t="s">
        <v>348</v>
      </c>
    </row>
    <row r="279" spans="1:6" x14ac:dyDescent="0.2">
      <c r="A279" s="608" t="str">
        <f t="shared" si="5"/>
        <v>INDEC-EC - 44221-12</v>
      </c>
      <c r="B279" s="608">
        <v>44221</v>
      </c>
      <c r="C279" s="608" t="s">
        <v>45</v>
      </c>
      <c r="D279" s="608">
        <v>12</v>
      </c>
      <c r="E279" s="621" t="s">
        <v>349</v>
      </c>
    </row>
    <row r="280" spans="1:6" x14ac:dyDescent="0.2">
      <c r="A280" s="608" t="str">
        <f t="shared" si="5"/>
        <v>INDEC-EC - 43520-21</v>
      </c>
      <c r="B280" s="608">
        <v>43520</v>
      </c>
      <c r="C280" s="608" t="s">
        <v>45</v>
      </c>
      <c r="D280" s="608">
        <v>21</v>
      </c>
      <c r="E280" s="621" t="s">
        <v>350</v>
      </c>
    </row>
    <row r="281" spans="1:6" x14ac:dyDescent="0.2">
      <c r="A281" s="608" t="str">
        <f t="shared" si="5"/>
        <v>INDEC-EC - 44231-21</v>
      </c>
      <c r="B281" s="608">
        <v>44231</v>
      </c>
      <c r="C281" s="608" t="s">
        <v>45</v>
      </c>
      <c r="D281" s="608">
        <v>21</v>
      </c>
      <c r="E281" s="621" t="s">
        <v>351</v>
      </c>
    </row>
    <row r="282" spans="1:6" x14ac:dyDescent="0.2">
      <c r="A282" s="613" t="str">
        <f t="shared" si="5"/>
        <v>INDEC-EC - 44440-11</v>
      </c>
      <c r="B282" s="613">
        <v>44440</v>
      </c>
      <c r="C282" s="613" t="s">
        <v>45</v>
      </c>
      <c r="D282" s="613">
        <v>11</v>
      </c>
      <c r="E282" s="622" t="s">
        <v>352</v>
      </c>
      <c r="F282" s="607" t="s">
        <v>1912</v>
      </c>
    </row>
    <row r="283" spans="1:6" x14ac:dyDescent="0.2">
      <c r="A283" s="608" t="str">
        <f t="shared" si="5"/>
        <v>INDEC-EC - 44231-11</v>
      </c>
      <c r="B283" s="608">
        <v>44231</v>
      </c>
      <c r="C283" s="608" t="s">
        <v>45</v>
      </c>
      <c r="D283" s="608">
        <v>11</v>
      </c>
      <c r="E283" s="621" t="s">
        <v>353</v>
      </c>
    </row>
    <row r="286" spans="1:6" x14ac:dyDescent="0.2">
      <c r="A286" s="605"/>
      <c r="B286" s="606" t="s">
        <v>354</v>
      </c>
      <c r="C286" s="606"/>
      <c r="D286" s="606"/>
    </row>
    <row r="288" spans="1:6" x14ac:dyDescent="0.2">
      <c r="A288" s="862" t="s">
        <v>343</v>
      </c>
      <c r="B288" s="862" t="s">
        <v>42</v>
      </c>
      <c r="C288" s="862"/>
      <c r="D288" s="862"/>
      <c r="E288" s="862" t="s">
        <v>355</v>
      </c>
    </row>
    <row r="289" spans="1:7" x14ac:dyDescent="0.2">
      <c r="A289" s="862"/>
      <c r="B289" s="862" t="s">
        <v>44</v>
      </c>
      <c r="C289" s="862"/>
      <c r="D289" s="862"/>
      <c r="E289" s="862"/>
    </row>
    <row r="290" spans="1:7" x14ac:dyDescent="0.2">
      <c r="E290" s="610"/>
    </row>
    <row r="291" spans="1:7" x14ac:dyDescent="0.2">
      <c r="A291" s="608" t="str">
        <f t="shared" ref="A291:A298" si="6">CONCATENATE("INDEC-SA - ",B291,C291,D291)</f>
        <v>INDEC-SA - 83107-1</v>
      </c>
      <c r="B291" s="608">
        <v>83107</v>
      </c>
      <c r="C291" s="608" t="s">
        <v>45</v>
      </c>
      <c r="D291" s="608">
        <v>1</v>
      </c>
      <c r="E291" s="627" t="s">
        <v>356</v>
      </c>
    </row>
    <row r="292" spans="1:7" x14ac:dyDescent="0.2">
      <c r="A292" s="608" t="str">
        <f t="shared" si="6"/>
        <v>INDEC-SA - 71240-21</v>
      </c>
      <c r="B292" s="608">
        <v>71240</v>
      </c>
      <c r="C292" s="608" t="s">
        <v>45</v>
      </c>
      <c r="D292" s="608">
        <v>21</v>
      </c>
      <c r="E292" s="607" t="s">
        <v>357</v>
      </c>
    </row>
    <row r="293" spans="1:7" x14ac:dyDescent="0.2">
      <c r="A293" s="608" t="str">
        <f t="shared" si="6"/>
        <v>INDEC-SA - 71240-31</v>
      </c>
      <c r="B293" s="608">
        <v>71240</v>
      </c>
      <c r="C293" s="608" t="s">
        <v>45</v>
      </c>
      <c r="D293" s="608">
        <v>31</v>
      </c>
      <c r="E293" s="607" t="s">
        <v>358</v>
      </c>
    </row>
    <row r="294" spans="1:7" x14ac:dyDescent="0.2">
      <c r="A294" s="764" t="str">
        <f t="shared" si="6"/>
        <v>INDEC-SA - 71240-11</v>
      </c>
      <c r="B294" s="764">
        <v>71240</v>
      </c>
      <c r="C294" s="764" t="s">
        <v>45</v>
      </c>
      <c r="D294" s="764">
        <v>11</v>
      </c>
      <c r="E294" s="769" t="s">
        <v>359</v>
      </c>
    </row>
    <row r="295" spans="1:7" x14ac:dyDescent="0.2">
      <c r="A295" s="608" t="str">
        <f t="shared" si="6"/>
        <v>INDEC-SA - 74110-11</v>
      </c>
      <c r="B295" s="608">
        <v>74110</v>
      </c>
      <c r="C295" s="608" t="s">
        <v>45</v>
      </c>
      <c r="D295" s="608">
        <v>11</v>
      </c>
      <c r="E295" s="627" t="s">
        <v>360</v>
      </c>
    </row>
    <row r="296" spans="1:7" x14ac:dyDescent="0.2">
      <c r="A296" s="608" t="str">
        <f t="shared" si="6"/>
        <v>INDEC-SA - 71233-11</v>
      </c>
      <c r="B296" s="608">
        <v>71233</v>
      </c>
      <c r="C296" s="608" t="s">
        <v>45</v>
      </c>
      <c r="D296" s="608">
        <v>11</v>
      </c>
      <c r="E296" s="627" t="s">
        <v>361</v>
      </c>
    </row>
    <row r="297" spans="1:7" x14ac:dyDescent="0.2">
      <c r="A297" s="608" t="str">
        <f t="shared" si="6"/>
        <v>INDEC-SA - 51800-11</v>
      </c>
      <c r="B297" s="608">
        <v>51800</v>
      </c>
      <c r="C297" s="608" t="s">
        <v>45</v>
      </c>
      <c r="D297" s="608">
        <v>11</v>
      </c>
      <c r="E297" s="628" t="s">
        <v>362</v>
      </c>
    </row>
    <row r="298" spans="1:7" x14ac:dyDescent="0.2">
      <c r="A298" s="608" t="str">
        <f t="shared" si="6"/>
        <v>INDEC-SA - 51800-21</v>
      </c>
      <c r="B298" s="608">
        <v>51800</v>
      </c>
      <c r="C298" s="608" t="s">
        <v>45</v>
      </c>
      <c r="D298" s="608">
        <v>21</v>
      </c>
      <c r="E298" s="627" t="s">
        <v>363</v>
      </c>
    </row>
    <row r="301" spans="1:7" x14ac:dyDescent="0.2">
      <c r="A301" s="629"/>
      <c r="B301" s="606" t="s">
        <v>503</v>
      </c>
      <c r="C301" s="630"/>
      <c r="D301" s="630"/>
      <c r="E301" s="629"/>
      <c r="F301" s="629"/>
      <c r="G301" s="629"/>
    </row>
    <row r="303" spans="1:7" x14ac:dyDescent="0.2">
      <c r="A303" s="862" t="s">
        <v>343</v>
      </c>
      <c r="B303" s="862" t="s">
        <v>42</v>
      </c>
      <c r="C303" s="862"/>
      <c r="D303" s="862"/>
      <c r="E303" s="862" t="s">
        <v>43</v>
      </c>
    </row>
    <row r="304" spans="1:7" x14ac:dyDescent="0.2">
      <c r="A304" s="862"/>
      <c r="B304" s="862" t="s">
        <v>44</v>
      </c>
      <c r="C304" s="862"/>
      <c r="D304" s="862"/>
      <c r="E304" s="862"/>
    </row>
    <row r="305" spans="1:6" x14ac:dyDescent="0.2">
      <c r="A305" s="610"/>
      <c r="B305" s="610"/>
      <c r="C305" s="610"/>
      <c r="D305" s="610"/>
      <c r="E305" s="610"/>
    </row>
    <row r="306" spans="1:6" x14ac:dyDescent="0.2">
      <c r="A306" s="608" t="str">
        <f t="shared" ref="A306:A369" si="7">CONCATENATE("INDEC-PB - ",B306,C306,D306)</f>
        <v>INDEC-PB - 42120-1</v>
      </c>
      <c r="B306" s="608">
        <v>42120</v>
      </c>
      <c r="C306" s="608" t="s">
        <v>45</v>
      </c>
      <c r="D306" s="608">
        <v>1</v>
      </c>
      <c r="E306" s="631" t="s">
        <v>364</v>
      </c>
    </row>
    <row r="307" spans="1:6" x14ac:dyDescent="0.2">
      <c r="A307" s="608" t="str">
        <f t="shared" si="7"/>
        <v>INDEC-PB - 42120-2</v>
      </c>
      <c r="B307" s="608">
        <v>42120</v>
      </c>
      <c r="C307" s="608" t="s">
        <v>45</v>
      </c>
      <c r="D307" s="608">
        <v>2</v>
      </c>
      <c r="E307" s="631" t="s">
        <v>365</v>
      </c>
    </row>
    <row r="308" spans="1:6" x14ac:dyDescent="0.2">
      <c r="A308" s="608" t="str">
        <f t="shared" si="7"/>
        <v>INDEC-PB - 37910-1</v>
      </c>
      <c r="B308" s="608">
        <v>37910</v>
      </c>
      <c r="C308" s="608" t="s">
        <v>45</v>
      </c>
      <c r="D308" s="608">
        <v>1</v>
      </c>
      <c r="E308" s="631" t="s">
        <v>366</v>
      </c>
    </row>
    <row r="309" spans="1:6" x14ac:dyDescent="0.2">
      <c r="A309" s="608" t="str">
        <f t="shared" si="7"/>
        <v>INDEC-PB - 42921-4</v>
      </c>
      <c r="B309" s="608">
        <v>42921</v>
      </c>
      <c r="C309" s="608" t="s">
        <v>45</v>
      </c>
      <c r="D309" s="608">
        <v>4</v>
      </c>
      <c r="E309" s="631" t="s">
        <v>367</v>
      </c>
    </row>
    <row r="310" spans="1:6" x14ac:dyDescent="0.2">
      <c r="A310" s="608" t="str">
        <f t="shared" si="7"/>
        <v>INDEC-PB - 44251-1</v>
      </c>
      <c r="B310" s="608">
        <v>44251</v>
      </c>
      <c r="C310" s="608" t="s">
        <v>45</v>
      </c>
      <c r="D310" s="608">
        <v>1</v>
      </c>
      <c r="E310" s="631" t="s">
        <v>368</v>
      </c>
    </row>
    <row r="311" spans="1:6" x14ac:dyDescent="0.2">
      <c r="A311" s="608" t="str">
        <f t="shared" si="7"/>
        <v>INDEC-PB - 42922-1</v>
      </c>
      <c r="B311" s="608">
        <v>42922</v>
      </c>
      <c r="C311" s="608" t="s">
        <v>45</v>
      </c>
      <c r="D311" s="608">
        <v>1</v>
      </c>
      <c r="E311" s="631" t="s">
        <v>369</v>
      </c>
    </row>
    <row r="312" spans="1:6" x14ac:dyDescent="0.2">
      <c r="A312" s="608" t="str">
        <f t="shared" si="7"/>
        <v>INDEC-PB - 33380-1</v>
      </c>
      <c r="B312" s="608">
        <v>33380</v>
      </c>
      <c r="C312" s="608" t="s">
        <v>45</v>
      </c>
      <c r="D312" s="608">
        <v>1</v>
      </c>
      <c r="E312" s="631" t="s">
        <v>370</v>
      </c>
    </row>
    <row r="313" spans="1:6" x14ac:dyDescent="0.2">
      <c r="A313" s="608" t="str">
        <f t="shared" si="7"/>
        <v>INDEC-PB - 49229-1</v>
      </c>
      <c r="B313" s="608">
        <v>49229</v>
      </c>
      <c r="C313" s="608" t="s">
        <v>45</v>
      </c>
      <c r="D313" s="608">
        <v>1</v>
      </c>
      <c r="E313" s="631" t="s">
        <v>371</v>
      </c>
    </row>
    <row r="314" spans="1:6" x14ac:dyDescent="0.2">
      <c r="A314" s="608" t="str">
        <f t="shared" si="7"/>
        <v>INDEC-PB - 46420-1</v>
      </c>
      <c r="B314" s="608">
        <v>46420</v>
      </c>
      <c r="C314" s="608" t="s">
        <v>45</v>
      </c>
      <c r="D314" s="608">
        <v>1</v>
      </c>
      <c r="E314" s="631" t="s">
        <v>372</v>
      </c>
    </row>
    <row r="315" spans="1:6" x14ac:dyDescent="0.2">
      <c r="A315" s="608" t="str">
        <f t="shared" si="7"/>
        <v>INDEC-PB - 41263-1</v>
      </c>
      <c r="B315" s="608">
        <v>41263</v>
      </c>
      <c r="C315" s="608" t="s">
        <v>45</v>
      </c>
      <c r="D315" s="608">
        <v>1</v>
      </c>
      <c r="E315" s="631" t="s">
        <v>373</v>
      </c>
    </row>
    <row r="316" spans="1:6" x14ac:dyDescent="0.2">
      <c r="A316" s="613" t="str">
        <f t="shared" si="7"/>
        <v>INDEC-PB - 41241-1</v>
      </c>
      <c r="B316" s="613">
        <v>41241</v>
      </c>
      <c r="C316" s="613" t="s">
        <v>45</v>
      </c>
      <c r="D316" s="613">
        <v>1</v>
      </c>
      <c r="E316" s="632" t="s">
        <v>374</v>
      </c>
      <c r="F316" s="607" t="s">
        <v>1912</v>
      </c>
    </row>
    <row r="317" spans="1:6" x14ac:dyDescent="0.2">
      <c r="A317" s="608" t="str">
        <f t="shared" si="7"/>
        <v>INDEC-PB - 44216-1</v>
      </c>
      <c r="B317" s="608">
        <v>44216</v>
      </c>
      <c r="C317" s="608" t="s">
        <v>45</v>
      </c>
      <c r="D317" s="608">
        <v>1</v>
      </c>
      <c r="E317" s="631" t="s">
        <v>375</v>
      </c>
    </row>
    <row r="318" spans="1:6" x14ac:dyDescent="0.2">
      <c r="A318" s="608" t="str">
        <f t="shared" si="7"/>
        <v>INDEC-PB - 15400-1</v>
      </c>
      <c r="B318" s="608">
        <v>15400</v>
      </c>
      <c r="C318" s="608" t="s">
        <v>45</v>
      </c>
      <c r="D318" s="608">
        <v>1</v>
      </c>
      <c r="E318" s="631" t="s">
        <v>376</v>
      </c>
    </row>
    <row r="319" spans="1:6" x14ac:dyDescent="0.2">
      <c r="A319" s="608" t="str">
        <f t="shared" si="7"/>
        <v>INDEC-PB - 15310-1</v>
      </c>
      <c r="B319" s="608">
        <v>15310</v>
      </c>
      <c r="C319" s="608" t="s">
        <v>45</v>
      </c>
      <c r="D319" s="608">
        <v>1</v>
      </c>
      <c r="E319" s="631" t="s">
        <v>377</v>
      </c>
    </row>
    <row r="320" spans="1:6" x14ac:dyDescent="0.2">
      <c r="A320" s="613" t="str">
        <f t="shared" si="7"/>
        <v>INDEC-PB - 37210-1</v>
      </c>
      <c r="B320" s="613">
        <v>37210</v>
      </c>
      <c r="C320" s="613" t="s">
        <v>45</v>
      </c>
      <c r="D320" s="613">
        <v>1</v>
      </c>
      <c r="E320" s="632" t="s">
        <v>378</v>
      </c>
      <c r="F320" s="607" t="s">
        <v>1912</v>
      </c>
    </row>
    <row r="321" spans="1:6" x14ac:dyDescent="0.2">
      <c r="A321" s="613" t="str">
        <f t="shared" si="7"/>
        <v>INDEC-PB - 37540-2</v>
      </c>
      <c r="B321" s="613">
        <v>37540</v>
      </c>
      <c r="C321" s="613" t="s">
        <v>45</v>
      </c>
      <c r="D321" s="613">
        <v>2</v>
      </c>
      <c r="E321" s="632" t="s">
        <v>379</v>
      </c>
      <c r="F321" s="607" t="s">
        <v>1912</v>
      </c>
    </row>
    <row r="322" spans="1:6" x14ac:dyDescent="0.2">
      <c r="A322" s="608" t="str">
        <f t="shared" si="7"/>
        <v>INDEC-PB - 49113-1</v>
      </c>
      <c r="B322" s="608">
        <v>49113</v>
      </c>
      <c r="C322" s="608" t="s">
        <v>45</v>
      </c>
      <c r="D322" s="608">
        <v>1</v>
      </c>
      <c r="E322" s="631" t="s">
        <v>380</v>
      </c>
    </row>
    <row r="323" spans="1:6" x14ac:dyDescent="0.2">
      <c r="A323" s="608" t="str">
        <f t="shared" si="7"/>
        <v>INDEC-PB - 36270-1</v>
      </c>
      <c r="B323" s="608">
        <v>36270</v>
      </c>
      <c r="C323" s="608" t="s">
        <v>45</v>
      </c>
      <c r="D323" s="608">
        <v>1</v>
      </c>
      <c r="E323" s="631" t="s">
        <v>381</v>
      </c>
    </row>
    <row r="324" spans="1:6" x14ac:dyDescent="0.2">
      <c r="A324" s="608" t="str">
        <f t="shared" si="7"/>
        <v>INDEC-PB - 46539-1</v>
      </c>
      <c r="B324" s="608">
        <v>46539</v>
      </c>
      <c r="C324" s="608" t="s">
        <v>45</v>
      </c>
      <c r="D324" s="608">
        <v>1</v>
      </c>
      <c r="E324" s="631" t="s">
        <v>382</v>
      </c>
    </row>
    <row r="325" spans="1:6" x14ac:dyDescent="0.2">
      <c r="A325" s="608" t="str">
        <f t="shared" si="7"/>
        <v>INDEC-PB - 37370-1</v>
      </c>
      <c r="B325" s="608">
        <v>37370</v>
      </c>
      <c r="C325" s="608" t="s">
        <v>45</v>
      </c>
      <c r="D325" s="608">
        <v>1</v>
      </c>
      <c r="E325" s="631" t="s">
        <v>383</v>
      </c>
    </row>
    <row r="326" spans="1:6" x14ac:dyDescent="0.2">
      <c r="A326" s="608" t="str">
        <f t="shared" si="7"/>
        <v>INDEC-PB - 35110-4</v>
      </c>
      <c r="B326" s="608">
        <v>35110</v>
      </c>
      <c r="C326" s="608" t="s">
        <v>45</v>
      </c>
      <c r="D326" s="608">
        <v>4</v>
      </c>
      <c r="E326" s="631" t="s">
        <v>384</v>
      </c>
    </row>
    <row r="327" spans="1:6" x14ac:dyDescent="0.2">
      <c r="A327" s="608" t="str">
        <f t="shared" si="7"/>
        <v>INDEC-PB - 41261-1</v>
      </c>
      <c r="B327" s="608">
        <v>41261</v>
      </c>
      <c r="C327" s="608" t="s">
        <v>45</v>
      </c>
      <c r="D327" s="608">
        <v>1</v>
      </c>
      <c r="E327" s="631" t="s">
        <v>385</v>
      </c>
    </row>
    <row r="328" spans="1:6" x14ac:dyDescent="0.2">
      <c r="A328" s="608" t="str">
        <f t="shared" si="7"/>
        <v>INDEC-PB - 36490-6</v>
      </c>
      <c r="B328" s="608">
        <v>36490</v>
      </c>
      <c r="C328" s="608" t="s">
        <v>45</v>
      </c>
      <c r="D328" s="608">
        <v>6</v>
      </c>
      <c r="E328" s="631" t="s">
        <v>386</v>
      </c>
    </row>
    <row r="329" spans="1:6" x14ac:dyDescent="0.2">
      <c r="A329" s="608" t="str">
        <f t="shared" si="7"/>
        <v>INDEC-PB - 42944-1</v>
      </c>
      <c r="B329" s="608">
        <v>42944</v>
      </c>
      <c r="C329" s="608" t="s">
        <v>45</v>
      </c>
      <c r="D329" s="608">
        <v>1</v>
      </c>
      <c r="E329" s="631" t="s">
        <v>387</v>
      </c>
    </row>
    <row r="330" spans="1:6" x14ac:dyDescent="0.2">
      <c r="A330" s="608" t="str">
        <f t="shared" si="7"/>
        <v>INDEC-PB - 42320-1</v>
      </c>
      <c r="B330" s="608">
        <v>42320</v>
      </c>
      <c r="C330" s="608" t="s">
        <v>45</v>
      </c>
      <c r="D330" s="608">
        <v>1</v>
      </c>
      <c r="E330" s="631" t="s">
        <v>388</v>
      </c>
    </row>
    <row r="331" spans="1:6" x14ac:dyDescent="0.2">
      <c r="A331" s="608" t="str">
        <f t="shared" si="7"/>
        <v>INDEC-PB - 37420-1</v>
      </c>
      <c r="B331" s="608">
        <v>37420</v>
      </c>
      <c r="C331" s="608" t="s">
        <v>45</v>
      </c>
      <c r="D331" s="608">
        <v>1</v>
      </c>
      <c r="E331" s="631" t="s">
        <v>389</v>
      </c>
    </row>
    <row r="332" spans="1:6" x14ac:dyDescent="0.2">
      <c r="A332" s="613" t="str">
        <f t="shared" si="7"/>
        <v>INDEC-PB - 49115-2</v>
      </c>
      <c r="B332" s="613">
        <v>49115</v>
      </c>
      <c r="C332" s="613" t="s">
        <v>45</v>
      </c>
      <c r="D332" s="613">
        <v>2</v>
      </c>
      <c r="E332" s="632" t="s">
        <v>390</v>
      </c>
      <c r="F332" s="607" t="s">
        <v>1912</v>
      </c>
    </row>
    <row r="333" spans="1:6" x14ac:dyDescent="0.2">
      <c r="A333" s="613" t="str">
        <f t="shared" si="7"/>
        <v>INDEC-PB - 36320-3</v>
      </c>
      <c r="B333" s="613">
        <v>36320</v>
      </c>
      <c r="C333" s="613" t="s">
        <v>45</v>
      </c>
      <c r="D333" s="613">
        <v>3</v>
      </c>
      <c r="E333" s="632" t="s">
        <v>391</v>
      </c>
      <c r="F333" s="607" t="s">
        <v>1912</v>
      </c>
    </row>
    <row r="334" spans="1:6" x14ac:dyDescent="0.2">
      <c r="A334" s="613" t="str">
        <f t="shared" si="7"/>
        <v>INDEC-PB - 36320-2</v>
      </c>
      <c r="B334" s="613">
        <v>36320</v>
      </c>
      <c r="C334" s="613" t="s">
        <v>45</v>
      </c>
      <c r="D334" s="613">
        <v>2</v>
      </c>
      <c r="E334" s="632" t="s">
        <v>392</v>
      </c>
      <c r="F334" s="607" t="s">
        <v>1912</v>
      </c>
    </row>
    <row r="335" spans="1:6" x14ac:dyDescent="0.2">
      <c r="A335" s="608" t="str">
        <f t="shared" si="7"/>
        <v>INDEC-PB - 36320-1</v>
      </c>
      <c r="B335" s="608">
        <v>36320</v>
      </c>
      <c r="C335" s="608" t="s">
        <v>45</v>
      </c>
      <c r="D335" s="608">
        <v>1</v>
      </c>
      <c r="E335" s="631" t="s">
        <v>393</v>
      </c>
    </row>
    <row r="336" spans="1:6" x14ac:dyDescent="0.2">
      <c r="A336" s="608" t="str">
        <f t="shared" si="7"/>
        <v>INDEC-PB - 46220-1</v>
      </c>
      <c r="B336" s="608">
        <v>46220</v>
      </c>
      <c r="C336" s="608" t="s">
        <v>45</v>
      </c>
      <c r="D336" s="608">
        <v>1</v>
      </c>
      <c r="E336" s="631" t="s">
        <v>394</v>
      </c>
    </row>
    <row r="337" spans="1:6" x14ac:dyDescent="0.2">
      <c r="A337" s="613" t="str">
        <f t="shared" si="7"/>
        <v>INDEC-PB - 34800-1</v>
      </c>
      <c r="B337" s="613">
        <v>34800</v>
      </c>
      <c r="C337" s="613" t="s">
        <v>45</v>
      </c>
      <c r="D337" s="613">
        <v>1</v>
      </c>
      <c r="E337" s="632" t="s">
        <v>395</v>
      </c>
      <c r="F337" s="607" t="s">
        <v>1912</v>
      </c>
    </row>
    <row r="338" spans="1:6" x14ac:dyDescent="0.2">
      <c r="A338" s="608" t="str">
        <f t="shared" si="7"/>
        <v>INDEC-PB - 37440-1</v>
      </c>
      <c r="B338" s="608">
        <v>37440</v>
      </c>
      <c r="C338" s="608" t="s">
        <v>45</v>
      </c>
      <c r="D338" s="608">
        <v>1</v>
      </c>
      <c r="E338" s="631" t="s">
        <v>396</v>
      </c>
    </row>
    <row r="339" spans="1:6" x14ac:dyDescent="0.2">
      <c r="A339" s="608" t="str">
        <f t="shared" si="7"/>
        <v>INDEC-PB - 42992-1</v>
      </c>
      <c r="B339" s="608">
        <v>42992</v>
      </c>
      <c r="C339" s="608" t="s">
        <v>45</v>
      </c>
      <c r="D339" s="608">
        <v>1</v>
      </c>
      <c r="E339" s="631" t="s">
        <v>397</v>
      </c>
    </row>
    <row r="340" spans="1:6" x14ac:dyDescent="0.2">
      <c r="A340" s="608" t="str">
        <f t="shared" si="7"/>
        <v>INDEC-PB - 42999-2</v>
      </c>
      <c r="B340" s="608">
        <v>42999</v>
      </c>
      <c r="C340" s="608" t="s">
        <v>45</v>
      </c>
      <c r="D340" s="608">
        <v>2</v>
      </c>
      <c r="E340" s="631" t="s">
        <v>398</v>
      </c>
    </row>
    <row r="341" spans="1:6" x14ac:dyDescent="0.2">
      <c r="A341" s="608" t="str">
        <f t="shared" si="7"/>
        <v>INDEC-PB - 42944-2</v>
      </c>
      <c r="B341" s="608">
        <v>42944</v>
      </c>
      <c r="C341" s="608" t="s">
        <v>45</v>
      </c>
      <c r="D341" s="608">
        <v>2</v>
      </c>
      <c r="E341" s="631" t="s">
        <v>399</v>
      </c>
    </row>
    <row r="342" spans="1:6" x14ac:dyDescent="0.2">
      <c r="A342" s="608" t="str">
        <f t="shared" si="7"/>
        <v>INDEC-PB - 43230-1</v>
      </c>
      <c r="B342" s="608">
        <v>43230</v>
      </c>
      <c r="C342" s="608" t="s">
        <v>45</v>
      </c>
      <c r="D342" s="608">
        <v>1</v>
      </c>
      <c r="E342" s="631" t="s">
        <v>400</v>
      </c>
    </row>
    <row r="343" spans="1:6" x14ac:dyDescent="0.2">
      <c r="A343" s="608" t="str">
        <f t="shared" si="7"/>
        <v>INDEC-PB - 46340-1</v>
      </c>
      <c r="B343" s="608">
        <v>46340</v>
      </c>
      <c r="C343" s="608" t="s">
        <v>45</v>
      </c>
      <c r="D343" s="608">
        <v>1</v>
      </c>
      <c r="E343" s="631" t="s">
        <v>401</v>
      </c>
    </row>
    <row r="344" spans="1:6" x14ac:dyDescent="0.2">
      <c r="A344" s="613" t="str">
        <f t="shared" si="7"/>
        <v>INDEC-PB - 36270-2</v>
      </c>
      <c r="B344" s="613">
        <v>36270</v>
      </c>
      <c r="C344" s="613" t="s">
        <v>45</v>
      </c>
      <c r="D344" s="613">
        <v>2</v>
      </c>
      <c r="E344" s="632" t="s">
        <v>402</v>
      </c>
      <c r="F344" s="607" t="s">
        <v>1912</v>
      </c>
    </row>
    <row r="345" spans="1:6" x14ac:dyDescent="0.2">
      <c r="A345" s="608" t="str">
        <f t="shared" si="7"/>
        <v>INDEC-PB - 42190-2</v>
      </c>
      <c r="B345" s="608">
        <v>42190</v>
      </c>
      <c r="C345" s="608" t="s">
        <v>45</v>
      </c>
      <c r="D345" s="608">
        <v>2</v>
      </c>
      <c r="E345" s="631" t="s">
        <v>403</v>
      </c>
    </row>
    <row r="346" spans="1:6" x14ac:dyDescent="0.2">
      <c r="A346" s="608" t="str">
        <f t="shared" si="7"/>
        <v>INDEC-PB - 36990-2</v>
      </c>
      <c r="B346" s="608">
        <v>36990</v>
      </c>
      <c r="C346" s="608" t="s">
        <v>45</v>
      </c>
      <c r="D346" s="608">
        <v>2</v>
      </c>
      <c r="E346" s="631" t="s">
        <v>404</v>
      </c>
    </row>
    <row r="347" spans="1:6" x14ac:dyDescent="0.2">
      <c r="A347" s="613" t="str">
        <f t="shared" si="7"/>
        <v>INDEC-PB - 31600-1</v>
      </c>
      <c r="B347" s="613">
        <v>31600</v>
      </c>
      <c r="C347" s="613" t="s">
        <v>45</v>
      </c>
      <c r="D347" s="613">
        <v>1</v>
      </c>
      <c r="E347" s="632" t="s">
        <v>405</v>
      </c>
      <c r="F347" s="607" t="s">
        <v>1912</v>
      </c>
    </row>
    <row r="348" spans="1:6" x14ac:dyDescent="0.2">
      <c r="A348" s="608" t="str">
        <f t="shared" si="7"/>
        <v>INDEC-PB - 32600-1</v>
      </c>
      <c r="B348" s="608">
        <v>32600</v>
      </c>
      <c r="C348" s="608" t="s">
        <v>45</v>
      </c>
      <c r="D348" s="608">
        <v>1</v>
      </c>
      <c r="E348" s="631" t="s">
        <v>406</v>
      </c>
    </row>
    <row r="349" spans="1:6" x14ac:dyDescent="0.2">
      <c r="A349" s="608" t="str">
        <f t="shared" si="7"/>
        <v>INDEC-PB - 36111-3</v>
      </c>
      <c r="B349" s="608">
        <v>36111</v>
      </c>
      <c r="C349" s="608" t="s">
        <v>45</v>
      </c>
      <c r="D349" s="608">
        <v>3</v>
      </c>
      <c r="E349" s="631" t="s">
        <v>407</v>
      </c>
    </row>
    <row r="350" spans="1:6" x14ac:dyDescent="0.2">
      <c r="A350" s="608" t="str">
        <f t="shared" si="7"/>
        <v>INDEC-PB - 36111-2</v>
      </c>
      <c r="B350" s="608">
        <v>36111</v>
      </c>
      <c r="C350" s="608" t="s">
        <v>45</v>
      </c>
      <c r="D350" s="608">
        <v>2</v>
      </c>
      <c r="E350" s="631" t="s">
        <v>408</v>
      </c>
    </row>
    <row r="351" spans="1:6" x14ac:dyDescent="0.2">
      <c r="A351" s="613" t="str">
        <f t="shared" si="7"/>
        <v>INDEC-PB - 36111-1</v>
      </c>
      <c r="B351" s="613">
        <v>36111</v>
      </c>
      <c r="C351" s="613" t="s">
        <v>45</v>
      </c>
      <c r="D351" s="613">
        <v>1</v>
      </c>
      <c r="E351" s="632" t="s">
        <v>409</v>
      </c>
      <c r="F351" s="607" t="s">
        <v>1912</v>
      </c>
    </row>
    <row r="352" spans="1:6" x14ac:dyDescent="0.2">
      <c r="A352" s="608" t="str">
        <f t="shared" si="7"/>
        <v>INDEC-PB - 42921-1</v>
      </c>
      <c r="B352" s="608">
        <v>42921</v>
      </c>
      <c r="C352" s="608" t="s">
        <v>45</v>
      </c>
      <c r="D352" s="608">
        <v>1</v>
      </c>
      <c r="E352" s="631" t="s">
        <v>410</v>
      </c>
    </row>
    <row r="353" spans="1:6" x14ac:dyDescent="0.2">
      <c r="A353" s="613" t="str">
        <f t="shared" si="7"/>
        <v>INDEC-PB - 34800-2</v>
      </c>
      <c r="B353" s="613">
        <v>34800</v>
      </c>
      <c r="C353" s="613" t="s">
        <v>45</v>
      </c>
      <c r="D353" s="613">
        <v>2</v>
      </c>
      <c r="E353" s="632" t="s">
        <v>411</v>
      </c>
      <c r="F353" s="607" t="s">
        <v>1912</v>
      </c>
    </row>
    <row r="354" spans="1:6" x14ac:dyDescent="0.2">
      <c r="A354" s="608" t="str">
        <f t="shared" si="7"/>
        <v>INDEC-PB - 49129-1</v>
      </c>
      <c r="B354" s="608">
        <v>49129</v>
      </c>
      <c r="C354" s="608" t="s">
        <v>45</v>
      </c>
      <c r="D354" s="608">
        <v>1</v>
      </c>
      <c r="E354" s="631" t="s">
        <v>412</v>
      </c>
    </row>
    <row r="355" spans="1:6" x14ac:dyDescent="0.2">
      <c r="A355" s="608" t="str">
        <f t="shared" si="7"/>
        <v>INDEC-PB - 43220-1</v>
      </c>
      <c r="B355" s="608">
        <v>43220</v>
      </c>
      <c r="C355" s="608" t="s">
        <v>45</v>
      </c>
      <c r="D355" s="608">
        <v>1</v>
      </c>
      <c r="E355" s="631" t="s">
        <v>413</v>
      </c>
    </row>
    <row r="356" spans="1:6" x14ac:dyDescent="0.2">
      <c r="A356" s="608" t="str">
        <f t="shared" si="7"/>
        <v>INDEC-PB - 35110-1</v>
      </c>
      <c r="B356" s="608">
        <v>35110</v>
      </c>
      <c r="C356" s="608" t="s">
        <v>45</v>
      </c>
      <c r="D356" s="608">
        <v>1</v>
      </c>
      <c r="E356" s="631" t="s">
        <v>414</v>
      </c>
    </row>
    <row r="357" spans="1:6" x14ac:dyDescent="0.2">
      <c r="A357" s="608" t="str">
        <f t="shared" si="7"/>
        <v>INDEC-PB - 17100-1</v>
      </c>
      <c r="B357" s="608">
        <v>17100</v>
      </c>
      <c r="C357" s="608" t="s">
        <v>45</v>
      </c>
      <c r="D357" s="608">
        <v>1</v>
      </c>
      <c r="E357" s="631" t="s">
        <v>415</v>
      </c>
    </row>
    <row r="358" spans="1:6" x14ac:dyDescent="0.2">
      <c r="A358" s="608" t="str">
        <f t="shared" si="7"/>
        <v>INDEC-PB - 49129-3</v>
      </c>
      <c r="B358" s="608">
        <v>49129</v>
      </c>
      <c r="C358" s="608" t="s">
        <v>45</v>
      </c>
      <c r="D358" s="608">
        <v>3</v>
      </c>
      <c r="E358" s="631" t="s">
        <v>416</v>
      </c>
    </row>
    <row r="359" spans="1:6" x14ac:dyDescent="0.2">
      <c r="A359" s="608" t="str">
        <f t="shared" si="7"/>
        <v>INDEC-PB - 35110-2</v>
      </c>
      <c r="B359" s="608">
        <v>35110</v>
      </c>
      <c r="C359" s="608" t="s">
        <v>45</v>
      </c>
      <c r="D359" s="608">
        <v>2</v>
      </c>
      <c r="E359" s="631" t="s">
        <v>417</v>
      </c>
    </row>
    <row r="360" spans="1:6" x14ac:dyDescent="0.2">
      <c r="A360" s="608" t="str">
        <f t="shared" si="7"/>
        <v>INDEC-PB - 37129-1</v>
      </c>
      <c r="B360" s="608">
        <v>37129</v>
      </c>
      <c r="C360" s="608" t="s">
        <v>45</v>
      </c>
      <c r="D360" s="608">
        <v>1</v>
      </c>
      <c r="E360" s="631" t="s">
        <v>418</v>
      </c>
    </row>
    <row r="361" spans="1:6" x14ac:dyDescent="0.2">
      <c r="A361" s="608" t="str">
        <f t="shared" si="7"/>
        <v>INDEC-PB - 36490-4</v>
      </c>
      <c r="B361" s="608">
        <v>36490</v>
      </c>
      <c r="C361" s="608" t="s">
        <v>45</v>
      </c>
      <c r="D361" s="608">
        <v>4</v>
      </c>
      <c r="E361" s="631" t="s">
        <v>419</v>
      </c>
    </row>
    <row r="362" spans="1:6" x14ac:dyDescent="0.2">
      <c r="A362" s="608" t="str">
        <f t="shared" si="7"/>
        <v>INDEC-PB - 33370-1</v>
      </c>
      <c r="B362" s="608">
        <v>33370</v>
      </c>
      <c r="C362" s="608" t="s">
        <v>45</v>
      </c>
      <c r="D362" s="608">
        <v>1</v>
      </c>
      <c r="E362" s="631" t="s">
        <v>420</v>
      </c>
    </row>
    <row r="363" spans="1:6" x14ac:dyDescent="0.2">
      <c r="A363" s="608" t="str">
        <f t="shared" si="7"/>
        <v>INDEC-PB - 12020-1</v>
      </c>
      <c r="B363" s="608">
        <v>12020</v>
      </c>
      <c r="C363" s="608" t="s">
        <v>45</v>
      </c>
      <c r="D363" s="608">
        <v>1</v>
      </c>
      <c r="E363" s="631" t="s">
        <v>421</v>
      </c>
    </row>
    <row r="364" spans="1:6" x14ac:dyDescent="0.2">
      <c r="A364" s="608" t="str">
        <f t="shared" si="7"/>
        <v>INDEC-PB - 33360-1</v>
      </c>
      <c r="B364" s="608">
        <v>33360</v>
      </c>
      <c r="C364" s="608" t="s">
        <v>45</v>
      </c>
      <c r="D364" s="608">
        <v>1</v>
      </c>
      <c r="E364" s="631" t="s">
        <v>422</v>
      </c>
    </row>
    <row r="365" spans="1:6" x14ac:dyDescent="0.2">
      <c r="A365" s="608" t="str">
        <f t="shared" si="7"/>
        <v>INDEC-PB - 33410-1</v>
      </c>
      <c r="B365" s="608">
        <v>33410</v>
      </c>
      <c r="C365" s="608" t="s">
        <v>45</v>
      </c>
      <c r="D365" s="608">
        <v>1</v>
      </c>
      <c r="E365" s="631" t="s">
        <v>423</v>
      </c>
    </row>
    <row r="366" spans="1:6" x14ac:dyDescent="0.2">
      <c r="A366" s="608" t="str">
        <f t="shared" si="7"/>
        <v>INDEC-PB - 42911-1</v>
      </c>
      <c r="B366" s="608">
        <v>42911</v>
      </c>
      <c r="C366" s="608" t="s">
        <v>45</v>
      </c>
      <c r="D366" s="608">
        <v>1</v>
      </c>
      <c r="E366" s="631" t="s">
        <v>424</v>
      </c>
    </row>
    <row r="367" spans="1:6" x14ac:dyDescent="0.2">
      <c r="A367" s="608" t="str">
        <f t="shared" si="7"/>
        <v>INDEC-PB - 46113-1</v>
      </c>
      <c r="B367" s="608">
        <v>46113</v>
      </c>
      <c r="C367" s="608" t="s">
        <v>45</v>
      </c>
      <c r="D367" s="608">
        <v>1</v>
      </c>
      <c r="E367" s="631" t="s">
        <v>425</v>
      </c>
    </row>
    <row r="368" spans="1:6" x14ac:dyDescent="0.2">
      <c r="A368" s="608" t="str">
        <f t="shared" si="7"/>
        <v>INDEC-PB - 42921-2</v>
      </c>
      <c r="B368" s="608">
        <v>42921</v>
      </c>
      <c r="C368" s="608" t="s">
        <v>45</v>
      </c>
      <c r="D368" s="608">
        <v>2</v>
      </c>
      <c r="E368" s="631" t="s">
        <v>426</v>
      </c>
    </row>
    <row r="369" spans="1:6" x14ac:dyDescent="0.2">
      <c r="A369" s="608" t="str">
        <f t="shared" si="7"/>
        <v>INDEC-PB - 37990-1</v>
      </c>
      <c r="B369" s="608">
        <v>37990</v>
      </c>
      <c r="C369" s="608" t="s">
        <v>45</v>
      </c>
      <c r="D369" s="608">
        <v>1</v>
      </c>
      <c r="E369" s="631" t="s">
        <v>427</v>
      </c>
    </row>
    <row r="370" spans="1:6" x14ac:dyDescent="0.2">
      <c r="A370" s="608" t="str">
        <f t="shared" ref="A370:A425" si="8">CONCATENATE("INDEC-PB - ",B370,C370,D370)</f>
        <v>INDEC-PB - 41242-1</v>
      </c>
      <c r="B370" s="608">
        <v>41242</v>
      </c>
      <c r="C370" s="608" t="s">
        <v>45</v>
      </c>
      <c r="D370" s="608">
        <v>1</v>
      </c>
      <c r="E370" s="631" t="s">
        <v>428</v>
      </c>
    </row>
    <row r="371" spans="1:6" x14ac:dyDescent="0.2">
      <c r="A371" s="608" t="str">
        <f t="shared" si="8"/>
        <v>INDEC-PB - 37510-1</v>
      </c>
      <c r="B371" s="608">
        <v>37510</v>
      </c>
      <c r="C371" s="608" t="s">
        <v>45</v>
      </c>
      <c r="D371" s="608">
        <v>1</v>
      </c>
      <c r="E371" s="631" t="s">
        <v>429</v>
      </c>
    </row>
    <row r="372" spans="1:6" x14ac:dyDescent="0.2">
      <c r="A372" s="608" t="str">
        <f t="shared" si="8"/>
        <v>INDEC-PB - 44440-1</v>
      </c>
      <c r="B372" s="608">
        <v>44440</v>
      </c>
      <c r="C372" s="608" t="s">
        <v>45</v>
      </c>
      <c r="D372" s="608">
        <v>1</v>
      </c>
      <c r="E372" s="631" t="s">
        <v>430</v>
      </c>
    </row>
    <row r="373" spans="1:6" x14ac:dyDescent="0.2">
      <c r="A373" s="608" t="str">
        <f t="shared" si="8"/>
        <v>INDEC-PB - 35110-5</v>
      </c>
      <c r="B373" s="608">
        <v>35110</v>
      </c>
      <c r="C373" s="608" t="s">
        <v>45</v>
      </c>
      <c r="D373" s="608">
        <v>5</v>
      </c>
      <c r="E373" s="631" t="s">
        <v>431</v>
      </c>
    </row>
    <row r="374" spans="1:6" x14ac:dyDescent="0.2">
      <c r="A374" s="608" t="str">
        <f t="shared" si="8"/>
        <v>INDEC-PB - 46212-1</v>
      </c>
      <c r="B374" s="608">
        <v>46212</v>
      </c>
      <c r="C374" s="608" t="s">
        <v>45</v>
      </c>
      <c r="D374" s="608">
        <v>1</v>
      </c>
      <c r="E374" s="631" t="s">
        <v>432</v>
      </c>
    </row>
    <row r="375" spans="1:6" x14ac:dyDescent="0.2">
      <c r="A375" s="613" t="str">
        <f t="shared" si="8"/>
        <v>INDEC-PB - 33340-1</v>
      </c>
      <c r="B375" s="613">
        <v>33340</v>
      </c>
      <c r="C375" s="613" t="s">
        <v>45</v>
      </c>
      <c r="D375" s="613">
        <v>1</v>
      </c>
      <c r="E375" s="632" t="s">
        <v>433</v>
      </c>
      <c r="F375" s="607" t="s">
        <v>1912</v>
      </c>
    </row>
    <row r="376" spans="1:6" x14ac:dyDescent="0.2">
      <c r="A376" s="608" t="str">
        <f t="shared" si="8"/>
        <v>INDEC-PB - 37350-1</v>
      </c>
      <c r="B376" s="608">
        <v>37350</v>
      </c>
      <c r="C376" s="608" t="s">
        <v>45</v>
      </c>
      <c r="D376" s="608">
        <v>1</v>
      </c>
      <c r="E376" s="631" t="s">
        <v>434</v>
      </c>
    </row>
    <row r="377" spans="1:6" x14ac:dyDescent="0.2">
      <c r="A377" s="608" t="str">
        <f t="shared" si="8"/>
        <v>INDEC-PB - 37320-1</v>
      </c>
      <c r="B377" s="608">
        <v>37320</v>
      </c>
      <c r="C377" s="608" t="s">
        <v>45</v>
      </c>
      <c r="D377" s="608">
        <v>1</v>
      </c>
      <c r="E377" s="631" t="s">
        <v>435</v>
      </c>
    </row>
    <row r="378" spans="1:6" x14ac:dyDescent="0.2">
      <c r="A378" s="608" t="str">
        <f t="shared" si="8"/>
        <v>INDEC-PB - 41532-11</v>
      </c>
      <c r="B378" s="608">
        <v>41532</v>
      </c>
      <c r="C378" s="608" t="s">
        <v>45</v>
      </c>
      <c r="D378" s="608">
        <v>11</v>
      </c>
      <c r="E378" s="631" t="s">
        <v>436</v>
      </c>
    </row>
    <row r="379" spans="1:6" x14ac:dyDescent="0.2">
      <c r="A379" s="608" t="str">
        <f t="shared" si="8"/>
        <v>INDEC-PB - 41532-1</v>
      </c>
      <c r="B379" s="608">
        <v>41532</v>
      </c>
      <c r="C379" s="608" t="s">
        <v>45</v>
      </c>
      <c r="D379" s="608">
        <v>1</v>
      </c>
      <c r="E379" s="631" t="s">
        <v>437</v>
      </c>
    </row>
    <row r="380" spans="1:6" x14ac:dyDescent="0.2">
      <c r="A380" s="608" t="str">
        <f t="shared" si="8"/>
        <v>INDEC-PB - 31430-1</v>
      </c>
      <c r="B380" s="608">
        <v>31430</v>
      </c>
      <c r="C380" s="608" t="s">
        <v>45</v>
      </c>
      <c r="D380" s="608">
        <v>1</v>
      </c>
      <c r="E380" s="631" t="s">
        <v>438</v>
      </c>
    </row>
    <row r="381" spans="1:6" x14ac:dyDescent="0.2">
      <c r="A381" s="608" t="str">
        <f t="shared" si="8"/>
        <v>INDEC-PB - 31100-1</v>
      </c>
      <c r="B381" s="608">
        <v>31100</v>
      </c>
      <c r="C381" s="608" t="s">
        <v>45</v>
      </c>
      <c r="D381" s="608">
        <v>1</v>
      </c>
      <c r="E381" s="631" t="s">
        <v>439</v>
      </c>
    </row>
    <row r="382" spans="1:6" x14ac:dyDescent="0.2">
      <c r="A382" s="608" t="str">
        <f t="shared" si="8"/>
        <v>INDEC-PB - 31420-1</v>
      </c>
      <c r="B382" s="608">
        <v>31420</v>
      </c>
      <c r="C382" s="608" t="s">
        <v>45</v>
      </c>
      <c r="D382" s="608">
        <v>1</v>
      </c>
      <c r="E382" s="631" t="s">
        <v>440</v>
      </c>
    </row>
    <row r="383" spans="1:6" x14ac:dyDescent="0.2">
      <c r="A383" s="608" t="str">
        <f t="shared" si="8"/>
        <v>INDEC-PB - 31420-2</v>
      </c>
      <c r="B383" s="608">
        <v>31420</v>
      </c>
      <c r="C383" s="608" t="s">
        <v>45</v>
      </c>
      <c r="D383" s="608">
        <v>2</v>
      </c>
      <c r="E383" s="631" t="s">
        <v>441</v>
      </c>
    </row>
    <row r="384" spans="1:6" x14ac:dyDescent="0.2">
      <c r="A384" s="613" t="str">
        <f t="shared" si="8"/>
        <v>INDEC-PB - 44222-1</v>
      </c>
      <c r="B384" s="613">
        <v>44222</v>
      </c>
      <c r="C384" s="613" t="s">
        <v>45</v>
      </c>
      <c r="D384" s="613">
        <v>1</v>
      </c>
      <c r="E384" s="632" t="s">
        <v>442</v>
      </c>
      <c r="F384" s="607" t="s">
        <v>1912</v>
      </c>
    </row>
    <row r="385" spans="1:6" x14ac:dyDescent="0.2">
      <c r="A385" s="613" t="str">
        <f t="shared" si="8"/>
        <v>INDEC-PB - 44427-1</v>
      </c>
      <c r="B385" s="613">
        <v>44427</v>
      </c>
      <c r="C385" s="613" t="s">
        <v>45</v>
      </c>
      <c r="D385" s="613">
        <v>1</v>
      </c>
      <c r="E385" s="632" t="s">
        <v>443</v>
      </c>
      <c r="F385" s="607" t="s">
        <v>1912</v>
      </c>
    </row>
    <row r="386" spans="1:6" x14ac:dyDescent="0.2">
      <c r="A386" s="608" t="str">
        <f t="shared" si="8"/>
        <v>INDEC-PB - 44430-1</v>
      </c>
      <c r="B386" s="608">
        <v>44430</v>
      </c>
      <c r="C386" s="608" t="s">
        <v>45</v>
      </c>
      <c r="D386" s="608">
        <v>1</v>
      </c>
      <c r="E386" s="631" t="s">
        <v>444</v>
      </c>
    </row>
    <row r="387" spans="1:6" x14ac:dyDescent="0.2">
      <c r="A387" s="608" t="str">
        <f t="shared" si="8"/>
        <v>INDEC-PB - 37930-1</v>
      </c>
      <c r="B387" s="608">
        <v>37930</v>
      </c>
      <c r="C387" s="608" t="s">
        <v>45</v>
      </c>
      <c r="D387" s="608">
        <v>1</v>
      </c>
      <c r="E387" s="631" t="s">
        <v>445</v>
      </c>
    </row>
    <row r="388" spans="1:6" x14ac:dyDescent="0.2">
      <c r="A388" s="608" t="str">
        <f t="shared" si="8"/>
        <v>INDEC-PB - 37330-1</v>
      </c>
      <c r="B388" s="608">
        <v>37330</v>
      </c>
      <c r="C388" s="608" t="s">
        <v>45</v>
      </c>
      <c r="D388" s="608">
        <v>1</v>
      </c>
      <c r="E388" s="631" t="s">
        <v>446</v>
      </c>
    </row>
    <row r="389" spans="1:6" x14ac:dyDescent="0.2">
      <c r="A389" s="608" t="str">
        <f t="shared" si="8"/>
        <v>INDEC-PB - 37540-1</v>
      </c>
      <c r="B389" s="608">
        <v>37540</v>
      </c>
      <c r="C389" s="608" t="s">
        <v>45</v>
      </c>
      <c r="D389" s="608">
        <v>1</v>
      </c>
      <c r="E389" s="631" t="s">
        <v>447</v>
      </c>
    </row>
    <row r="390" spans="1:6" x14ac:dyDescent="0.2">
      <c r="A390" s="608" t="str">
        <f t="shared" si="8"/>
        <v>INDEC-PB - 43121-1</v>
      </c>
      <c r="B390" s="608">
        <v>43121</v>
      </c>
      <c r="C390" s="608" t="s">
        <v>45</v>
      </c>
      <c r="D390" s="608">
        <v>1</v>
      </c>
      <c r="E390" s="631" t="s">
        <v>448</v>
      </c>
    </row>
    <row r="391" spans="1:6" x14ac:dyDescent="0.2">
      <c r="A391" s="608" t="str">
        <f t="shared" si="8"/>
        <v>INDEC-PB - 46112-1</v>
      </c>
      <c r="B391" s="608">
        <v>46112</v>
      </c>
      <c r="C391" s="608" t="s">
        <v>45</v>
      </c>
      <c r="D391" s="608">
        <v>1</v>
      </c>
      <c r="E391" s="631" t="s">
        <v>449</v>
      </c>
    </row>
    <row r="392" spans="1:6" x14ac:dyDescent="0.2">
      <c r="A392" s="613" t="str">
        <f t="shared" si="8"/>
        <v>INDEC-PB - 43122-1</v>
      </c>
      <c r="B392" s="613">
        <v>43122</v>
      </c>
      <c r="C392" s="613" t="s">
        <v>45</v>
      </c>
      <c r="D392" s="613">
        <v>1</v>
      </c>
      <c r="E392" s="632" t="s">
        <v>450</v>
      </c>
      <c r="F392" s="607" t="s">
        <v>1912</v>
      </c>
    </row>
    <row r="393" spans="1:6" x14ac:dyDescent="0.2">
      <c r="A393" s="608" t="str">
        <f t="shared" si="8"/>
        <v>INDEC-PB - 49911-1</v>
      </c>
      <c r="B393" s="608">
        <v>49911</v>
      </c>
      <c r="C393" s="608" t="s">
        <v>45</v>
      </c>
      <c r="D393" s="608">
        <v>1</v>
      </c>
      <c r="E393" s="631" t="s">
        <v>451</v>
      </c>
    </row>
    <row r="394" spans="1:6" x14ac:dyDescent="0.2">
      <c r="A394" s="608" t="str">
        <f t="shared" si="8"/>
        <v>INDEC-PB - 33310-1</v>
      </c>
      <c r="B394" s="608">
        <v>33310</v>
      </c>
      <c r="C394" s="608" t="s">
        <v>45</v>
      </c>
      <c r="D394" s="608">
        <v>1</v>
      </c>
      <c r="E394" s="631" t="s">
        <v>452</v>
      </c>
    </row>
    <row r="395" spans="1:6" x14ac:dyDescent="0.2">
      <c r="A395" s="608" t="str">
        <f t="shared" si="8"/>
        <v>INDEC-PB - 32129-1</v>
      </c>
      <c r="B395" s="608">
        <v>32129</v>
      </c>
      <c r="C395" s="608" t="s">
        <v>45</v>
      </c>
      <c r="D395" s="608">
        <v>1</v>
      </c>
      <c r="E395" s="631" t="s">
        <v>453</v>
      </c>
    </row>
    <row r="396" spans="1:6" x14ac:dyDescent="0.2">
      <c r="A396" s="608" t="str">
        <f t="shared" si="8"/>
        <v>INDEC-PB - 37990-2</v>
      </c>
      <c r="B396" s="608">
        <v>37990</v>
      </c>
      <c r="C396" s="608" t="s">
        <v>45</v>
      </c>
      <c r="D396" s="608">
        <v>2</v>
      </c>
      <c r="E396" s="631" t="s">
        <v>454</v>
      </c>
    </row>
    <row r="397" spans="1:6" x14ac:dyDescent="0.2">
      <c r="A397" s="608" t="str">
        <f t="shared" si="8"/>
        <v>INDEC-PB - 41251-1</v>
      </c>
      <c r="B397" s="608">
        <v>41251</v>
      </c>
      <c r="C397" s="608" t="s">
        <v>45</v>
      </c>
      <c r="D397" s="608">
        <v>1</v>
      </c>
      <c r="E397" s="631" t="s">
        <v>455</v>
      </c>
    </row>
    <row r="398" spans="1:6" x14ac:dyDescent="0.2">
      <c r="A398" s="608" t="str">
        <f t="shared" si="8"/>
        <v>INDEC-PB - 12010-1</v>
      </c>
      <c r="B398" s="608">
        <v>12010</v>
      </c>
      <c r="C398" s="608" t="s">
        <v>45</v>
      </c>
      <c r="D398" s="608">
        <v>1</v>
      </c>
      <c r="E398" s="631" t="s">
        <v>456</v>
      </c>
    </row>
    <row r="399" spans="1:6" x14ac:dyDescent="0.2">
      <c r="A399" s="608" t="str">
        <f t="shared" si="8"/>
        <v>INDEC-PB - 15320-1</v>
      </c>
      <c r="B399" s="608">
        <v>15320</v>
      </c>
      <c r="C399" s="608" t="s">
        <v>45</v>
      </c>
      <c r="D399" s="608">
        <v>1</v>
      </c>
      <c r="E399" s="631" t="s">
        <v>457</v>
      </c>
    </row>
    <row r="400" spans="1:6" x14ac:dyDescent="0.2">
      <c r="A400" s="608" t="str">
        <f t="shared" si="8"/>
        <v>INDEC-PB - 41116-1</v>
      </c>
      <c r="B400" s="608">
        <v>41116</v>
      </c>
      <c r="C400" s="608" t="s">
        <v>45</v>
      </c>
      <c r="D400" s="608">
        <v>1</v>
      </c>
      <c r="E400" s="631" t="s">
        <v>458</v>
      </c>
    </row>
    <row r="401" spans="1:6" x14ac:dyDescent="0.2">
      <c r="A401" s="608" t="str">
        <f t="shared" si="8"/>
        <v>INDEC-PB - 42999-1</v>
      </c>
      <c r="B401" s="608">
        <v>42999</v>
      </c>
      <c r="C401" s="608" t="s">
        <v>45</v>
      </c>
      <c r="D401" s="608">
        <v>1</v>
      </c>
      <c r="E401" s="631" t="s">
        <v>459</v>
      </c>
    </row>
    <row r="402" spans="1:6" x14ac:dyDescent="0.2">
      <c r="A402" s="608" t="str">
        <f t="shared" si="8"/>
        <v>INDEC-PB - 35110-3</v>
      </c>
      <c r="B402" s="608">
        <v>35110</v>
      </c>
      <c r="C402" s="608" t="s">
        <v>45</v>
      </c>
      <c r="D402" s="608">
        <v>3</v>
      </c>
      <c r="E402" s="631" t="s">
        <v>460</v>
      </c>
    </row>
    <row r="403" spans="1:6" x14ac:dyDescent="0.2">
      <c r="A403" s="608" t="str">
        <f t="shared" si="8"/>
        <v>INDEC-PB - 34740-6</v>
      </c>
      <c r="B403" s="608">
        <v>34740</v>
      </c>
      <c r="C403" s="608" t="s">
        <v>45</v>
      </c>
      <c r="D403" s="608">
        <v>6</v>
      </c>
      <c r="E403" s="631" t="s">
        <v>461</v>
      </c>
    </row>
    <row r="404" spans="1:6" x14ac:dyDescent="0.2">
      <c r="A404" s="608" t="str">
        <f t="shared" si="8"/>
        <v>INDEC-PB - 34730-1</v>
      </c>
      <c r="B404" s="608">
        <v>34730</v>
      </c>
      <c r="C404" s="608" t="s">
        <v>45</v>
      </c>
      <c r="D404" s="608">
        <v>1</v>
      </c>
      <c r="E404" s="631" t="s">
        <v>462</v>
      </c>
    </row>
    <row r="405" spans="1:6" x14ac:dyDescent="0.2">
      <c r="A405" s="613" t="str">
        <f t="shared" si="8"/>
        <v>INDEC-PB - 34720-1</v>
      </c>
      <c r="B405" s="613">
        <v>34720</v>
      </c>
      <c r="C405" s="613" t="s">
        <v>45</v>
      </c>
      <c r="D405" s="613">
        <v>1</v>
      </c>
      <c r="E405" s="632" t="s">
        <v>463</v>
      </c>
      <c r="F405" s="607" t="s">
        <v>1912</v>
      </c>
    </row>
    <row r="406" spans="1:6" x14ac:dyDescent="0.2">
      <c r="A406" s="608" t="str">
        <f t="shared" si="8"/>
        <v>INDEC-PB - 34710-1</v>
      </c>
      <c r="B406" s="608">
        <v>34710</v>
      </c>
      <c r="C406" s="608" t="s">
        <v>45</v>
      </c>
      <c r="D406" s="608">
        <v>1</v>
      </c>
      <c r="E406" s="631" t="s">
        <v>464</v>
      </c>
    </row>
    <row r="407" spans="1:6" x14ac:dyDescent="0.2">
      <c r="A407" s="608" t="str">
        <f t="shared" si="8"/>
        <v>INDEC-PB - 41530-1</v>
      </c>
      <c r="B407" s="608">
        <v>41530</v>
      </c>
      <c r="C407" s="608" t="s">
        <v>45</v>
      </c>
      <c r="D407" s="608">
        <v>1</v>
      </c>
      <c r="E407" s="631" t="s">
        <v>465</v>
      </c>
    </row>
    <row r="408" spans="1:6" x14ac:dyDescent="0.2">
      <c r="A408" s="608" t="str">
        <f t="shared" si="8"/>
        <v>INDEC-PB - 41510-1</v>
      </c>
      <c r="B408" s="608">
        <v>41510</v>
      </c>
      <c r="C408" s="608" t="s">
        <v>45</v>
      </c>
      <c r="D408" s="608">
        <v>1</v>
      </c>
      <c r="E408" s="631" t="s">
        <v>466</v>
      </c>
    </row>
    <row r="409" spans="1:6" x14ac:dyDescent="0.2">
      <c r="A409" s="608" t="str">
        <f t="shared" si="8"/>
        <v>INDEC-PB - 31600-2</v>
      </c>
      <c r="B409" s="608">
        <v>31600</v>
      </c>
      <c r="C409" s="608" t="s">
        <v>45</v>
      </c>
      <c r="D409" s="608">
        <v>2</v>
      </c>
      <c r="E409" s="631" t="s">
        <v>467</v>
      </c>
    </row>
    <row r="410" spans="1:6" x14ac:dyDescent="0.2">
      <c r="A410" s="608" t="str">
        <f t="shared" si="8"/>
        <v>INDEC-PB - 49129-2</v>
      </c>
      <c r="B410" s="608">
        <v>49129</v>
      </c>
      <c r="C410" s="608" t="s">
        <v>45</v>
      </c>
      <c r="D410" s="608">
        <v>2</v>
      </c>
      <c r="E410" s="631" t="s">
        <v>468</v>
      </c>
    </row>
    <row r="411" spans="1:6" x14ac:dyDescent="0.2">
      <c r="A411" s="608" t="str">
        <f t="shared" si="8"/>
        <v>INDEC-PB - 34740-1</v>
      </c>
      <c r="B411" s="608">
        <v>34740</v>
      </c>
      <c r="C411" s="608" t="s">
        <v>45</v>
      </c>
      <c r="D411" s="608">
        <v>1</v>
      </c>
      <c r="E411" s="631" t="s">
        <v>469</v>
      </c>
    </row>
    <row r="412" spans="1:6" x14ac:dyDescent="0.2">
      <c r="A412" s="613" t="str">
        <f t="shared" si="8"/>
        <v>INDEC-PB - 43310-1</v>
      </c>
      <c r="B412" s="613">
        <v>43310</v>
      </c>
      <c r="C412" s="613" t="s">
        <v>45</v>
      </c>
      <c r="D412" s="613">
        <v>1</v>
      </c>
      <c r="E412" s="632" t="s">
        <v>470</v>
      </c>
      <c r="F412" s="607" t="s">
        <v>1912</v>
      </c>
    </row>
    <row r="413" spans="1:6" x14ac:dyDescent="0.2">
      <c r="A413" s="608" t="str">
        <f t="shared" si="8"/>
        <v>INDEC-PB - 44240-1</v>
      </c>
      <c r="B413" s="608">
        <v>44240</v>
      </c>
      <c r="C413" s="608" t="s">
        <v>45</v>
      </c>
      <c r="D413" s="608">
        <v>1</v>
      </c>
      <c r="E413" s="631" t="s">
        <v>471</v>
      </c>
    </row>
    <row r="414" spans="1:6" x14ac:dyDescent="0.2">
      <c r="A414" s="608" t="str">
        <f t="shared" si="8"/>
        <v>INDEC-PB - 33500-1</v>
      </c>
      <c r="B414" s="608">
        <v>33500</v>
      </c>
      <c r="C414" s="608" t="s">
        <v>45</v>
      </c>
      <c r="D414" s="608">
        <v>1</v>
      </c>
      <c r="E414" s="631" t="s">
        <v>472</v>
      </c>
    </row>
    <row r="415" spans="1:6" x14ac:dyDescent="0.2">
      <c r="A415" s="608" t="str">
        <f t="shared" si="8"/>
        <v>INDEC-PB - 44214-1</v>
      </c>
      <c r="B415" s="608">
        <v>44214</v>
      </c>
      <c r="C415" s="608" t="s">
        <v>45</v>
      </c>
      <c r="D415" s="608">
        <v>1</v>
      </c>
      <c r="E415" s="631" t="s">
        <v>473</v>
      </c>
    </row>
    <row r="416" spans="1:6" x14ac:dyDescent="0.2">
      <c r="A416" s="608" t="str">
        <f t="shared" si="8"/>
        <v>INDEC-PB - 37350-2</v>
      </c>
      <c r="B416" s="608">
        <v>37350</v>
      </c>
      <c r="C416" s="608" t="s">
        <v>45</v>
      </c>
      <c r="D416" s="608">
        <v>2</v>
      </c>
      <c r="E416" s="631" t="s">
        <v>474</v>
      </c>
    </row>
    <row r="417" spans="1:6" x14ac:dyDescent="0.2">
      <c r="A417" s="608" t="str">
        <f t="shared" si="8"/>
        <v>INDEC-PB - 42943-1</v>
      </c>
      <c r="B417" s="608">
        <v>42943</v>
      </c>
      <c r="C417" s="608" t="s">
        <v>45</v>
      </c>
      <c r="D417" s="608">
        <v>1</v>
      </c>
      <c r="E417" s="631" t="s">
        <v>475</v>
      </c>
    </row>
    <row r="418" spans="1:6" x14ac:dyDescent="0.2">
      <c r="A418" s="608" t="str">
        <f t="shared" si="8"/>
        <v>INDEC-PB - 36990-1</v>
      </c>
      <c r="B418" s="608">
        <v>36990</v>
      </c>
      <c r="C418" s="608" t="s">
        <v>45</v>
      </c>
      <c r="D418" s="608">
        <v>1</v>
      </c>
      <c r="E418" s="631" t="s">
        <v>476</v>
      </c>
    </row>
    <row r="419" spans="1:6" x14ac:dyDescent="0.2">
      <c r="A419" s="608" t="str">
        <f t="shared" si="8"/>
        <v>INDEC-PB - 46121-1</v>
      </c>
      <c r="B419" s="608">
        <v>46121</v>
      </c>
      <c r="C419" s="608" t="s">
        <v>45</v>
      </c>
      <c r="D419" s="608">
        <v>1</v>
      </c>
      <c r="E419" s="631" t="s">
        <v>477</v>
      </c>
    </row>
    <row r="420" spans="1:6" x14ac:dyDescent="0.2">
      <c r="A420" s="608" t="str">
        <f t="shared" si="8"/>
        <v>INDEC-PB - 49115-1</v>
      </c>
      <c r="B420" s="608">
        <v>49115</v>
      </c>
      <c r="C420" s="608" t="s">
        <v>45</v>
      </c>
      <c r="D420" s="608">
        <v>1</v>
      </c>
      <c r="E420" s="631" t="s">
        <v>478</v>
      </c>
    </row>
    <row r="421" spans="1:6" x14ac:dyDescent="0.2">
      <c r="A421" s="613" t="str">
        <f t="shared" si="8"/>
        <v>INDEC-PB - 37113-1</v>
      </c>
      <c r="B421" s="613">
        <v>37113</v>
      </c>
      <c r="C421" s="613" t="s">
        <v>45</v>
      </c>
      <c r="D421" s="613">
        <v>1</v>
      </c>
      <c r="E421" s="632" t="s">
        <v>479</v>
      </c>
      <c r="F421" s="607" t="s">
        <v>1912</v>
      </c>
    </row>
    <row r="422" spans="1:6" x14ac:dyDescent="0.2">
      <c r="A422" s="613" t="str">
        <f t="shared" si="8"/>
        <v>INDEC-PB - 37199-3</v>
      </c>
      <c r="B422" s="613">
        <v>37199</v>
      </c>
      <c r="C422" s="613" t="s">
        <v>45</v>
      </c>
      <c r="D422" s="613">
        <v>3</v>
      </c>
      <c r="E422" s="632" t="s">
        <v>480</v>
      </c>
      <c r="F422" s="607" t="s">
        <v>1912</v>
      </c>
    </row>
    <row r="423" spans="1:6" x14ac:dyDescent="0.2">
      <c r="A423" s="613" t="str">
        <f t="shared" si="8"/>
        <v>INDEC-PB - 37199-1</v>
      </c>
      <c r="B423" s="613">
        <v>37199</v>
      </c>
      <c r="C423" s="613" t="s">
        <v>45</v>
      </c>
      <c r="D423" s="613">
        <v>1</v>
      </c>
      <c r="E423" s="632" t="s">
        <v>481</v>
      </c>
      <c r="F423" s="607" t="s">
        <v>1912</v>
      </c>
    </row>
    <row r="424" spans="1:6" x14ac:dyDescent="0.2">
      <c r="A424" s="613" t="str">
        <f t="shared" si="8"/>
        <v>INDEC-PB - 37199-2</v>
      </c>
      <c r="B424" s="613">
        <v>37199</v>
      </c>
      <c r="C424" s="613" t="s">
        <v>45</v>
      </c>
      <c r="D424" s="613">
        <v>2</v>
      </c>
      <c r="E424" s="632" t="s">
        <v>482</v>
      </c>
      <c r="F424" s="607" t="s">
        <v>1912</v>
      </c>
    </row>
    <row r="425" spans="1:6" x14ac:dyDescent="0.2">
      <c r="A425" s="608" t="str">
        <f t="shared" si="8"/>
        <v>INDEC-PB - 15200-1</v>
      </c>
      <c r="B425" s="608">
        <v>15200</v>
      </c>
      <c r="C425" s="608" t="s">
        <v>45</v>
      </c>
      <c r="D425" s="608">
        <v>1</v>
      </c>
      <c r="E425" s="631" t="s">
        <v>483</v>
      </c>
    </row>
    <row r="426" spans="1:6" x14ac:dyDescent="0.2">
      <c r="A426" s="633"/>
      <c r="E426" s="634"/>
    </row>
    <row r="427" spans="1:6" x14ac:dyDescent="0.2">
      <c r="A427" s="635"/>
      <c r="E427" s="634" t="s">
        <v>484</v>
      </c>
    </row>
    <row r="428" spans="1:6" x14ac:dyDescent="0.2">
      <c r="A428" s="608" t="str">
        <f t="shared" ref="A428:A445" si="9">CONCATENATE("INDEC-PB - ",B428,C428,D428)</f>
        <v>INDEC-PB - 94920-1</v>
      </c>
      <c r="B428" s="608">
        <v>94920</v>
      </c>
      <c r="C428" s="608" t="s">
        <v>45</v>
      </c>
      <c r="D428" s="608">
        <v>1</v>
      </c>
      <c r="E428" s="631" t="s">
        <v>485</v>
      </c>
    </row>
    <row r="429" spans="1:6" x14ac:dyDescent="0.2">
      <c r="A429" s="608" t="str">
        <f t="shared" si="9"/>
        <v>INDEC-PB - 91223-1</v>
      </c>
      <c r="B429" s="608">
        <v>91223</v>
      </c>
      <c r="C429" s="608" t="s">
        <v>45</v>
      </c>
      <c r="D429" s="608">
        <v>1</v>
      </c>
      <c r="E429" s="631" t="s">
        <v>486</v>
      </c>
    </row>
    <row r="430" spans="1:6" x14ac:dyDescent="0.2">
      <c r="A430" s="608" t="str">
        <f t="shared" si="9"/>
        <v>INDEC-PB - 91211-11</v>
      </c>
      <c r="B430" s="608">
        <v>91211</v>
      </c>
      <c r="C430" s="608" t="s">
        <v>45</v>
      </c>
      <c r="D430" s="608">
        <v>11</v>
      </c>
      <c r="E430" s="631" t="s">
        <v>487</v>
      </c>
    </row>
    <row r="431" spans="1:6" x14ac:dyDescent="0.2">
      <c r="A431" s="608" t="str">
        <f t="shared" si="9"/>
        <v>INDEC-PB - 91211-1</v>
      </c>
      <c r="B431" s="608">
        <v>91211</v>
      </c>
      <c r="C431" s="608" t="s">
        <v>45</v>
      </c>
      <c r="D431" s="608">
        <v>1</v>
      </c>
      <c r="E431" s="631" t="s">
        <v>488</v>
      </c>
    </row>
    <row r="432" spans="1:6" x14ac:dyDescent="0.2">
      <c r="A432" s="613" t="str">
        <f t="shared" si="9"/>
        <v>INDEC-PB - 91511-1</v>
      </c>
      <c r="B432" s="613">
        <v>91511</v>
      </c>
      <c r="C432" s="613" t="s">
        <v>45</v>
      </c>
      <c r="D432" s="613">
        <v>1</v>
      </c>
      <c r="E432" s="632" t="s">
        <v>489</v>
      </c>
      <c r="F432" s="607" t="s">
        <v>1912</v>
      </c>
    </row>
    <row r="433" spans="1:6" x14ac:dyDescent="0.2">
      <c r="A433" s="608" t="str">
        <f t="shared" si="9"/>
        <v>INDEC-PB - 91547-1</v>
      </c>
      <c r="B433" s="608">
        <v>91547</v>
      </c>
      <c r="C433" s="608" t="s">
        <v>45</v>
      </c>
      <c r="D433" s="608">
        <v>1</v>
      </c>
      <c r="E433" s="631" t="s">
        <v>490</v>
      </c>
    </row>
    <row r="434" spans="1:6" x14ac:dyDescent="0.2">
      <c r="A434" s="608" t="str">
        <f t="shared" si="9"/>
        <v>INDEC-PB - 81100-1</v>
      </c>
      <c r="B434" s="608">
        <v>81100</v>
      </c>
      <c r="C434" s="608" t="s">
        <v>45</v>
      </c>
      <c r="D434" s="608">
        <v>1</v>
      </c>
      <c r="E434" s="631" t="s">
        <v>491</v>
      </c>
    </row>
    <row r="435" spans="1:6" x14ac:dyDescent="0.2">
      <c r="A435" s="613" t="str">
        <f t="shared" si="9"/>
        <v>INDEC-PB - 91601-2</v>
      </c>
      <c r="B435" s="613">
        <v>91601</v>
      </c>
      <c r="C435" s="613" t="s">
        <v>45</v>
      </c>
      <c r="D435" s="613">
        <v>2</v>
      </c>
      <c r="E435" s="632" t="s">
        <v>492</v>
      </c>
      <c r="F435" s="607" t="s">
        <v>1912</v>
      </c>
    </row>
    <row r="436" spans="1:6" x14ac:dyDescent="0.2">
      <c r="A436" s="608" t="str">
        <f t="shared" si="9"/>
        <v>INDEC-PB - 94214-1</v>
      </c>
      <c r="B436" s="608">
        <v>94214</v>
      </c>
      <c r="C436" s="608" t="s">
        <v>45</v>
      </c>
      <c r="D436" s="608">
        <v>1</v>
      </c>
      <c r="E436" s="631" t="s">
        <v>493</v>
      </c>
    </row>
    <row r="437" spans="1:6" x14ac:dyDescent="0.2">
      <c r="A437" s="608" t="str">
        <f t="shared" si="9"/>
        <v>INDEC-PB - 94216-1</v>
      </c>
      <c r="B437" s="608">
        <v>94216</v>
      </c>
      <c r="C437" s="608" t="s">
        <v>45</v>
      </c>
      <c r="D437" s="608">
        <v>1</v>
      </c>
      <c r="E437" s="631" t="s">
        <v>494</v>
      </c>
    </row>
    <row r="438" spans="1:6" x14ac:dyDescent="0.2">
      <c r="A438" s="613" t="str">
        <f t="shared" si="9"/>
        <v>INDEC-PB - 93310-2</v>
      </c>
      <c r="B438" s="613">
        <v>93310</v>
      </c>
      <c r="C438" s="613" t="s">
        <v>45</v>
      </c>
      <c r="D438" s="613">
        <v>2</v>
      </c>
      <c r="E438" s="632" t="s">
        <v>495</v>
      </c>
      <c r="F438" s="607" t="s">
        <v>1912</v>
      </c>
    </row>
    <row r="439" spans="1:6" x14ac:dyDescent="0.2">
      <c r="A439" s="608" t="str">
        <f t="shared" si="9"/>
        <v>INDEC-PB - 82129-1</v>
      </c>
      <c r="B439" s="608">
        <v>82129</v>
      </c>
      <c r="C439" s="608" t="s">
        <v>45</v>
      </c>
      <c r="D439" s="608">
        <v>1</v>
      </c>
      <c r="E439" s="631" t="s">
        <v>496</v>
      </c>
    </row>
    <row r="440" spans="1:6" x14ac:dyDescent="0.2">
      <c r="A440" s="613" t="str">
        <f t="shared" si="9"/>
        <v>INDEC-PB - 91251-1</v>
      </c>
      <c r="B440" s="613">
        <v>91251</v>
      </c>
      <c r="C440" s="613" t="s">
        <v>45</v>
      </c>
      <c r="D440" s="613">
        <v>1</v>
      </c>
      <c r="E440" s="632" t="s">
        <v>497</v>
      </c>
      <c r="F440" s="607" t="s">
        <v>1912</v>
      </c>
    </row>
    <row r="441" spans="1:6" x14ac:dyDescent="0.2">
      <c r="A441" s="608" t="str">
        <f t="shared" si="9"/>
        <v>INDEC-PB - 93310-1</v>
      </c>
      <c r="B441" s="608">
        <v>93310</v>
      </c>
      <c r="C441" s="608" t="s">
        <v>45</v>
      </c>
      <c r="D441" s="608">
        <v>1</v>
      </c>
      <c r="E441" s="631" t="s">
        <v>498</v>
      </c>
    </row>
    <row r="442" spans="1:6" x14ac:dyDescent="0.2">
      <c r="A442" s="613" t="str">
        <f t="shared" si="9"/>
        <v>INDEC-PB - 84710-1</v>
      </c>
      <c r="B442" s="613">
        <v>84710</v>
      </c>
      <c r="C442" s="613" t="s">
        <v>45</v>
      </c>
      <c r="D442" s="613">
        <v>1</v>
      </c>
      <c r="E442" s="632" t="s">
        <v>499</v>
      </c>
      <c r="F442" s="607" t="s">
        <v>1912</v>
      </c>
    </row>
    <row r="443" spans="1:6" x14ac:dyDescent="0.2">
      <c r="A443" s="613" t="str">
        <f t="shared" si="9"/>
        <v>INDEC-PB - 84740-1</v>
      </c>
      <c r="B443" s="613">
        <v>84740</v>
      </c>
      <c r="C443" s="613" t="s">
        <v>45</v>
      </c>
      <c r="D443" s="613">
        <v>1</v>
      </c>
      <c r="E443" s="632" t="s">
        <v>500</v>
      </c>
      <c r="F443" s="607" t="s">
        <v>1912</v>
      </c>
    </row>
    <row r="444" spans="1:6" x14ac:dyDescent="0.2">
      <c r="A444" s="613" t="str">
        <f t="shared" si="9"/>
        <v>INDEC-PB - 84230-1</v>
      </c>
      <c r="B444" s="613">
        <v>84230</v>
      </c>
      <c r="C444" s="613" t="s">
        <v>45</v>
      </c>
      <c r="D444" s="613">
        <v>1</v>
      </c>
      <c r="E444" s="632" t="s">
        <v>501</v>
      </c>
      <c r="F444" s="607" t="s">
        <v>1912</v>
      </c>
    </row>
    <row r="445" spans="1:6" x14ac:dyDescent="0.2">
      <c r="A445" s="608" t="str">
        <f t="shared" si="9"/>
        <v>INDEC-PB - 85490-1</v>
      </c>
      <c r="B445" s="608">
        <v>85490</v>
      </c>
      <c r="C445" s="608" t="s">
        <v>45</v>
      </c>
      <c r="D445" s="608">
        <v>1</v>
      </c>
      <c r="E445" s="631" t="s">
        <v>502</v>
      </c>
    </row>
    <row r="448" spans="1:6" x14ac:dyDescent="0.2">
      <c r="A448" s="631"/>
      <c r="B448" s="606" t="s">
        <v>504</v>
      </c>
      <c r="C448" s="20"/>
      <c r="D448" s="20"/>
    </row>
    <row r="449" spans="1:5" x14ac:dyDescent="0.2">
      <c r="A449" s="631"/>
      <c r="B449" s="616"/>
      <c r="C449" s="20"/>
      <c r="D449" s="20"/>
    </row>
    <row r="450" spans="1:5" x14ac:dyDescent="0.2">
      <c r="A450" s="862" t="s">
        <v>343</v>
      </c>
      <c r="B450" s="862" t="s">
        <v>505</v>
      </c>
      <c r="C450" s="862"/>
      <c r="D450" s="862"/>
      <c r="E450" s="862" t="s">
        <v>43</v>
      </c>
    </row>
    <row r="451" spans="1:5" x14ac:dyDescent="0.2">
      <c r="A451" s="862"/>
      <c r="B451" s="862" t="s">
        <v>506</v>
      </c>
      <c r="C451" s="862"/>
      <c r="D451" s="862"/>
      <c r="E451" s="862"/>
    </row>
    <row r="452" spans="1:5" x14ac:dyDescent="0.2">
      <c r="B452" s="18"/>
      <c r="C452" s="20"/>
      <c r="D452" s="20"/>
      <c r="E452" s="636"/>
    </row>
    <row r="453" spans="1:5" x14ac:dyDescent="0.2">
      <c r="B453" s="18"/>
      <c r="C453" s="20"/>
      <c r="D453" s="20"/>
      <c r="E453" s="634" t="s">
        <v>507</v>
      </c>
    </row>
    <row r="454" spans="1:5" x14ac:dyDescent="0.2">
      <c r="A454" s="608" t="str">
        <f t="shared" ref="A454:A474" si="10">CONCATENATE("INDEC-PB - ",B454,C454,D454)</f>
        <v>INDEC-PB - 2811-1</v>
      </c>
      <c r="B454" s="20">
        <v>2811</v>
      </c>
      <c r="C454" s="608" t="s">
        <v>45</v>
      </c>
      <c r="D454" s="608">
        <v>1</v>
      </c>
      <c r="E454" s="19" t="s">
        <v>508</v>
      </c>
    </row>
    <row r="455" spans="1:5" x14ac:dyDescent="0.2">
      <c r="A455" s="608" t="str">
        <f t="shared" si="10"/>
        <v>INDEC-PB - 2710-1</v>
      </c>
      <c r="B455" s="20">
        <v>2710</v>
      </c>
      <c r="C455" s="608" t="s">
        <v>45</v>
      </c>
      <c r="D455" s="608">
        <v>1</v>
      </c>
      <c r="E455" s="19" t="s">
        <v>509</v>
      </c>
    </row>
    <row r="456" spans="1:5" x14ac:dyDescent="0.2">
      <c r="A456" s="608" t="str">
        <f t="shared" si="10"/>
        <v>INDEC-PB - 2922-1</v>
      </c>
      <c r="B456" s="20">
        <v>2922</v>
      </c>
      <c r="C456" s="608" t="s">
        <v>45</v>
      </c>
      <c r="D456" s="608">
        <v>1</v>
      </c>
      <c r="E456" s="19" t="s">
        <v>510</v>
      </c>
    </row>
    <row r="457" spans="1:5" x14ac:dyDescent="0.2">
      <c r="A457" s="608" t="str">
        <f t="shared" si="10"/>
        <v>INDEC-PB - 2691-</v>
      </c>
      <c r="B457" s="20">
        <v>2691</v>
      </c>
      <c r="C457" s="608" t="s">
        <v>45</v>
      </c>
      <c r="E457" s="19" t="s">
        <v>511</v>
      </c>
    </row>
    <row r="458" spans="1:5" x14ac:dyDescent="0.2">
      <c r="A458" s="608" t="str">
        <f t="shared" si="10"/>
        <v>INDEC-PB - 2695-</v>
      </c>
      <c r="B458" s="20">
        <v>2695</v>
      </c>
      <c r="C458" s="608" t="s">
        <v>45</v>
      </c>
      <c r="E458" s="19" t="s">
        <v>512</v>
      </c>
    </row>
    <row r="459" spans="1:5" x14ac:dyDescent="0.2">
      <c r="A459" s="608" t="str">
        <f t="shared" si="10"/>
        <v>INDEC-PB - 3410-2</v>
      </c>
      <c r="B459" s="20">
        <v>3410</v>
      </c>
      <c r="C459" s="608" t="s">
        <v>45</v>
      </c>
      <c r="D459" s="608">
        <v>2</v>
      </c>
      <c r="E459" s="19" t="s">
        <v>513</v>
      </c>
    </row>
    <row r="460" spans="1:5" x14ac:dyDescent="0.2">
      <c r="A460" s="608" t="str">
        <f t="shared" si="10"/>
        <v>INDEC-PB - 2520-1</v>
      </c>
      <c r="B460" s="20">
        <v>2520</v>
      </c>
      <c r="C460" s="608" t="s">
        <v>45</v>
      </c>
      <c r="D460" s="608">
        <v>1</v>
      </c>
      <c r="E460" s="631" t="s">
        <v>514</v>
      </c>
    </row>
    <row r="461" spans="1:5" x14ac:dyDescent="0.2">
      <c r="A461" s="608" t="str">
        <f t="shared" si="10"/>
        <v>INDEC-PB - 2413-3</v>
      </c>
      <c r="B461" s="20">
        <v>2413</v>
      </c>
      <c r="C461" s="608" t="s">
        <v>45</v>
      </c>
      <c r="D461" s="608">
        <v>3</v>
      </c>
      <c r="E461" s="631" t="s">
        <v>515</v>
      </c>
    </row>
    <row r="462" spans="1:5" x14ac:dyDescent="0.2">
      <c r="A462" s="608" t="str">
        <f t="shared" si="10"/>
        <v>INDEC-PB - 2519-1</v>
      </c>
      <c r="B462" s="20">
        <v>2519</v>
      </c>
      <c r="C462" s="608" t="s">
        <v>45</v>
      </c>
      <c r="D462" s="608">
        <v>1</v>
      </c>
      <c r="E462" s="631" t="s">
        <v>516</v>
      </c>
    </row>
    <row r="463" spans="1:5" x14ac:dyDescent="0.2">
      <c r="A463" s="608" t="str">
        <f t="shared" si="10"/>
        <v>INDEC-PB - 2520-3</v>
      </c>
      <c r="B463" s="20">
        <v>2520</v>
      </c>
      <c r="C463" s="608" t="s">
        <v>45</v>
      </c>
      <c r="D463" s="608">
        <v>3</v>
      </c>
      <c r="E463" s="631" t="s">
        <v>517</v>
      </c>
    </row>
    <row r="464" spans="1:5" x14ac:dyDescent="0.2">
      <c r="A464" s="608" t="str">
        <f t="shared" si="10"/>
        <v>INDEC-PB - 2022-1</v>
      </c>
      <c r="B464" s="20">
        <v>2022</v>
      </c>
      <c r="C464" s="608" t="s">
        <v>45</v>
      </c>
      <c r="D464" s="608">
        <v>1</v>
      </c>
      <c r="E464" s="631" t="s">
        <v>518</v>
      </c>
    </row>
    <row r="465" spans="1:5" x14ac:dyDescent="0.2">
      <c r="A465" s="608" t="str">
        <f t="shared" si="10"/>
        <v>INDEC-PB - 2511-1</v>
      </c>
      <c r="B465" s="20">
        <v>2511</v>
      </c>
      <c r="C465" s="608" t="s">
        <v>45</v>
      </c>
      <c r="D465" s="608">
        <v>1</v>
      </c>
      <c r="E465" s="631" t="s">
        <v>519</v>
      </c>
    </row>
    <row r="466" spans="1:5" x14ac:dyDescent="0.2">
      <c r="A466" s="608" t="str">
        <f t="shared" si="10"/>
        <v>INDEC-PB - 2899-</v>
      </c>
      <c r="B466" s="20">
        <v>2899</v>
      </c>
      <c r="C466" s="608" t="s">
        <v>45</v>
      </c>
      <c r="E466" s="631" t="s">
        <v>520</v>
      </c>
    </row>
    <row r="467" spans="1:5" x14ac:dyDescent="0.2">
      <c r="A467" s="608" t="str">
        <f t="shared" si="10"/>
        <v>INDEC-PB - 3110-1</v>
      </c>
      <c r="B467" s="20">
        <v>3110</v>
      </c>
      <c r="C467" s="608" t="s">
        <v>45</v>
      </c>
      <c r="D467" s="608">
        <v>1</v>
      </c>
      <c r="E467" s="631" t="s">
        <v>521</v>
      </c>
    </row>
    <row r="468" spans="1:5" x14ac:dyDescent="0.2">
      <c r="A468" s="608" t="str">
        <f t="shared" si="10"/>
        <v>INDEC-PB - 2320-1</v>
      </c>
      <c r="B468" s="20">
        <v>2320</v>
      </c>
      <c r="C468" s="608" t="s">
        <v>45</v>
      </c>
      <c r="D468" s="608">
        <v>1</v>
      </c>
      <c r="E468" s="631" t="s">
        <v>522</v>
      </c>
    </row>
    <row r="469" spans="1:5" x14ac:dyDescent="0.2">
      <c r="A469" s="608" t="str">
        <f t="shared" si="10"/>
        <v>INDEC-PB - 2924-1</v>
      </c>
      <c r="B469" s="20">
        <v>2924</v>
      </c>
      <c r="C469" s="608" t="s">
        <v>45</v>
      </c>
      <c r="D469" s="608">
        <v>1</v>
      </c>
      <c r="E469" s="631" t="s">
        <v>523</v>
      </c>
    </row>
    <row r="470" spans="1:5" x14ac:dyDescent="0.2">
      <c r="A470" s="608" t="str">
        <f t="shared" si="10"/>
        <v>INDEC-PB - 2692-1</v>
      </c>
      <c r="B470" s="20">
        <v>2692</v>
      </c>
      <c r="C470" s="608" t="s">
        <v>45</v>
      </c>
      <c r="D470" s="608">
        <v>1</v>
      </c>
      <c r="E470" s="631" t="s">
        <v>524</v>
      </c>
    </row>
    <row r="471" spans="1:5" x14ac:dyDescent="0.2">
      <c r="A471" s="608" t="str">
        <f t="shared" si="10"/>
        <v>INDEC-PB - 3410-</v>
      </c>
      <c r="B471" s="20">
        <v>3410</v>
      </c>
      <c r="C471" s="608" t="s">
        <v>45</v>
      </c>
      <c r="E471" s="631" t="s">
        <v>525</v>
      </c>
    </row>
    <row r="472" spans="1:5" x14ac:dyDescent="0.2">
      <c r="A472" s="608" t="str">
        <f t="shared" si="10"/>
        <v>INDEC-PB - 2413-1</v>
      </c>
      <c r="B472" s="20">
        <v>2413</v>
      </c>
      <c r="C472" s="608" t="s">
        <v>45</v>
      </c>
      <c r="D472" s="608">
        <v>1</v>
      </c>
      <c r="E472" s="631" t="s">
        <v>526</v>
      </c>
    </row>
    <row r="473" spans="1:5" x14ac:dyDescent="0.2">
      <c r="A473" s="608" t="str">
        <f t="shared" si="10"/>
        <v>INDEC-PB - 291-</v>
      </c>
      <c r="B473" s="20">
        <v>291</v>
      </c>
      <c r="C473" s="608" t="s">
        <v>45</v>
      </c>
      <c r="E473" s="19" t="s">
        <v>527</v>
      </c>
    </row>
    <row r="474" spans="1:5" x14ac:dyDescent="0.2">
      <c r="A474" s="608" t="str">
        <f t="shared" si="10"/>
        <v>INDEC-PB - 2610-1</v>
      </c>
      <c r="B474" s="20">
        <v>2610</v>
      </c>
      <c r="C474" s="608" t="s">
        <v>45</v>
      </c>
      <c r="D474" s="608">
        <v>1</v>
      </c>
      <c r="E474" s="19" t="s">
        <v>528</v>
      </c>
    </row>
    <row r="475" spans="1:5" x14ac:dyDescent="0.2">
      <c r="A475" s="20"/>
      <c r="B475" s="617"/>
      <c r="C475" s="20"/>
      <c r="E475" s="19"/>
    </row>
    <row r="476" spans="1:5" x14ac:dyDescent="0.2">
      <c r="A476" s="20"/>
      <c r="B476" s="617"/>
      <c r="C476" s="20"/>
      <c r="E476" s="634" t="s">
        <v>484</v>
      </c>
    </row>
    <row r="477" spans="1:5" x14ac:dyDescent="0.2">
      <c r="A477" s="608" t="str">
        <f t="shared" ref="A477:A482" si="11">CONCATENATE("INDEC-PB - ",B477,C477,D477)</f>
        <v>INDEC-PB - 2710-1</v>
      </c>
      <c r="B477" s="20">
        <v>2710</v>
      </c>
      <c r="C477" s="608" t="s">
        <v>45</v>
      </c>
      <c r="D477" s="20">
        <v>1</v>
      </c>
      <c r="E477" s="19" t="s">
        <v>529</v>
      </c>
    </row>
    <row r="478" spans="1:5" x14ac:dyDescent="0.2">
      <c r="A478" s="608" t="str">
        <f t="shared" si="11"/>
        <v>INDEC-PB - 2720-1</v>
      </c>
      <c r="B478" s="20">
        <v>2720</v>
      </c>
      <c r="C478" s="608" t="s">
        <v>45</v>
      </c>
      <c r="D478" s="20">
        <v>1</v>
      </c>
      <c r="E478" s="19" t="s">
        <v>530</v>
      </c>
    </row>
    <row r="479" spans="1:5" x14ac:dyDescent="0.2">
      <c r="A479" s="608" t="str">
        <f t="shared" si="11"/>
        <v>INDEC-PB - 2922-1</v>
      </c>
      <c r="B479" s="20">
        <v>2922</v>
      </c>
      <c r="C479" s="608" t="s">
        <v>45</v>
      </c>
      <c r="D479" s="20">
        <v>1</v>
      </c>
      <c r="E479" s="19" t="s">
        <v>531</v>
      </c>
    </row>
    <row r="480" spans="1:5" x14ac:dyDescent="0.2">
      <c r="A480" s="608" t="str">
        <f t="shared" si="11"/>
        <v>INDEC-PB - 2913-1</v>
      </c>
      <c r="B480" s="20">
        <v>2913</v>
      </c>
      <c r="C480" s="608" t="s">
        <v>45</v>
      </c>
      <c r="D480" s="20">
        <v>1</v>
      </c>
      <c r="E480" s="19" t="s">
        <v>532</v>
      </c>
    </row>
    <row r="481" spans="1:8" x14ac:dyDescent="0.2">
      <c r="A481" s="608" t="str">
        <f t="shared" si="11"/>
        <v>INDEC-PB - 2413-11</v>
      </c>
      <c r="B481" s="20">
        <v>2413</v>
      </c>
      <c r="C481" s="608" t="s">
        <v>45</v>
      </c>
      <c r="D481" s="20">
        <v>11</v>
      </c>
      <c r="E481" s="19" t="s">
        <v>533</v>
      </c>
    </row>
    <row r="482" spans="1:8" x14ac:dyDescent="0.2">
      <c r="A482" s="608" t="str">
        <f t="shared" si="11"/>
        <v>INDEC-PB - 2411-1</v>
      </c>
      <c r="B482" s="20">
        <v>2411</v>
      </c>
      <c r="C482" s="608" t="s">
        <v>45</v>
      </c>
      <c r="D482" s="20">
        <v>1</v>
      </c>
      <c r="E482" s="19" t="s">
        <v>534</v>
      </c>
    </row>
    <row r="485" spans="1:8" x14ac:dyDescent="0.2">
      <c r="A485" s="637"/>
      <c r="B485" s="606" t="s">
        <v>570</v>
      </c>
      <c r="C485" s="638"/>
      <c r="D485" s="638"/>
    </row>
    <row r="487" spans="1:8" x14ac:dyDescent="0.2">
      <c r="A487" s="610"/>
      <c r="B487" s="862" t="s">
        <v>261</v>
      </c>
      <c r="C487" s="610"/>
      <c r="D487" s="610"/>
      <c r="E487" s="862" t="s">
        <v>262</v>
      </c>
      <c r="F487" s="862" t="s">
        <v>263</v>
      </c>
      <c r="G487" s="862" t="s">
        <v>264</v>
      </c>
    </row>
    <row r="488" spans="1:8" x14ac:dyDescent="0.2">
      <c r="A488" s="610"/>
      <c r="B488" s="862"/>
      <c r="C488" s="610"/>
      <c r="D488" s="610"/>
      <c r="E488" s="862"/>
      <c r="F488" s="862" t="s">
        <v>265</v>
      </c>
      <c r="G488" s="862"/>
    </row>
    <row r="490" spans="1:8" x14ac:dyDescent="0.2">
      <c r="A490" s="608" t="str">
        <f t="shared" ref="A490:A500" si="12">CONCATENATE("INDEC-DCTO - Inciso ",B490)</f>
        <v>INDEC-DCTO - Inciso a)</v>
      </c>
      <c r="B490" s="608" t="s">
        <v>266</v>
      </c>
      <c r="E490" s="607" t="s">
        <v>267</v>
      </c>
      <c r="F490" s="608" t="s">
        <v>268</v>
      </c>
      <c r="G490" s="607" t="s">
        <v>269</v>
      </c>
    </row>
    <row r="491" spans="1:8" x14ac:dyDescent="0.2">
      <c r="A491" s="608" t="str">
        <f t="shared" si="12"/>
        <v>INDEC-DCTO - Inciso b)</v>
      </c>
      <c r="B491" s="608" t="s">
        <v>270</v>
      </c>
      <c r="E491" s="607" t="s">
        <v>271</v>
      </c>
      <c r="F491" s="608" t="s">
        <v>272</v>
      </c>
      <c r="G491" s="607" t="s">
        <v>273</v>
      </c>
    </row>
    <row r="492" spans="1:8" x14ac:dyDescent="0.2">
      <c r="A492" s="608" t="str">
        <f t="shared" si="12"/>
        <v>INDEC-DCTO - Inciso d)</v>
      </c>
      <c r="B492" s="608" t="s">
        <v>274</v>
      </c>
      <c r="E492" s="607" t="s">
        <v>275</v>
      </c>
      <c r="F492" s="608" t="s">
        <v>272</v>
      </c>
      <c r="G492" s="607" t="s">
        <v>276</v>
      </c>
    </row>
    <row r="493" spans="1:8" x14ac:dyDescent="0.2">
      <c r="A493" s="608" t="str">
        <f t="shared" si="12"/>
        <v>INDEC-DCTO - Inciso f)</v>
      </c>
      <c r="B493" s="608" t="s">
        <v>277</v>
      </c>
      <c r="E493" s="607" t="s">
        <v>278</v>
      </c>
      <c r="F493" s="608" t="s">
        <v>279</v>
      </c>
      <c r="G493" s="607" t="s">
        <v>280</v>
      </c>
    </row>
    <row r="494" spans="1:8" x14ac:dyDescent="0.2">
      <c r="A494" s="608" t="str">
        <f t="shared" si="12"/>
        <v>INDEC-DCTO - Inciso g)</v>
      </c>
      <c r="B494" s="608" t="s">
        <v>281</v>
      </c>
      <c r="E494" s="607" t="s">
        <v>282</v>
      </c>
      <c r="F494" s="608" t="s">
        <v>272</v>
      </c>
      <c r="G494" s="607" t="s">
        <v>283</v>
      </c>
    </row>
    <row r="495" spans="1:8" x14ac:dyDescent="0.2">
      <c r="A495" s="608" t="str">
        <f t="shared" si="12"/>
        <v>INDEC-DCTO - Inciso h)</v>
      </c>
      <c r="B495" s="608" t="s">
        <v>284</v>
      </c>
      <c r="E495" s="607" t="s">
        <v>285</v>
      </c>
      <c r="F495" s="608" t="s">
        <v>286</v>
      </c>
      <c r="G495" s="607" t="s">
        <v>287</v>
      </c>
    </row>
    <row r="496" spans="1:8" x14ac:dyDescent="0.2">
      <c r="A496" s="764" t="str">
        <f t="shared" si="12"/>
        <v>INDEC-DCTO - Inciso p)</v>
      </c>
      <c r="B496" s="764" t="s">
        <v>288</v>
      </c>
      <c r="C496" s="764"/>
      <c r="D496" s="764"/>
      <c r="E496" s="767" t="s">
        <v>289</v>
      </c>
      <c r="F496" s="764" t="s">
        <v>268</v>
      </c>
      <c r="G496" s="767" t="s">
        <v>290</v>
      </c>
      <c r="H496" s="768"/>
    </row>
    <row r="497" spans="1:7" x14ac:dyDescent="0.2">
      <c r="A497" s="608" t="str">
        <f t="shared" si="12"/>
        <v>INDEC-DCTO - Inciso r)</v>
      </c>
      <c r="B497" s="608" t="s">
        <v>291</v>
      </c>
      <c r="E497" s="607" t="s">
        <v>292</v>
      </c>
      <c r="F497" s="608" t="s">
        <v>272</v>
      </c>
      <c r="G497" s="607" t="s">
        <v>293</v>
      </c>
    </row>
    <row r="498" spans="1:7" x14ac:dyDescent="0.2">
      <c r="A498" s="608" t="str">
        <f t="shared" si="12"/>
        <v>INDEC-DCTO - Inciso s)</v>
      </c>
      <c r="B498" s="608" t="s">
        <v>294</v>
      </c>
      <c r="E498" s="607" t="s">
        <v>295</v>
      </c>
      <c r="F498" s="608" t="s">
        <v>286</v>
      </c>
      <c r="G498" s="607" t="s">
        <v>165</v>
      </c>
    </row>
    <row r="499" spans="1:7" x14ac:dyDescent="0.2">
      <c r="A499" s="608" t="str">
        <f t="shared" si="12"/>
        <v>INDEC-DCTO - Inciso u)</v>
      </c>
      <c r="B499" s="608" t="s">
        <v>296</v>
      </c>
      <c r="E499" s="607" t="s">
        <v>297</v>
      </c>
      <c r="F499" s="608">
        <v>4324041</v>
      </c>
      <c r="G499" s="607" t="s">
        <v>188</v>
      </c>
    </row>
    <row r="500" spans="1:7" x14ac:dyDescent="0.2">
      <c r="A500" s="608" t="str">
        <f t="shared" si="12"/>
        <v>INDEC-DCTO - Inciso v)</v>
      </c>
      <c r="B500" s="608" t="s">
        <v>298</v>
      </c>
      <c r="E500" s="607" t="s">
        <v>299</v>
      </c>
      <c r="F500" s="608">
        <v>4322032</v>
      </c>
      <c r="G500" s="607" t="s">
        <v>133</v>
      </c>
    </row>
    <row r="501" spans="1:7" x14ac:dyDescent="0.2">
      <c r="A501" s="608"/>
      <c r="F501" s="608"/>
    </row>
    <row r="502" spans="1:7" x14ac:dyDescent="0.2">
      <c r="A502" s="608" t="str">
        <f>CONCATENATE("INDEC-DCTO - Inciso ",B502)</f>
        <v>INDEC-DCTO - Inciso c)</v>
      </c>
      <c r="B502" s="608" t="s">
        <v>300</v>
      </c>
      <c r="E502" s="607" t="s">
        <v>301</v>
      </c>
      <c r="F502" s="608"/>
      <c r="G502" s="607" t="s">
        <v>571</v>
      </c>
    </row>
    <row r="503" spans="1:7" x14ac:dyDescent="0.2">
      <c r="A503" s="608" t="str">
        <f>CONCATENATE("INDEC-DCTO - Inciso ",B503)</f>
        <v>INDEC-DCTO - Inciso m)</v>
      </c>
      <c r="B503" s="608" t="s">
        <v>302</v>
      </c>
      <c r="E503" s="607" t="s">
        <v>303</v>
      </c>
      <c r="F503" s="608"/>
      <c r="G503" s="607" t="s">
        <v>572</v>
      </c>
    </row>
    <row r="504" spans="1:7" x14ac:dyDescent="0.2">
      <c r="A504" s="608" t="str">
        <f>CONCATENATE("INDEC-DCTO - Inciso ",B504)</f>
        <v>INDEC-DCTO - Inciso n)</v>
      </c>
      <c r="B504" s="608" t="s">
        <v>304</v>
      </c>
      <c r="E504" s="607" t="s">
        <v>305</v>
      </c>
      <c r="F504" s="608"/>
      <c r="G504" s="607" t="s">
        <v>573</v>
      </c>
    </row>
    <row r="505" spans="1:7" x14ac:dyDescent="0.2">
      <c r="A505" s="608" t="str">
        <f>CONCATENATE("INDEC-DCTO - Inciso ",B505)</f>
        <v>INDEC-DCTO - Inciso q)</v>
      </c>
      <c r="B505" s="608" t="s">
        <v>306</v>
      </c>
      <c r="E505" s="607" t="s">
        <v>307</v>
      </c>
      <c r="F505" s="608"/>
      <c r="G505" s="607" t="s">
        <v>574</v>
      </c>
    </row>
    <row r="508" spans="1:7" x14ac:dyDescent="0.2">
      <c r="B508" s="606" t="s">
        <v>575</v>
      </c>
    </row>
    <row r="511" spans="1:7" x14ac:dyDescent="0.2">
      <c r="A511" s="610"/>
      <c r="B511" s="862" t="s">
        <v>261</v>
      </c>
      <c r="C511" s="610"/>
      <c r="D511" s="610"/>
      <c r="E511" s="862" t="s">
        <v>262</v>
      </c>
      <c r="F511" s="862" t="s">
        <v>263</v>
      </c>
      <c r="G511" s="862" t="s">
        <v>264</v>
      </c>
    </row>
    <row r="512" spans="1:7" x14ac:dyDescent="0.2">
      <c r="A512" s="610"/>
      <c r="B512" s="862"/>
      <c r="C512" s="610"/>
      <c r="D512" s="610"/>
      <c r="E512" s="862"/>
      <c r="F512" s="862" t="s">
        <v>265</v>
      </c>
      <c r="G512" s="862"/>
    </row>
    <row r="513" spans="1:7" x14ac:dyDescent="0.2">
      <c r="A513" s="19"/>
      <c r="B513" s="18"/>
      <c r="C513" s="18"/>
      <c r="D513" s="18"/>
      <c r="E513" s="19"/>
      <c r="F513" s="19"/>
      <c r="G513" s="19"/>
    </row>
    <row r="514" spans="1:7" x14ac:dyDescent="0.2">
      <c r="A514" s="19"/>
      <c r="B514" s="18"/>
      <c r="C514" s="18"/>
      <c r="D514" s="18"/>
      <c r="E514" s="625" t="s">
        <v>507</v>
      </c>
      <c r="F514" s="19"/>
      <c r="G514" s="19"/>
    </row>
    <row r="515" spans="1:7" x14ac:dyDescent="0.2">
      <c r="A515" s="608" t="str">
        <f>CONCATENATE("INDEC-DCTO - Inciso ",B515)</f>
        <v>INDEC-DCTO - Inciso e)</v>
      </c>
      <c r="B515" s="608" t="s">
        <v>564</v>
      </c>
      <c r="C515" s="18"/>
      <c r="D515" s="18"/>
      <c r="E515" s="19" t="s">
        <v>546</v>
      </c>
      <c r="F515" s="18" t="s">
        <v>547</v>
      </c>
      <c r="G515" s="19" t="s">
        <v>548</v>
      </c>
    </row>
    <row r="516" spans="1:7" x14ac:dyDescent="0.2">
      <c r="A516" s="608" t="str">
        <f>CONCATENATE("INDEC-DCTO - Inciso ",B516)</f>
        <v>INDEC-DCTO - Inciso i)</v>
      </c>
      <c r="B516" s="608" t="s">
        <v>565</v>
      </c>
      <c r="C516" s="18"/>
      <c r="D516" s="18"/>
      <c r="E516" s="19" t="s">
        <v>549</v>
      </c>
      <c r="F516" s="18" t="s">
        <v>550</v>
      </c>
      <c r="G516" s="19" t="s">
        <v>551</v>
      </c>
    </row>
    <row r="517" spans="1:7" x14ac:dyDescent="0.2">
      <c r="A517" s="764" t="str">
        <f>CONCATENATE("INDEC-DCTO - Inciso ",B517)</f>
        <v>INDEC-DCTO - Inciso k)</v>
      </c>
      <c r="B517" s="764" t="s">
        <v>566</v>
      </c>
      <c r="C517" s="765"/>
      <c r="D517" s="765"/>
      <c r="E517" s="766" t="s">
        <v>552</v>
      </c>
      <c r="F517" s="765" t="s">
        <v>553</v>
      </c>
      <c r="G517" s="766" t="s">
        <v>554</v>
      </c>
    </row>
    <row r="518" spans="1:7" x14ac:dyDescent="0.2">
      <c r="A518" s="608" t="str">
        <f>CONCATENATE("INDEC-DCTO - Inciso ",B518)</f>
        <v>INDEC-DCTO - Inciso t)</v>
      </c>
      <c r="B518" s="608" t="s">
        <v>567</v>
      </c>
      <c r="C518" s="18"/>
      <c r="D518" s="18"/>
      <c r="E518" s="19" t="s">
        <v>555</v>
      </c>
      <c r="F518" s="18" t="s">
        <v>556</v>
      </c>
      <c r="G518" s="19" t="s">
        <v>557</v>
      </c>
    </row>
    <row r="519" spans="1:7" x14ac:dyDescent="0.2">
      <c r="A519" s="608" t="str">
        <f>CONCATENATE("INDEC-DCTO - Inciso ",B519)</f>
        <v>INDEC-DCTO - Inciso w)</v>
      </c>
      <c r="B519" s="608"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25" t="s">
        <v>484</v>
      </c>
      <c r="F521" s="18"/>
      <c r="G521" s="19"/>
    </row>
    <row r="522" spans="1:7" x14ac:dyDescent="0.2">
      <c r="A522" s="764" t="str">
        <f>CONCATENATE("INDEC-DCTO - Inciso ",B522)</f>
        <v>INDEC-DCTO - Inciso j)</v>
      </c>
      <c r="B522" s="764" t="s">
        <v>569</v>
      </c>
      <c r="C522" s="765"/>
      <c r="D522" s="765"/>
      <c r="E522" s="766" t="s">
        <v>561</v>
      </c>
      <c r="F522" s="765" t="s">
        <v>562</v>
      </c>
      <c r="G522" s="766" t="s">
        <v>563</v>
      </c>
    </row>
    <row r="523" spans="1:7" x14ac:dyDescent="0.2">
      <c r="A523" s="18"/>
      <c r="B523" s="18"/>
      <c r="C523" s="18"/>
      <c r="D523" s="18"/>
      <c r="E523" s="19"/>
      <c r="F523" s="18"/>
      <c r="G523" s="19"/>
    </row>
    <row r="526" spans="1:7" x14ac:dyDescent="0.2">
      <c r="A526" s="19"/>
      <c r="B526" s="617"/>
      <c r="C526" s="18"/>
      <c r="D526" s="18"/>
      <c r="E526" s="19"/>
    </row>
    <row r="528" spans="1:7" x14ac:dyDescent="0.2">
      <c r="A528" s="605"/>
      <c r="B528" s="606" t="s">
        <v>308</v>
      </c>
      <c r="C528" s="606"/>
      <c r="D528" s="606"/>
    </row>
    <row r="530" spans="1:5" x14ac:dyDescent="0.2">
      <c r="A530" s="862" t="s">
        <v>343</v>
      </c>
      <c r="B530" s="862" t="s">
        <v>42</v>
      </c>
      <c r="C530" s="862"/>
      <c r="D530" s="862"/>
      <c r="E530" s="862" t="s">
        <v>43</v>
      </c>
    </row>
    <row r="531" spans="1:5" x14ac:dyDescent="0.2">
      <c r="A531" s="862"/>
      <c r="B531" s="862" t="s">
        <v>44</v>
      </c>
      <c r="C531" s="862"/>
      <c r="D531" s="862"/>
      <c r="E531" s="862"/>
    </row>
    <row r="532" spans="1:5" x14ac:dyDescent="0.2">
      <c r="A532" s="608" t="str">
        <f t="shared" ref="A532:A553" si="13">CONCATENATE("INDEC-GG ",B532,C532,D532)</f>
        <v>INDEC-GG 18000-1</v>
      </c>
      <c r="B532" s="608">
        <v>18000</v>
      </c>
      <c r="C532" s="608" t="s">
        <v>45</v>
      </c>
      <c r="D532" s="608">
        <v>1</v>
      </c>
      <c r="E532" s="621" t="s">
        <v>309</v>
      </c>
    </row>
    <row r="533" spans="1:5" x14ac:dyDescent="0.2">
      <c r="A533" s="608" t="str">
        <f t="shared" si="13"/>
        <v>INDEC-GG 83107-1</v>
      </c>
      <c r="B533" s="608">
        <v>83107</v>
      </c>
      <c r="C533" s="608" t="s">
        <v>45</v>
      </c>
      <c r="D533" s="608">
        <v>1</v>
      </c>
      <c r="E533" s="621" t="s">
        <v>310</v>
      </c>
    </row>
    <row r="534" spans="1:5" x14ac:dyDescent="0.2">
      <c r="A534" s="608" t="str">
        <f t="shared" si="13"/>
        <v>INDEC-GG 71240-11</v>
      </c>
      <c r="B534" s="608">
        <v>71240</v>
      </c>
      <c r="C534" s="608" t="s">
        <v>45</v>
      </c>
      <c r="D534" s="608">
        <v>11</v>
      </c>
      <c r="E534" s="618" t="s">
        <v>311</v>
      </c>
    </row>
    <row r="535" spans="1:5" x14ac:dyDescent="0.2">
      <c r="A535" s="608" t="str">
        <f t="shared" si="13"/>
        <v>INDEC-GG 71233-11</v>
      </c>
      <c r="B535" s="608">
        <v>71233</v>
      </c>
      <c r="C535" s="608" t="s">
        <v>45</v>
      </c>
      <c r="D535" s="608">
        <v>11</v>
      </c>
      <c r="E535" s="618" t="s">
        <v>312</v>
      </c>
    </row>
    <row r="536" spans="1:5" x14ac:dyDescent="0.2">
      <c r="A536" s="608" t="str">
        <f t="shared" si="13"/>
        <v>INDEC-GG 51800-11</v>
      </c>
      <c r="B536" s="608">
        <v>51800</v>
      </c>
      <c r="C536" s="608" t="s">
        <v>45</v>
      </c>
      <c r="D536" s="608">
        <v>11</v>
      </c>
      <c r="E536" s="618" t="s">
        <v>313</v>
      </c>
    </row>
    <row r="537" spans="1:5" x14ac:dyDescent="0.2">
      <c r="A537" s="608" t="str">
        <f t="shared" si="13"/>
        <v>INDEC-GG 51800-21</v>
      </c>
      <c r="B537" s="608">
        <v>51800</v>
      </c>
      <c r="C537" s="608" t="s">
        <v>45</v>
      </c>
      <c r="D537" s="608">
        <v>21</v>
      </c>
      <c r="E537" s="621" t="s">
        <v>314</v>
      </c>
    </row>
    <row r="538" spans="1:5" x14ac:dyDescent="0.2">
      <c r="A538" s="608" t="str">
        <f t="shared" si="13"/>
        <v>INDEC-GG 74110-11</v>
      </c>
      <c r="B538" s="608">
        <v>74110</v>
      </c>
      <c r="C538" s="608" t="s">
        <v>45</v>
      </c>
      <c r="D538" s="608">
        <v>11</v>
      </c>
      <c r="E538" s="618" t="s">
        <v>315</v>
      </c>
    </row>
    <row r="539" spans="1:5" x14ac:dyDescent="0.2">
      <c r="A539" s="608" t="str">
        <f t="shared" si="13"/>
        <v>INDEC-GG 51560-31</v>
      </c>
      <c r="B539" s="608">
        <v>51560</v>
      </c>
      <c r="C539" s="608" t="s">
        <v>45</v>
      </c>
      <c r="D539" s="608">
        <v>31</v>
      </c>
      <c r="E539" s="621" t="s">
        <v>316</v>
      </c>
    </row>
    <row r="540" spans="1:5" x14ac:dyDescent="0.2">
      <c r="A540" s="608" t="str">
        <f t="shared" si="13"/>
        <v>INDEC-GG 53111-1</v>
      </c>
      <c r="B540" s="608">
        <v>53111</v>
      </c>
      <c r="C540" s="608" t="s">
        <v>45</v>
      </c>
      <c r="D540" s="608">
        <v>1</v>
      </c>
      <c r="E540" s="618" t="s">
        <v>317</v>
      </c>
    </row>
    <row r="541" spans="1:5" x14ac:dyDescent="0.2">
      <c r="A541" s="608" t="str">
        <f t="shared" si="13"/>
        <v>INDEC-GG 54400-1</v>
      </c>
      <c r="B541" s="608">
        <v>54400</v>
      </c>
      <c r="C541" s="608" t="s">
        <v>45</v>
      </c>
      <c r="D541" s="608">
        <v>1</v>
      </c>
      <c r="E541" s="618" t="s">
        <v>318</v>
      </c>
    </row>
    <row r="542" spans="1:5" x14ac:dyDescent="0.2">
      <c r="A542" s="608" t="str">
        <f t="shared" si="13"/>
        <v>INDEC-GG 18000-21</v>
      </c>
      <c r="B542" s="608">
        <v>18000</v>
      </c>
      <c r="C542" s="608" t="s">
        <v>45</v>
      </c>
      <c r="D542" s="608">
        <v>21</v>
      </c>
      <c r="E542" s="618" t="s">
        <v>319</v>
      </c>
    </row>
    <row r="543" spans="1:5" x14ac:dyDescent="0.2">
      <c r="A543" s="608" t="str">
        <f t="shared" si="13"/>
        <v>INDEC-GG 18000-22</v>
      </c>
      <c r="B543" s="608">
        <v>18000</v>
      </c>
      <c r="C543" s="608" t="s">
        <v>45</v>
      </c>
      <c r="D543" s="608">
        <v>22</v>
      </c>
      <c r="E543" s="618" t="s">
        <v>320</v>
      </c>
    </row>
    <row r="544" spans="1:5" x14ac:dyDescent="0.2">
      <c r="A544" s="608" t="str">
        <f t="shared" si="13"/>
        <v>INDEC-GG 88700-2</v>
      </c>
      <c r="B544" s="608">
        <v>88700</v>
      </c>
      <c r="C544" s="608" t="s">
        <v>45</v>
      </c>
      <c r="D544" s="608">
        <v>2</v>
      </c>
      <c r="E544" s="618" t="s">
        <v>321</v>
      </c>
    </row>
    <row r="545" spans="1:5" x14ac:dyDescent="0.2">
      <c r="A545" s="608" t="str">
        <f t="shared" si="13"/>
        <v>INDEC-GG 88700-31</v>
      </c>
      <c r="B545" s="608">
        <v>88700</v>
      </c>
      <c r="C545" s="608" t="s">
        <v>45</v>
      </c>
      <c r="D545" s="608">
        <v>31</v>
      </c>
      <c r="E545" s="621" t="s">
        <v>322</v>
      </c>
    </row>
    <row r="546" spans="1:5" x14ac:dyDescent="0.2">
      <c r="A546" s="608" t="str">
        <f t="shared" si="13"/>
        <v>INDEC-GG DEP-EQ</v>
      </c>
      <c r="B546" s="608" t="s">
        <v>913</v>
      </c>
      <c r="E546" s="621" t="s">
        <v>323</v>
      </c>
    </row>
    <row r="547" spans="1:5" x14ac:dyDescent="0.2">
      <c r="A547" s="608" t="str">
        <f t="shared" si="13"/>
        <v>INDEC-GG 88700-1</v>
      </c>
      <c r="B547" s="608">
        <v>88700</v>
      </c>
      <c r="C547" s="608" t="s">
        <v>45</v>
      </c>
      <c r="D547" s="608">
        <v>1</v>
      </c>
      <c r="E547" s="621" t="s">
        <v>324</v>
      </c>
    </row>
    <row r="548" spans="1:5" x14ac:dyDescent="0.2">
      <c r="A548" s="608" t="str">
        <f t="shared" si="13"/>
        <v>INDEC-GG 31210-11</v>
      </c>
      <c r="B548" s="608">
        <v>31210</v>
      </c>
      <c r="C548" s="608" t="s">
        <v>45</v>
      </c>
      <c r="D548" s="608">
        <v>11</v>
      </c>
      <c r="E548" s="621" t="s">
        <v>325</v>
      </c>
    </row>
    <row r="549" spans="1:5" x14ac:dyDescent="0.2">
      <c r="A549" s="608" t="str">
        <f t="shared" si="13"/>
        <v>INDEC-GG 81295-1</v>
      </c>
      <c r="B549" s="608">
        <v>81295</v>
      </c>
      <c r="C549" s="608" t="s">
        <v>45</v>
      </c>
      <c r="D549" s="608">
        <v>1</v>
      </c>
      <c r="E549" s="621" t="s">
        <v>326</v>
      </c>
    </row>
    <row r="550" spans="1:5" x14ac:dyDescent="0.2">
      <c r="A550" s="608" t="str">
        <f t="shared" si="13"/>
        <v>INDEC-GG 81297-1</v>
      </c>
      <c r="B550" s="608">
        <v>81297</v>
      </c>
      <c r="C550" s="608" t="s">
        <v>45</v>
      </c>
      <c r="D550" s="608">
        <v>1</v>
      </c>
      <c r="E550" s="618" t="s">
        <v>327</v>
      </c>
    </row>
    <row r="551" spans="1:5" x14ac:dyDescent="0.2">
      <c r="A551" s="608" t="str">
        <f t="shared" si="13"/>
        <v>INDEC-GG 51560-21</v>
      </c>
      <c r="B551" s="608">
        <v>51560</v>
      </c>
      <c r="C551" s="608" t="s">
        <v>45</v>
      </c>
      <c r="D551" s="608">
        <v>21</v>
      </c>
      <c r="E551" s="621" t="s">
        <v>328</v>
      </c>
    </row>
    <row r="552" spans="1:5" x14ac:dyDescent="0.2">
      <c r="A552" s="608" t="str">
        <f t="shared" si="13"/>
        <v>INDEC-GG 31100-11</v>
      </c>
      <c r="B552" s="608">
        <v>31100</v>
      </c>
      <c r="C552" s="608" t="s">
        <v>45</v>
      </c>
      <c r="D552" s="608">
        <v>11</v>
      </c>
      <c r="E552" s="621" t="s">
        <v>329</v>
      </c>
    </row>
    <row r="553" spans="1:5" x14ac:dyDescent="0.2">
      <c r="A553" s="608" t="str">
        <f t="shared" si="13"/>
        <v>INDEC-GG 53211-11</v>
      </c>
      <c r="B553" s="608">
        <v>53211</v>
      </c>
      <c r="C553" s="608" t="s">
        <v>45</v>
      </c>
      <c r="D553" s="608">
        <v>11</v>
      </c>
      <c r="E553" s="618" t="s">
        <v>330</v>
      </c>
    </row>
    <row r="556" spans="1:5" x14ac:dyDescent="0.2">
      <c r="B556" s="606" t="s">
        <v>718</v>
      </c>
    </row>
    <row r="557" spans="1:5" x14ac:dyDescent="0.2">
      <c r="B557" s="606" t="s">
        <v>719</v>
      </c>
    </row>
    <row r="559" spans="1:5" x14ac:dyDescent="0.2">
      <c r="A559" s="608" t="str">
        <f t="shared" ref="A559:A622" si="14">CONCATENATE("DNV-T I - ",B559)</f>
        <v>DNV-T I - 1</v>
      </c>
      <c r="B559" s="608">
        <v>1</v>
      </c>
      <c r="E559" s="607" t="s">
        <v>267</v>
      </c>
    </row>
    <row r="560" spans="1:5" x14ac:dyDescent="0.2">
      <c r="A560" s="608" t="str">
        <f t="shared" si="14"/>
        <v>DNV-T I - 2</v>
      </c>
      <c r="B560" s="608">
        <v>2</v>
      </c>
      <c r="E560" s="607" t="s">
        <v>720</v>
      </c>
    </row>
    <row r="561" spans="1:5" x14ac:dyDescent="0.2">
      <c r="A561" s="608" t="str">
        <f t="shared" si="14"/>
        <v>DNV-T I - 3</v>
      </c>
      <c r="B561" s="608">
        <v>3</v>
      </c>
      <c r="E561" s="607" t="s">
        <v>721</v>
      </c>
    </row>
    <row r="562" spans="1:5" x14ac:dyDescent="0.2">
      <c r="A562" s="608" t="str">
        <f t="shared" si="14"/>
        <v>DNV-T I - 4</v>
      </c>
      <c r="B562" s="608">
        <v>4</v>
      </c>
      <c r="E562" s="607" t="s">
        <v>722</v>
      </c>
    </row>
    <row r="563" spans="1:5" x14ac:dyDescent="0.2">
      <c r="A563" s="608" t="str">
        <f t="shared" si="14"/>
        <v>DNV-T I - 5</v>
      </c>
      <c r="B563" s="608">
        <v>5</v>
      </c>
      <c r="E563" s="607" t="s">
        <v>723</v>
      </c>
    </row>
    <row r="564" spans="1:5" x14ac:dyDescent="0.2">
      <c r="A564" s="608" t="str">
        <f t="shared" si="14"/>
        <v>DNV-T I - 6</v>
      </c>
      <c r="B564" s="608">
        <v>6</v>
      </c>
      <c r="E564" s="607" t="s">
        <v>724</v>
      </c>
    </row>
    <row r="565" spans="1:5" x14ac:dyDescent="0.2">
      <c r="A565" s="608" t="str">
        <f t="shared" si="14"/>
        <v>DNV-T I - 7</v>
      </c>
      <c r="B565" s="608">
        <v>7</v>
      </c>
      <c r="E565" s="607" t="s">
        <v>725</v>
      </c>
    </row>
    <row r="566" spans="1:5" x14ac:dyDescent="0.2">
      <c r="A566" s="608" t="str">
        <f t="shared" si="14"/>
        <v>DNV-T I - 8</v>
      </c>
      <c r="B566" s="608">
        <v>8</v>
      </c>
      <c r="E566" s="607" t="s">
        <v>726</v>
      </c>
    </row>
    <row r="567" spans="1:5" x14ac:dyDescent="0.2">
      <c r="A567" s="608" t="str">
        <f t="shared" si="14"/>
        <v>DNV-T I - 9</v>
      </c>
      <c r="B567" s="608">
        <v>9</v>
      </c>
      <c r="E567" s="607" t="s">
        <v>727</v>
      </c>
    </row>
    <row r="568" spans="1:5" x14ac:dyDescent="0.2">
      <c r="A568" s="608" t="str">
        <f t="shared" si="14"/>
        <v>DNV-T I - 10</v>
      </c>
      <c r="B568" s="608">
        <v>10</v>
      </c>
      <c r="E568" s="607" t="s">
        <v>728</v>
      </c>
    </row>
    <row r="569" spans="1:5" x14ac:dyDescent="0.2">
      <c r="A569" s="608" t="str">
        <f t="shared" si="14"/>
        <v>DNV-T I - 11</v>
      </c>
      <c r="B569" s="608">
        <v>11</v>
      </c>
      <c r="E569" s="607" t="s">
        <v>729</v>
      </c>
    </row>
    <row r="570" spans="1:5" x14ac:dyDescent="0.2">
      <c r="A570" s="608" t="str">
        <f t="shared" si="14"/>
        <v>DNV-T I - 12</v>
      </c>
      <c r="B570" s="608">
        <v>12</v>
      </c>
      <c r="E570" s="607" t="s">
        <v>730</v>
      </c>
    </row>
    <row r="571" spans="1:5" x14ac:dyDescent="0.2">
      <c r="A571" s="608" t="str">
        <f t="shared" si="14"/>
        <v>DNV-T I - 13</v>
      </c>
      <c r="B571" s="608">
        <v>13</v>
      </c>
      <c r="E571" s="607" t="s">
        <v>731</v>
      </c>
    </row>
    <row r="572" spans="1:5" x14ac:dyDescent="0.2">
      <c r="A572" s="608" t="str">
        <f t="shared" si="14"/>
        <v>DNV-T I - 14</v>
      </c>
      <c r="B572" s="608">
        <v>14</v>
      </c>
      <c r="E572" s="607" t="s">
        <v>732</v>
      </c>
    </row>
    <row r="573" spans="1:5" x14ac:dyDescent="0.2">
      <c r="A573" s="608" t="str">
        <f t="shared" si="14"/>
        <v>DNV-T I - 15</v>
      </c>
      <c r="B573" s="608">
        <v>15</v>
      </c>
      <c r="E573" s="607" t="s">
        <v>733</v>
      </c>
    </row>
    <row r="574" spans="1:5" x14ac:dyDescent="0.2">
      <c r="A574" s="608" t="str">
        <f t="shared" si="14"/>
        <v>DNV-T I - 16</v>
      </c>
      <c r="B574" s="608">
        <v>16</v>
      </c>
      <c r="E574" s="607" t="s">
        <v>734</v>
      </c>
    </row>
    <row r="575" spans="1:5" x14ac:dyDescent="0.2">
      <c r="A575" s="608" t="str">
        <f t="shared" si="14"/>
        <v>DNV-T I - 17</v>
      </c>
      <c r="B575" s="608">
        <v>17</v>
      </c>
      <c r="E575" s="607" t="s">
        <v>735</v>
      </c>
    </row>
    <row r="576" spans="1:5" x14ac:dyDescent="0.2">
      <c r="A576" s="608" t="str">
        <f t="shared" si="14"/>
        <v>DNV-T I - 18</v>
      </c>
      <c r="B576" s="608">
        <v>18</v>
      </c>
      <c r="E576" s="607" t="s">
        <v>736</v>
      </c>
    </row>
    <row r="577" spans="1:5" x14ac:dyDescent="0.2">
      <c r="A577" s="608" t="str">
        <f t="shared" si="14"/>
        <v>DNV-T I - 19</v>
      </c>
      <c r="B577" s="608">
        <v>19</v>
      </c>
      <c r="E577" s="607" t="s">
        <v>737</v>
      </c>
    </row>
    <row r="578" spans="1:5" x14ac:dyDescent="0.2">
      <c r="A578" s="608" t="str">
        <f t="shared" si="14"/>
        <v>DNV-T I - 20</v>
      </c>
      <c r="B578" s="608">
        <v>20</v>
      </c>
      <c r="E578" s="607" t="s">
        <v>738</v>
      </c>
    </row>
    <row r="579" spans="1:5" x14ac:dyDescent="0.2">
      <c r="A579" s="608" t="str">
        <f t="shared" si="14"/>
        <v>DNV-T I - 21</v>
      </c>
      <c r="B579" s="608">
        <v>21</v>
      </c>
      <c r="E579" s="607" t="s">
        <v>739</v>
      </c>
    </row>
    <row r="580" spans="1:5" x14ac:dyDescent="0.2">
      <c r="A580" s="608" t="str">
        <f t="shared" si="14"/>
        <v>DNV-T I - 22</v>
      </c>
      <c r="B580" s="608">
        <v>22</v>
      </c>
      <c r="E580" s="607" t="s">
        <v>740</v>
      </c>
    </row>
    <row r="581" spans="1:5" x14ac:dyDescent="0.2">
      <c r="A581" s="608" t="str">
        <f t="shared" si="14"/>
        <v>DNV-T I - 23</v>
      </c>
      <c r="B581" s="608">
        <v>23</v>
      </c>
      <c r="E581" s="607" t="s">
        <v>741</v>
      </c>
    </row>
    <row r="582" spans="1:5" x14ac:dyDescent="0.2">
      <c r="A582" s="608" t="str">
        <f t="shared" si="14"/>
        <v>DNV-T I - 24</v>
      </c>
      <c r="B582" s="608">
        <v>24</v>
      </c>
      <c r="E582" s="607" t="s">
        <v>742</v>
      </c>
    </row>
    <row r="583" spans="1:5" x14ac:dyDescent="0.2">
      <c r="A583" s="608" t="str">
        <f t="shared" si="14"/>
        <v>DNV-T I - 25</v>
      </c>
      <c r="B583" s="608">
        <v>25</v>
      </c>
      <c r="E583" s="607" t="s">
        <v>743</v>
      </c>
    </row>
    <row r="584" spans="1:5" x14ac:dyDescent="0.2">
      <c r="A584" s="608" t="str">
        <f t="shared" si="14"/>
        <v>DNV-T I - 26</v>
      </c>
      <c r="B584" s="608">
        <v>26</v>
      </c>
      <c r="E584" s="607" t="s">
        <v>744</v>
      </c>
    </row>
    <row r="585" spans="1:5" x14ac:dyDescent="0.2">
      <c r="A585" s="608" t="str">
        <f t="shared" si="14"/>
        <v>DNV-T I - 27</v>
      </c>
      <c r="B585" s="608">
        <v>27</v>
      </c>
      <c r="E585" s="607" t="s">
        <v>745</v>
      </c>
    </row>
    <row r="586" spans="1:5" x14ac:dyDescent="0.2">
      <c r="A586" s="608" t="str">
        <f t="shared" si="14"/>
        <v>DNV-T I - 28</v>
      </c>
      <c r="B586" s="608">
        <v>28</v>
      </c>
      <c r="E586" s="607" t="s">
        <v>746</v>
      </c>
    </row>
    <row r="587" spans="1:5" x14ac:dyDescent="0.2">
      <c r="A587" s="608" t="str">
        <f t="shared" si="14"/>
        <v>DNV-T I - 29</v>
      </c>
      <c r="B587" s="608">
        <v>29</v>
      </c>
      <c r="E587" s="607" t="s">
        <v>747</v>
      </c>
    </row>
    <row r="588" spans="1:5" x14ac:dyDescent="0.2">
      <c r="A588" s="608" t="str">
        <f t="shared" si="14"/>
        <v>DNV-T I - 30</v>
      </c>
      <c r="B588" s="608">
        <v>30</v>
      </c>
      <c r="E588" s="607" t="s">
        <v>748</v>
      </c>
    </row>
    <row r="589" spans="1:5" x14ac:dyDescent="0.2">
      <c r="A589" s="608" t="str">
        <f t="shared" si="14"/>
        <v>DNV-T I - 31</v>
      </c>
      <c r="B589" s="608">
        <v>31</v>
      </c>
      <c r="E589" s="607" t="s">
        <v>749</v>
      </c>
    </row>
    <row r="590" spans="1:5" x14ac:dyDescent="0.2">
      <c r="A590" s="608" t="str">
        <f t="shared" si="14"/>
        <v>DNV-T I - 32</v>
      </c>
      <c r="B590" s="608">
        <v>32</v>
      </c>
      <c r="E590" s="607" t="s">
        <v>750</v>
      </c>
    </row>
    <row r="591" spans="1:5" x14ac:dyDescent="0.2">
      <c r="A591" s="608" t="str">
        <f t="shared" si="14"/>
        <v>DNV-T I - 33</v>
      </c>
      <c r="B591" s="608">
        <v>33</v>
      </c>
      <c r="E591" s="607" t="s">
        <v>751</v>
      </c>
    </row>
    <row r="592" spans="1:5" x14ac:dyDescent="0.2">
      <c r="A592" s="608" t="str">
        <f t="shared" si="14"/>
        <v>DNV-T I - 34</v>
      </c>
      <c r="B592" s="608">
        <v>34</v>
      </c>
      <c r="E592" s="607" t="s">
        <v>752</v>
      </c>
    </row>
    <row r="593" spans="1:5" x14ac:dyDescent="0.2">
      <c r="A593" s="608" t="str">
        <f t="shared" si="14"/>
        <v>DNV-T I - 35</v>
      </c>
      <c r="B593" s="608">
        <v>35</v>
      </c>
      <c r="E593" s="607" t="s">
        <v>753</v>
      </c>
    </row>
    <row r="594" spans="1:5" x14ac:dyDescent="0.2">
      <c r="A594" s="608" t="str">
        <f t="shared" si="14"/>
        <v>DNV-T I - 36</v>
      </c>
      <c r="B594" s="608">
        <v>36</v>
      </c>
      <c r="E594" s="607" t="s">
        <v>754</v>
      </c>
    </row>
    <row r="595" spans="1:5" x14ac:dyDescent="0.2">
      <c r="A595" s="608" t="str">
        <f t="shared" si="14"/>
        <v>DNV-T I - 37</v>
      </c>
      <c r="B595" s="608">
        <v>37</v>
      </c>
      <c r="E595" s="607" t="s">
        <v>755</v>
      </c>
    </row>
    <row r="596" spans="1:5" x14ac:dyDescent="0.2">
      <c r="A596" s="608" t="str">
        <f t="shared" si="14"/>
        <v>DNV-T I - 38</v>
      </c>
      <c r="B596" s="608">
        <v>38</v>
      </c>
      <c r="E596" s="607" t="s">
        <v>756</v>
      </c>
    </row>
    <row r="597" spans="1:5" x14ac:dyDescent="0.2">
      <c r="A597" s="608" t="str">
        <f t="shared" si="14"/>
        <v>DNV-T I - 39</v>
      </c>
      <c r="B597" s="608">
        <v>39</v>
      </c>
      <c r="E597" s="607" t="s">
        <v>757</v>
      </c>
    </row>
    <row r="598" spans="1:5" x14ac:dyDescent="0.2">
      <c r="A598" s="608" t="str">
        <f t="shared" si="14"/>
        <v>DNV-T I - 40</v>
      </c>
      <c r="B598" s="608">
        <v>40</v>
      </c>
      <c r="E598" s="607" t="s">
        <v>758</v>
      </c>
    </row>
    <row r="599" spans="1:5" x14ac:dyDescent="0.2">
      <c r="A599" s="608" t="str">
        <f t="shared" si="14"/>
        <v>DNV-T I - 41</v>
      </c>
      <c r="B599" s="608">
        <v>41</v>
      </c>
      <c r="E599" s="607" t="s">
        <v>759</v>
      </c>
    </row>
    <row r="600" spans="1:5" x14ac:dyDescent="0.2">
      <c r="A600" s="608" t="str">
        <f t="shared" si="14"/>
        <v>DNV-T I - 42</v>
      </c>
      <c r="B600" s="608">
        <v>42</v>
      </c>
      <c r="E600" s="607" t="s">
        <v>760</v>
      </c>
    </row>
    <row r="601" spans="1:5" x14ac:dyDescent="0.2">
      <c r="A601" s="608" t="str">
        <f t="shared" si="14"/>
        <v>DNV-T I - 43</v>
      </c>
      <c r="B601" s="608">
        <v>43</v>
      </c>
      <c r="E601" s="607" t="s">
        <v>761</v>
      </c>
    </row>
    <row r="602" spans="1:5" x14ac:dyDescent="0.2">
      <c r="A602" s="608" t="str">
        <f t="shared" si="14"/>
        <v>DNV-T I - 44</v>
      </c>
      <c r="B602" s="608">
        <v>44</v>
      </c>
      <c r="E602" s="607" t="s">
        <v>762</v>
      </c>
    </row>
    <row r="603" spans="1:5" x14ac:dyDescent="0.2">
      <c r="A603" s="608" t="str">
        <f t="shared" si="14"/>
        <v>DNV-T I - 45</v>
      </c>
      <c r="B603" s="608">
        <v>45</v>
      </c>
      <c r="E603" s="607" t="s">
        <v>763</v>
      </c>
    </row>
    <row r="604" spans="1:5" x14ac:dyDescent="0.2">
      <c r="A604" s="608" t="str">
        <f t="shared" si="14"/>
        <v>DNV-T I - 46</v>
      </c>
      <c r="B604" s="608">
        <v>46</v>
      </c>
      <c r="E604" s="607" t="s">
        <v>764</v>
      </c>
    </row>
    <row r="605" spans="1:5" x14ac:dyDescent="0.2">
      <c r="A605" s="608" t="str">
        <f t="shared" si="14"/>
        <v>DNV-T I - 47</v>
      </c>
      <c r="B605" s="608">
        <v>47</v>
      </c>
      <c r="E605" s="607" t="s">
        <v>765</v>
      </c>
    </row>
    <row r="606" spans="1:5" x14ac:dyDescent="0.2">
      <c r="A606" s="608" t="str">
        <f t="shared" si="14"/>
        <v>DNV-T I - 48</v>
      </c>
      <c r="B606" s="608">
        <v>48</v>
      </c>
      <c r="E606" s="607" t="s">
        <v>766</v>
      </c>
    </row>
    <row r="607" spans="1:5" x14ac:dyDescent="0.2">
      <c r="A607" s="608" t="str">
        <f t="shared" si="14"/>
        <v>DNV-T I - 49</v>
      </c>
      <c r="B607" s="608">
        <v>49</v>
      </c>
      <c r="E607" s="607" t="s">
        <v>767</v>
      </c>
    </row>
    <row r="608" spans="1:5" x14ac:dyDescent="0.2">
      <c r="A608" s="608" t="str">
        <f t="shared" si="14"/>
        <v>DNV-T I - 50</v>
      </c>
      <c r="B608" s="608">
        <v>50</v>
      </c>
      <c r="E608" s="607" t="s">
        <v>768</v>
      </c>
    </row>
    <row r="609" spans="1:5" x14ac:dyDescent="0.2">
      <c r="A609" s="608" t="str">
        <f t="shared" si="14"/>
        <v>DNV-T I - 51</v>
      </c>
      <c r="B609" s="608">
        <v>51</v>
      </c>
      <c r="E609" s="607" t="s">
        <v>769</v>
      </c>
    </row>
    <row r="610" spans="1:5" x14ac:dyDescent="0.2">
      <c r="A610" s="608" t="str">
        <f t="shared" si="14"/>
        <v>DNV-T I - 52</v>
      </c>
      <c r="B610" s="608">
        <v>52</v>
      </c>
      <c r="E610" s="607" t="s">
        <v>770</v>
      </c>
    </row>
    <row r="611" spans="1:5" x14ac:dyDescent="0.2">
      <c r="A611" s="608" t="str">
        <f t="shared" si="14"/>
        <v>DNV-T I - 53</v>
      </c>
      <c r="B611" s="608">
        <v>53</v>
      </c>
      <c r="E611" s="607" t="s">
        <v>771</v>
      </c>
    </row>
    <row r="612" spans="1:5" x14ac:dyDescent="0.2">
      <c r="A612" s="608" t="str">
        <f t="shared" si="14"/>
        <v>DNV-T I - 54</v>
      </c>
      <c r="B612" s="608">
        <v>54</v>
      </c>
      <c r="E612" s="607" t="s">
        <v>772</v>
      </c>
    </row>
    <row r="613" spans="1:5" x14ac:dyDescent="0.2">
      <c r="A613" s="608" t="str">
        <f t="shared" si="14"/>
        <v>DNV-T I - 55</v>
      </c>
      <c r="B613" s="608">
        <v>55</v>
      </c>
      <c r="E613" s="607" t="s">
        <v>773</v>
      </c>
    </row>
    <row r="614" spans="1:5" x14ac:dyDescent="0.2">
      <c r="A614" s="608" t="str">
        <f t="shared" si="14"/>
        <v>DNV-T I - 56</v>
      </c>
      <c r="B614" s="608">
        <v>56</v>
      </c>
      <c r="E614" s="607" t="s">
        <v>774</v>
      </c>
    </row>
    <row r="615" spans="1:5" x14ac:dyDescent="0.2">
      <c r="A615" s="608" t="str">
        <f t="shared" si="14"/>
        <v>DNV-T I - 57</v>
      </c>
      <c r="B615" s="608">
        <v>57</v>
      </c>
      <c r="E615" s="607" t="s">
        <v>775</v>
      </c>
    </row>
    <row r="616" spans="1:5" x14ac:dyDescent="0.2">
      <c r="A616" s="608" t="str">
        <f t="shared" si="14"/>
        <v>DNV-T I - 58</v>
      </c>
      <c r="B616" s="608">
        <v>58</v>
      </c>
      <c r="E616" s="607" t="s">
        <v>776</v>
      </c>
    </row>
    <row r="617" spans="1:5" x14ac:dyDescent="0.2">
      <c r="A617" s="608" t="str">
        <f t="shared" si="14"/>
        <v>DNV-T I - 59</v>
      </c>
      <c r="B617" s="608">
        <v>59</v>
      </c>
      <c r="E617" s="607" t="s">
        <v>777</v>
      </c>
    </row>
    <row r="618" spans="1:5" x14ac:dyDescent="0.2">
      <c r="A618" s="608" t="str">
        <f t="shared" si="14"/>
        <v>DNV-T I - 60</v>
      </c>
      <c r="B618" s="608">
        <v>60</v>
      </c>
      <c r="E618" s="607" t="s">
        <v>778</v>
      </c>
    </row>
    <row r="619" spans="1:5" x14ac:dyDescent="0.2">
      <c r="A619" s="608" t="str">
        <f t="shared" si="14"/>
        <v>DNV-T I - 61</v>
      </c>
      <c r="B619" s="608">
        <v>61</v>
      </c>
      <c r="E619" s="607" t="s">
        <v>779</v>
      </c>
    </row>
    <row r="620" spans="1:5" x14ac:dyDescent="0.2">
      <c r="A620" s="608" t="str">
        <f t="shared" si="14"/>
        <v>DNV-T I - 62</v>
      </c>
      <c r="B620" s="608">
        <v>62</v>
      </c>
      <c r="E620" s="607" t="s">
        <v>780</v>
      </c>
    </row>
    <row r="621" spans="1:5" x14ac:dyDescent="0.2">
      <c r="A621" s="608" t="str">
        <f t="shared" si="14"/>
        <v>DNV-T I - 63</v>
      </c>
      <c r="B621" s="608">
        <v>63</v>
      </c>
      <c r="E621" s="607" t="s">
        <v>781</v>
      </c>
    </row>
    <row r="622" spans="1:5" x14ac:dyDescent="0.2">
      <c r="A622" s="608" t="str">
        <f t="shared" si="14"/>
        <v>DNV-T I - 64</v>
      </c>
      <c r="B622" s="608">
        <v>64</v>
      </c>
      <c r="E622" s="607" t="s">
        <v>782</v>
      </c>
    </row>
    <row r="623" spans="1:5" x14ac:dyDescent="0.2">
      <c r="A623" s="608" t="str">
        <f t="shared" ref="A623:A676" si="15">CONCATENATE("DNV-T I - ",B623)</f>
        <v>DNV-T I - 65</v>
      </c>
      <c r="B623" s="608">
        <v>65</v>
      </c>
      <c r="E623" s="607" t="s">
        <v>783</v>
      </c>
    </row>
    <row r="624" spans="1:5" x14ac:dyDescent="0.2">
      <c r="A624" s="608" t="str">
        <f t="shared" si="15"/>
        <v>DNV-T I - 66</v>
      </c>
      <c r="B624" s="608">
        <v>66</v>
      </c>
      <c r="E624" s="607" t="s">
        <v>784</v>
      </c>
    </row>
    <row r="625" spans="1:5" x14ac:dyDescent="0.2">
      <c r="A625" s="608" t="str">
        <f t="shared" si="15"/>
        <v>DNV-T I - 67</v>
      </c>
      <c r="B625" s="608">
        <v>67</v>
      </c>
      <c r="E625" s="607" t="s">
        <v>785</v>
      </c>
    </row>
    <row r="626" spans="1:5" x14ac:dyDescent="0.2">
      <c r="A626" s="608" t="str">
        <f t="shared" si="15"/>
        <v>DNV-T I - 68</v>
      </c>
      <c r="B626" s="608">
        <v>68</v>
      </c>
      <c r="E626" s="607" t="s">
        <v>786</v>
      </c>
    </row>
    <row r="627" spans="1:5" x14ac:dyDescent="0.2">
      <c r="A627" s="608" t="str">
        <f t="shared" si="15"/>
        <v>DNV-T I - 69</v>
      </c>
      <c r="B627" s="608">
        <v>69</v>
      </c>
      <c r="E627" s="607" t="s">
        <v>787</v>
      </c>
    </row>
    <row r="628" spans="1:5" x14ac:dyDescent="0.2">
      <c r="A628" s="608" t="str">
        <f t="shared" si="15"/>
        <v>DNV-T I - 70</v>
      </c>
      <c r="B628" s="608">
        <v>70</v>
      </c>
      <c r="E628" s="607" t="s">
        <v>788</v>
      </c>
    </row>
    <row r="629" spans="1:5" x14ac:dyDescent="0.2">
      <c r="A629" s="608" t="str">
        <f t="shared" si="15"/>
        <v>DNV-T I - 71</v>
      </c>
      <c r="B629" s="608">
        <v>71</v>
      </c>
      <c r="E629" s="607" t="s">
        <v>789</v>
      </c>
    </row>
    <row r="630" spans="1:5" x14ac:dyDescent="0.2">
      <c r="A630" s="608" t="str">
        <f t="shared" si="15"/>
        <v>DNV-T I - 72</v>
      </c>
      <c r="B630" s="608">
        <v>72</v>
      </c>
      <c r="E630" s="607" t="s">
        <v>790</v>
      </c>
    </row>
    <row r="631" spans="1:5" x14ac:dyDescent="0.2">
      <c r="A631" s="608" t="str">
        <f t="shared" si="15"/>
        <v>DNV-T I - 73</v>
      </c>
      <c r="B631" s="608">
        <v>73</v>
      </c>
      <c r="E631" s="607" t="s">
        <v>791</v>
      </c>
    </row>
    <row r="632" spans="1:5" x14ac:dyDescent="0.2">
      <c r="A632" s="608" t="str">
        <f t="shared" si="15"/>
        <v>DNV-T I - 74</v>
      </c>
      <c r="B632" s="608">
        <v>74</v>
      </c>
      <c r="E632" s="607" t="s">
        <v>792</v>
      </c>
    </row>
    <row r="633" spans="1:5" x14ac:dyDescent="0.2">
      <c r="A633" s="608" t="str">
        <f t="shared" si="15"/>
        <v>DNV-T I - 75</v>
      </c>
      <c r="B633" s="608">
        <v>75</v>
      </c>
      <c r="E633" s="607" t="s">
        <v>793</v>
      </c>
    </row>
    <row r="634" spans="1:5" x14ac:dyDescent="0.2">
      <c r="A634" s="608" t="str">
        <f t="shared" si="15"/>
        <v>DNV-T I - 76</v>
      </c>
      <c r="B634" s="608">
        <v>76</v>
      </c>
      <c r="E634" s="607" t="s">
        <v>794</v>
      </c>
    </row>
    <row r="635" spans="1:5" x14ac:dyDescent="0.2">
      <c r="A635" s="608" t="str">
        <f t="shared" si="15"/>
        <v>DNV-T I - 77</v>
      </c>
      <c r="B635" s="608">
        <v>77</v>
      </c>
      <c r="E635" s="607" t="s">
        <v>795</v>
      </c>
    </row>
    <row r="636" spans="1:5" x14ac:dyDescent="0.2">
      <c r="A636" s="608" t="str">
        <f t="shared" si="15"/>
        <v>DNV-T I - 78</v>
      </c>
      <c r="B636" s="608">
        <v>78</v>
      </c>
      <c r="E636" s="607" t="s">
        <v>796</v>
      </c>
    </row>
    <row r="637" spans="1:5" x14ac:dyDescent="0.2">
      <c r="A637" s="608" t="str">
        <f t="shared" si="15"/>
        <v>DNV-T I - 79</v>
      </c>
      <c r="B637" s="608">
        <v>79</v>
      </c>
      <c r="E637" s="607" t="s">
        <v>797</v>
      </c>
    </row>
    <row r="638" spans="1:5" x14ac:dyDescent="0.2">
      <c r="A638" s="608" t="str">
        <f t="shared" si="15"/>
        <v>DNV-T I - 80</v>
      </c>
      <c r="B638" s="608">
        <v>80</v>
      </c>
      <c r="E638" s="607" t="s">
        <v>798</v>
      </c>
    </row>
    <row r="639" spans="1:5" x14ac:dyDescent="0.2">
      <c r="A639" s="608" t="str">
        <f t="shared" si="15"/>
        <v>DNV-T I - 81</v>
      </c>
      <c r="B639" s="608">
        <v>81</v>
      </c>
      <c r="E639" s="607" t="s">
        <v>799</v>
      </c>
    </row>
    <row r="640" spans="1:5" x14ac:dyDescent="0.2">
      <c r="A640" s="608" t="str">
        <f t="shared" si="15"/>
        <v>DNV-T I - 82</v>
      </c>
      <c r="B640" s="608">
        <v>82</v>
      </c>
      <c r="E640" s="607" t="s">
        <v>800</v>
      </c>
    </row>
    <row r="641" spans="1:5" x14ac:dyDescent="0.2">
      <c r="A641" s="608" t="str">
        <f t="shared" si="15"/>
        <v>DNV-T I - 83</v>
      </c>
      <c r="B641" s="608">
        <v>83</v>
      </c>
      <c r="E641" s="607" t="s">
        <v>801</v>
      </c>
    </row>
    <row r="642" spans="1:5" x14ac:dyDescent="0.2">
      <c r="A642" s="608" t="str">
        <f t="shared" si="15"/>
        <v>DNV-T I - 84</v>
      </c>
      <c r="B642" s="608">
        <v>84</v>
      </c>
      <c r="E642" s="607" t="s">
        <v>802</v>
      </c>
    </row>
    <row r="643" spans="1:5" x14ac:dyDescent="0.2">
      <c r="A643" s="608" t="str">
        <f t="shared" si="15"/>
        <v>DNV-T I - 85</v>
      </c>
      <c r="B643" s="608">
        <v>85</v>
      </c>
      <c r="E643" s="607" t="s">
        <v>803</v>
      </c>
    </row>
    <row r="644" spans="1:5" x14ac:dyDescent="0.2">
      <c r="A644" s="608" t="str">
        <f t="shared" si="15"/>
        <v>DNV-T I - 86</v>
      </c>
      <c r="B644" s="608">
        <v>86</v>
      </c>
      <c r="E644" s="607" t="s">
        <v>804</v>
      </c>
    </row>
    <row r="645" spans="1:5" x14ac:dyDescent="0.2">
      <c r="A645" s="608" t="str">
        <f t="shared" si="15"/>
        <v>DNV-T I - 86.1</v>
      </c>
      <c r="B645" s="608" t="s">
        <v>805</v>
      </c>
      <c r="E645" s="607" t="s">
        <v>806</v>
      </c>
    </row>
    <row r="646" spans="1:5" x14ac:dyDescent="0.2">
      <c r="A646" s="608" t="str">
        <f t="shared" si="15"/>
        <v>DNV-T I - 86.1.1</v>
      </c>
      <c r="B646" s="608" t="s">
        <v>807</v>
      </c>
      <c r="E646" s="607" t="s">
        <v>808</v>
      </c>
    </row>
    <row r="647" spans="1:5" x14ac:dyDescent="0.2">
      <c r="A647" s="608" t="str">
        <f t="shared" si="15"/>
        <v>DNV-T I - 86.1.2</v>
      </c>
      <c r="B647" s="608" t="s">
        <v>809</v>
      </c>
      <c r="E647" s="607" t="s">
        <v>810</v>
      </c>
    </row>
    <row r="648" spans="1:5" x14ac:dyDescent="0.2">
      <c r="A648" s="608" t="str">
        <f t="shared" si="15"/>
        <v>DNV-T I - 86.1.3</v>
      </c>
      <c r="B648" s="608" t="s">
        <v>811</v>
      </c>
      <c r="E648" s="607" t="s">
        <v>812</v>
      </c>
    </row>
    <row r="649" spans="1:5" x14ac:dyDescent="0.2">
      <c r="A649" s="608" t="str">
        <f t="shared" si="15"/>
        <v>DNV-T I - 86.1.4</v>
      </c>
      <c r="B649" s="608" t="s">
        <v>813</v>
      </c>
      <c r="E649" s="607" t="s">
        <v>814</v>
      </c>
    </row>
    <row r="650" spans="1:5" x14ac:dyDescent="0.2">
      <c r="A650" s="608" t="str">
        <f t="shared" si="15"/>
        <v>DNV-T I - 86.1.5</v>
      </c>
      <c r="B650" s="608" t="s">
        <v>815</v>
      </c>
      <c r="E650" s="607" t="s">
        <v>816</v>
      </c>
    </row>
    <row r="651" spans="1:5" x14ac:dyDescent="0.2">
      <c r="A651" s="608" t="str">
        <f t="shared" si="15"/>
        <v>DNV-T I - 86.2</v>
      </c>
      <c r="B651" s="608" t="s">
        <v>817</v>
      </c>
      <c r="E651" s="607" t="s">
        <v>818</v>
      </c>
    </row>
    <row r="652" spans="1:5" x14ac:dyDescent="0.2">
      <c r="A652" s="608" t="str">
        <f t="shared" si="15"/>
        <v>DNV-T I - 86.2.1</v>
      </c>
      <c r="B652" s="608" t="s">
        <v>819</v>
      </c>
      <c r="E652" s="607" t="s">
        <v>808</v>
      </c>
    </row>
    <row r="653" spans="1:5" x14ac:dyDescent="0.2">
      <c r="A653" s="608" t="str">
        <f t="shared" si="15"/>
        <v>DNV-T I - 86.2.2</v>
      </c>
      <c r="B653" s="608" t="s">
        <v>820</v>
      </c>
      <c r="E653" s="607" t="s">
        <v>821</v>
      </c>
    </row>
    <row r="654" spans="1:5" x14ac:dyDescent="0.2">
      <c r="A654" s="608" t="str">
        <f t="shared" si="15"/>
        <v>DNV-T I - 86.2.3</v>
      </c>
      <c r="B654" s="608" t="s">
        <v>822</v>
      </c>
      <c r="E654" s="607" t="s">
        <v>810</v>
      </c>
    </row>
    <row r="655" spans="1:5" x14ac:dyDescent="0.2">
      <c r="A655" s="608" t="str">
        <f t="shared" si="15"/>
        <v>DNV-T I - 86.2.4</v>
      </c>
      <c r="B655" s="608" t="s">
        <v>823</v>
      </c>
      <c r="E655" s="607" t="s">
        <v>812</v>
      </c>
    </row>
    <row r="656" spans="1:5" x14ac:dyDescent="0.2">
      <c r="A656" s="608" t="str">
        <f t="shared" si="15"/>
        <v>DNV-T I - 86.2.5</v>
      </c>
      <c r="B656" s="608" t="s">
        <v>824</v>
      </c>
      <c r="E656" s="607" t="s">
        <v>814</v>
      </c>
    </row>
    <row r="657" spans="1:5" x14ac:dyDescent="0.2">
      <c r="A657" s="608" t="str">
        <f t="shared" si="15"/>
        <v>DNV-T I - 86.2.6</v>
      </c>
      <c r="B657" s="608" t="s">
        <v>825</v>
      </c>
      <c r="E657" s="607" t="s">
        <v>816</v>
      </c>
    </row>
    <row r="658" spans="1:5" x14ac:dyDescent="0.2">
      <c r="A658" s="608" t="str">
        <f t="shared" si="15"/>
        <v>DNV-T I - 87</v>
      </c>
      <c r="B658" s="608">
        <v>87</v>
      </c>
      <c r="E658" s="607" t="s">
        <v>826</v>
      </c>
    </row>
    <row r="659" spans="1:5" x14ac:dyDescent="0.2">
      <c r="A659" s="608" t="str">
        <f t="shared" si="15"/>
        <v>DNV-T I - 88</v>
      </c>
      <c r="B659" s="608">
        <v>88</v>
      </c>
      <c r="E659" s="607" t="s">
        <v>827</v>
      </c>
    </row>
    <row r="660" spans="1:5" x14ac:dyDescent="0.2">
      <c r="A660" s="608" t="str">
        <f t="shared" si="15"/>
        <v>DNV-T I - 89</v>
      </c>
      <c r="B660" s="608">
        <v>89</v>
      </c>
      <c r="E660" s="607" t="s">
        <v>828</v>
      </c>
    </row>
    <row r="661" spans="1:5" x14ac:dyDescent="0.2">
      <c r="A661" s="608" t="str">
        <f t="shared" si="15"/>
        <v>DNV-T I - 90</v>
      </c>
      <c r="B661" s="608">
        <v>90</v>
      </c>
      <c r="E661" s="607" t="s">
        <v>829</v>
      </c>
    </row>
    <row r="662" spans="1:5" x14ac:dyDescent="0.2">
      <c r="A662" s="608" t="str">
        <f t="shared" si="15"/>
        <v>DNV-T I - 91</v>
      </c>
      <c r="B662" s="608">
        <v>91</v>
      </c>
      <c r="E662" s="607" t="s">
        <v>830</v>
      </c>
    </row>
    <row r="663" spans="1:5" x14ac:dyDescent="0.2">
      <c r="A663" s="608" t="str">
        <f t="shared" si="15"/>
        <v>DNV-T I - 92</v>
      </c>
      <c r="B663" s="608">
        <v>92</v>
      </c>
      <c r="E663" s="607" t="s">
        <v>831</v>
      </c>
    </row>
    <row r="664" spans="1:5" x14ac:dyDescent="0.2">
      <c r="A664" s="608" t="str">
        <f t="shared" si="15"/>
        <v>DNV-T I - 93</v>
      </c>
      <c r="B664" s="608">
        <v>93</v>
      </c>
      <c r="E664" s="607" t="s">
        <v>832</v>
      </c>
    </row>
    <row r="665" spans="1:5" x14ac:dyDescent="0.2">
      <c r="A665" s="608" t="str">
        <f t="shared" si="15"/>
        <v>DNV-T I - 94</v>
      </c>
      <c r="B665" s="608">
        <v>94</v>
      </c>
      <c r="E665" s="607" t="s">
        <v>833</v>
      </c>
    </row>
    <row r="666" spans="1:5" x14ac:dyDescent="0.2">
      <c r="A666" s="608" t="str">
        <f t="shared" si="15"/>
        <v>DNV-T I - 95</v>
      </c>
      <c r="B666" s="608">
        <v>95</v>
      </c>
      <c r="E666" s="607" t="s">
        <v>834</v>
      </c>
    </row>
    <row r="667" spans="1:5" x14ac:dyDescent="0.2">
      <c r="A667" s="608" t="str">
        <f t="shared" si="15"/>
        <v>DNV-T I - 96</v>
      </c>
      <c r="B667" s="608">
        <v>96</v>
      </c>
      <c r="E667" s="607" t="s">
        <v>835</v>
      </c>
    </row>
    <row r="668" spans="1:5" x14ac:dyDescent="0.2">
      <c r="A668" s="608" t="str">
        <f t="shared" si="15"/>
        <v>DNV-T I - 97</v>
      </c>
      <c r="B668" s="608">
        <v>97</v>
      </c>
      <c r="E668" s="607" t="s">
        <v>836</v>
      </c>
    </row>
    <row r="669" spans="1:5" x14ac:dyDescent="0.2">
      <c r="A669" s="608" t="str">
        <f t="shared" si="15"/>
        <v>DNV-T I - 98</v>
      </c>
      <c r="B669" s="608">
        <v>98</v>
      </c>
      <c r="E669" s="607" t="s">
        <v>837</v>
      </c>
    </row>
    <row r="670" spans="1:5" x14ac:dyDescent="0.2">
      <c r="A670" s="608" t="str">
        <f t="shared" si="15"/>
        <v>DNV-T I - 99</v>
      </c>
      <c r="B670" s="608">
        <v>99</v>
      </c>
      <c r="E670" s="607" t="s">
        <v>838</v>
      </c>
    </row>
    <row r="671" spans="1:5" x14ac:dyDescent="0.2">
      <c r="A671" s="608" t="str">
        <f t="shared" si="15"/>
        <v>DNV-T I - 100</v>
      </c>
      <c r="B671" s="608">
        <v>100</v>
      </c>
      <c r="E671" s="607" t="s">
        <v>839</v>
      </c>
    </row>
    <row r="672" spans="1:5" x14ac:dyDescent="0.2">
      <c r="A672" s="608" t="str">
        <f t="shared" si="15"/>
        <v>DNV-T I - 101</v>
      </c>
      <c r="B672" s="608">
        <v>101</v>
      </c>
      <c r="E672" s="607" t="s">
        <v>840</v>
      </c>
    </row>
    <row r="673" spans="1:7" x14ac:dyDescent="0.2">
      <c r="A673" s="608" t="str">
        <f t="shared" si="15"/>
        <v>DNV-T I - 102</v>
      </c>
      <c r="B673" s="608">
        <v>102</v>
      </c>
      <c r="E673" s="607" t="s">
        <v>841</v>
      </c>
    </row>
    <row r="674" spans="1:7" x14ac:dyDescent="0.2">
      <c r="A674" s="608" t="str">
        <f t="shared" si="15"/>
        <v>DNV-T I - 103</v>
      </c>
      <c r="B674" s="608">
        <v>103</v>
      </c>
      <c r="E674" s="607" t="s">
        <v>842</v>
      </c>
    </row>
    <row r="675" spans="1:7" x14ac:dyDescent="0.2">
      <c r="A675" s="608" t="str">
        <f t="shared" si="15"/>
        <v>DNV-T I - 104</v>
      </c>
      <c r="B675" s="608">
        <v>104</v>
      </c>
      <c r="E675" s="607" t="s">
        <v>843</v>
      </c>
    </row>
    <row r="676" spans="1:7" x14ac:dyDescent="0.2">
      <c r="A676" s="608" t="str">
        <f t="shared" si="15"/>
        <v>DNV-T I - 105</v>
      </c>
      <c r="B676" s="608">
        <v>105</v>
      </c>
      <c r="E676" s="607" t="s">
        <v>844</v>
      </c>
    </row>
    <row r="678" spans="1:7" x14ac:dyDescent="0.2">
      <c r="A678" s="639"/>
      <c r="B678" s="606" t="s">
        <v>845</v>
      </c>
      <c r="C678" s="606"/>
      <c r="D678" s="640"/>
      <c r="E678" s="639"/>
      <c r="F678" s="641"/>
      <c r="G678" s="641"/>
    </row>
    <row r="679" spans="1:7" x14ac:dyDescent="0.2">
      <c r="A679" s="608" t="str">
        <f t="shared" ref="A679:A713" si="16">CONCATENATE("DNV-TRC - ",E679)</f>
        <v>DNV-TRC - 1</v>
      </c>
      <c r="E679" s="642">
        <v>1</v>
      </c>
    </row>
    <row r="680" spans="1:7" x14ac:dyDescent="0.2">
      <c r="A680" s="608" t="str">
        <f t="shared" si="16"/>
        <v>DNV-TRC - 1,5</v>
      </c>
      <c r="E680" s="642">
        <v>1.5</v>
      </c>
    </row>
    <row r="681" spans="1:7" x14ac:dyDescent="0.2">
      <c r="A681" s="608" t="str">
        <f t="shared" si="16"/>
        <v>DNV-TRC - 2</v>
      </c>
      <c r="E681" s="642">
        <v>2</v>
      </c>
    </row>
    <row r="682" spans="1:7" x14ac:dyDescent="0.2">
      <c r="A682" s="608" t="str">
        <f t="shared" si="16"/>
        <v>DNV-TRC - 2,5</v>
      </c>
      <c r="E682" s="642">
        <v>2.5</v>
      </c>
    </row>
    <row r="683" spans="1:7" x14ac:dyDescent="0.2">
      <c r="A683" s="608" t="str">
        <f t="shared" si="16"/>
        <v>DNV-TRC - 3</v>
      </c>
      <c r="E683" s="642">
        <v>3</v>
      </c>
    </row>
    <row r="684" spans="1:7" x14ac:dyDescent="0.2">
      <c r="A684" s="608" t="str">
        <f t="shared" si="16"/>
        <v>DNV-TRC - 3,5</v>
      </c>
      <c r="E684" s="642">
        <v>3.5</v>
      </c>
    </row>
    <row r="685" spans="1:7" x14ac:dyDescent="0.2">
      <c r="A685" s="608" t="str">
        <f t="shared" si="16"/>
        <v>DNV-TRC - 4</v>
      </c>
      <c r="E685" s="642">
        <v>4</v>
      </c>
    </row>
    <row r="686" spans="1:7" x14ac:dyDescent="0.2">
      <c r="A686" s="608" t="str">
        <f t="shared" si="16"/>
        <v>DNV-TRC - 4,5</v>
      </c>
      <c r="E686" s="642">
        <v>4.5</v>
      </c>
    </row>
    <row r="687" spans="1:7" x14ac:dyDescent="0.2">
      <c r="A687" s="608" t="str">
        <f t="shared" si="16"/>
        <v>DNV-TRC - 5</v>
      </c>
      <c r="E687" s="642">
        <v>5</v>
      </c>
    </row>
    <row r="688" spans="1:7" x14ac:dyDescent="0.2">
      <c r="A688" s="608" t="str">
        <f t="shared" si="16"/>
        <v>DNV-TRC - 6</v>
      </c>
      <c r="E688" s="642">
        <v>6</v>
      </c>
    </row>
    <row r="689" spans="1:5" x14ac:dyDescent="0.2">
      <c r="A689" s="608" t="str">
        <f t="shared" si="16"/>
        <v>DNV-TRC - 7</v>
      </c>
      <c r="E689" s="642">
        <v>7</v>
      </c>
    </row>
    <row r="690" spans="1:5" x14ac:dyDescent="0.2">
      <c r="A690" s="608" t="str">
        <f t="shared" si="16"/>
        <v>DNV-TRC - 8</v>
      </c>
      <c r="E690" s="642">
        <v>8</v>
      </c>
    </row>
    <row r="691" spans="1:5" x14ac:dyDescent="0.2">
      <c r="A691" s="608" t="str">
        <f t="shared" si="16"/>
        <v>DNV-TRC - 9</v>
      </c>
      <c r="E691" s="642">
        <v>9</v>
      </c>
    </row>
    <row r="692" spans="1:5" x14ac:dyDescent="0.2">
      <c r="A692" s="608" t="str">
        <f t="shared" si="16"/>
        <v>DNV-TRC - 10</v>
      </c>
      <c r="E692" s="642">
        <v>10</v>
      </c>
    </row>
    <row r="693" spans="1:5" x14ac:dyDescent="0.2">
      <c r="A693" s="608" t="str">
        <f t="shared" si="16"/>
        <v>DNV-TRC - 12</v>
      </c>
      <c r="E693" s="642">
        <v>12</v>
      </c>
    </row>
    <row r="694" spans="1:5" x14ac:dyDescent="0.2">
      <c r="A694" s="608" t="str">
        <f t="shared" si="16"/>
        <v>DNV-TRC - 15</v>
      </c>
      <c r="E694" s="642">
        <v>15</v>
      </c>
    </row>
    <row r="695" spans="1:5" x14ac:dyDescent="0.2">
      <c r="A695" s="608" t="str">
        <f t="shared" si="16"/>
        <v>DNV-TRC - 17</v>
      </c>
      <c r="E695" s="642">
        <v>17</v>
      </c>
    </row>
    <row r="696" spans="1:5" x14ac:dyDescent="0.2">
      <c r="A696" s="608" t="str">
        <f t="shared" si="16"/>
        <v>DNV-TRC - 19</v>
      </c>
      <c r="E696" s="642">
        <v>19</v>
      </c>
    </row>
    <row r="697" spans="1:5" x14ac:dyDescent="0.2">
      <c r="A697" s="608" t="str">
        <f t="shared" si="16"/>
        <v>DNV-TRC - 20</v>
      </c>
      <c r="E697" s="642">
        <v>20</v>
      </c>
    </row>
    <row r="698" spans="1:5" x14ac:dyDescent="0.2">
      <c r="A698" s="608" t="str">
        <f t="shared" si="16"/>
        <v>DNV-TRC - 25</v>
      </c>
      <c r="E698" s="642">
        <v>25</v>
      </c>
    </row>
    <row r="699" spans="1:5" x14ac:dyDescent="0.2">
      <c r="A699" s="608" t="str">
        <f t="shared" si="16"/>
        <v>DNV-TRC - 30</v>
      </c>
      <c r="E699" s="642">
        <v>30</v>
      </c>
    </row>
    <row r="700" spans="1:5" x14ac:dyDescent="0.2">
      <c r="A700" s="608" t="str">
        <f t="shared" si="16"/>
        <v>DNV-TRC - 35</v>
      </c>
      <c r="E700" s="642">
        <v>35</v>
      </c>
    </row>
    <row r="701" spans="1:5" x14ac:dyDescent="0.2">
      <c r="A701" s="608" t="str">
        <f t="shared" si="16"/>
        <v>DNV-TRC - 40</v>
      </c>
      <c r="E701" s="642">
        <v>40</v>
      </c>
    </row>
    <row r="702" spans="1:5" x14ac:dyDescent="0.2">
      <c r="A702" s="608" t="str">
        <f t="shared" si="16"/>
        <v>DNV-TRC - 45</v>
      </c>
      <c r="E702" s="642">
        <v>45</v>
      </c>
    </row>
    <row r="703" spans="1:5" x14ac:dyDescent="0.2">
      <c r="A703" s="608" t="str">
        <f t="shared" si="16"/>
        <v>DNV-TRC - 50</v>
      </c>
      <c r="E703" s="642">
        <v>50</v>
      </c>
    </row>
    <row r="704" spans="1:5" x14ac:dyDescent="0.2">
      <c r="A704" s="608" t="str">
        <f t="shared" si="16"/>
        <v>DNV-TRC - 55</v>
      </c>
      <c r="E704" s="642">
        <v>55</v>
      </c>
    </row>
    <row r="705" spans="1:7" x14ac:dyDescent="0.2">
      <c r="A705" s="608" t="str">
        <f t="shared" si="16"/>
        <v>DNV-TRC - 60</v>
      </c>
      <c r="E705" s="642">
        <v>60</v>
      </c>
    </row>
    <row r="706" spans="1:7" x14ac:dyDescent="0.2">
      <c r="A706" s="608" t="str">
        <f t="shared" si="16"/>
        <v>DNV-TRC - 65</v>
      </c>
      <c r="E706" s="642">
        <v>65</v>
      </c>
    </row>
    <row r="707" spans="1:7" x14ac:dyDescent="0.2">
      <c r="A707" s="608" t="str">
        <f t="shared" si="16"/>
        <v>DNV-TRC - 70</v>
      </c>
      <c r="E707" s="642">
        <v>70</v>
      </c>
    </row>
    <row r="708" spans="1:7" x14ac:dyDescent="0.2">
      <c r="A708" s="608" t="str">
        <f t="shared" si="16"/>
        <v>DNV-TRC - 75</v>
      </c>
      <c r="E708" s="642">
        <v>75</v>
      </c>
    </row>
    <row r="709" spans="1:7" x14ac:dyDescent="0.2">
      <c r="A709" s="608" t="str">
        <f t="shared" si="16"/>
        <v>DNV-TRC - 80</v>
      </c>
      <c r="E709" s="642">
        <v>80</v>
      </c>
    </row>
    <row r="710" spans="1:7" x14ac:dyDescent="0.2">
      <c r="A710" s="608" t="str">
        <f t="shared" si="16"/>
        <v>DNV-TRC - 85</v>
      </c>
      <c r="E710" s="642">
        <v>85</v>
      </c>
    </row>
    <row r="711" spans="1:7" x14ac:dyDescent="0.2">
      <c r="A711" s="608" t="str">
        <f t="shared" si="16"/>
        <v>DNV-TRC - 90</v>
      </c>
      <c r="E711" s="642">
        <v>90</v>
      </c>
    </row>
    <row r="712" spans="1:7" x14ac:dyDescent="0.2">
      <c r="A712" s="608" t="str">
        <f t="shared" si="16"/>
        <v>DNV-TRC - 95</v>
      </c>
      <c r="E712" s="642">
        <v>95</v>
      </c>
    </row>
    <row r="713" spans="1:7" x14ac:dyDescent="0.2">
      <c r="A713" s="608" t="str">
        <f t="shared" si="16"/>
        <v>DNV-TRC - 100</v>
      </c>
      <c r="E713" s="642">
        <v>100</v>
      </c>
    </row>
    <row r="714" spans="1:7" x14ac:dyDescent="0.2">
      <c r="A714" s="608"/>
      <c r="E714" s="642"/>
    </row>
    <row r="716" spans="1:7" x14ac:dyDescent="0.2">
      <c r="A716" s="606"/>
      <c r="B716" s="606" t="s">
        <v>846</v>
      </c>
      <c r="C716" s="606"/>
      <c r="D716" s="606"/>
      <c r="E716" s="605"/>
      <c r="F716" s="605"/>
      <c r="G716" s="605"/>
    </row>
    <row r="717" spans="1:7" x14ac:dyDescent="0.2">
      <c r="A717" s="608" t="str">
        <f t="shared" ref="A717:A751" si="17">CONCATENATE("DNV-TRCA - ",E717)</f>
        <v>DNV-TRCA - 55</v>
      </c>
      <c r="E717" s="642">
        <v>55</v>
      </c>
    </row>
    <row r="718" spans="1:7" x14ac:dyDescent="0.2">
      <c r="A718" s="608" t="str">
        <f t="shared" si="17"/>
        <v>DNV-TRCA - 60</v>
      </c>
      <c r="E718" s="642">
        <v>60</v>
      </c>
    </row>
    <row r="719" spans="1:7" x14ac:dyDescent="0.2">
      <c r="A719" s="608" t="str">
        <f t="shared" si="17"/>
        <v>DNV-TRCA - 65</v>
      </c>
      <c r="E719" s="642">
        <v>65</v>
      </c>
    </row>
    <row r="720" spans="1:7" x14ac:dyDescent="0.2">
      <c r="A720" s="608" t="str">
        <f t="shared" si="17"/>
        <v>DNV-TRCA - 70</v>
      </c>
      <c r="E720" s="642">
        <v>70</v>
      </c>
    </row>
    <row r="721" spans="1:5" x14ac:dyDescent="0.2">
      <c r="A721" s="608" t="str">
        <f t="shared" si="17"/>
        <v>DNV-TRCA - 75</v>
      </c>
      <c r="E721" s="642">
        <v>75</v>
      </c>
    </row>
    <row r="722" spans="1:5" x14ac:dyDescent="0.2">
      <c r="A722" s="608" t="str">
        <f t="shared" si="17"/>
        <v>DNV-TRCA - 80</v>
      </c>
      <c r="E722" s="642">
        <v>80</v>
      </c>
    </row>
    <row r="723" spans="1:5" x14ac:dyDescent="0.2">
      <c r="A723" s="608" t="str">
        <f t="shared" si="17"/>
        <v>DNV-TRCA - 85</v>
      </c>
      <c r="E723" s="642">
        <v>85</v>
      </c>
    </row>
    <row r="724" spans="1:5" x14ac:dyDescent="0.2">
      <c r="A724" s="608" t="str">
        <f t="shared" si="17"/>
        <v>DNV-TRCA - 90</v>
      </c>
      <c r="E724" s="642">
        <v>90</v>
      </c>
    </row>
    <row r="725" spans="1:5" x14ac:dyDescent="0.2">
      <c r="A725" s="608" t="str">
        <f t="shared" si="17"/>
        <v>DNV-TRCA - 95</v>
      </c>
      <c r="E725" s="642">
        <v>95</v>
      </c>
    </row>
    <row r="726" spans="1:5" x14ac:dyDescent="0.2">
      <c r="A726" s="608" t="str">
        <f t="shared" si="17"/>
        <v>DNV-TRCA - 100</v>
      </c>
      <c r="E726" s="642">
        <v>100</v>
      </c>
    </row>
    <row r="727" spans="1:5" x14ac:dyDescent="0.2">
      <c r="A727" s="608" t="str">
        <f t="shared" si="17"/>
        <v>DNV-TRCA - 105</v>
      </c>
      <c r="E727" s="642">
        <v>105</v>
      </c>
    </row>
    <row r="728" spans="1:5" x14ac:dyDescent="0.2">
      <c r="A728" s="608" t="str">
        <f t="shared" si="17"/>
        <v>DNV-TRCA - 110</v>
      </c>
      <c r="E728" s="642">
        <v>110</v>
      </c>
    </row>
    <row r="729" spans="1:5" x14ac:dyDescent="0.2">
      <c r="A729" s="608" t="str">
        <f t="shared" si="17"/>
        <v>DNV-TRCA - 120</v>
      </c>
      <c r="E729" s="642">
        <v>120</v>
      </c>
    </row>
    <row r="730" spans="1:5" x14ac:dyDescent="0.2">
      <c r="A730" s="608" t="str">
        <f t="shared" si="17"/>
        <v>DNV-TRCA - 130</v>
      </c>
      <c r="E730" s="642">
        <v>130</v>
      </c>
    </row>
    <row r="731" spans="1:5" x14ac:dyDescent="0.2">
      <c r="A731" s="608" t="str">
        <f t="shared" si="17"/>
        <v>DNV-TRCA - 140</v>
      </c>
      <c r="E731" s="642">
        <v>140</v>
      </c>
    </row>
    <row r="732" spans="1:5" x14ac:dyDescent="0.2">
      <c r="A732" s="608" t="str">
        <f t="shared" si="17"/>
        <v>DNV-TRCA - 150</v>
      </c>
      <c r="E732" s="642">
        <v>150</v>
      </c>
    </row>
    <row r="733" spans="1:5" x14ac:dyDescent="0.2">
      <c r="A733" s="608" t="str">
        <f t="shared" si="17"/>
        <v>DNV-TRCA - 160</v>
      </c>
      <c r="E733" s="642">
        <v>160</v>
      </c>
    </row>
    <row r="734" spans="1:5" x14ac:dyDescent="0.2">
      <c r="A734" s="608" t="str">
        <f t="shared" si="17"/>
        <v>DNV-TRCA - 170</v>
      </c>
      <c r="E734" s="642">
        <v>170</v>
      </c>
    </row>
    <row r="735" spans="1:5" x14ac:dyDescent="0.2">
      <c r="A735" s="608" t="str">
        <f t="shared" si="17"/>
        <v>DNV-TRCA - 180</v>
      </c>
      <c r="E735" s="642">
        <v>180</v>
      </c>
    </row>
    <row r="736" spans="1:5" x14ac:dyDescent="0.2">
      <c r="A736" s="608" t="str">
        <f t="shared" si="17"/>
        <v>DNV-TRCA - 200</v>
      </c>
      <c r="E736" s="642">
        <v>200</v>
      </c>
    </row>
    <row r="737" spans="1:5" x14ac:dyDescent="0.2">
      <c r="A737" s="608" t="str">
        <f t="shared" si="17"/>
        <v>DNV-TRCA - 225</v>
      </c>
      <c r="E737" s="642">
        <v>225</v>
      </c>
    </row>
    <row r="738" spans="1:5" x14ac:dyDescent="0.2">
      <c r="A738" s="608" t="str">
        <f t="shared" si="17"/>
        <v>DNV-TRCA - 250</v>
      </c>
      <c r="E738" s="642">
        <v>250</v>
      </c>
    </row>
    <row r="739" spans="1:5" x14ac:dyDescent="0.2">
      <c r="A739" s="608" t="str">
        <f t="shared" si="17"/>
        <v>DNV-TRCA - 275</v>
      </c>
      <c r="E739" s="642">
        <v>275</v>
      </c>
    </row>
    <row r="740" spans="1:5" x14ac:dyDescent="0.2">
      <c r="A740" s="608" t="str">
        <f t="shared" si="17"/>
        <v>DNV-TRCA - 300</v>
      </c>
      <c r="E740" s="642">
        <v>300</v>
      </c>
    </row>
    <row r="741" spans="1:5" x14ac:dyDescent="0.2">
      <c r="A741" s="608" t="str">
        <f t="shared" si="17"/>
        <v>DNV-TRCA - 325</v>
      </c>
      <c r="E741" s="642">
        <v>325</v>
      </c>
    </row>
    <row r="742" spans="1:5" x14ac:dyDescent="0.2">
      <c r="A742" s="608" t="str">
        <f t="shared" si="17"/>
        <v>DNV-TRCA - 350</v>
      </c>
      <c r="E742" s="642">
        <v>350</v>
      </c>
    </row>
    <row r="743" spans="1:5" x14ac:dyDescent="0.2">
      <c r="A743" s="608" t="str">
        <f t="shared" si="17"/>
        <v>DNV-TRCA - 375</v>
      </c>
      <c r="E743" s="642">
        <v>375</v>
      </c>
    </row>
    <row r="744" spans="1:5" x14ac:dyDescent="0.2">
      <c r="A744" s="608" t="str">
        <f t="shared" si="17"/>
        <v>DNV-TRCA - 400</v>
      </c>
      <c r="E744" s="642">
        <v>400</v>
      </c>
    </row>
    <row r="745" spans="1:5" x14ac:dyDescent="0.2">
      <c r="A745" s="608" t="str">
        <f t="shared" si="17"/>
        <v>DNV-TRCA - 425</v>
      </c>
      <c r="E745" s="642">
        <v>425</v>
      </c>
    </row>
    <row r="746" spans="1:5" x14ac:dyDescent="0.2">
      <c r="A746" s="608" t="str">
        <f t="shared" si="17"/>
        <v>DNV-TRCA - 450</v>
      </c>
      <c r="E746" s="642">
        <v>450</v>
      </c>
    </row>
    <row r="747" spans="1:5" x14ac:dyDescent="0.2">
      <c r="A747" s="608" t="str">
        <f t="shared" si="17"/>
        <v>DNV-TRCA - 475</v>
      </c>
      <c r="E747" s="642">
        <v>475</v>
      </c>
    </row>
    <row r="748" spans="1:5" x14ac:dyDescent="0.2">
      <c r="A748" s="608" t="str">
        <f t="shared" si="17"/>
        <v>DNV-TRCA - 500</v>
      </c>
      <c r="E748" s="642">
        <v>500</v>
      </c>
    </row>
    <row r="749" spans="1:5" x14ac:dyDescent="0.2">
      <c r="A749" s="608" t="str">
        <f t="shared" si="17"/>
        <v>DNV-TRCA - 600</v>
      </c>
      <c r="E749" s="642">
        <v>600</v>
      </c>
    </row>
    <row r="750" spans="1:5" x14ac:dyDescent="0.2">
      <c r="A750" s="608" t="str">
        <f t="shared" si="17"/>
        <v>DNV-TRCA - 800</v>
      </c>
      <c r="E750" s="642">
        <v>800</v>
      </c>
    </row>
    <row r="751" spans="1:5" x14ac:dyDescent="0.2">
      <c r="A751" s="608" t="str">
        <f t="shared" si="17"/>
        <v>DNV-TRCA - 1000</v>
      </c>
      <c r="E751" s="642">
        <v>1000</v>
      </c>
    </row>
    <row r="756" spans="1:8" x14ac:dyDescent="0.2">
      <c r="A756" s="611"/>
      <c r="B756" s="606" t="s">
        <v>1742</v>
      </c>
    </row>
    <row r="758" spans="1:8" x14ac:dyDescent="0.2">
      <c r="B758" s="608" t="s">
        <v>42</v>
      </c>
      <c r="C758" s="608" t="s">
        <v>847</v>
      </c>
    </row>
    <row r="759" spans="1:8" x14ac:dyDescent="0.2">
      <c r="A759" s="764" t="str">
        <f>CONCATENATE("IIEE-SJ - ",B759)</f>
        <v>IIEE-SJ - 1</v>
      </c>
      <c r="B759" s="764">
        <v>1</v>
      </c>
      <c r="C759" s="764"/>
      <c r="D759" s="764"/>
      <c r="E759" s="767" t="s">
        <v>848</v>
      </c>
      <c r="F759" s="767" t="s">
        <v>1913</v>
      </c>
      <c r="G759" s="767"/>
      <c r="H759" s="768"/>
    </row>
    <row r="760" spans="1:8" x14ac:dyDescent="0.2">
      <c r="A760" s="608" t="s">
        <v>904</v>
      </c>
      <c r="B760" s="608">
        <v>101000</v>
      </c>
      <c r="E760" s="607" t="s">
        <v>715</v>
      </c>
      <c r="G760" s="643"/>
    </row>
    <row r="761" spans="1:8" x14ac:dyDescent="0.2">
      <c r="A761" s="608" t="s">
        <v>903</v>
      </c>
      <c r="B761" s="608">
        <v>102000</v>
      </c>
      <c r="E761" s="607" t="s">
        <v>716</v>
      </c>
      <c r="G761" s="643"/>
    </row>
    <row r="762" spans="1:8" x14ac:dyDescent="0.2">
      <c r="A762" s="608" t="s">
        <v>901</v>
      </c>
      <c r="B762" s="608">
        <v>103000</v>
      </c>
      <c r="E762" s="607" t="s">
        <v>717</v>
      </c>
      <c r="G762" s="643"/>
    </row>
    <row r="763" spans="1:8" x14ac:dyDescent="0.2">
      <c r="A763" s="608"/>
    </row>
    <row r="764" spans="1:8" x14ac:dyDescent="0.2">
      <c r="A764" s="608" t="s">
        <v>1743</v>
      </c>
      <c r="B764" s="608">
        <v>2</v>
      </c>
      <c r="E764" s="607" t="s">
        <v>849</v>
      </c>
    </row>
    <row r="765" spans="1:8" x14ac:dyDescent="0.2">
      <c r="A765" s="608"/>
    </row>
    <row r="766" spans="1:8" x14ac:dyDescent="0.2">
      <c r="A766" s="608" t="s">
        <v>1744</v>
      </c>
      <c r="B766" s="608">
        <v>201</v>
      </c>
      <c r="E766" s="607" t="s">
        <v>850</v>
      </c>
      <c r="F766" s="607" t="s">
        <v>1914</v>
      </c>
    </row>
    <row r="767" spans="1:8" x14ac:dyDescent="0.2">
      <c r="A767" s="608" t="s">
        <v>1745</v>
      </c>
      <c r="B767" s="608">
        <v>201001</v>
      </c>
      <c r="E767" s="607" t="s">
        <v>579</v>
      </c>
    </row>
    <row r="768" spans="1:8" x14ac:dyDescent="0.2">
      <c r="A768" s="608" t="s">
        <v>1746</v>
      </c>
      <c r="B768" s="608">
        <v>201002</v>
      </c>
      <c r="E768" s="607" t="s">
        <v>580</v>
      </c>
    </row>
    <row r="769" spans="1:6" x14ac:dyDescent="0.2">
      <c r="A769" s="608" t="s">
        <v>1747</v>
      </c>
      <c r="B769" s="608">
        <v>201003</v>
      </c>
      <c r="E769" s="607" t="s">
        <v>581</v>
      </c>
    </row>
    <row r="770" spans="1:6" x14ac:dyDescent="0.2">
      <c r="A770" s="613" t="s">
        <v>1748</v>
      </c>
      <c r="B770" s="613">
        <v>201004</v>
      </c>
      <c r="C770" s="613"/>
      <c r="D770" s="613"/>
      <c r="E770" s="614" t="s">
        <v>704</v>
      </c>
      <c r="F770" s="607" t="s">
        <v>1912</v>
      </c>
    </row>
    <row r="771" spans="1:6" x14ac:dyDescent="0.2">
      <c r="A771" s="608"/>
    </row>
    <row r="772" spans="1:6" x14ac:dyDescent="0.2">
      <c r="A772" s="608" t="s">
        <v>1749</v>
      </c>
      <c r="B772" s="608">
        <v>202</v>
      </c>
      <c r="E772" s="607" t="s">
        <v>851</v>
      </c>
      <c r="F772" s="607" t="s">
        <v>1914</v>
      </c>
    </row>
    <row r="773" spans="1:6" x14ac:dyDescent="0.2">
      <c r="A773" s="608" t="s">
        <v>1750</v>
      </c>
      <c r="B773" s="608">
        <v>202001</v>
      </c>
      <c r="E773" s="607" t="s">
        <v>582</v>
      </c>
    </row>
    <row r="774" spans="1:6" x14ac:dyDescent="0.2">
      <c r="A774" s="608" t="s">
        <v>1751</v>
      </c>
      <c r="B774" s="608">
        <v>202002</v>
      </c>
      <c r="E774" s="607" t="s">
        <v>583</v>
      </c>
    </row>
    <row r="775" spans="1:6" x14ac:dyDescent="0.2">
      <c r="A775" s="608" t="s">
        <v>1752</v>
      </c>
      <c r="B775" s="608">
        <v>202003</v>
      </c>
      <c r="E775" s="607" t="s">
        <v>584</v>
      </c>
    </row>
    <row r="776" spans="1:6" x14ac:dyDescent="0.2">
      <c r="A776" s="613" t="s">
        <v>1753</v>
      </c>
      <c r="B776" s="613">
        <v>202004</v>
      </c>
      <c r="C776" s="613"/>
      <c r="D776" s="613"/>
      <c r="E776" s="614" t="s">
        <v>677</v>
      </c>
      <c r="F776" s="607" t="s">
        <v>1912</v>
      </c>
    </row>
    <row r="777" spans="1:6" x14ac:dyDescent="0.2">
      <c r="A777" s="608"/>
    </row>
    <row r="778" spans="1:6" x14ac:dyDescent="0.2">
      <c r="A778" s="608" t="s">
        <v>1754</v>
      </c>
      <c r="B778" s="608">
        <v>203</v>
      </c>
      <c r="E778" s="607" t="s">
        <v>852</v>
      </c>
      <c r="F778" s="607" t="s">
        <v>1914</v>
      </c>
    </row>
    <row r="779" spans="1:6" x14ac:dyDescent="0.2">
      <c r="A779" s="608" t="s">
        <v>912</v>
      </c>
      <c r="B779" s="608">
        <v>203001</v>
      </c>
      <c r="E779" s="607" t="s">
        <v>853</v>
      </c>
    </row>
    <row r="780" spans="1:6" x14ac:dyDescent="0.2">
      <c r="A780" s="608" t="s">
        <v>911</v>
      </c>
      <c r="B780" s="608">
        <v>203002</v>
      </c>
      <c r="E780" s="607" t="s">
        <v>707</v>
      </c>
    </row>
    <row r="781" spans="1:6" x14ac:dyDescent="0.2">
      <c r="A781" s="608"/>
    </row>
    <row r="782" spans="1:6" x14ac:dyDescent="0.2">
      <c r="A782" s="608" t="s">
        <v>1755</v>
      </c>
      <c r="B782" s="608">
        <v>204</v>
      </c>
      <c r="E782" s="607" t="s">
        <v>854</v>
      </c>
      <c r="F782" s="607" t="s">
        <v>1914</v>
      </c>
    </row>
    <row r="783" spans="1:6" x14ac:dyDescent="0.2">
      <c r="A783" s="608" t="s">
        <v>1756</v>
      </c>
      <c r="B783" s="608">
        <v>204001</v>
      </c>
      <c r="E783" s="19" t="s">
        <v>855</v>
      </c>
    </row>
    <row r="784" spans="1:6" x14ac:dyDescent="0.2">
      <c r="A784" s="608" t="s">
        <v>1757</v>
      </c>
      <c r="B784" s="608">
        <v>204002</v>
      </c>
      <c r="E784" s="19" t="s">
        <v>856</v>
      </c>
    </row>
    <row r="785" spans="1:6" x14ac:dyDescent="0.2">
      <c r="A785" s="608" t="s">
        <v>1758</v>
      </c>
      <c r="B785" s="608">
        <v>204003</v>
      </c>
      <c r="E785" s="19" t="s">
        <v>857</v>
      </c>
    </row>
    <row r="786" spans="1:6" x14ac:dyDescent="0.2">
      <c r="A786" s="613" t="s">
        <v>1759</v>
      </c>
      <c r="B786" s="613">
        <v>204004</v>
      </c>
      <c r="C786" s="613"/>
      <c r="D786" s="613"/>
      <c r="E786" s="614" t="s">
        <v>687</v>
      </c>
      <c r="F786" s="607" t="s">
        <v>1912</v>
      </c>
    </row>
    <row r="787" spans="1:6" x14ac:dyDescent="0.2">
      <c r="A787" s="613" t="s">
        <v>1760</v>
      </c>
      <c r="B787" s="613">
        <v>204005</v>
      </c>
      <c r="C787" s="613"/>
      <c r="D787" s="613"/>
      <c r="E787" s="614" t="s">
        <v>688</v>
      </c>
      <c r="F787" s="607" t="s">
        <v>1912</v>
      </c>
    </row>
    <row r="788" spans="1:6" x14ac:dyDescent="0.2">
      <c r="A788" s="608"/>
    </row>
    <row r="789" spans="1:6" x14ac:dyDescent="0.2">
      <c r="A789" s="608" t="s">
        <v>1761</v>
      </c>
      <c r="B789" s="608">
        <v>205</v>
      </c>
      <c r="E789" s="607" t="s">
        <v>858</v>
      </c>
      <c r="F789" s="607" t="s">
        <v>1914</v>
      </c>
    </row>
    <row r="790" spans="1:6" x14ac:dyDescent="0.2">
      <c r="A790" s="608" t="s">
        <v>1762</v>
      </c>
      <c r="B790" s="608">
        <v>205001</v>
      </c>
      <c r="E790" s="607" t="s">
        <v>1763</v>
      </c>
    </row>
    <row r="791" spans="1:6" x14ac:dyDescent="0.2">
      <c r="A791" s="608" t="s">
        <v>910</v>
      </c>
      <c r="B791" s="608">
        <v>205002</v>
      </c>
      <c r="E791" s="607" t="s">
        <v>1764</v>
      </c>
    </row>
    <row r="792" spans="1:6" x14ac:dyDescent="0.2">
      <c r="A792" s="613" t="s">
        <v>1765</v>
      </c>
      <c r="B792" s="613">
        <v>205003</v>
      </c>
      <c r="C792" s="613"/>
      <c r="D792" s="613"/>
      <c r="E792" s="614" t="s">
        <v>685</v>
      </c>
      <c r="F792" s="607" t="s">
        <v>1912</v>
      </c>
    </row>
    <row r="793" spans="1:6" x14ac:dyDescent="0.2">
      <c r="A793" s="613" t="s">
        <v>1766</v>
      </c>
      <c r="B793" s="613">
        <v>205004</v>
      </c>
      <c r="C793" s="613"/>
      <c r="D793" s="613"/>
      <c r="E793" s="614" t="s">
        <v>686</v>
      </c>
      <c r="F793" s="607" t="s">
        <v>1912</v>
      </c>
    </row>
    <row r="794" spans="1:6" x14ac:dyDescent="0.2">
      <c r="A794" s="613" t="s">
        <v>1767</v>
      </c>
      <c r="B794" s="613">
        <v>205005</v>
      </c>
      <c r="C794" s="613"/>
      <c r="D794" s="613"/>
      <c r="E794" s="614" t="s">
        <v>684</v>
      </c>
      <c r="F794" s="607" t="s">
        <v>1912</v>
      </c>
    </row>
    <row r="795" spans="1:6" x14ac:dyDescent="0.2">
      <c r="A795" s="608"/>
    </row>
    <row r="796" spans="1:6" x14ac:dyDescent="0.2">
      <c r="A796" s="608" t="s">
        <v>1768</v>
      </c>
      <c r="B796" s="608">
        <v>206</v>
      </c>
      <c r="E796" s="607" t="s">
        <v>859</v>
      </c>
      <c r="F796" s="607" t="s">
        <v>1914</v>
      </c>
    </row>
    <row r="797" spans="1:6" x14ac:dyDescent="0.2">
      <c r="A797" s="608" t="s">
        <v>1769</v>
      </c>
      <c r="B797" s="608">
        <v>206001</v>
      </c>
      <c r="E797" s="607" t="s">
        <v>860</v>
      </c>
    </row>
    <row r="798" spans="1:6" x14ac:dyDescent="0.2">
      <c r="A798" s="608" t="s">
        <v>1770</v>
      </c>
      <c r="B798" s="608">
        <v>206002</v>
      </c>
      <c r="E798" s="607" t="s">
        <v>585</v>
      </c>
    </row>
    <row r="799" spans="1:6" x14ac:dyDescent="0.2">
      <c r="A799" s="613" t="s">
        <v>1771</v>
      </c>
      <c r="B799" s="613">
        <v>206003</v>
      </c>
      <c r="C799" s="613"/>
      <c r="D799" s="613"/>
      <c r="E799" s="614" t="s">
        <v>678</v>
      </c>
      <c r="F799" s="607" t="s">
        <v>1912</v>
      </c>
    </row>
    <row r="800" spans="1:6" x14ac:dyDescent="0.2">
      <c r="A800" s="613" t="s">
        <v>1772</v>
      </c>
      <c r="B800" s="613">
        <v>206004</v>
      </c>
      <c r="C800" s="613"/>
      <c r="D800" s="613"/>
      <c r="E800" s="614" t="s">
        <v>679</v>
      </c>
      <c r="F800" s="607" t="s">
        <v>1912</v>
      </c>
    </row>
    <row r="801" spans="1:6" x14ac:dyDescent="0.2">
      <c r="A801" s="608"/>
    </row>
    <row r="802" spans="1:6" x14ac:dyDescent="0.2">
      <c r="A802" s="608" t="s">
        <v>1773</v>
      </c>
      <c r="B802" s="608">
        <v>207</v>
      </c>
      <c r="E802" s="607" t="s">
        <v>861</v>
      </c>
      <c r="F802" s="607" t="s">
        <v>1914</v>
      </c>
    </row>
    <row r="803" spans="1:6" x14ac:dyDescent="0.2">
      <c r="A803" s="608" t="s">
        <v>1774</v>
      </c>
      <c r="B803" s="608">
        <v>207001</v>
      </c>
      <c r="E803" s="607" t="s">
        <v>586</v>
      </c>
    </row>
    <row r="804" spans="1:6" x14ac:dyDescent="0.2">
      <c r="A804" s="613" t="s">
        <v>1775</v>
      </c>
      <c r="B804" s="613">
        <v>207002</v>
      </c>
      <c r="C804" s="613"/>
      <c r="D804" s="613"/>
      <c r="E804" s="614" t="s">
        <v>862</v>
      </c>
      <c r="F804" s="607" t="s">
        <v>1912</v>
      </c>
    </row>
    <row r="805" spans="1:6" x14ac:dyDescent="0.2">
      <c r="A805" s="613" t="s">
        <v>1776</v>
      </c>
      <c r="B805" s="613">
        <v>207003</v>
      </c>
      <c r="C805" s="613"/>
      <c r="D805" s="613"/>
      <c r="E805" s="614" t="s">
        <v>680</v>
      </c>
      <c r="F805" s="607" t="s">
        <v>1912</v>
      </c>
    </row>
    <row r="806" spans="1:6" x14ac:dyDescent="0.2">
      <c r="A806" s="613" t="s">
        <v>1777</v>
      </c>
      <c r="B806" s="613">
        <v>207004</v>
      </c>
      <c r="C806" s="613"/>
      <c r="D806" s="613"/>
      <c r="E806" s="614" t="s">
        <v>683</v>
      </c>
      <c r="F806" s="607" t="s">
        <v>1912</v>
      </c>
    </row>
    <row r="807" spans="1:6" x14ac:dyDescent="0.2">
      <c r="A807" s="608"/>
    </row>
    <row r="808" spans="1:6" x14ac:dyDescent="0.2">
      <c r="A808" s="608" t="s">
        <v>1778</v>
      </c>
      <c r="B808" s="608">
        <v>208</v>
      </c>
      <c r="E808" s="607" t="s">
        <v>863</v>
      </c>
      <c r="F808" s="607" t="s">
        <v>1914</v>
      </c>
    </row>
    <row r="809" spans="1:6" x14ac:dyDescent="0.2">
      <c r="A809" s="608" t="s">
        <v>1779</v>
      </c>
      <c r="B809" s="608">
        <v>208001</v>
      </c>
      <c r="E809" s="607" t="s">
        <v>587</v>
      </c>
    </row>
    <row r="810" spans="1:6" x14ac:dyDescent="0.2">
      <c r="A810" s="613" t="s">
        <v>1780</v>
      </c>
      <c r="B810" s="613">
        <v>208002</v>
      </c>
      <c r="C810" s="613"/>
      <c r="D810" s="613"/>
      <c r="E810" s="614" t="s">
        <v>864</v>
      </c>
      <c r="F810" s="607" t="s">
        <v>1912</v>
      </c>
    </row>
    <row r="811" spans="1:6" x14ac:dyDescent="0.2">
      <c r="A811" s="608"/>
    </row>
    <row r="812" spans="1:6" x14ac:dyDescent="0.2">
      <c r="A812" s="608" t="s">
        <v>1781</v>
      </c>
      <c r="B812" s="608">
        <v>209</v>
      </c>
      <c r="E812" s="607" t="s">
        <v>865</v>
      </c>
      <c r="F812" s="607" t="s">
        <v>1914</v>
      </c>
    </row>
    <row r="813" spans="1:6" x14ac:dyDescent="0.2">
      <c r="A813" s="608" t="s">
        <v>1782</v>
      </c>
      <c r="B813" s="608">
        <v>209001</v>
      </c>
      <c r="E813" s="607" t="s">
        <v>588</v>
      </c>
    </row>
    <row r="814" spans="1:6" x14ac:dyDescent="0.2">
      <c r="A814" s="608" t="s">
        <v>1783</v>
      </c>
      <c r="B814" s="608">
        <v>209002</v>
      </c>
      <c r="E814" s="607" t="s">
        <v>589</v>
      </c>
    </row>
    <row r="815" spans="1:6" x14ac:dyDescent="0.2">
      <c r="A815" s="608" t="s">
        <v>1784</v>
      </c>
      <c r="B815" s="608">
        <v>209003</v>
      </c>
      <c r="E815" s="607" t="s">
        <v>590</v>
      </c>
    </row>
    <row r="816" spans="1:6" x14ac:dyDescent="0.2">
      <c r="A816" s="608" t="s">
        <v>1785</v>
      </c>
      <c r="B816" s="608">
        <v>209004</v>
      </c>
      <c r="E816" s="607" t="s">
        <v>591</v>
      </c>
    </row>
    <row r="817" spans="1:6" x14ac:dyDescent="0.2">
      <c r="A817" s="613" t="s">
        <v>1786</v>
      </c>
      <c r="B817" s="613">
        <v>209005</v>
      </c>
      <c r="C817" s="613"/>
      <c r="D817" s="613"/>
      <c r="E817" s="614" t="s">
        <v>690</v>
      </c>
      <c r="F817" s="607" t="s">
        <v>1912</v>
      </c>
    </row>
    <row r="818" spans="1:6" x14ac:dyDescent="0.2">
      <c r="A818" s="613" t="s">
        <v>1787</v>
      </c>
      <c r="B818" s="613">
        <v>209006</v>
      </c>
      <c r="C818" s="613"/>
      <c r="D818" s="613"/>
      <c r="E818" s="614" t="s">
        <v>691</v>
      </c>
      <c r="F818" s="607" t="s">
        <v>1912</v>
      </c>
    </row>
    <row r="819" spans="1:6" x14ac:dyDescent="0.2">
      <c r="A819" s="613" t="s">
        <v>1788</v>
      </c>
      <c r="B819" s="613">
        <v>209007</v>
      </c>
      <c r="C819" s="613"/>
      <c r="D819" s="613"/>
      <c r="E819" s="614" t="s">
        <v>692</v>
      </c>
      <c r="F819" s="607" t="s">
        <v>1912</v>
      </c>
    </row>
    <row r="820" spans="1:6" x14ac:dyDescent="0.2">
      <c r="A820" s="608"/>
    </row>
    <row r="821" spans="1:6" x14ac:dyDescent="0.2">
      <c r="A821" s="608" t="s">
        <v>1789</v>
      </c>
      <c r="B821" s="608">
        <v>210</v>
      </c>
      <c r="E821" s="607" t="s">
        <v>866</v>
      </c>
      <c r="F821" s="607" t="s">
        <v>1914</v>
      </c>
    </row>
    <row r="822" spans="1:6" x14ac:dyDescent="0.2">
      <c r="A822" s="608" t="s">
        <v>1790</v>
      </c>
      <c r="B822" s="608">
        <v>210001</v>
      </c>
      <c r="E822" s="607" t="s">
        <v>592</v>
      </c>
    </row>
    <row r="823" spans="1:6" x14ac:dyDescent="0.2">
      <c r="A823" s="608" t="s">
        <v>1791</v>
      </c>
      <c r="B823" s="608">
        <v>210002</v>
      </c>
      <c r="E823" s="607" t="s">
        <v>593</v>
      </c>
    </row>
    <row r="824" spans="1:6" x14ac:dyDescent="0.2">
      <c r="A824" s="608" t="s">
        <v>1792</v>
      </c>
      <c r="B824" s="608">
        <v>210003</v>
      </c>
      <c r="E824" s="607" t="s">
        <v>594</v>
      </c>
    </row>
    <row r="825" spans="1:6" x14ac:dyDescent="0.2">
      <c r="A825" s="608" t="s">
        <v>1793</v>
      </c>
      <c r="B825" s="608">
        <v>210004</v>
      </c>
      <c r="E825" s="607" t="s">
        <v>595</v>
      </c>
    </row>
    <row r="826" spans="1:6" x14ac:dyDescent="0.2">
      <c r="A826" s="608" t="s">
        <v>1794</v>
      </c>
      <c r="B826" s="608">
        <v>210005</v>
      </c>
      <c r="E826" s="607" t="s">
        <v>596</v>
      </c>
    </row>
    <row r="827" spans="1:6" x14ac:dyDescent="0.2">
      <c r="A827" s="608" t="s">
        <v>1795</v>
      </c>
      <c r="B827" s="608">
        <v>210006</v>
      </c>
      <c r="E827" s="607" t="s">
        <v>597</v>
      </c>
    </row>
    <row r="828" spans="1:6" x14ac:dyDescent="0.2">
      <c r="A828" s="608" t="s">
        <v>1796</v>
      </c>
      <c r="B828" s="608">
        <v>210007</v>
      </c>
      <c r="E828" s="607" t="s">
        <v>598</v>
      </c>
    </row>
    <row r="829" spans="1:6" x14ac:dyDescent="0.2">
      <c r="A829" s="608" t="s">
        <v>1797</v>
      </c>
      <c r="B829" s="608">
        <v>210008</v>
      </c>
      <c r="E829" s="607" t="s">
        <v>599</v>
      </c>
    </row>
    <row r="830" spans="1:6" x14ac:dyDescent="0.2">
      <c r="A830" s="608"/>
    </row>
    <row r="831" spans="1:6" x14ac:dyDescent="0.2">
      <c r="A831" s="608" t="s">
        <v>1798</v>
      </c>
      <c r="B831" s="608">
        <v>211</v>
      </c>
      <c r="E831" s="607" t="s">
        <v>867</v>
      </c>
      <c r="F831" s="607" t="s">
        <v>1914</v>
      </c>
    </row>
    <row r="832" spans="1:6" x14ac:dyDescent="0.2">
      <c r="A832" s="608" t="s">
        <v>1799</v>
      </c>
      <c r="B832" s="608">
        <v>211001</v>
      </c>
      <c r="E832" s="607" t="s">
        <v>600</v>
      </c>
    </row>
    <row r="833" spans="1:6" x14ac:dyDescent="0.2">
      <c r="A833" s="608" t="s">
        <v>1800</v>
      </c>
      <c r="B833" s="608">
        <v>211002</v>
      </c>
      <c r="E833" s="607" t="s">
        <v>601</v>
      </c>
    </row>
    <row r="834" spans="1:6" x14ac:dyDescent="0.2">
      <c r="A834" s="608" t="s">
        <v>1801</v>
      </c>
      <c r="B834" s="608">
        <v>211003</v>
      </c>
      <c r="E834" s="607" t="s">
        <v>602</v>
      </c>
    </row>
    <row r="835" spans="1:6" x14ac:dyDescent="0.2">
      <c r="A835" s="608" t="s">
        <v>1802</v>
      </c>
      <c r="B835" s="608">
        <v>211004</v>
      </c>
      <c r="E835" s="607" t="s">
        <v>603</v>
      </c>
    </row>
    <row r="836" spans="1:6" x14ac:dyDescent="0.2">
      <c r="A836" s="608" t="s">
        <v>1803</v>
      </c>
      <c r="B836" s="608">
        <v>211005</v>
      </c>
      <c r="E836" s="607" t="s">
        <v>604</v>
      </c>
    </row>
    <row r="837" spans="1:6" x14ac:dyDescent="0.2">
      <c r="A837" s="613" t="s">
        <v>1804</v>
      </c>
      <c r="B837" s="613">
        <v>211006</v>
      </c>
      <c r="C837" s="613"/>
      <c r="D837" s="613"/>
      <c r="E837" s="614" t="s">
        <v>705</v>
      </c>
      <c r="F837" s="607" t="s">
        <v>1912</v>
      </c>
    </row>
    <row r="838" spans="1:6" x14ac:dyDescent="0.2">
      <c r="A838" s="613" t="s">
        <v>1805</v>
      </c>
      <c r="B838" s="613">
        <v>211007</v>
      </c>
      <c r="C838" s="613"/>
      <c r="D838" s="613"/>
      <c r="E838" s="614" t="s">
        <v>706</v>
      </c>
      <c r="F838" s="607" t="s">
        <v>1912</v>
      </c>
    </row>
    <row r="839" spans="1:6" x14ac:dyDescent="0.2">
      <c r="A839" s="613" t="s">
        <v>1806</v>
      </c>
      <c r="B839" s="613">
        <v>211008</v>
      </c>
      <c r="C839" s="613"/>
      <c r="D839" s="613"/>
      <c r="E839" s="614" t="s">
        <v>868</v>
      </c>
      <c r="F839" s="607" t="s">
        <v>1912</v>
      </c>
    </row>
    <row r="840" spans="1:6" x14ac:dyDescent="0.2">
      <c r="A840" s="613" t="s">
        <v>1807</v>
      </c>
      <c r="B840" s="613">
        <v>211009</v>
      </c>
      <c r="C840" s="613"/>
      <c r="D840" s="613"/>
      <c r="E840" s="614" t="s">
        <v>869</v>
      </c>
      <c r="F840" s="607" t="s">
        <v>1912</v>
      </c>
    </row>
    <row r="841" spans="1:6" x14ac:dyDescent="0.2">
      <c r="A841" s="608"/>
    </row>
    <row r="842" spans="1:6" x14ac:dyDescent="0.2">
      <c r="A842" s="608" t="s">
        <v>1808</v>
      </c>
      <c r="B842" s="608">
        <v>212</v>
      </c>
      <c r="E842" s="607" t="s">
        <v>870</v>
      </c>
      <c r="F842" s="607" t="s">
        <v>1914</v>
      </c>
    </row>
    <row r="843" spans="1:6" x14ac:dyDescent="0.2">
      <c r="A843" s="608" t="s">
        <v>1809</v>
      </c>
      <c r="B843" s="608">
        <v>212001</v>
      </c>
      <c r="E843" s="607" t="s">
        <v>605</v>
      </c>
    </row>
    <row r="844" spans="1:6" x14ac:dyDescent="0.2">
      <c r="A844" s="608" t="s">
        <v>1810</v>
      </c>
      <c r="B844" s="608">
        <v>212002</v>
      </c>
      <c r="E844" s="607" t="s">
        <v>606</v>
      </c>
    </row>
    <row r="845" spans="1:6" x14ac:dyDescent="0.2">
      <c r="A845" s="613" t="s">
        <v>1811</v>
      </c>
      <c r="B845" s="613">
        <v>212003</v>
      </c>
      <c r="C845" s="613"/>
      <c r="D845" s="613"/>
      <c r="E845" s="614" t="s">
        <v>607</v>
      </c>
      <c r="F845" s="607" t="s">
        <v>1912</v>
      </c>
    </row>
    <row r="846" spans="1:6" x14ac:dyDescent="0.2">
      <c r="A846" s="608" t="s">
        <v>1812</v>
      </c>
      <c r="B846" s="608">
        <v>212004</v>
      </c>
      <c r="E846" s="607" t="s">
        <v>608</v>
      </c>
    </row>
    <row r="847" spans="1:6" x14ac:dyDescent="0.2">
      <c r="A847" s="608"/>
    </row>
    <row r="848" spans="1:6" x14ac:dyDescent="0.2">
      <c r="A848" s="608" t="s">
        <v>1813</v>
      </c>
      <c r="B848" s="608">
        <v>213</v>
      </c>
      <c r="E848" s="607" t="s">
        <v>871</v>
      </c>
      <c r="F848" s="607" t="s">
        <v>1914</v>
      </c>
    </row>
    <row r="849" spans="1:6" x14ac:dyDescent="0.2">
      <c r="A849" s="608" t="s">
        <v>1814</v>
      </c>
      <c r="B849" s="608">
        <v>213001</v>
      </c>
      <c r="E849" s="607" t="s">
        <v>609</v>
      </c>
    </row>
    <row r="850" spans="1:6" x14ac:dyDescent="0.2">
      <c r="A850" s="608" t="s">
        <v>1815</v>
      </c>
      <c r="B850" s="608">
        <v>213002</v>
      </c>
      <c r="E850" s="607" t="s">
        <v>610</v>
      </c>
    </row>
    <row r="851" spans="1:6" x14ac:dyDescent="0.2">
      <c r="A851" s="608" t="s">
        <v>1816</v>
      </c>
      <c r="B851" s="608">
        <v>213003</v>
      </c>
      <c r="E851" s="607" t="s">
        <v>611</v>
      </c>
    </row>
    <row r="852" spans="1:6" x14ac:dyDescent="0.2">
      <c r="A852" s="608" t="s">
        <v>1817</v>
      </c>
      <c r="B852" s="608">
        <v>213004</v>
      </c>
      <c r="E852" s="607" t="s">
        <v>612</v>
      </c>
    </row>
    <row r="853" spans="1:6" x14ac:dyDescent="0.2">
      <c r="A853" s="608" t="s">
        <v>1818</v>
      </c>
      <c r="B853" s="608">
        <v>213005</v>
      </c>
      <c r="E853" s="607" t="s">
        <v>613</v>
      </c>
    </row>
    <row r="854" spans="1:6" x14ac:dyDescent="0.2">
      <c r="A854" s="608" t="s">
        <v>1819</v>
      </c>
      <c r="B854" s="608">
        <v>213006</v>
      </c>
      <c r="E854" s="607" t="s">
        <v>614</v>
      </c>
    </row>
    <row r="855" spans="1:6" x14ac:dyDescent="0.2">
      <c r="A855" s="608" t="s">
        <v>1820</v>
      </c>
      <c r="B855" s="608">
        <v>213007</v>
      </c>
      <c r="E855" s="607" t="s">
        <v>615</v>
      </c>
    </row>
    <row r="856" spans="1:6" x14ac:dyDescent="0.2">
      <c r="A856" s="608" t="s">
        <v>1821</v>
      </c>
      <c r="B856" s="608">
        <v>213008</v>
      </c>
      <c r="E856" s="607" t="s">
        <v>616</v>
      </c>
    </row>
    <row r="857" spans="1:6" x14ac:dyDescent="0.2">
      <c r="A857" s="608"/>
    </row>
    <row r="858" spans="1:6" x14ac:dyDescent="0.2">
      <c r="A858" s="608" t="s">
        <v>1822</v>
      </c>
      <c r="B858" s="608">
        <v>214</v>
      </c>
      <c r="E858" s="607" t="s">
        <v>872</v>
      </c>
      <c r="F858" s="607" t="s">
        <v>1914</v>
      </c>
    </row>
    <row r="859" spans="1:6" x14ac:dyDescent="0.2">
      <c r="A859" s="608" t="s">
        <v>1823</v>
      </c>
      <c r="B859" s="608">
        <v>214001</v>
      </c>
      <c r="E859" s="607" t="s">
        <v>617</v>
      </c>
    </row>
    <row r="860" spans="1:6" x14ac:dyDescent="0.2">
      <c r="A860" s="608" t="s">
        <v>1597</v>
      </c>
      <c r="B860" s="608">
        <v>214002</v>
      </c>
      <c r="E860" s="607" t="s">
        <v>618</v>
      </c>
    </row>
    <row r="861" spans="1:6" x14ac:dyDescent="0.2">
      <c r="A861" s="608" t="s">
        <v>1824</v>
      </c>
      <c r="B861" s="608">
        <v>214003</v>
      </c>
      <c r="E861" s="607" t="s">
        <v>619</v>
      </c>
    </row>
    <row r="862" spans="1:6" x14ac:dyDescent="0.2">
      <c r="A862" s="608" t="s">
        <v>1598</v>
      </c>
      <c r="B862" s="608">
        <v>214004</v>
      </c>
      <c r="E862" s="607" t="s">
        <v>620</v>
      </c>
    </row>
    <row r="863" spans="1:6" x14ac:dyDescent="0.2">
      <c r="A863" s="608" t="s">
        <v>1825</v>
      </c>
      <c r="B863" s="608">
        <v>214005</v>
      </c>
      <c r="E863" s="607" t="s">
        <v>621</v>
      </c>
    </row>
    <row r="864" spans="1:6" x14ac:dyDescent="0.2">
      <c r="A864" s="608" t="s">
        <v>1599</v>
      </c>
      <c r="B864" s="608">
        <v>214006</v>
      </c>
      <c r="E864" s="607" t="s">
        <v>622</v>
      </c>
    </row>
    <row r="865" spans="1:6" x14ac:dyDescent="0.2">
      <c r="A865" s="608"/>
    </row>
    <row r="866" spans="1:6" x14ac:dyDescent="0.2">
      <c r="A866" s="608" t="s">
        <v>1826</v>
      </c>
      <c r="B866" s="608">
        <v>215</v>
      </c>
      <c r="E866" s="607" t="s">
        <v>873</v>
      </c>
      <c r="F866" s="607" t="s">
        <v>1914</v>
      </c>
    </row>
    <row r="867" spans="1:6" x14ac:dyDescent="0.2">
      <c r="A867" s="613" t="s">
        <v>1827</v>
      </c>
      <c r="B867" s="613">
        <v>215001</v>
      </c>
      <c r="C867" s="613"/>
      <c r="D867" s="613"/>
      <c r="E867" s="614" t="s">
        <v>623</v>
      </c>
      <c r="F867" s="607" t="s">
        <v>1912</v>
      </c>
    </row>
    <row r="868" spans="1:6" x14ac:dyDescent="0.2">
      <c r="A868" s="613" t="s">
        <v>1828</v>
      </c>
      <c r="B868" s="613">
        <v>215002</v>
      </c>
      <c r="C868" s="613"/>
      <c r="D868" s="613"/>
      <c r="E868" s="614" t="s">
        <v>624</v>
      </c>
      <c r="F868" s="607" t="s">
        <v>1912</v>
      </c>
    </row>
    <row r="869" spans="1:6" x14ac:dyDescent="0.2">
      <c r="A869" s="613" t="s">
        <v>1829</v>
      </c>
      <c r="B869" s="613">
        <v>215003</v>
      </c>
      <c r="C869" s="613"/>
      <c r="D869" s="613"/>
      <c r="E869" s="614" t="s">
        <v>625</v>
      </c>
      <c r="F869" s="607" t="s">
        <v>1912</v>
      </c>
    </row>
    <row r="870" spans="1:6" x14ac:dyDescent="0.2">
      <c r="A870" s="608" t="s">
        <v>1830</v>
      </c>
      <c r="B870" s="608">
        <v>215004</v>
      </c>
      <c r="E870" s="607" t="s">
        <v>626</v>
      </c>
    </row>
    <row r="871" spans="1:6" x14ac:dyDescent="0.2">
      <c r="A871" s="608" t="s">
        <v>1831</v>
      </c>
      <c r="B871" s="608">
        <v>215005</v>
      </c>
      <c r="E871" s="607" t="s">
        <v>627</v>
      </c>
    </row>
    <row r="872" spans="1:6" x14ac:dyDescent="0.2">
      <c r="A872" s="608" t="s">
        <v>1832</v>
      </c>
      <c r="B872" s="608">
        <v>215006</v>
      </c>
      <c r="E872" s="607" t="s">
        <v>628</v>
      </c>
    </row>
    <row r="873" spans="1:6" x14ac:dyDescent="0.2">
      <c r="A873" s="608"/>
    </row>
    <row r="874" spans="1:6" x14ac:dyDescent="0.2">
      <c r="A874" s="608" t="s">
        <v>1833</v>
      </c>
      <c r="B874" s="608">
        <v>216</v>
      </c>
      <c r="E874" s="607" t="s">
        <v>874</v>
      </c>
      <c r="F874" s="607" t="s">
        <v>1914</v>
      </c>
    </row>
    <row r="875" spans="1:6" x14ac:dyDescent="0.2">
      <c r="A875" s="608" t="s">
        <v>1834</v>
      </c>
      <c r="B875" s="608">
        <v>216001</v>
      </c>
      <c r="E875" s="607" t="s">
        <v>629</v>
      </c>
    </row>
    <row r="876" spans="1:6" x14ac:dyDescent="0.2">
      <c r="A876" s="608" t="s">
        <v>1835</v>
      </c>
      <c r="B876" s="608">
        <v>216002</v>
      </c>
      <c r="E876" s="607" t="s">
        <v>630</v>
      </c>
    </row>
    <row r="877" spans="1:6" x14ac:dyDescent="0.2">
      <c r="A877" s="608" t="s">
        <v>1836</v>
      </c>
      <c r="B877" s="608">
        <v>216003</v>
      </c>
      <c r="E877" s="607" t="s">
        <v>631</v>
      </c>
    </row>
    <row r="878" spans="1:6" x14ac:dyDescent="0.2">
      <c r="A878" s="608" t="s">
        <v>1837</v>
      </c>
      <c r="B878" s="608">
        <v>216004</v>
      </c>
      <c r="E878" s="607" t="s">
        <v>632</v>
      </c>
    </row>
    <row r="879" spans="1:6" x14ac:dyDescent="0.2">
      <c r="A879" s="608" t="s">
        <v>1838</v>
      </c>
      <c r="B879" s="608">
        <v>216005</v>
      </c>
      <c r="E879" s="607" t="s">
        <v>633</v>
      </c>
    </row>
    <row r="880" spans="1:6" x14ac:dyDescent="0.2">
      <c r="A880" s="608"/>
    </row>
    <row r="881" spans="1:6" x14ac:dyDescent="0.2">
      <c r="A881" s="608" t="s">
        <v>1839</v>
      </c>
      <c r="B881" s="608">
        <v>217</v>
      </c>
      <c r="E881" s="607" t="s">
        <v>875</v>
      </c>
      <c r="F881" s="607" t="s">
        <v>1914</v>
      </c>
    </row>
    <row r="882" spans="1:6" x14ac:dyDescent="0.2">
      <c r="A882" s="608" t="s">
        <v>1840</v>
      </c>
      <c r="B882" s="608">
        <v>217001</v>
      </c>
      <c r="E882" s="607" t="s">
        <v>634</v>
      </c>
    </row>
    <row r="883" spans="1:6" x14ac:dyDescent="0.2">
      <c r="A883" s="608" t="s">
        <v>1841</v>
      </c>
      <c r="B883" s="608">
        <v>217002</v>
      </c>
      <c r="E883" s="607" t="s">
        <v>635</v>
      </c>
    </row>
    <row r="884" spans="1:6" x14ac:dyDescent="0.2">
      <c r="A884" s="608"/>
    </row>
    <row r="885" spans="1:6" x14ac:dyDescent="0.2">
      <c r="A885" s="608" t="s">
        <v>1842</v>
      </c>
      <c r="B885" s="608">
        <v>218</v>
      </c>
      <c r="E885" s="607" t="s">
        <v>826</v>
      </c>
      <c r="F885" s="607" t="s">
        <v>1914</v>
      </c>
    </row>
    <row r="886" spans="1:6" x14ac:dyDescent="0.2">
      <c r="A886" s="608" t="s">
        <v>1843</v>
      </c>
      <c r="B886" s="608">
        <v>218001</v>
      </c>
      <c r="E886" s="607" t="s">
        <v>636</v>
      </c>
    </row>
    <row r="887" spans="1:6" x14ac:dyDescent="0.2">
      <c r="A887" s="608" t="s">
        <v>1844</v>
      </c>
      <c r="B887" s="608">
        <v>218002</v>
      </c>
      <c r="E887" s="607" t="s">
        <v>637</v>
      </c>
    </row>
    <row r="888" spans="1:6" x14ac:dyDescent="0.2">
      <c r="A888" s="608" t="s">
        <v>1845</v>
      </c>
      <c r="B888" s="608">
        <v>218003</v>
      </c>
      <c r="E888" s="607" t="s">
        <v>638</v>
      </c>
    </row>
    <row r="889" spans="1:6" x14ac:dyDescent="0.2">
      <c r="A889" s="608"/>
    </row>
    <row r="890" spans="1:6" x14ac:dyDescent="0.2">
      <c r="A890" s="608" t="s">
        <v>1846</v>
      </c>
      <c r="B890" s="608">
        <v>219</v>
      </c>
      <c r="E890" s="607" t="s">
        <v>876</v>
      </c>
      <c r="F890" s="607" t="s">
        <v>1914</v>
      </c>
    </row>
    <row r="891" spans="1:6" x14ac:dyDescent="0.2">
      <c r="A891" s="608" t="s">
        <v>1847</v>
      </c>
      <c r="B891" s="608">
        <v>219001</v>
      </c>
      <c r="E891" s="607" t="s">
        <v>877</v>
      </c>
    </row>
    <row r="892" spans="1:6" x14ac:dyDescent="0.2">
      <c r="A892" s="608" t="s">
        <v>1848</v>
      </c>
      <c r="B892" s="608">
        <v>219002</v>
      </c>
      <c r="E892" s="607" t="s">
        <v>878</v>
      </c>
    </row>
    <row r="893" spans="1:6" x14ac:dyDescent="0.2">
      <c r="A893" s="608" t="s">
        <v>1849</v>
      </c>
      <c r="B893" s="608">
        <v>219003</v>
      </c>
      <c r="E893" s="607" t="s">
        <v>879</v>
      </c>
    </row>
    <row r="894" spans="1:6" x14ac:dyDescent="0.2">
      <c r="A894" s="608" t="s">
        <v>1850</v>
      </c>
      <c r="B894" s="608">
        <v>219004</v>
      </c>
      <c r="E894" s="607" t="s">
        <v>880</v>
      </c>
    </row>
    <row r="895" spans="1:6" x14ac:dyDescent="0.2">
      <c r="A895" s="608" t="s">
        <v>1851</v>
      </c>
      <c r="B895" s="608">
        <v>219005</v>
      </c>
      <c r="E895" s="607" t="s">
        <v>881</v>
      </c>
    </row>
    <row r="896" spans="1:6" x14ac:dyDescent="0.2">
      <c r="A896" s="608"/>
    </row>
    <row r="897" spans="1:6" x14ac:dyDescent="0.2">
      <c r="A897" s="608" t="s">
        <v>1852</v>
      </c>
      <c r="B897" s="608">
        <v>220</v>
      </c>
      <c r="E897" s="607" t="s">
        <v>882</v>
      </c>
      <c r="F897" s="607" t="s">
        <v>1914</v>
      </c>
    </row>
    <row r="898" spans="1:6" x14ac:dyDescent="0.2">
      <c r="A898" s="613" t="s">
        <v>1853</v>
      </c>
      <c r="B898" s="613">
        <v>220001</v>
      </c>
      <c r="C898" s="613"/>
      <c r="D898" s="613"/>
      <c r="E898" s="614" t="s">
        <v>639</v>
      </c>
      <c r="F898" s="607" t="s">
        <v>1912</v>
      </c>
    </row>
    <row r="899" spans="1:6" x14ac:dyDescent="0.2">
      <c r="A899" s="613" t="s">
        <v>1854</v>
      </c>
      <c r="B899" s="613">
        <v>220002</v>
      </c>
      <c r="C899" s="613"/>
      <c r="D899" s="613"/>
      <c r="E899" s="614" t="s">
        <v>640</v>
      </c>
      <c r="F899" s="607" t="s">
        <v>1912</v>
      </c>
    </row>
    <row r="900" spans="1:6" x14ac:dyDescent="0.2">
      <c r="A900" s="613" t="s">
        <v>1855</v>
      </c>
      <c r="B900" s="613">
        <v>220003</v>
      </c>
      <c r="C900" s="613"/>
      <c r="D900" s="613"/>
      <c r="E900" s="614" t="s">
        <v>641</v>
      </c>
      <c r="F900" s="607" t="s">
        <v>1912</v>
      </c>
    </row>
    <row r="901" spans="1:6" x14ac:dyDescent="0.2">
      <c r="A901" s="608" t="s">
        <v>1856</v>
      </c>
      <c r="B901" s="608">
        <v>220004</v>
      </c>
      <c r="E901" s="607" t="s">
        <v>642</v>
      </c>
    </row>
    <row r="902" spans="1:6" x14ac:dyDescent="0.2">
      <c r="A902" s="608" t="s">
        <v>1857</v>
      </c>
      <c r="B902" s="608">
        <v>220005</v>
      </c>
      <c r="E902" s="607" t="s">
        <v>643</v>
      </c>
    </row>
    <row r="903" spans="1:6" x14ac:dyDescent="0.2">
      <c r="A903" s="608" t="s">
        <v>1858</v>
      </c>
      <c r="B903" s="608">
        <v>220006</v>
      </c>
      <c r="E903" s="607" t="s">
        <v>644</v>
      </c>
    </row>
    <row r="904" spans="1:6" x14ac:dyDescent="0.2">
      <c r="A904" s="608"/>
    </row>
    <row r="905" spans="1:6" x14ac:dyDescent="0.2">
      <c r="A905" s="608" t="s">
        <v>1859</v>
      </c>
      <c r="B905" s="608">
        <v>221</v>
      </c>
      <c r="E905" s="607" t="s">
        <v>883</v>
      </c>
      <c r="F905" s="607" t="s">
        <v>1914</v>
      </c>
    </row>
    <row r="906" spans="1:6" x14ac:dyDescent="0.2">
      <c r="A906" s="608" t="s">
        <v>1860</v>
      </c>
      <c r="B906" s="608">
        <v>221001</v>
      </c>
      <c r="E906" s="607" t="s">
        <v>645</v>
      </c>
    </row>
    <row r="907" spans="1:6" x14ac:dyDescent="0.2">
      <c r="A907" s="608" t="s">
        <v>1861</v>
      </c>
      <c r="B907" s="608">
        <v>221002</v>
      </c>
      <c r="E907" s="607" t="s">
        <v>646</v>
      </c>
    </row>
    <row r="908" spans="1:6" x14ac:dyDescent="0.2">
      <c r="A908" s="608" t="s">
        <v>1862</v>
      </c>
      <c r="B908" s="608">
        <v>221003</v>
      </c>
      <c r="E908" s="607" t="s">
        <v>647</v>
      </c>
    </row>
    <row r="909" spans="1:6" x14ac:dyDescent="0.2">
      <c r="A909" s="613" t="s">
        <v>1863</v>
      </c>
      <c r="B909" s="613">
        <v>221004</v>
      </c>
      <c r="C909" s="613"/>
      <c r="D909" s="613"/>
      <c r="E909" s="614" t="s">
        <v>648</v>
      </c>
      <c r="F909" s="607" t="s">
        <v>1912</v>
      </c>
    </row>
    <row r="910" spans="1:6" x14ac:dyDescent="0.2">
      <c r="A910" s="613" t="s">
        <v>1864</v>
      </c>
      <c r="B910" s="613">
        <v>221005</v>
      </c>
      <c r="C910" s="613"/>
      <c r="D910" s="613"/>
      <c r="E910" s="614" t="s">
        <v>649</v>
      </c>
      <c r="F910" s="607" t="s">
        <v>1912</v>
      </c>
    </row>
    <row r="911" spans="1:6" x14ac:dyDescent="0.2">
      <c r="A911" s="608" t="s">
        <v>1865</v>
      </c>
      <c r="B911" s="608">
        <v>221006</v>
      </c>
      <c r="E911" s="607" t="s">
        <v>650</v>
      </c>
    </row>
    <row r="912" spans="1:6" x14ac:dyDescent="0.2">
      <c r="A912" s="608"/>
    </row>
    <row r="913" spans="1:6" x14ac:dyDescent="0.2">
      <c r="A913" s="608" t="s">
        <v>1866</v>
      </c>
      <c r="B913" s="608">
        <v>222</v>
      </c>
      <c r="E913" s="607" t="s">
        <v>884</v>
      </c>
      <c r="F913" s="607" t="s">
        <v>1914</v>
      </c>
    </row>
    <row r="914" spans="1:6" x14ac:dyDescent="0.2">
      <c r="A914" s="608" t="s">
        <v>1867</v>
      </c>
      <c r="B914" s="608">
        <v>222001</v>
      </c>
      <c r="E914" s="607" t="s">
        <v>651</v>
      </c>
    </row>
    <row r="915" spans="1:6" x14ac:dyDescent="0.2">
      <c r="A915" s="608" t="s">
        <v>1868</v>
      </c>
      <c r="B915" s="608">
        <v>222002</v>
      </c>
      <c r="E915" s="607" t="s">
        <v>652</v>
      </c>
    </row>
    <row r="916" spans="1:6" x14ac:dyDescent="0.2">
      <c r="A916" s="608" t="s">
        <v>1869</v>
      </c>
      <c r="B916" s="608">
        <v>222003</v>
      </c>
      <c r="E916" s="607" t="s">
        <v>653</v>
      </c>
    </row>
    <row r="917" spans="1:6" x14ac:dyDescent="0.2">
      <c r="A917" s="608" t="s">
        <v>1870</v>
      </c>
      <c r="B917" s="608">
        <v>222004</v>
      </c>
      <c r="E917" s="607" t="s">
        <v>654</v>
      </c>
    </row>
    <row r="918" spans="1:6" x14ac:dyDescent="0.2">
      <c r="A918" s="608" t="s">
        <v>1871</v>
      </c>
      <c r="B918" s="608">
        <v>222005</v>
      </c>
      <c r="E918" s="607" t="s">
        <v>655</v>
      </c>
    </row>
    <row r="919" spans="1:6" x14ac:dyDescent="0.2">
      <c r="A919" s="608" t="s">
        <v>1872</v>
      </c>
      <c r="B919" s="608">
        <v>222006</v>
      </c>
      <c r="E919" s="607" t="s">
        <v>656</v>
      </c>
    </row>
    <row r="920" spans="1:6" x14ac:dyDescent="0.2">
      <c r="A920" s="608" t="s">
        <v>1873</v>
      </c>
      <c r="B920" s="608">
        <v>222007</v>
      </c>
      <c r="E920" s="607" t="s">
        <v>657</v>
      </c>
    </row>
    <row r="921" spans="1:6" x14ac:dyDescent="0.2">
      <c r="A921" s="608" t="s">
        <v>1874</v>
      </c>
      <c r="B921" s="608">
        <v>222008</v>
      </c>
      <c r="E921" s="607" t="s">
        <v>658</v>
      </c>
    </row>
    <row r="922" spans="1:6" x14ac:dyDescent="0.2">
      <c r="A922" s="608" t="s">
        <v>1875</v>
      </c>
      <c r="B922" s="608">
        <v>222009</v>
      </c>
      <c r="E922" s="607" t="s">
        <v>659</v>
      </c>
    </row>
    <row r="923" spans="1:6" x14ac:dyDescent="0.2">
      <c r="A923" s="608" t="s">
        <v>1876</v>
      </c>
      <c r="B923" s="608">
        <v>222010</v>
      </c>
      <c r="E923" s="607" t="s">
        <v>660</v>
      </c>
    </row>
    <row r="924" spans="1:6" x14ac:dyDescent="0.2">
      <c r="A924" s="608" t="s">
        <v>1877</v>
      </c>
      <c r="B924" s="608">
        <v>222011</v>
      </c>
      <c r="E924" s="607" t="s">
        <v>661</v>
      </c>
    </row>
    <row r="925" spans="1:6" x14ac:dyDescent="0.2">
      <c r="A925" s="608" t="s">
        <v>1878</v>
      </c>
      <c r="B925" s="608">
        <v>222012</v>
      </c>
      <c r="E925" s="607" t="s">
        <v>662</v>
      </c>
    </row>
    <row r="926" spans="1:6" x14ac:dyDescent="0.2">
      <c r="A926" s="608" t="s">
        <v>1879</v>
      </c>
      <c r="B926" s="608">
        <v>222013</v>
      </c>
      <c r="E926" s="607" t="s">
        <v>663</v>
      </c>
    </row>
    <row r="927" spans="1:6" x14ac:dyDescent="0.2">
      <c r="A927" s="608" t="s">
        <v>1880</v>
      </c>
      <c r="B927" s="608">
        <v>222014</v>
      </c>
      <c r="E927" s="607" t="s">
        <v>664</v>
      </c>
    </row>
    <row r="928" spans="1:6" x14ac:dyDescent="0.2">
      <c r="A928" s="608" t="s">
        <v>1881</v>
      </c>
      <c r="B928" s="608">
        <v>222015</v>
      </c>
      <c r="E928" s="607" t="s">
        <v>665</v>
      </c>
    </row>
    <row r="929" spans="1:6" x14ac:dyDescent="0.2">
      <c r="A929" s="608" t="s">
        <v>1882</v>
      </c>
      <c r="B929" s="608">
        <v>222016</v>
      </c>
      <c r="E929" s="607" t="s">
        <v>666</v>
      </c>
    </row>
    <row r="930" spans="1:6" x14ac:dyDescent="0.2">
      <c r="A930" s="608"/>
    </row>
    <row r="931" spans="1:6" x14ac:dyDescent="0.2">
      <c r="A931" s="608" t="s">
        <v>1883</v>
      </c>
      <c r="B931" s="608">
        <v>223</v>
      </c>
      <c r="E931" s="607" t="s">
        <v>885</v>
      </c>
      <c r="F931" s="607" t="s">
        <v>1914</v>
      </c>
    </row>
    <row r="932" spans="1:6" x14ac:dyDescent="0.2">
      <c r="A932" s="608" t="s">
        <v>1884</v>
      </c>
      <c r="B932" s="608">
        <v>223001</v>
      </c>
      <c r="E932" s="607" t="s">
        <v>667</v>
      </c>
    </row>
    <row r="933" spans="1:6" x14ac:dyDescent="0.2">
      <c r="A933" s="608" t="s">
        <v>1885</v>
      </c>
      <c r="B933" s="608">
        <v>223002</v>
      </c>
      <c r="E933" s="607" t="s">
        <v>668</v>
      </c>
    </row>
    <row r="934" spans="1:6" x14ac:dyDescent="0.2">
      <c r="A934" s="613" t="s">
        <v>1886</v>
      </c>
      <c r="B934" s="613">
        <v>223003</v>
      </c>
      <c r="C934" s="613"/>
      <c r="D934" s="613"/>
      <c r="E934" s="614" t="s">
        <v>669</v>
      </c>
      <c r="F934" s="607" t="s">
        <v>1912</v>
      </c>
    </row>
    <row r="935" spans="1:6" x14ac:dyDescent="0.2">
      <c r="A935" s="608" t="s">
        <v>1887</v>
      </c>
      <c r="B935" s="608">
        <v>223004</v>
      </c>
      <c r="E935" s="607" t="s">
        <v>670</v>
      </c>
    </row>
    <row r="936" spans="1:6" x14ac:dyDescent="0.2">
      <c r="A936" s="608" t="s">
        <v>1888</v>
      </c>
      <c r="B936" s="608">
        <v>223005</v>
      </c>
      <c r="E936" s="607" t="s">
        <v>671</v>
      </c>
    </row>
    <row r="937" spans="1:6" x14ac:dyDescent="0.2">
      <c r="A937" s="608" t="s">
        <v>1889</v>
      </c>
      <c r="B937" s="608">
        <v>223006</v>
      </c>
      <c r="E937" s="607" t="s">
        <v>672</v>
      </c>
    </row>
    <row r="938" spans="1:6" x14ac:dyDescent="0.2">
      <c r="A938" s="608" t="s">
        <v>1890</v>
      </c>
      <c r="B938" s="608">
        <v>223007</v>
      </c>
      <c r="E938" s="607" t="s">
        <v>673</v>
      </c>
    </row>
    <row r="939" spans="1:6" x14ac:dyDescent="0.2">
      <c r="A939" s="608" t="s">
        <v>1891</v>
      </c>
      <c r="B939" s="608">
        <v>223008</v>
      </c>
      <c r="E939" s="607" t="s">
        <v>674</v>
      </c>
    </row>
    <row r="940" spans="1:6" x14ac:dyDescent="0.2">
      <c r="A940" s="608" t="s">
        <v>1892</v>
      </c>
      <c r="B940" s="608">
        <v>223009</v>
      </c>
      <c r="E940" s="607" t="s">
        <v>675</v>
      </c>
    </row>
    <row r="941" spans="1:6" x14ac:dyDescent="0.2">
      <c r="A941" s="608" t="s">
        <v>1893</v>
      </c>
      <c r="B941" s="608">
        <v>223010</v>
      </c>
      <c r="E941" s="607" t="s">
        <v>676</v>
      </c>
    </row>
    <row r="942" spans="1:6" x14ac:dyDescent="0.2">
      <c r="A942" s="608"/>
    </row>
    <row r="943" spans="1:6" x14ac:dyDescent="0.2">
      <c r="A943" s="608" t="s">
        <v>1894</v>
      </c>
      <c r="B943" s="608">
        <v>224</v>
      </c>
      <c r="E943" s="607" t="s">
        <v>301</v>
      </c>
      <c r="F943" s="607" t="s">
        <v>1914</v>
      </c>
    </row>
    <row r="944" spans="1:6" x14ac:dyDescent="0.2">
      <c r="A944" s="613" t="s">
        <v>1895</v>
      </c>
      <c r="B944" s="613">
        <v>224001</v>
      </c>
      <c r="C944" s="613"/>
      <c r="D944" s="613"/>
      <c r="E944" s="614" t="s">
        <v>681</v>
      </c>
      <c r="F944" s="607" t="s">
        <v>1912</v>
      </c>
    </row>
    <row r="945" spans="1:6" x14ac:dyDescent="0.2">
      <c r="A945" s="613" t="s">
        <v>1896</v>
      </c>
      <c r="B945" s="613">
        <v>224002</v>
      </c>
      <c r="C945" s="613"/>
      <c r="D945" s="613"/>
      <c r="E945" s="614" t="s">
        <v>682</v>
      </c>
      <c r="F945" s="607" t="s">
        <v>1912</v>
      </c>
    </row>
    <row r="946" spans="1:6" x14ac:dyDescent="0.2">
      <c r="A946" s="608"/>
    </row>
    <row r="947" spans="1:6" x14ac:dyDescent="0.2">
      <c r="A947" s="608" t="s">
        <v>1897</v>
      </c>
      <c r="B947" s="608">
        <v>225</v>
      </c>
      <c r="E947" s="607" t="s">
        <v>886</v>
      </c>
      <c r="F947" s="607" t="s">
        <v>1914</v>
      </c>
    </row>
    <row r="948" spans="1:6" x14ac:dyDescent="0.2">
      <c r="A948" s="613" t="s">
        <v>1898</v>
      </c>
      <c r="B948" s="613">
        <v>225001</v>
      </c>
      <c r="C948" s="613"/>
      <c r="D948" s="613"/>
      <c r="E948" s="614" t="s">
        <v>700</v>
      </c>
      <c r="F948" s="607" t="s">
        <v>1912</v>
      </c>
    </row>
    <row r="949" spans="1:6" x14ac:dyDescent="0.2">
      <c r="A949" s="613" t="s">
        <v>1899</v>
      </c>
      <c r="B949" s="613">
        <v>225002</v>
      </c>
      <c r="C949" s="613"/>
      <c r="D949" s="613"/>
      <c r="E949" s="614" t="s">
        <v>701</v>
      </c>
      <c r="F949" s="607" t="s">
        <v>1912</v>
      </c>
    </row>
    <row r="950" spans="1:6" x14ac:dyDescent="0.2">
      <c r="A950" s="608"/>
    </row>
    <row r="951" spans="1:6" x14ac:dyDescent="0.2">
      <c r="A951" s="608" t="s">
        <v>1900</v>
      </c>
      <c r="B951" s="608">
        <v>226</v>
      </c>
      <c r="E951" s="607" t="s">
        <v>887</v>
      </c>
      <c r="F951" s="607" t="s">
        <v>1914</v>
      </c>
    </row>
    <row r="952" spans="1:6" x14ac:dyDescent="0.2">
      <c r="A952" s="613" t="s">
        <v>1901</v>
      </c>
      <c r="B952" s="613">
        <v>226003</v>
      </c>
      <c r="C952" s="613"/>
      <c r="D952" s="613"/>
      <c r="E952" s="614" t="s">
        <v>689</v>
      </c>
      <c r="F952" s="607" t="s">
        <v>1912</v>
      </c>
    </row>
    <row r="953" spans="1:6" x14ac:dyDescent="0.2">
      <c r="A953" s="613" t="s">
        <v>1902</v>
      </c>
      <c r="B953" s="613">
        <v>226004</v>
      </c>
      <c r="C953" s="613"/>
      <c r="D953" s="613"/>
      <c r="E953" s="614" t="s">
        <v>702</v>
      </c>
      <c r="F953" s="607" t="s">
        <v>1912</v>
      </c>
    </row>
    <row r="954" spans="1:6" x14ac:dyDescent="0.2">
      <c r="A954" s="613" t="s">
        <v>1903</v>
      </c>
      <c r="B954" s="613">
        <v>226005</v>
      </c>
      <c r="C954" s="613"/>
      <c r="D954" s="613"/>
      <c r="E954" s="614" t="s">
        <v>703</v>
      </c>
      <c r="F954" s="607" t="s">
        <v>1912</v>
      </c>
    </row>
    <row r="955" spans="1:6" x14ac:dyDescent="0.2">
      <c r="A955" s="608"/>
    </row>
    <row r="956" spans="1:6" x14ac:dyDescent="0.2">
      <c r="A956" s="608" t="s">
        <v>1904</v>
      </c>
      <c r="B956" s="608">
        <v>227</v>
      </c>
      <c r="E956" s="607" t="s">
        <v>888</v>
      </c>
      <c r="F956" s="607" t="s">
        <v>1914</v>
      </c>
    </row>
    <row r="957" spans="1:6" x14ac:dyDescent="0.2">
      <c r="A957" s="613" t="s">
        <v>1905</v>
      </c>
      <c r="B957" s="613">
        <v>227001</v>
      </c>
      <c r="C957" s="613"/>
      <c r="D957" s="613"/>
      <c r="E957" s="614" t="s">
        <v>694</v>
      </c>
      <c r="F957" s="607" t="s">
        <v>1912</v>
      </c>
    </row>
    <row r="958" spans="1:6" x14ac:dyDescent="0.2">
      <c r="A958" s="613" t="s">
        <v>1906</v>
      </c>
      <c r="B958" s="613">
        <v>227002</v>
      </c>
      <c r="C958" s="613"/>
      <c r="D958" s="613"/>
      <c r="E958" s="614" t="s">
        <v>695</v>
      </c>
      <c r="F958" s="607" t="s">
        <v>1912</v>
      </c>
    </row>
    <row r="959" spans="1:6" x14ac:dyDescent="0.2">
      <c r="A959" s="613" t="s">
        <v>1907</v>
      </c>
      <c r="B959" s="613">
        <v>227003</v>
      </c>
      <c r="C959" s="613"/>
      <c r="D959" s="613"/>
      <c r="E959" s="614" t="s">
        <v>696</v>
      </c>
      <c r="F959" s="607" t="s">
        <v>1912</v>
      </c>
    </row>
    <row r="960" spans="1:6" x14ac:dyDescent="0.2">
      <c r="A960" s="613" t="s">
        <v>1908</v>
      </c>
      <c r="B960" s="613">
        <v>227004</v>
      </c>
      <c r="C960" s="613"/>
      <c r="D960" s="613"/>
      <c r="E960" s="614" t="s">
        <v>697</v>
      </c>
      <c r="F960" s="607" t="s">
        <v>1912</v>
      </c>
    </row>
    <row r="961" spans="1:7" x14ac:dyDescent="0.2">
      <c r="A961" s="613" t="s">
        <v>1909</v>
      </c>
      <c r="B961" s="613">
        <v>227005</v>
      </c>
      <c r="C961" s="613"/>
      <c r="D961" s="613"/>
      <c r="E961" s="614" t="s">
        <v>698</v>
      </c>
      <c r="F961" s="607" t="s">
        <v>1912</v>
      </c>
    </row>
    <row r="962" spans="1:7" x14ac:dyDescent="0.2">
      <c r="A962" s="613" t="s">
        <v>1910</v>
      </c>
      <c r="B962" s="613">
        <v>227006</v>
      </c>
      <c r="C962" s="613"/>
      <c r="D962" s="613"/>
      <c r="E962" s="614" t="s">
        <v>699</v>
      </c>
      <c r="F962" s="607" t="s">
        <v>1912</v>
      </c>
    </row>
    <row r="963" spans="1:7" x14ac:dyDescent="0.2">
      <c r="A963" s="613" t="s">
        <v>1911</v>
      </c>
      <c r="B963" s="613">
        <v>227007</v>
      </c>
      <c r="C963" s="613"/>
      <c r="D963" s="613"/>
      <c r="E963" s="614" t="s">
        <v>693</v>
      </c>
      <c r="F963" s="607" t="s">
        <v>1912</v>
      </c>
    </row>
    <row r="964" spans="1:7" x14ac:dyDescent="0.2">
      <c r="A964" s="608"/>
    </row>
    <row r="965" spans="1:7" x14ac:dyDescent="0.2">
      <c r="E965" s="608"/>
      <c r="G965" s="608"/>
    </row>
    <row r="966" spans="1:7" x14ac:dyDescent="0.2">
      <c r="E966" s="608"/>
      <c r="G966" s="608"/>
    </row>
    <row r="967" spans="1:7" x14ac:dyDescent="0.2">
      <c r="E967" s="608"/>
      <c r="G967" s="608"/>
    </row>
    <row r="968" spans="1:7" x14ac:dyDescent="0.2">
      <c r="E968" s="608"/>
      <c r="G968" s="608"/>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46" zoomScale="90" zoomScaleNormal="90" zoomScaleSheetLayoutView="90" workbookViewId="0">
      <selection activeCell="C14" sqref="C14"/>
    </sheetView>
  </sheetViews>
  <sheetFormatPr baseColWidth="10" defaultColWidth="11.42578125" defaultRowHeight="20.100000000000001" customHeight="1" x14ac:dyDescent="0.2"/>
  <cols>
    <col min="1" max="1" width="11.140625" style="656" customWidth="1"/>
    <col min="2" max="2" width="19" style="79" customWidth="1"/>
    <col min="3" max="3" width="78.28515625" style="79" customWidth="1"/>
    <col min="4" max="4" width="9.140625" style="111" customWidth="1"/>
    <col min="5" max="5" width="10" style="79" customWidth="1"/>
    <col min="6" max="6" width="15.7109375" style="79" customWidth="1"/>
    <col min="7" max="7" width="94.140625" style="79" customWidth="1"/>
    <col min="8" max="8" width="9.42578125" style="79" customWidth="1"/>
    <col min="9" max="9" width="13.42578125" style="79" customWidth="1"/>
    <col min="10" max="10" width="41" style="495" customWidth="1"/>
    <col min="11" max="11" width="24.85546875" style="79" customWidth="1"/>
    <col min="12" max="16384" width="11.42578125" style="79"/>
  </cols>
  <sheetData>
    <row r="1" spans="1:10" ht="20.100000000000001" customHeight="1" x14ac:dyDescent="0.2">
      <c r="A1" s="778" t="s">
        <v>921</v>
      </c>
      <c r="B1" s="779"/>
      <c r="C1" s="779"/>
      <c r="D1" s="780"/>
      <c r="E1" s="84"/>
      <c r="F1" s="84"/>
      <c r="I1" s="495"/>
      <c r="J1" s="79"/>
    </row>
    <row r="2" spans="1:10" s="90" customFormat="1" ht="20.100000000000001" customHeight="1" x14ac:dyDescent="0.2">
      <c r="A2" s="78" t="s">
        <v>8</v>
      </c>
      <c r="C2" s="78" t="s">
        <v>1968</v>
      </c>
      <c r="D2" s="78"/>
      <c r="E2" s="78"/>
      <c r="F2" s="78"/>
      <c r="I2" s="495"/>
    </row>
    <row r="3" spans="1:10" s="92" customFormat="1" ht="20.100000000000001" customHeight="1" x14ac:dyDescent="0.2">
      <c r="A3" s="91" t="s">
        <v>9</v>
      </c>
      <c r="C3" s="93" t="s">
        <v>1969</v>
      </c>
      <c r="D3" s="94"/>
      <c r="E3" s="91" t="s">
        <v>1935</v>
      </c>
      <c r="F3" s="94"/>
      <c r="I3" s="496"/>
    </row>
    <row r="4" spans="1:10" s="167" customFormat="1" ht="19.5" customHeight="1" x14ac:dyDescent="0.2">
      <c r="A4" s="165" t="s">
        <v>961</v>
      </c>
      <c r="C4" s="166"/>
      <c r="D4" s="39"/>
      <c r="E4" s="93"/>
      <c r="F4" s="167" t="s">
        <v>1936</v>
      </c>
      <c r="I4" s="497"/>
    </row>
    <row r="5" spans="1:10" s="167" customFormat="1" ht="19.5" customHeight="1" x14ac:dyDescent="0.2">
      <c r="A5" s="165" t="s">
        <v>962</v>
      </c>
      <c r="C5" s="166"/>
      <c r="D5" s="39"/>
      <c r="E5" s="39"/>
      <c r="I5" s="497"/>
    </row>
    <row r="6" spans="1:10" s="167" customFormat="1" ht="19.5" customHeight="1" x14ac:dyDescent="0.2">
      <c r="A6" s="165" t="s">
        <v>963</v>
      </c>
      <c r="C6" s="166"/>
      <c r="D6" s="39"/>
      <c r="E6" s="508"/>
      <c r="F6" s="167" t="s">
        <v>1937</v>
      </c>
      <c r="I6" s="497"/>
    </row>
    <row r="7" spans="1:10" s="167" customFormat="1" ht="19.5" customHeight="1" x14ac:dyDescent="0.2">
      <c r="A7" s="165" t="s">
        <v>964</v>
      </c>
      <c r="C7" s="166"/>
      <c r="D7" s="39"/>
      <c r="E7" s="39"/>
      <c r="I7" s="497"/>
    </row>
    <row r="8" spans="1:10" s="92" customFormat="1" ht="20.100000000000001" customHeight="1" x14ac:dyDescent="0.2">
      <c r="A8" s="91" t="s">
        <v>13</v>
      </c>
      <c r="C8" s="95" t="s">
        <v>1970</v>
      </c>
      <c r="D8" s="94"/>
      <c r="E8" s="661"/>
      <c r="F8" s="167" t="s">
        <v>1938</v>
      </c>
      <c r="I8" s="496"/>
    </row>
    <row r="9" spans="1:10" s="92" customFormat="1" ht="20.100000000000001" customHeight="1" x14ac:dyDescent="0.2">
      <c r="A9" s="91" t="s">
        <v>12</v>
      </c>
      <c r="C9" s="771" t="s">
        <v>2012</v>
      </c>
      <c r="I9" s="496"/>
    </row>
    <row r="10" spans="1:10" s="92" customFormat="1" ht="20.100000000000001" customHeight="1" x14ac:dyDescent="0.2">
      <c r="A10" s="91" t="s">
        <v>30</v>
      </c>
      <c r="C10" s="96" t="s">
        <v>1971</v>
      </c>
      <c r="I10" s="496"/>
    </row>
    <row r="11" spans="1:10" s="92" customFormat="1" ht="20.100000000000001" customHeight="1" x14ac:dyDescent="0.2">
      <c r="A11" s="91" t="s">
        <v>15</v>
      </c>
      <c r="C11" s="97">
        <v>57921924</v>
      </c>
      <c r="I11" s="496"/>
    </row>
    <row r="12" spans="1:10" s="92" customFormat="1" ht="20.100000000000001" customHeight="1" x14ac:dyDescent="0.2">
      <c r="A12" s="91" t="s">
        <v>892</v>
      </c>
      <c r="C12" s="98">
        <v>0.05</v>
      </c>
      <c r="I12" s="496"/>
    </row>
    <row r="13" spans="1:10" s="92" customFormat="1" ht="20.100000000000001" customHeight="1" x14ac:dyDescent="0.2">
      <c r="A13" s="91" t="s">
        <v>891</v>
      </c>
      <c r="C13" s="772">
        <v>44319</v>
      </c>
      <c r="I13" s="496"/>
    </row>
    <row r="14" spans="1:10" s="92" customFormat="1" ht="20.100000000000001" customHeight="1" x14ac:dyDescent="0.2">
      <c r="A14" s="91" t="s">
        <v>14</v>
      </c>
      <c r="C14" s="99">
        <v>120</v>
      </c>
      <c r="I14" s="496"/>
    </row>
    <row r="15" spans="1:10" s="92" customFormat="1" ht="20.100000000000001" customHeight="1" x14ac:dyDescent="0.2">
      <c r="A15" s="91"/>
      <c r="B15" s="100"/>
      <c r="I15" s="496"/>
    </row>
    <row r="16" spans="1:10" ht="20.100000000000001" customHeight="1" x14ac:dyDescent="0.2">
      <c r="A16" s="781" t="s">
        <v>922</v>
      </c>
      <c r="B16" s="781"/>
      <c r="C16" s="781"/>
      <c r="D16" s="781"/>
      <c r="E16" s="781"/>
      <c r="F16" s="84"/>
      <c r="I16" s="495"/>
      <c r="J16" s="79"/>
    </row>
    <row r="17" spans="1:11" s="92" customFormat="1" ht="20.100000000000001" customHeight="1" x14ac:dyDescent="0.2">
      <c r="A17" s="91" t="s">
        <v>10</v>
      </c>
      <c r="C17" s="508"/>
      <c r="D17" s="112"/>
      <c r="I17" s="496"/>
    </row>
    <row r="18" spans="1:11" s="167" customFormat="1" ht="20.100000000000001" customHeight="1" x14ac:dyDescent="0.2">
      <c r="A18" s="165" t="s">
        <v>1722</v>
      </c>
      <c r="B18" s="504"/>
      <c r="C18" s="508"/>
      <c r="D18" s="39"/>
      <c r="E18" s="39"/>
      <c r="I18" s="497"/>
    </row>
    <row r="19" spans="1:11" s="167" customFormat="1" ht="20.100000000000001" customHeight="1" x14ac:dyDescent="0.2">
      <c r="A19" s="165" t="s">
        <v>1723</v>
      </c>
      <c r="B19" s="504"/>
      <c r="C19" s="508"/>
      <c r="D19" s="39"/>
      <c r="E19" s="39"/>
      <c r="I19" s="497"/>
    </row>
    <row r="20" spans="1:11" s="167" customFormat="1" ht="20.100000000000001" customHeight="1" x14ac:dyDescent="0.2">
      <c r="A20" s="165" t="s">
        <v>1724</v>
      </c>
      <c r="B20" s="504"/>
      <c r="C20" s="508"/>
      <c r="D20" s="39"/>
      <c r="E20" s="39"/>
      <c r="I20" s="497"/>
      <c r="K20" s="167" t="e">
        <f>MATCH(Datos!B32,T_Datos)</f>
        <v>#N/A</v>
      </c>
    </row>
    <row r="21" spans="1:11" s="167" customFormat="1" ht="20.100000000000001" customHeight="1" x14ac:dyDescent="0.2">
      <c r="A21" s="165" t="s">
        <v>1723</v>
      </c>
      <c r="B21" s="504"/>
      <c r="C21" s="508"/>
      <c r="D21" s="39"/>
      <c r="E21" s="39"/>
      <c r="I21" s="497"/>
    </row>
    <row r="22" spans="1:11" s="167" customFormat="1" ht="20.100000000000001" customHeight="1" x14ac:dyDescent="0.2">
      <c r="A22" s="165" t="s">
        <v>1724</v>
      </c>
      <c r="B22" s="504"/>
      <c r="C22" s="508"/>
      <c r="D22" s="39"/>
      <c r="E22" s="39"/>
      <c r="I22" s="497"/>
    </row>
    <row r="23" spans="1:11" s="167" customFormat="1" ht="20.100000000000001" customHeight="1" x14ac:dyDescent="0.2">
      <c r="A23" s="91" t="s">
        <v>1721</v>
      </c>
      <c r="C23" s="508"/>
      <c r="D23" s="112"/>
      <c r="E23" s="92"/>
      <c r="F23" s="92"/>
      <c r="G23" s="92"/>
      <c r="H23" s="92"/>
      <c r="I23" s="497"/>
    </row>
    <row r="24" spans="1:11" s="167" customFormat="1" ht="20.100000000000001" customHeight="1" x14ac:dyDescent="0.2">
      <c r="A24" s="91" t="s">
        <v>916</v>
      </c>
      <c r="C24" s="508">
        <v>0.15</v>
      </c>
      <c r="D24" s="113"/>
      <c r="E24" s="110"/>
      <c r="F24" s="110"/>
      <c r="G24" s="79"/>
      <c r="H24" s="79"/>
      <c r="I24" s="497"/>
    </row>
    <row r="25" spans="1:11" s="167" customFormat="1" ht="20.100000000000001" customHeight="1" x14ac:dyDescent="0.2">
      <c r="A25" s="91" t="s">
        <v>915</v>
      </c>
      <c r="B25" s="79"/>
      <c r="C25" s="508">
        <v>0.1</v>
      </c>
      <c r="D25" s="113"/>
      <c r="E25" s="79"/>
      <c r="F25" s="79"/>
      <c r="G25" s="79"/>
      <c r="H25" s="79"/>
      <c r="I25" s="497"/>
    </row>
    <row r="26" spans="1:11" s="167" customFormat="1" ht="20.100000000000001" customHeight="1" x14ac:dyDescent="0.2">
      <c r="A26" s="91" t="s">
        <v>941</v>
      </c>
      <c r="C26" s="508">
        <v>2.4E-2</v>
      </c>
      <c r="D26" s="113"/>
      <c r="E26" s="79"/>
      <c r="F26" s="79"/>
      <c r="G26" s="79"/>
      <c r="H26" s="79"/>
      <c r="I26" s="497"/>
    </row>
    <row r="27" spans="1:11" s="167" customFormat="1" ht="20.100000000000001" customHeight="1" x14ac:dyDescent="0.2">
      <c r="A27" s="91" t="s">
        <v>914</v>
      </c>
      <c r="B27" s="79"/>
      <c r="C27" s="508">
        <v>0.21</v>
      </c>
      <c r="D27" s="113"/>
      <c r="E27" s="79"/>
      <c r="F27" s="79"/>
      <c r="G27" s="79"/>
      <c r="H27" s="79"/>
      <c r="I27" s="497"/>
    </row>
    <row r="28" spans="1:11" ht="20.100000000000001" customHeight="1" x14ac:dyDescent="0.2">
      <c r="A28" s="91" t="s">
        <v>918</v>
      </c>
      <c r="C28" s="660">
        <f>PrecioUnitario(1,Costo_Financiero,Gasto_Generales_Porcentaje,Beneficio,Ingresos_Brutos,IVA)</f>
        <v>1.5425</v>
      </c>
      <c r="I28" s="495"/>
      <c r="J28" s="101"/>
    </row>
    <row r="29" spans="1:11" ht="20.100000000000001" customHeight="1" x14ac:dyDescent="0.2">
      <c r="D29" s="81"/>
      <c r="E29" s="111"/>
      <c r="K29" s="101"/>
    </row>
    <row r="30" spans="1:11" ht="20.100000000000001" customHeight="1" x14ac:dyDescent="0.2">
      <c r="B30" s="778" t="s">
        <v>940</v>
      </c>
      <c r="C30" s="779"/>
      <c r="D30" s="779"/>
      <c r="E30" s="780"/>
      <c r="F30" s="84"/>
      <c r="I30" s="495"/>
      <c r="J30" s="101"/>
    </row>
    <row r="31" spans="1:11" ht="20.100000000000001" customHeight="1" x14ac:dyDescent="0.2">
      <c r="G31" s="777" t="s">
        <v>942</v>
      </c>
      <c r="H31" s="777"/>
      <c r="I31" s="495"/>
      <c r="J31" s="101"/>
    </row>
    <row r="32" spans="1:11" ht="27.75" customHeight="1" x14ac:dyDescent="0.2">
      <c r="B32" s="513" t="s">
        <v>893</v>
      </c>
      <c r="C32" s="509" t="s">
        <v>0</v>
      </c>
      <c r="D32" s="514" t="s">
        <v>1</v>
      </c>
      <c r="E32" s="513" t="s">
        <v>2</v>
      </c>
      <c r="F32" s="116"/>
      <c r="G32" s="513" t="s">
        <v>943</v>
      </c>
      <c r="H32" s="513" t="s">
        <v>1</v>
      </c>
      <c r="I32" s="495"/>
      <c r="J32" s="513" t="s">
        <v>1725</v>
      </c>
    </row>
    <row r="33" spans="1:11" ht="20.100000000000001" customHeight="1" x14ac:dyDescent="0.2">
      <c r="B33" s="76"/>
      <c r="C33" s="503"/>
      <c r="D33" s="114"/>
      <c r="E33" s="76"/>
      <c r="F33" s="116"/>
      <c r="G33" s="673"/>
      <c r="H33" s="673"/>
      <c r="I33" s="495"/>
      <c r="J33" s="79"/>
    </row>
    <row r="34" spans="1:11" ht="20.100000000000001" customHeight="1" x14ac:dyDescent="0.2">
      <c r="A34" s="656">
        <v>0</v>
      </c>
      <c r="B34" s="117">
        <v>1</v>
      </c>
      <c r="C34" s="77" t="str">
        <f t="shared" ref="C34:C64" si="0">IFERROR(VLOOKUP(J34,T_Código_Items,2,FALSE),G34)</f>
        <v>ELABORACION PROYECTO EJECUTIVO</v>
      </c>
      <c r="D34" s="115">
        <f t="shared" ref="D34:D64" si="1">IFERROR(VLOOKUP(J34,T_Código_Items,3,FALSE),H34)</f>
        <v>0</v>
      </c>
      <c r="E34" s="658"/>
      <c r="F34" s="161"/>
      <c r="G34" s="162" t="s">
        <v>1989</v>
      </c>
      <c r="H34" s="657"/>
      <c r="I34" s="495"/>
      <c r="J34" s="79"/>
    </row>
    <row r="35" spans="1:11" ht="20.100000000000001" customHeight="1" x14ac:dyDescent="0.2">
      <c r="A35" s="656">
        <f t="shared" ref="A35:A41" si="2">IF(D35=0,A34,A34+1)</f>
        <v>1</v>
      </c>
      <c r="B35" s="117" t="s">
        <v>2008</v>
      </c>
      <c r="C35" s="77" t="str">
        <f t="shared" si="0"/>
        <v>Elaboracion Proyecto Ejecutivo</v>
      </c>
      <c r="D35" s="115" t="str">
        <f t="shared" si="1"/>
        <v>gl.</v>
      </c>
      <c r="E35" s="659">
        <v>1</v>
      </c>
      <c r="F35" s="163"/>
      <c r="G35" s="162" t="s">
        <v>1973</v>
      </c>
      <c r="H35" s="657" t="s">
        <v>1974</v>
      </c>
      <c r="I35" s="505"/>
      <c r="J35" s="79"/>
    </row>
    <row r="36" spans="1:11" ht="20.100000000000001" customHeight="1" x14ac:dyDescent="0.2">
      <c r="A36" s="656">
        <f t="shared" si="2"/>
        <v>1</v>
      </c>
      <c r="B36" s="117">
        <v>2</v>
      </c>
      <c r="C36" s="77" t="str">
        <f t="shared" si="0"/>
        <v>CANAL GENERAL COCHAGUAL Progresiva 4080-4880</v>
      </c>
      <c r="D36" s="115">
        <f t="shared" si="1"/>
        <v>0</v>
      </c>
      <c r="E36" s="659"/>
      <c r="F36" s="163"/>
      <c r="G36" s="162" t="s">
        <v>1975</v>
      </c>
      <c r="H36" s="657"/>
      <c r="I36" s="506"/>
      <c r="J36" s="79"/>
    </row>
    <row r="37" spans="1:11" ht="20.100000000000001" customHeight="1" x14ac:dyDescent="0.2">
      <c r="A37" s="656">
        <f t="shared" si="2"/>
        <v>2</v>
      </c>
      <c r="B37" s="117" t="s">
        <v>1990</v>
      </c>
      <c r="C37" s="77" t="str">
        <f t="shared" si="0"/>
        <v>Limpieza y Replanteo</v>
      </c>
      <c r="D37" s="115" t="str">
        <f t="shared" si="1"/>
        <v>gl.</v>
      </c>
      <c r="E37" s="659">
        <v>1</v>
      </c>
      <c r="F37" s="163"/>
      <c r="G37" s="162" t="s">
        <v>1976</v>
      </c>
      <c r="H37" s="657" t="s">
        <v>1974</v>
      </c>
      <c r="I37" s="495"/>
      <c r="J37" s="79"/>
    </row>
    <row r="38" spans="1:11" ht="27.75" customHeight="1" x14ac:dyDescent="0.2">
      <c r="A38" s="656">
        <f t="shared" si="2"/>
        <v>3</v>
      </c>
      <c r="B38" s="117" t="s">
        <v>1991</v>
      </c>
      <c r="C38" s="77" t="str">
        <f t="shared" si="0"/>
        <v>Relleno y compactacion de posibles oquedadas laterales</v>
      </c>
      <c r="D38" s="115" t="str">
        <f t="shared" si="1"/>
        <v>m3</v>
      </c>
      <c r="E38" s="659">
        <v>120</v>
      </c>
      <c r="F38" s="163"/>
      <c r="G38" s="162" t="s">
        <v>1977</v>
      </c>
      <c r="H38" s="657" t="s">
        <v>1961</v>
      </c>
      <c r="I38" s="507"/>
      <c r="J38" s="188"/>
    </row>
    <row r="39" spans="1:11" ht="25.5" customHeight="1" x14ac:dyDescent="0.2">
      <c r="A39" s="656">
        <f t="shared" si="2"/>
        <v>4</v>
      </c>
      <c r="B39" s="117" t="s">
        <v>1992</v>
      </c>
      <c r="C39" s="774" t="str">
        <f t="shared" si="0"/>
        <v>Relleno y compactacion de posibles oquedades laterales con la adicion de una bolsa de cemento portland puzolanico por m3 de rellemo</v>
      </c>
      <c r="D39" s="115" t="str">
        <f t="shared" si="1"/>
        <v>m3</v>
      </c>
      <c r="E39" s="659">
        <v>140</v>
      </c>
      <c r="F39" s="163"/>
      <c r="G39" s="773" t="s">
        <v>1978</v>
      </c>
      <c r="H39" s="657" t="s">
        <v>1961</v>
      </c>
      <c r="I39" s="507"/>
      <c r="J39" s="79"/>
    </row>
    <row r="40" spans="1:11" ht="20.100000000000001" customHeight="1" x14ac:dyDescent="0.2">
      <c r="A40" s="656">
        <f t="shared" si="2"/>
        <v>5</v>
      </c>
      <c r="B40" s="117" t="s">
        <v>1993</v>
      </c>
      <c r="C40" s="77" t="str">
        <f t="shared" si="0"/>
        <v>Hormigon de encamisado H-21</v>
      </c>
      <c r="D40" s="115" t="str">
        <f t="shared" si="1"/>
        <v>m3</v>
      </c>
      <c r="E40" s="659">
        <v>600</v>
      </c>
      <c r="F40" s="163"/>
      <c r="G40" s="162" t="s">
        <v>1979</v>
      </c>
      <c r="H40" s="657" t="s">
        <v>1961</v>
      </c>
      <c r="I40" s="507"/>
      <c r="J40" s="79"/>
      <c r="K40" s="102"/>
    </row>
    <row r="41" spans="1:11" ht="20.100000000000001" customHeight="1" x14ac:dyDescent="0.2">
      <c r="A41" s="656">
        <f t="shared" si="2"/>
        <v>6</v>
      </c>
      <c r="B41" s="117" t="s">
        <v>1994</v>
      </c>
      <c r="C41" s="77" t="str">
        <f t="shared" si="0"/>
        <v>Armadura colocada en obra</v>
      </c>
      <c r="D41" s="115" t="str">
        <f t="shared" si="1"/>
        <v>t</v>
      </c>
      <c r="E41" s="659">
        <v>32.700000000000003</v>
      </c>
      <c r="F41" s="163"/>
      <c r="G41" s="162" t="s">
        <v>1980</v>
      </c>
      <c r="H41" s="657" t="s">
        <v>1981</v>
      </c>
      <c r="I41" s="507"/>
      <c r="J41" s="79"/>
      <c r="K41" s="102"/>
    </row>
    <row r="42" spans="1:11" ht="20.100000000000001" customHeight="1" x14ac:dyDescent="0.2">
      <c r="A42" s="656">
        <f t="shared" ref="A42:A98" si="3">IF(D42=0,A41,A41+1)</f>
        <v>7</v>
      </c>
      <c r="B42" s="117" t="s">
        <v>1995</v>
      </c>
      <c r="C42" s="77" t="str">
        <f t="shared" si="0"/>
        <v>Juntas de contraccion y dilatacion</v>
      </c>
      <c r="D42" s="115" t="str">
        <f t="shared" si="1"/>
        <v>m</v>
      </c>
      <c r="E42" s="659">
        <v>1056</v>
      </c>
      <c r="F42" s="163"/>
      <c r="G42" s="162" t="s">
        <v>1982</v>
      </c>
      <c r="H42" s="657" t="s">
        <v>975</v>
      </c>
      <c r="I42" s="507"/>
      <c r="J42" s="79"/>
      <c r="K42" s="102"/>
    </row>
    <row r="43" spans="1:11" ht="20.100000000000001" customHeight="1" x14ac:dyDescent="0.2">
      <c r="A43" s="656">
        <f t="shared" si="3"/>
        <v>7</v>
      </c>
      <c r="B43" s="117">
        <v>3</v>
      </c>
      <c r="C43" s="77" t="str">
        <f t="shared" si="0"/>
        <v>CANAL GENERAL COCHAGUAL Progresiva 9860-10860</v>
      </c>
      <c r="D43" s="115">
        <f t="shared" si="1"/>
        <v>0</v>
      </c>
      <c r="E43" s="659"/>
      <c r="F43" s="163"/>
      <c r="G43" s="162" t="s">
        <v>1983</v>
      </c>
      <c r="H43" s="657"/>
      <c r="I43" s="507"/>
      <c r="J43" s="79"/>
      <c r="K43" s="102"/>
    </row>
    <row r="44" spans="1:11" ht="20.100000000000001" customHeight="1" x14ac:dyDescent="0.2">
      <c r="A44" s="656">
        <f t="shared" si="3"/>
        <v>8</v>
      </c>
      <c r="B44" s="117" t="s">
        <v>1996</v>
      </c>
      <c r="C44" s="77" t="str">
        <f t="shared" si="0"/>
        <v>Limpieza y Replanteo</v>
      </c>
      <c r="D44" s="115" t="str">
        <f t="shared" si="1"/>
        <v>gl.</v>
      </c>
      <c r="E44" s="659">
        <v>1</v>
      </c>
      <c r="F44" s="163"/>
      <c r="G44" s="162" t="s">
        <v>1976</v>
      </c>
      <c r="H44" s="657" t="s">
        <v>1974</v>
      </c>
      <c r="I44" s="507"/>
      <c r="J44" s="79"/>
      <c r="K44" s="102"/>
    </row>
    <row r="45" spans="1:11" ht="24.75" customHeight="1" x14ac:dyDescent="0.2">
      <c r="A45" s="656">
        <f t="shared" si="3"/>
        <v>9</v>
      </c>
      <c r="B45" s="117" t="s">
        <v>1997</v>
      </c>
      <c r="C45" s="77" t="str">
        <f t="shared" si="0"/>
        <v>Relleno y compactacion de posibles oquedadas laterales</v>
      </c>
      <c r="D45" s="115" t="str">
        <f t="shared" si="1"/>
        <v>m3</v>
      </c>
      <c r="E45" s="659">
        <v>150</v>
      </c>
      <c r="F45" s="163"/>
      <c r="G45" s="162" t="s">
        <v>1977</v>
      </c>
      <c r="H45" s="657" t="s">
        <v>1961</v>
      </c>
      <c r="I45" s="507"/>
      <c r="J45" s="79"/>
      <c r="K45" s="102"/>
    </row>
    <row r="46" spans="1:11" ht="27.75" customHeight="1" x14ac:dyDescent="0.2">
      <c r="A46" s="656">
        <f t="shared" si="3"/>
        <v>10</v>
      </c>
      <c r="B46" s="117" t="s">
        <v>1998</v>
      </c>
      <c r="C46" s="774" t="str">
        <f t="shared" si="0"/>
        <v>Relleno y compactacion de posibles oquedades laterales con la adicion de una bolsa de cemento portland puzolanico por m3 de rellemo</v>
      </c>
      <c r="D46" s="115" t="str">
        <f t="shared" si="1"/>
        <v>m3</v>
      </c>
      <c r="E46" s="659">
        <v>175</v>
      </c>
      <c r="F46" s="163"/>
      <c r="G46" s="773" t="s">
        <v>1978</v>
      </c>
      <c r="H46" s="657" t="s">
        <v>1961</v>
      </c>
      <c r="I46" s="507"/>
      <c r="J46" s="79"/>
      <c r="K46" s="102"/>
    </row>
    <row r="47" spans="1:11" ht="20.100000000000001" customHeight="1" x14ac:dyDescent="0.2">
      <c r="A47" s="656">
        <f t="shared" si="3"/>
        <v>11</v>
      </c>
      <c r="B47" s="117" t="s">
        <v>1999</v>
      </c>
      <c r="C47" s="77" t="str">
        <f t="shared" si="0"/>
        <v>Hormigon de encamisado H-21</v>
      </c>
      <c r="D47" s="115" t="str">
        <f t="shared" si="1"/>
        <v>m3</v>
      </c>
      <c r="E47" s="659">
        <v>590</v>
      </c>
      <c r="F47" s="163"/>
      <c r="G47" s="162" t="s">
        <v>1979</v>
      </c>
      <c r="H47" s="657" t="s">
        <v>1961</v>
      </c>
      <c r="I47" s="507"/>
      <c r="J47" s="79"/>
      <c r="K47" s="102"/>
    </row>
    <row r="48" spans="1:11" ht="20.100000000000001" customHeight="1" x14ac:dyDescent="0.2">
      <c r="A48" s="656">
        <f t="shared" si="3"/>
        <v>12</v>
      </c>
      <c r="B48" s="117" t="s">
        <v>2000</v>
      </c>
      <c r="C48" s="77" t="str">
        <f t="shared" si="0"/>
        <v>Armadura colocada en obra</v>
      </c>
      <c r="D48" s="115" t="str">
        <f t="shared" si="1"/>
        <v>t</v>
      </c>
      <c r="E48" s="659">
        <v>40.9</v>
      </c>
      <c r="F48" s="163"/>
      <c r="G48" s="162" t="s">
        <v>1980</v>
      </c>
      <c r="H48" s="657" t="s">
        <v>1981</v>
      </c>
      <c r="I48" s="507"/>
      <c r="J48" s="79"/>
      <c r="K48" s="102"/>
    </row>
    <row r="49" spans="1:11" ht="20.100000000000001" customHeight="1" x14ac:dyDescent="0.2">
      <c r="A49" s="656">
        <f t="shared" si="3"/>
        <v>13</v>
      </c>
      <c r="B49" s="117" t="s">
        <v>2001</v>
      </c>
      <c r="C49" s="77" t="str">
        <f t="shared" si="0"/>
        <v>Juntas de contraccion y dilatacion</v>
      </c>
      <c r="D49" s="115" t="str">
        <f t="shared" si="1"/>
        <v>m</v>
      </c>
      <c r="E49" s="659">
        <v>1320</v>
      </c>
      <c r="F49" s="163"/>
      <c r="G49" s="162" t="s">
        <v>1982</v>
      </c>
      <c r="H49" s="657" t="s">
        <v>975</v>
      </c>
      <c r="I49" s="507"/>
      <c r="J49" s="79"/>
      <c r="K49" s="102"/>
    </row>
    <row r="50" spans="1:11" ht="20.100000000000001" customHeight="1" x14ac:dyDescent="0.2">
      <c r="A50" s="656">
        <f t="shared" si="3"/>
        <v>13</v>
      </c>
      <c r="B50" s="117">
        <v>4</v>
      </c>
      <c r="C50" s="77" t="str">
        <f t="shared" si="0"/>
        <v>PUENTES SOBRE CANAL</v>
      </c>
      <c r="D50" s="115">
        <f t="shared" si="1"/>
        <v>0</v>
      </c>
      <c r="E50" s="659"/>
      <c r="F50" s="163"/>
      <c r="G50" s="162" t="s">
        <v>1984</v>
      </c>
      <c r="H50" s="657"/>
      <c r="I50" s="507"/>
      <c r="J50" s="79"/>
      <c r="K50" s="102"/>
    </row>
    <row r="51" spans="1:11" ht="20.100000000000001" customHeight="1" x14ac:dyDescent="0.2">
      <c r="A51" s="656">
        <f t="shared" si="3"/>
        <v>14</v>
      </c>
      <c r="B51" s="117" t="s">
        <v>2002</v>
      </c>
      <c r="C51" s="77" t="str">
        <f t="shared" si="0"/>
        <v>Limpieza y Replanteo</v>
      </c>
      <c r="D51" s="115" t="str">
        <f t="shared" si="1"/>
        <v>gl.</v>
      </c>
      <c r="E51" s="659">
        <v>1</v>
      </c>
      <c r="F51" s="163"/>
      <c r="G51" s="162" t="s">
        <v>1976</v>
      </c>
      <c r="H51" s="657" t="s">
        <v>1974</v>
      </c>
      <c r="I51" s="507"/>
      <c r="J51" s="79"/>
      <c r="K51" s="102"/>
    </row>
    <row r="52" spans="1:11" ht="20.100000000000001" customHeight="1" x14ac:dyDescent="0.2">
      <c r="A52" s="656">
        <f t="shared" si="3"/>
        <v>15</v>
      </c>
      <c r="B52" s="117" t="s">
        <v>2003</v>
      </c>
      <c r="C52" s="77" t="str">
        <f t="shared" si="0"/>
        <v>Excavacion</v>
      </c>
      <c r="D52" s="115" t="str">
        <f t="shared" si="1"/>
        <v>m3</v>
      </c>
      <c r="E52" s="659">
        <v>93</v>
      </c>
      <c r="F52" s="163"/>
      <c r="G52" s="162" t="s">
        <v>1985</v>
      </c>
      <c r="H52" s="657" t="s">
        <v>1961</v>
      </c>
      <c r="I52" s="507"/>
      <c r="J52" s="79"/>
      <c r="K52" s="102"/>
    </row>
    <row r="53" spans="1:11" ht="20.100000000000001" customHeight="1" x14ac:dyDescent="0.2">
      <c r="A53" s="656">
        <f t="shared" si="3"/>
        <v>16</v>
      </c>
      <c r="B53" s="117" t="s">
        <v>2004</v>
      </c>
      <c r="C53" s="77" t="str">
        <f t="shared" si="0"/>
        <v>Hormigon H-21</v>
      </c>
      <c r="D53" s="115" t="str">
        <f t="shared" si="1"/>
        <v>m3</v>
      </c>
      <c r="E53" s="659">
        <v>49.2</v>
      </c>
      <c r="F53" s="163"/>
      <c r="G53" s="162" t="s">
        <v>1986</v>
      </c>
      <c r="H53" s="657" t="s">
        <v>1961</v>
      </c>
      <c r="I53" s="507"/>
      <c r="J53" s="79"/>
      <c r="K53" s="102"/>
    </row>
    <row r="54" spans="1:11" ht="20.100000000000001" customHeight="1" x14ac:dyDescent="0.2">
      <c r="A54" s="656">
        <f t="shared" si="3"/>
        <v>17</v>
      </c>
      <c r="B54" s="117" t="s">
        <v>2005</v>
      </c>
      <c r="C54" s="77" t="str">
        <f t="shared" si="0"/>
        <v>Hormigon Ciclopeo (30%piedra bola)</v>
      </c>
      <c r="D54" s="115" t="str">
        <f t="shared" si="1"/>
        <v>m3</v>
      </c>
      <c r="E54" s="659">
        <v>129</v>
      </c>
      <c r="F54" s="163"/>
      <c r="G54" s="162" t="s">
        <v>1987</v>
      </c>
      <c r="H54" s="657" t="s">
        <v>1961</v>
      </c>
      <c r="I54" s="507"/>
      <c r="J54" s="79"/>
      <c r="K54" s="102"/>
    </row>
    <row r="55" spans="1:11" ht="20.100000000000001" customHeight="1" x14ac:dyDescent="0.2">
      <c r="A55" s="656">
        <f t="shared" si="3"/>
        <v>18</v>
      </c>
      <c r="B55" s="117" t="s">
        <v>2006</v>
      </c>
      <c r="C55" s="77" t="str">
        <f t="shared" si="0"/>
        <v>Armadura colocada en obra</v>
      </c>
      <c r="D55" s="115" t="str">
        <f t="shared" si="1"/>
        <v>t</v>
      </c>
      <c r="E55" s="659">
        <v>3.8</v>
      </c>
      <c r="F55" s="163"/>
      <c r="G55" s="162" t="s">
        <v>1980</v>
      </c>
      <c r="H55" s="657" t="s">
        <v>1981</v>
      </c>
      <c r="I55" s="507"/>
      <c r="J55" s="79"/>
      <c r="K55" s="102"/>
    </row>
    <row r="56" spans="1:11" ht="20.100000000000001" customHeight="1" x14ac:dyDescent="0.2">
      <c r="A56" s="656">
        <f t="shared" si="3"/>
        <v>19</v>
      </c>
      <c r="B56" s="117" t="s">
        <v>2007</v>
      </c>
      <c r="C56" s="77" t="str">
        <f t="shared" si="0"/>
        <v>Demolicion de puente</v>
      </c>
      <c r="D56" s="115" t="str">
        <f t="shared" si="1"/>
        <v>m3</v>
      </c>
      <c r="E56" s="659">
        <v>141</v>
      </c>
      <c r="F56" s="163"/>
      <c r="G56" s="162" t="s">
        <v>1988</v>
      </c>
      <c r="H56" s="657" t="s">
        <v>1961</v>
      </c>
      <c r="I56" s="507"/>
      <c r="J56" s="79"/>
      <c r="K56" s="102"/>
    </row>
    <row r="57" spans="1:11" ht="20.100000000000001" customHeight="1" x14ac:dyDescent="0.2">
      <c r="A57" s="656">
        <f t="shared" si="3"/>
        <v>19</v>
      </c>
      <c r="B57" s="117"/>
      <c r="C57" s="77">
        <f t="shared" si="0"/>
        <v>0</v>
      </c>
      <c r="D57" s="115">
        <f t="shared" si="1"/>
        <v>0</v>
      </c>
      <c r="E57" s="659"/>
      <c r="F57" s="163"/>
      <c r="G57" s="162"/>
      <c r="H57" s="657"/>
      <c r="I57" s="507"/>
      <c r="J57" s="79"/>
    </row>
    <row r="58" spans="1:11" ht="20.100000000000001" customHeight="1" x14ac:dyDescent="0.2">
      <c r="A58" s="656">
        <f t="shared" si="3"/>
        <v>19</v>
      </c>
      <c r="B58" s="117"/>
      <c r="C58" s="77">
        <f t="shared" si="0"/>
        <v>0</v>
      </c>
      <c r="D58" s="115">
        <f t="shared" si="1"/>
        <v>0</v>
      </c>
      <c r="E58" s="659"/>
      <c r="F58" s="163"/>
      <c r="G58" s="162"/>
      <c r="H58" s="657"/>
      <c r="I58" s="507"/>
      <c r="J58" s="79"/>
    </row>
    <row r="59" spans="1:11" ht="20.100000000000001" customHeight="1" x14ac:dyDescent="0.2">
      <c r="A59" s="656">
        <f t="shared" si="3"/>
        <v>19</v>
      </c>
      <c r="B59" s="117"/>
      <c r="C59" s="77">
        <f t="shared" si="0"/>
        <v>0</v>
      </c>
      <c r="D59" s="115">
        <f t="shared" si="1"/>
        <v>0</v>
      </c>
      <c r="E59" s="659"/>
      <c r="F59" s="163"/>
      <c r="G59" s="162"/>
      <c r="H59" s="657"/>
      <c r="I59" s="507"/>
      <c r="J59" s="79"/>
    </row>
    <row r="60" spans="1:11" ht="20.100000000000001" customHeight="1" x14ac:dyDescent="0.2">
      <c r="A60" s="656">
        <f t="shared" si="3"/>
        <v>19</v>
      </c>
      <c r="B60" s="117"/>
      <c r="C60" s="77">
        <f t="shared" si="0"/>
        <v>0</v>
      </c>
      <c r="D60" s="115">
        <f t="shared" si="1"/>
        <v>0</v>
      </c>
      <c r="E60" s="659"/>
      <c r="F60" s="163"/>
      <c r="G60" s="162"/>
      <c r="H60" s="657"/>
      <c r="I60" s="507"/>
      <c r="J60" s="79"/>
    </row>
    <row r="61" spans="1:11" ht="20.100000000000001" customHeight="1" x14ac:dyDescent="0.2">
      <c r="A61" s="656">
        <f t="shared" si="3"/>
        <v>19</v>
      </c>
      <c r="B61" s="117"/>
      <c r="C61" s="77">
        <f t="shared" si="0"/>
        <v>0</v>
      </c>
      <c r="D61" s="115">
        <f t="shared" si="1"/>
        <v>0</v>
      </c>
      <c r="E61" s="659"/>
      <c r="F61" s="163"/>
      <c r="G61" s="162"/>
      <c r="H61" s="657"/>
      <c r="I61" s="507"/>
      <c r="J61" s="79"/>
    </row>
    <row r="62" spans="1:11" ht="20.100000000000001" customHeight="1" x14ac:dyDescent="0.2">
      <c r="A62" s="656">
        <f t="shared" si="3"/>
        <v>19</v>
      </c>
      <c r="B62" s="117"/>
      <c r="C62" s="77">
        <f t="shared" si="0"/>
        <v>0</v>
      </c>
      <c r="D62" s="115">
        <f t="shared" si="1"/>
        <v>0</v>
      </c>
      <c r="E62" s="659"/>
      <c r="F62" s="163"/>
      <c r="G62" s="162"/>
      <c r="H62" s="657"/>
      <c r="I62" s="507"/>
      <c r="J62" s="79"/>
    </row>
    <row r="63" spans="1:11" ht="20.100000000000001" customHeight="1" x14ac:dyDescent="0.2">
      <c r="A63" s="656">
        <f t="shared" si="3"/>
        <v>19</v>
      </c>
      <c r="B63" s="117"/>
      <c r="C63" s="77">
        <f t="shared" si="0"/>
        <v>0</v>
      </c>
      <c r="D63" s="115">
        <f t="shared" si="1"/>
        <v>0</v>
      </c>
      <c r="E63" s="659"/>
      <c r="F63" s="163"/>
      <c r="G63" s="162"/>
      <c r="H63" s="657"/>
      <c r="I63" s="507"/>
      <c r="J63" s="79"/>
    </row>
    <row r="64" spans="1:11" ht="20.100000000000001" customHeight="1" x14ac:dyDescent="0.2">
      <c r="A64" s="656">
        <f t="shared" si="3"/>
        <v>19</v>
      </c>
      <c r="B64" s="117"/>
      <c r="C64" s="77">
        <f t="shared" si="0"/>
        <v>0</v>
      </c>
      <c r="D64" s="115">
        <f t="shared" si="1"/>
        <v>0</v>
      </c>
      <c r="E64" s="659"/>
      <c r="F64" s="163"/>
      <c r="G64" s="162"/>
      <c r="H64" s="657"/>
      <c r="I64" s="507"/>
      <c r="J64" s="79"/>
    </row>
    <row r="65" spans="1:10" ht="20.100000000000001" customHeight="1" x14ac:dyDescent="0.2">
      <c r="A65" s="656">
        <f t="shared" si="3"/>
        <v>19</v>
      </c>
      <c r="B65" s="117"/>
      <c r="C65" s="77">
        <f t="shared" ref="C65:C96" si="4">IFERROR(VLOOKUP(J65,T_Código_Items,2,FALSE),G65)</f>
        <v>0</v>
      </c>
      <c r="D65" s="115">
        <f t="shared" ref="D65:D96" si="5">IFERROR(VLOOKUP(J65,T_Código_Items,3,FALSE),H65)</f>
        <v>0</v>
      </c>
      <c r="E65" s="659"/>
      <c r="F65" s="163"/>
      <c r="G65" s="162"/>
      <c r="H65" s="657"/>
      <c r="I65" s="507"/>
      <c r="J65" s="79"/>
    </row>
    <row r="66" spans="1:10" ht="20.100000000000001" customHeight="1" x14ac:dyDescent="0.2">
      <c r="A66" s="656">
        <f t="shared" si="3"/>
        <v>19</v>
      </c>
      <c r="B66" s="117"/>
      <c r="C66" s="77">
        <f t="shared" si="4"/>
        <v>0</v>
      </c>
      <c r="D66" s="115">
        <f t="shared" si="5"/>
        <v>0</v>
      </c>
      <c r="E66" s="659"/>
      <c r="F66" s="163"/>
      <c r="G66" s="162"/>
      <c r="H66" s="657"/>
      <c r="I66" s="507"/>
      <c r="J66" s="79"/>
    </row>
    <row r="67" spans="1:10" ht="20.100000000000001" customHeight="1" x14ac:dyDescent="0.2">
      <c r="A67" s="656">
        <f t="shared" si="3"/>
        <v>19</v>
      </c>
      <c r="B67" s="117"/>
      <c r="C67" s="77">
        <f t="shared" si="4"/>
        <v>0</v>
      </c>
      <c r="D67" s="115">
        <f t="shared" si="5"/>
        <v>0</v>
      </c>
      <c r="E67" s="659"/>
      <c r="F67" s="163"/>
      <c r="G67" s="162"/>
      <c r="H67" s="657"/>
      <c r="I67" s="507"/>
      <c r="J67" s="79"/>
    </row>
    <row r="68" spans="1:10" ht="20.100000000000001" customHeight="1" x14ac:dyDescent="0.2">
      <c r="A68" s="656">
        <f t="shared" si="3"/>
        <v>19</v>
      </c>
      <c r="B68" s="117"/>
      <c r="C68" s="77">
        <f t="shared" si="4"/>
        <v>0</v>
      </c>
      <c r="D68" s="115">
        <f t="shared" si="5"/>
        <v>0</v>
      </c>
      <c r="E68" s="659"/>
      <c r="F68" s="163"/>
      <c r="G68" s="162"/>
      <c r="H68" s="657"/>
      <c r="I68" s="507"/>
      <c r="J68" s="79"/>
    </row>
    <row r="69" spans="1:10" ht="20.100000000000001" customHeight="1" x14ac:dyDescent="0.2">
      <c r="A69" s="656">
        <f t="shared" si="3"/>
        <v>19</v>
      </c>
      <c r="B69" s="117"/>
      <c r="C69" s="77">
        <f t="shared" si="4"/>
        <v>0</v>
      </c>
      <c r="D69" s="115">
        <f t="shared" si="5"/>
        <v>0</v>
      </c>
      <c r="E69" s="659"/>
      <c r="F69" s="163"/>
      <c r="G69" s="162"/>
      <c r="H69" s="657"/>
      <c r="I69" s="507"/>
      <c r="J69" s="79"/>
    </row>
    <row r="70" spans="1:10" ht="20.100000000000001" customHeight="1" x14ac:dyDescent="0.2">
      <c r="A70" s="656">
        <f t="shared" si="3"/>
        <v>19</v>
      </c>
      <c r="B70" s="117"/>
      <c r="C70" s="77">
        <f t="shared" si="4"/>
        <v>0</v>
      </c>
      <c r="D70" s="115">
        <f t="shared" si="5"/>
        <v>0</v>
      </c>
      <c r="E70" s="659"/>
      <c r="F70" s="163"/>
      <c r="G70" s="162"/>
      <c r="H70" s="657"/>
      <c r="I70" s="507"/>
      <c r="J70" s="79"/>
    </row>
    <row r="71" spans="1:10" ht="20.100000000000001" customHeight="1" x14ac:dyDescent="0.2">
      <c r="A71" s="656">
        <f t="shared" si="3"/>
        <v>19</v>
      </c>
      <c r="B71" s="117"/>
      <c r="C71" s="77">
        <f t="shared" si="4"/>
        <v>0</v>
      </c>
      <c r="D71" s="115">
        <f t="shared" si="5"/>
        <v>0</v>
      </c>
      <c r="E71" s="659"/>
      <c r="F71" s="163"/>
      <c r="G71" s="162"/>
      <c r="H71" s="657"/>
      <c r="I71" s="507"/>
      <c r="J71" s="79"/>
    </row>
    <row r="72" spans="1:10" ht="20.100000000000001" customHeight="1" x14ac:dyDescent="0.2">
      <c r="A72" s="656">
        <f t="shared" si="3"/>
        <v>19</v>
      </c>
      <c r="B72" s="117"/>
      <c r="C72" s="77">
        <f t="shared" si="4"/>
        <v>0</v>
      </c>
      <c r="D72" s="115">
        <f t="shared" si="5"/>
        <v>0</v>
      </c>
      <c r="E72" s="659"/>
      <c r="F72" s="163"/>
      <c r="G72" s="162"/>
      <c r="H72" s="657"/>
      <c r="I72" s="507"/>
      <c r="J72" s="79"/>
    </row>
    <row r="73" spans="1:10" ht="20.100000000000001" customHeight="1" x14ac:dyDescent="0.2">
      <c r="A73" s="656">
        <f t="shared" si="3"/>
        <v>19</v>
      </c>
      <c r="B73" s="117"/>
      <c r="C73" s="77">
        <f t="shared" si="4"/>
        <v>0</v>
      </c>
      <c r="D73" s="115">
        <f t="shared" si="5"/>
        <v>0</v>
      </c>
      <c r="E73" s="659"/>
      <c r="F73" s="163"/>
      <c r="G73" s="162"/>
      <c r="H73" s="657"/>
      <c r="I73" s="507"/>
      <c r="J73" s="79"/>
    </row>
    <row r="74" spans="1:10" ht="20.100000000000001" customHeight="1" x14ac:dyDescent="0.2">
      <c r="A74" s="656">
        <f t="shared" si="3"/>
        <v>19</v>
      </c>
      <c r="B74" s="117"/>
      <c r="C74" s="77">
        <f t="shared" si="4"/>
        <v>0</v>
      </c>
      <c r="D74" s="115">
        <f t="shared" si="5"/>
        <v>0</v>
      </c>
      <c r="E74" s="659"/>
      <c r="F74" s="163"/>
      <c r="G74" s="162"/>
      <c r="H74" s="657"/>
      <c r="I74" s="507"/>
      <c r="J74" s="79"/>
    </row>
    <row r="75" spans="1:10" ht="20.100000000000001" customHeight="1" x14ac:dyDescent="0.2">
      <c r="A75" s="656">
        <f t="shared" si="3"/>
        <v>19</v>
      </c>
      <c r="B75" s="117"/>
      <c r="C75" s="77">
        <f t="shared" si="4"/>
        <v>0</v>
      </c>
      <c r="D75" s="115">
        <f t="shared" si="5"/>
        <v>0</v>
      </c>
      <c r="E75" s="659"/>
      <c r="F75" s="163"/>
      <c r="G75" s="162"/>
      <c r="H75" s="657"/>
      <c r="I75" s="507"/>
      <c r="J75" s="79"/>
    </row>
    <row r="76" spans="1:10" ht="20.100000000000001" customHeight="1" x14ac:dyDescent="0.2">
      <c r="A76" s="656">
        <f t="shared" si="3"/>
        <v>19</v>
      </c>
      <c r="B76" s="117"/>
      <c r="C76" s="77">
        <f t="shared" si="4"/>
        <v>0</v>
      </c>
      <c r="D76" s="115">
        <f t="shared" si="5"/>
        <v>0</v>
      </c>
      <c r="E76" s="659"/>
      <c r="F76" s="163"/>
      <c r="G76" s="162"/>
      <c r="H76" s="657"/>
      <c r="I76" s="507"/>
      <c r="J76" s="79"/>
    </row>
    <row r="77" spans="1:10" ht="20.100000000000001" customHeight="1" x14ac:dyDescent="0.2">
      <c r="A77" s="656">
        <f t="shared" si="3"/>
        <v>19</v>
      </c>
      <c r="B77" s="117"/>
      <c r="C77" s="77">
        <f t="shared" si="4"/>
        <v>0</v>
      </c>
      <c r="D77" s="115">
        <f t="shared" si="5"/>
        <v>0</v>
      </c>
      <c r="E77" s="659"/>
      <c r="F77" s="163"/>
      <c r="G77" s="162"/>
      <c r="H77" s="657"/>
      <c r="I77" s="507"/>
      <c r="J77" s="79"/>
    </row>
    <row r="78" spans="1:10" ht="20.100000000000001" customHeight="1" x14ac:dyDescent="0.2">
      <c r="A78" s="656">
        <f t="shared" si="3"/>
        <v>19</v>
      </c>
      <c r="B78" s="117"/>
      <c r="C78" s="77">
        <f t="shared" si="4"/>
        <v>0</v>
      </c>
      <c r="D78" s="115">
        <f t="shared" si="5"/>
        <v>0</v>
      </c>
      <c r="E78" s="659"/>
      <c r="F78" s="163"/>
      <c r="G78" s="162"/>
      <c r="H78" s="657"/>
      <c r="I78" s="507"/>
      <c r="J78" s="79"/>
    </row>
    <row r="79" spans="1:10" ht="20.100000000000001" customHeight="1" x14ac:dyDescent="0.2">
      <c r="A79" s="656">
        <f t="shared" si="3"/>
        <v>19</v>
      </c>
      <c r="B79" s="117"/>
      <c r="C79" s="77">
        <f t="shared" si="4"/>
        <v>0</v>
      </c>
      <c r="D79" s="115">
        <f t="shared" si="5"/>
        <v>0</v>
      </c>
      <c r="E79" s="659"/>
      <c r="F79" s="163"/>
      <c r="G79" s="162"/>
      <c r="H79" s="657"/>
      <c r="I79" s="507"/>
      <c r="J79" s="79"/>
    </row>
    <row r="80" spans="1:10" ht="20.100000000000001" customHeight="1" x14ac:dyDescent="0.2">
      <c r="A80" s="656">
        <f t="shared" si="3"/>
        <v>19</v>
      </c>
      <c r="B80" s="117"/>
      <c r="C80" s="77">
        <f t="shared" si="4"/>
        <v>0</v>
      </c>
      <c r="D80" s="115">
        <f t="shared" si="5"/>
        <v>0</v>
      </c>
      <c r="E80" s="659"/>
      <c r="F80" s="163"/>
      <c r="G80" s="162"/>
      <c r="H80" s="657"/>
      <c r="I80" s="507"/>
      <c r="J80" s="79"/>
    </row>
    <row r="81" spans="1:10" ht="20.100000000000001" customHeight="1" x14ac:dyDescent="0.2">
      <c r="A81" s="656">
        <f t="shared" si="3"/>
        <v>19</v>
      </c>
      <c r="B81" s="117"/>
      <c r="C81" s="77">
        <f t="shared" si="4"/>
        <v>0</v>
      </c>
      <c r="D81" s="115">
        <f t="shared" si="5"/>
        <v>0</v>
      </c>
      <c r="E81" s="659"/>
      <c r="F81" s="163"/>
      <c r="G81" s="162"/>
      <c r="H81" s="657"/>
      <c r="I81" s="507"/>
      <c r="J81" s="79"/>
    </row>
    <row r="82" spans="1:10" ht="20.100000000000001" customHeight="1" x14ac:dyDescent="0.2">
      <c r="A82" s="656">
        <f t="shared" si="3"/>
        <v>19</v>
      </c>
      <c r="B82" s="117"/>
      <c r="C82" s="77">
        <f t="shared" si="4"/>
        <v>0</v>
      </c>
      <c r="D82" s="115">
        <f t="shared" si="5"/>
        <v>0</v>
      </c>
      <c r="E82" s="659"/>
      <c r="F82" s="163"/>
      <c r="G82" s="162"/>
      <c r="H82" s="657"/>
      <c r="I82" s="507"/>
      <c r="J82" s="79"/>
    </row>
    <row r="83" spans="1:10" ht="20.100000000000001" customHeight="1" x14ac:dyDescent="0.2">
      <c r="A83" s="656">
        <f t="shared" si="3"/>
        <v>19</v>
      </c>
      <c r="B83" s="117"/>
      <c r="C83" s="77">
        <f t="shared" si="4"/>
        <v>0</v>
      </c>
      <c r="D83" s="115">
        <f t="shared" si="5"/>
        <v>0</v>
      </c>
      <c r="E83" s="659"/>
      <c r="F83" s="163"/>
      <c r="G83" s="162"/>
      <c r="H83" s="657"/>
      <c r="I83" s="507"/>
      <c r="J83" s="79"/>
    </row>
    <row r="84" spans="1:10" ht="20.100000000000001" customHeight="1" x14ac:dyDescent="0.2">
      <c r="A84" s="656">
        <f t="shared" si="3"/>
        <v>19</v>
      </c>
      <c r="B84" s="117"/>
      <c r="C84" s="77">
        <f t="shared" si="4"/>
        <v>0</v>
      </c>
      <c r="D84" s="115">
        <f t="shared" si="5"/>
        <v>0</v>
      </c>
      <c r="E84" s="659"/>
      <c r="F84" s="163"/>
      <c r="G84" s="162"/>
      <c r="H84" s="657"/>
      <c r="I84" s="507"/>
      <c r="J84" s="79"/>
    </row>
    <row r="85" spans="1:10" ht="20.100000000000001" customHeight="1" x14ac:dyDescent="0.2">
      <c r="A85" s="656">
        <f t="shared" si="3"/>
        <v>19</v>
      </c>
      <c r="B85" s="117"/>
      <c r="C85" s="77">
        <f t="shared" si="4"/>
        <v>0</v>
      </c>
      <c r="D85" s="115">
        <f t="shared" si="5"/>
        <v>0</v>
      </c>
      <c r="E85" s="659"/>
      <c r="F85" s="163"/>
      <c r="G85" s="162"/>
      <c r="H85" s="657"/>
      <c r="I85" s="507"/>
      <c r="J85" s="79"/>
    </row>
    <row r="86" spans="1:10" ht="20.100000000000001" customHeight="1" x14ac:dyDescent="0.2">
      <c r="A86" s="656">
        <f t="shared" si="3"/>
        <v>19</v>
      </c>
      <c r="B86" s="117"/>
      <c r="C86" s="77">
        <f t="shared" si="4"/>
        <v>0</v>
      </c>
      <c r="D86" s="115">
        <f t="shared" si="5"/>
        <v>0</v>
      </c>
      <c r="E86" s="659"/>
      <c r="F86" s="163"/>
      <c r="G86" s="162"/>
      <c r="H86" s="657"/>
      <c r="I86" s="507"/>
      <c r="J86" s="79"/>
    </row>
    <row r="87" spans="1:10" ht="20.100000000000001" customHeight="1" x14ac:dyDescent="0.2">
      <c r="A87" s="656">
        <f t="shared" si="3"/>
        <v>19</v>
      </c>
      <c r="B87" s="117"/>
      <c r="C87" s="77">
        <f t="shared" si="4"/>
        <v>0</v>
      </c>
      <c r="D87" s="115">
        <f t="shared" si="5"/>
        <v>0</v>
      </c>
      <c r="E87" s="659"/>
      <c r="F87" s="163"/>
      <c r="G87" s="162"/>
      <c r="H87" s="657"/>
      <c r="I87" s="507"/>
      <c r="J87" s="79"/>
    </row>
    <row r="88" spans="1:10" ht="20.100000000000001" customHeight="1" x14ac:dyDescent="0.2">
      <c r="A88" s="656">
        <f t="shared" si="3"/>
        <v>19</v>
      </c>
      <c r="B88" s="117"/>
      <c r="C88" s="77">
        <f t="shared" si="4"/>
        <v>0</v>
      </c>
      <c r="D88" s="115">
        <f t="shared" si="5"/>
        <v>0</v>
      </c>
      <c r="E88" s="659"/>
      <c r="F88" s="163"/>
      <c r="G88" s="162"/>
      <c r="H88" s="657"/>
      <c r="I88" s="507"/>
      <c r="J88" s="79"/>
    </row>
    <row r="89" spans="1:10" ht="20.100000000000001" customHeight="1" x14ac:dyDescent="0.2">
      <c r="A89" s="656">
        <f t="shared" si="3"/>
        <v>19</v>
      </c>
      <c r="B89" s="117"/>
      <c r="C89" s="77">
        <f t="shared" si="4"/>
        <v>0</v>
      </c>
      <c r="D89" s="115">
        <f t="shared" si="5"/>
        <v>0</v>
      </c>
      <c r="E89" s="659"/>
      <c r="F89" s="163"/>
      <c r="G89" s="162"/>
      <c r="H89" s="657"/>
      <c r="I89" s="507"/>
      <c r="J89" s="79"/>
    </row>
    <row r="90" spans="1:10" ht="20.100000000000001" customHeight="1" x14ac:dyDescent="0.2">
      <c r="A90" s="656">
        <f t="shared" si="3"/>
        <v>19</v>
      </c>
      <c r="B90" s="117"/>
      <c r="C90" s="77">
        <f t="shared" si="4"/>
        <v>0</v>
      </c>
      <c r="D90" s="115">
        <f t="shared" si="5"/>
        <v>0</v>
      </c>
      <c r="E90" s="659"/>
      <c r="F90" s="163"/>
      <c r="G90" s="162"/>
      <c r="H90" s="657"/>
      <c r="I90" s="507"/>
      <c r="J90" s="79"/>
    </row>
    <row r="91" spans="1:10" ht="20.100000000000001" customHeight="1" x14ac:dyDescent="0.2">
      <c r="A91" s="656">
        <f t="shared" si="3"/>
        <v>19</v>
      </c>
      <c r="B91" s="117"/>
      <c r="C91" s="77">
        <f t="shared" si="4"/>
        <v>0</v>
      </c>
      <c r="D91" s="115">
        <f t="shared" si="5"/>
        <v>0</v>
      </c>
      <c r="E91" s="659"/>
      <c r="F91" s="163"/>
      <c r="G91" s="162"/>
      <c r="H91" s="657"/>
      <c r="I91" s="507"/>
      <c r="J91" s="79"/>
    </row>
    <row r="92" spans="1:10" ht="20.100000000000001" customHeight="1" x14ac:dyDescent="0.2">
      <c r="A92" s="656">
        <f t="shared" si="3"/>
        <v>19</v>
      </c>
      <c r="B92" s="117"/>
      <c r="C92" s="77">
        <f t="shared" si="4"/>
        <v>0</v>
      </c>
      <c r="D92" s="115">
        <f t="shared" si="5"/>
        <v>0</v>
      </c>
      <c r="E92" s="659"/>
      <c r="F92" s="163"/>
      <c r="G92" s="162"/>
      <c r="H92" s="657"/>
      <c r="I92" s="507"/>
      <c r="J92" s="79"/>
    </row>
    <row r="93" spans="1:10" ht="20.100000000000001" customHeight="1" x14ac:dyDescent="0.2">
      <c r="A93" s="656">
        <f t="shared" si="3"/>
        <v>19</v>
      </c>
      <c r="B93" s="117"/>
      <c r="C93" s="77">
        <f t="shared" si="4"/>
        <v>0</v>
      </c>
      <c r="D93" s="115">
        <f t="shared" si="5"/>
        <v>0</v>
      </c>
      <c r="E93" s="659"/>
      <c r="F93" s="163"/>
      <c r="G93" s="162"/>
      <c r="H93" s="657"/>
      <c r="I93" s="507"/>
      <c r="J93" s="79"/>
    </row>
    <row r="94" spans="1:10" ht="20.100000000000001" customHeight="1" x14ac:dyDescent="0.2">
      <c r="A94" s="656">
        <f t="shared" si="3"/>
        <v>19</v>
      </c>
      <c r="B94" s="117"/>
      <c r="C94" s="77">
        <f t="shared" si="4"/>
        <v>0</v>
      </c>
      <c r="D94" s="115">
        <f t="shared" si="5"/>
        <v>0</v>
      </c>
      <c r="E94" s="659"/>
      <c r="F94" s="163"/>
      <c r="G94" s="162"/>
      <c r="H94" s="657"/>
      <c r="I94" s="507"/>
      <c r="J94" s="79"/>
    </row>
    <row r="95" spans="1:10" ht="20.100000000000001" customHeight="1" x14ac:dyDescent="0.2">
      <c r="A95" s="656">
        <f t="shared" si="3"/>
        <v>19</v>
      </c>
      <c r="B95" s="117"/>
      <c r="C95" s="77">
        <f t="shared" si="4"/>
        <v>0</v>
      </c>
      <c r="D95" s="115">
        <f t="shared" si="5"/>
        <v>0</v>
      </c>
      <c r="E95" s="659"/>
      <c r="F95" s="163"/>
      <c r="G95" s="162"/>
      <c r="H95" s="657"/>
      <c r="I95" s="507"/>
      <c r="J95" s="79"/>
    </row>
    <row r="96" spans="1:10" ht="20.100000000000001" customHeight="1" x14ac:dyDescent="0.2">
      <c r="A96" s="656">
        <f t="shared" si="3"/>
        <v>19</v>
      </c>
      <c r="B96" s="117"/>
      <c r="C96" s="77">
        <f t="shared" si="4"/>
        <v>0</v>
      </c>
      <c r="D96" s="115">
        <f t="shared" si="5"/>
        <v>0</v>
      </c>
      <c r="E96" s="659"/>
      <c r="F96" s="163"/>
      <c r="G96" s="162"/>
      <c r="H96" s="657"/>
      <c r="I96" s="507"/>
      <c r="J96" s="79"/>
    </row>
    <row r="97" spans="1:10" ht="20.100000000000001" customHeight="1" x14ac:dyDescent="0.2">
      <c r="A97" s="656">
        <f t="shared" si="3"/>
        <v>19</v>
      </c>
      <c r="B97" s="117"/>
      <c r="C97" s="77">
        <f t="shared" ref="C97:C128" si="6">IFERROR(VLOOKUP(J97,T_Código_Items,2,FALSE),G97)</f>
        <v>0</v>
      </c>
      <c r="D97" s="115">
        <f t="shared" ref="D97:D128" si="7">IFERROR(VLOOKUP(J97,T_Código_Items,3,FALSE),H97)</f>
        <v>0</v>
      </c>
      <c r="E97" s="659"/>
      <c r="F97" s="163"/>
      <c r="G97" s="162"/>
      <c r="H97" s="657"/>
      <c r="I97" s="507"/>
      <c r="J97" s="79"/>
    </row>
    <row r="98" spans="1:10" ht="20.100000000000001" customHeight="1" x14ac:dyDescent="0.2">
      <c r="A98" s="656">
        <f t="shared" si="3"/>
        <v>19</v>
      </c>
      <c r="B98" s="117"/>
      <c r="C98" s="77">
        <f t="shared" si="6"/>
        <v>0</v>
      </c>
      <c r="D98" s="115">
        <f t="shared" si="7"/>
        <v>0</v>
      </c>
      <c r="E98" s="659"/>
      <c r="F98" s="163"/>
      <c r="G98" s="162"/>
      <c r="H98" s="657"/>
      <c r="I98" s="507"/>
      <c r="J98" s="79"/>
    </row>
    <row r="99" spans="1:10" ht="20.100000000000001" customHeight="1" x14ac:dyDescent="0.2">
      <c r="A99" s="656">
        <f t="shared" ref="A99:A162" si="8">IF(D99=0,A98,A98+1)</f>
        <v>19</v>
      </c>
      <c r="B99" s="117"/>
      <c r="C99" s="77">
        <f t="shared" si="6"/>
        <v>0</v>
      </c>
      <c r="D99" s="115">
        <f t="shared" si="7"/>
        <v>0</v>
      </c>
      <c r="E99" s="659"/>
      <c r="F99" s="163"/>
      <c r="G99" s="162"/>
      <c r="H99" s="657"/>
      <c r="I99" s="507"/>
      <c r="J99" s="79"/>
    </row>
    <row r="100" spans="1:10" ht="20.100000000000001" customHeight="1" x14ac:dyDescent="0.2">
      <c r="A100" s="656">
        <f t="shared" si="8"/>
        <v>19</v>
      </c>
      <c r="B100" s="117"/>
      <c r="C100" s="77">
        <f t="shared" si="6"/>
        <v>0</v>
      </c>
      <c r="D100" s="115">
        <f t="shared" si="7"/>
        <v>0</v>
      </c>
      <c r="E100" s="659"/>
      <c r="F100" s="163"/>
      <c r="G100" s="162"/>
      <c r="H100" s="657"/>
      <c r="I100" s="507"/>
      <c r="J100" s="79"/>
    </row>
    <row r="101" spans="1:10" ht="20.100000000000001" customHeight="1" x14ac:dyDescent="0.2">
      <c r="A101" s="656">
        <f t="shared" si="8"/>
        <v>19</v>
      </c>
      <c r="B101" s="117"/>
      <c r="C101" s="77">
        <f t="shared" si="6"/>
        <v>0</v>
      </c>
      <c r="D101" s="115">
        <f t="shared" si="7"/>
        <v>0</v>
      </c>
      <c r="E101" s="659"/>
      <c r="F101" s="163"/>
      <c r="G101" s="162"/>
      <c r="H101" s="657"/>
      <c r="I101" s="507"/>
      <c r="J101" s="79"/>
    </row>
    <row r="102" spans="1:10" ht="20.100000000000001" customHeight="1" x14ac:dyDescent="0.2">
      <c r="A102" s="656">
        <f t="shared" si="8"/>
        <v>19</v>
      </c>
      <c r="B102" s="117"/>
      <c r="C102" s="77">
        <f t="shared" si="6"/>
        <v>0</v>
      </c>
      <c r="D102" s="115">
        <f t="shared" si="7"/>
        <v>0</v>
      </c>
      <c r="E102" s="659"/>
      <c r="F102" s="163"/>
      <c r="G102" s="162"/>
      <c r="H102" s="657"/>
      <c r="I102" s="507"/>
      <c r="J102" s="79"/>
    </row>
    <row r="103" spans="1:10" ht="20.100000000000001" customHeight="1" x14ac:dyDescent="0.2">
      <c r="A103" s="656">
        <f t="shared" si="8"/>
        <v>19</v>
      </c>
      <c r="B103" s="117"/>
      <c r="C103" s="77">
        <f t="shared" si="6"/>
        <v>0</v>
      </c>
      <c r="D103" s="115">
        <f t="shared" si="7"/>
        <v>0</v>
      </c>
      <c r="E103" s="659"/>
      <c r="F103" s="163"/>
      <c r="G103" s="162"/>
      <c r="H103" s="657"/>
      <c r="I103" s="507"/>
      <c r="J103" s="79"/>
    </row>
    <row r="104" spans="1:10" ht="20.100000000000001" customHeight="1" x14ac:dyDescent="0.2">
      <c r="A104" s="656">
        <f t="shared" si="8"/>
        <v>19</v>
      </c>
      <c r="B104" s="117"/>
      <c r="C104" s="77">
        <f t="shared" si="6"/>
        <v>0</v>
      </c>
      <c r="D104" s="115">
        <f t="shared" si="7"/>
        <v>0</v>
      </c>
      <c r="E104" s="659"/>
      <c r="F104" s="163"/>
      <c r="G104" s="162"/>
      <c r="H104" s="657"/>
      <c r="I104" s="507"/>
      <c r="J104" s="79"/>
    </row>
    <row r="105" spans="1:10" ht="20.100000000000001" customHeight="1" x14ac:dyDescent="0.2">
      <c r="A105" s="656">
        <f t="shared" si="8"/>
        <v>19</v>
      </c>
      <c r="B105" s="117"/>
      <c r="C105" s="77">
        <f t="shared" si="6"/>
        <v>0</v>
      </c>
      <c r="D105" s="115">
        <f t="shared" si="7"/>
        <v>0</v>
      </c>
      <c r="E105" s="659"/>
      <c r="F105" s="163"/>
      <c r="G105" s="162"/>
      <c r="H105" s="657"/>
      <c r="I105" s="507"/>
      <c r="J105" s="79"/>
    </row>
    <row r="106" spans="1:10" ht="20.100000000000001" customHeight="1" x14ac:dyDescent="0.2">
      <c r="A106" s="656">
        <f t="shared" si="8"/>
        <v>19</v>
      </c>
      <c r="B106" s="117"/>
      <c r="C106" s="77">
        <f t="shared" si="6"/>
        <v>0</v>
      </c>
      <c r="D106" s="115">
        <f t="shared" si="7"/>
        <v>0</v>
      </c>
      <c r="E106" s="659"/>
      <c r="F106" s="163"/>
      <c r="G106" s="162"/>
      <c r="H106" s="657"/>
      <c r="I106" s="507"/>
      <c r="J106" s="79"/>
    </row>
    <row r="107" spans="1:10" ht="20.100000000000001" customHeight="1" x14ac:dyDescent="0.2">
      <c r="A107" s="656">
        <f t="shared" si="8"/>
        <v>19</v>
      </c>
      <c r="B107" s="117"/>
      <c r="C107" s="77">
        <f t="shared" si="6"/>
        <v>0</v>
      </c>
      <c r="D107" s="115">
        <f t="shared" si="7"/>
        <v>0</v>
      </c>
      <c r="E107" s="659"/>
      <c r="F107" s="163"/>
      <c r="G107" s="162"/>
      <c r="H107" s="657"/>
      <c r="I107" s="507"/>
      <c r="J107" s="79"/>
    </row>
    <row r="108" spans="1:10" ht="20.100000000000001" customHeight="1" x14ac:dyDescent="0.2">
      <c r="A108" s="656">
        <f t="shared" si="8"/>
        <v>19</v>
      </c>
      <c r="B108" s="117"/>
      <c r="C108" s="77">
        <f t="shared" si="6"/>
        <v>0</v>
      </c>
      <c r="D108" s="115">
        <f t="shared" si="7"/>
        <v>0</v>
      </c>
      <c r="E108" s="659"/>
      <c r="F108" s="163"/>
      <c r="G108" s="162"/>
      <c r="H108" s="657"/>
      <c r="I108" s="507"/>
      <c r="J108" s="79"/>
    </row>
    <row r="109" spans="1:10" ht="20.100000000000001" customHeight="1" x14ac:dyDescent="0.2">
      <c r="A109" s="656">
        <f t="shared" si="8"/>
        <v>19</v>
      </c>
      <c r="B109" s="117"/>
      <c r="C109" s="77">
        <f t="shared" si="6"/>
        <v>0</v>
      </c>
      <c r="D109" s="115">
        <f t="shared" si="7"/>
        <v>0</v>
      </c>
      <c r="E109" s="659"/>
      <c r="F109" s="163"/>
      <c r="G109" s="162"/>
      <c r="H109" s="657"/>
      <c r="I109" s="507"/>
      <c r="J109" s="79"/>
    </row>
    <row r="110" spans="1:10" ht="20.100000000000001" customHeight="1" x14ac:dyDescent="0.2">
      <c r="A110" s="656">
        <f t="shared" si="8"/>
        <v>19</v>
      </c>
      <c r="B110" s="117"/>
      <c r="C110" s="77">
        <f t="shared" si="6"/>
        <v>0</v>
      </c>
      <c r="D110" s="115">
        <f t="shared" si="7"/>
        <v>0</v>
      </c>
      <c r="E110" s="659"/>
      <c r="F110" s="163"/>
      <c r="G110" s="162"/>
      <c r="H110" s="657"/>
      <c r="I110" s="507"/>
      <c r="J110" s="79"/>
    </row>
    <row r="111" spans="1:10" ht="20.100000000000001" customHeight="1" x14ac:dyDescent="0.2">
      <c r="A111" s="656">
        <f t="shared" si="8"/>
        <v>19</v>
      </c>
      <c r="B111" s="117"/>
      <c r="C111" s="77">
        <f t="shared" si="6"/>
        <v>0</v>
      </c>
      <c r="D111" s="115">
        <f t="shared" si="7"/>
        <v>0</v>
      </c>
      <c r="E111" s="659"/>
      <c r="F111" s="163"/>
      <c r="G111" s="162"/>
      <c r="H111" s="657"/>
      <c r="I111" s="507"/>
      <c r="J111" s="79"/>
    </row>
    <row r="112" spans="1:10" ht="20.100000000000001" customHeight="1" x14ac:dyDescent="0.2">
      <c r="A112" s="656">
        <f t="shared" si="8"/>
        <v>19</v>
      </c>
      <c r="B112" s="117"/>
      <c r="C112" s="77">
        <f t="shared" si="6"/>
        <v>0</v>
      </c>
      <c r="D112" s="115">
        <f t="shared" si="7"/>
        <v>0</v>
      </c>
      <c r="E112" s="659"/>
      <c r="F112" s="163"/>
      <c r="G112" s="162"/>
      <c r="H112" s="657"/>
      <c r="I112" s="507"/>
      <c r="J112" s="79"/>
    </row>
    <row r="113" spans="1:10" ht="20.100000000000001" customHeight="1" x14ac:dyDescent="0.2">
      <c r="A113" s="656">
        <f t="shared" si="8"/>
        <v>19</v>
      </c>
      <c r="B113" s="117"/>
      <c r="C113" s="77">
        <f t="shared" si="6"/>
        <v>0</v>
      </c>
      <c r="D113" s="115">
        <f t="shared" si="7"/>
        <v>0</v>
      </c>
      <c r="E113" s="659"/>
      <c r="F113" s="163"/>
      <c r="G113" s="162"/>
      <c r="H113" s="657"/>
      <c r="I113" s="507"/>
      <c r="J113" s="79"/>
    </row>
    <row r="114" spans="1:10" ht="20.100000000000001" customHeight="1" x14ac:dyDescent="0.2">
      <c r="A114" s="656">
        <f t="shared" si="8"/>
        <v>19</v>
      </c>
      <c r="B114" s="117"/>
      <c r="C114" s="77">
        <f t="shared" si="6"/>
        <v>0</v>
      </c>
      <c r="D114" s="115">
        <f t="shared" si="7"/>
        <v>0</v>
      </c>
      <c r="E114" s="659"/>
      <c r="F114" s="163"/>
      <c r="G114" s="162"/>
      <c r="H114" s="657"/>
      <c r="I114" s="507"/>
      <c r="J114" s="79"/>
    </row>
    <row r="115" spans="1:10" ht="20.100000000000001" customHeight="1" x14ac:dyDescent="0.2">
      <c r="A115" s="656">
        <f t="shared" si="8"/>
        <v>19</v>
      </c>
      <c r="B115" s="117"/>
      <c r="C115" s="77">
        <f t="shared" si="6"/>
        <v>0</v>
      </c>
      <c r="D115" s="115">
        <f t="shared" si="7"/>
        <v>0</v>
      </c>
      <c r="E115" s="659"/>
      <c r="F115" s="163"/>
      <c r="G115" s="162"/>
      <c r="H115" s="657"/>
      <c r="I115" s="507"/>
      <c r="J115" s="79"/>
    </row>
    <row r="116" spans="1:10" ht="20.100000000000001" customHeight="1" x14ac:dyDescent="0.2">
      <c r="A116" s="656">
        <f t="shared" si="8"/>
        <v>19</v>
      </c>
      <c r="B116" s="117"/>
      <c r="C116" s="77">
        <f t="shared" si="6"/>
        <v>0</v>
      </c>
      <c r="D116" s="115">
        <f t="shared" si="7"/>
        <v>0</v>
      </c>
      <c r="E116" s="659"/>
      <c r="F116" s="163"/>
      <c r="G116" s="162"/>
      <c r="H116" s="657"/>
      <c r="I116" s="507"/>
      <c r="J116" s="79"/>
    </row>
    <row r="117" spans="1:10" ht="20.100000000000001" customHeight="1" x14ac:dyDescent="0.2">
      <c r="A117" s="656">
        <f t="shared" si="8"/>
        <v>19</v>
      </c>
      <c r="B117" s="117"/>
      <c r="C117" s="77">
        <f t="shared" si="6"/>
        <v>0</v>
      </c>
      <c r="D117" s="115">
        <f t="shared" si="7"/>
        <v>0</v>
      </c>
      <c r="E117" s="659"/>
      <c r="F117" s="163"/>
      <c r="G117" s="162"/>
      <c r="H117" s="657"/>
      <c r="I117" s="507"/>
      <c r="J117" s="79"/>
    </row>
    <row r="118" spans="1:10" ht="20.100000000000001" customHeight="1" x14ac:dyDescent="0.2">
      <c r="A118" s="656">
        <f t="shared" si="8"/>
        <v>19</v>
      </c>
      <c r="B118" s="117"/>
      <c r="C118" s="77">
        <f t="shared" si="6"/>
        <v>0</v>
      </c>
      <c r="D118" s="115">
        <f t="shared" si="7"/>
        <v>0</v>
      </c>
      <c r="E118" s="659"/>
      <c r="F118" s="163"/>
      <c r="G118" s="162"/>
      <c r="H118" s="657"/>
      <c r="I118" s="507"/>
      <c r="J118" s="79"/>
    </row>
    <row r="119" spans="1:10" ht="20.100000000000001" customHeight="1" x14ac:dyDescent="0.2">
      <c r="A119" s="656">
        <f t="shared" si="8"/>
        <v>19</v>
      </c>
      <c r="B119" s="117"/>
      <c r="C119" s="77">
        <f t="shared" si="6"/>
        <v>0</v>
      </c>
      <c r="D119" s="115">
        <f t="shared" si="7"/>
        <v>0</v>
      </c>
      <c r="E119" s="659"/>
      <c r="F119" s="163"/>
      <c r="G119" s="162"/>
      <c r="H119" s="657"/>
      <c r="I119" s="507"/>
      <c r="J119" s="79"/>
    </row>
    <row r="120" spans="1:10" ht="20.100000000000001" customHeight="1" x14ac:dyDescent="0.2">
      <c r="A120" s="656">
        <f t="shared" si="8"/>
        <v>19</v>
      </c>
      <c r="B120" s="117"/>
      <c r="C120" s="77">
        <f t="shared" si="6"/>
        <v>0</v>
      </c>
      <c r="D120" s="115">
        <f t="shared" si="7"/>
        <v>0</v>
      </c>
      <c r="E120" s="659"/>
      <c r="F120" s="163"/>
      <c r="G120" s="162"/>
      <c r="H120" s="657"/>
      <c r="I120" s="507"/>
      <c r="J120" s="79"/>
    </row>
    <row r="121" spans="1:10" ht="20.100000000000001" customHeight="1" x14ac:dyDescent="0.2">
      <c r="A121" s="656">
        <f t="shared" si="8"/>
        <v>19</v>
      </c>
      <c r="B121" s="117"/>
      <c r="C121" s="77">
        <f t="shared" si="6"/>
        <v>0</v>
      </c>
      <c r="D121" s="115">
        <f t="shared" si="7"/>
        <v>0</v>
      </c>
      <c r="E121" s="659"/>
      <c r="F121" s="163"/>
      <c r="G121" s="162"/>
      <c r="H121" s="657"/>
      <c r="I121" s="507"/>
      <c r="J121" s="79"/>
    </row>
    <row r="122" spans="1:10" ht="20.100000000000001" customHeight="1" x14ac:dyDescent="0.2">
      <c r="A122" s="656">
        <f t="shared" si="8"/>
        <v>19</v>
      </c>
      <c r="B122" s="117"/>
      <c r="C122" s="77">
        <f t="shared" si="6"/>
        <v>0</v>
      </c>
      <c r="D122" s="115">
        <f t="shared" si="7"/>
        <v>0</v>
      </c>
      <c r="E122" s="659"/>
      <c r="F122" s="163"/>
      <c r="G122" s="162"/>
      <c r="H122" s="657"/>
      <c r="I122" s="507"/>
      <c r="J122" s="79"/>
    </row>
    <row r="123" spans="1:10" ht="20.100000000000001" customHeight="1" x14ac:dyDescent="0.2">
      <c r="A123" s="656">
        <f t="shared" si="8"/>
        <v>19</v>
      </c>
      <c r="B123" s="117"/>
      <c r="C123" s="77">
        <f t="shared" si="6"/>
        <v>0</v>
      </c>
      <c r="D123" s="115">
        <f t="shared" si="7"/>
        <v>0</v>
      </c>
      <c r="E123" s="659"/>
      <c r="F123" s="163"/>
      <c r="G123" s="162"/>
      <c r="H123" s="657"/>
      <c r="I123" s="507"/>
      <c r="J123" s="79"/>
    </row>
    <row r="124" spans="1:10" ht="20.100000000000001" customHeight="1" x14ac:dyDescent="0.2">
      <c r="A124" s="656">
        <f t="shared" si="8"/>
        <v>19</v>
      </c>
      <c r="B124" s="117"/>
      <c r="C124" s="77">
        <f t="shared" si="6"/>
        <v>0</v>
      </c>
      <c r="D124" s="115">
        <f t="shared" si="7"/>
        <v>0</v>
      </c>
      <c r="E124" s="659"/>
      <c r="F124" s="163"/>
      <c r="G124" s="162"/>
      <c r="H124" s="657"/>
      <c r="I124" s="507"/>
      <c r="J124" s="79"/>
    </row>
    <row r="125" spans="1:10" ht="20.100000000000001" customHeight="1" x14ac:dyDescent="0.2">
      <c r="A125" s="656">
        <f t="shared" si="8"/>
        <v>19</v>
      </c>
      <c r="B125" s="117"/>
      <c r="C125" s="77">
        <f t="shared" si="6"/>
        <v>0</v>
      </c>
      <c r="D125" s="115">
        <f t="shared" si="7"/>
        <v>0</v>
      </c>
      <c r="E125" s="659"/>
      <c r="F125" s="163"/>
      <c r="G125" s="162"/>
      <c r="H125" s="657"/>
      <c r="I125" s="507"/>
      <c r="J125" s="79"/>
    </row>
    <row r="126" spans="1:10" ht="20.100000000000001" customHeight="1" x14ac:dyDescent="0.2">
      <c r="A126" s="656">
        <f t="shared" si="8"/>
        <v>19</v>
      </c>
      <c r="B126" s="117"/>
      <c r="C126" s="77">
        <f t="shared" si="6"/>
        <v>0</v>
      </c>
      <c r="D126" s="115">
        <f t="shared" si="7"/>
        <v>0</v>
      </c>
      <c r="E126" s="659"/>
      <c r="F126" s="163"/>
      <c r="G126" s="162"/>
      <c r="H126" s="657"/>
      <c r="I126" s="507"/>
      <c r="J126" s="79"/>
    </row>
    <row r="127" spans="1:10" ht="20.100000000000001" customHeight="1" x14ac:dyDescent="0.2">
      <c r="A127" s="656">
        <f t="shared" si="8"/>
        <v>19</v>
      </c>
      <c r="B127" s="117"/>
      <c r="C127" s="77">
        <f t="shared" si="6"/>
        <v>0</v>
      </c>
      <c r="D127" s="115">
        <f t="shared" si="7"/>
        <v>0</v>
      </c>
      <c r="E127" s="659"/>
      <c r="F127" s="163"/>
      <c r="G127" s="162"/>
      <c r="H127" s="657"/>
      <c r="I127" s="507"/>
      <c r="J127" s="79"/>
    </row>
    <row r="128" spans="1:10" ht="20.100000000000001" customHeight="1" x14ac:dyDescent="0.2">
      <c r="A128" s="656">
        <f t="shared" si="8"/>
        <v>19</v>
      </c>
      <c r="B128" s="117"/>
      <c r="C128" s="77">
        <f t="shared" si="6"/>
        <v>0</v>
      </c>
      <c r="D128" s="115">
        <f t="shared" si="7"/>
        <v>0</v>
      </c>
      <c r="E128" s="659"/>
      <c r="F128" s="163"/>
      <c r="G128" s="162"/>
      <c r="H128" s="657"/>
      <c r="I128" s="507"/>
      <c r="J128" s="79"/>
    </row>
    <row r="129" spans="1:10" ht="20.100000000000001" customHeight="1" x14ac:dyDescent="0.2">
      <c r="A129" s="656">
        <f t="shared" si="8"/>
        <v>19</v>
      </c>
      <c r="B129" s="117"/>
      <c r="C129" s="77">
        <f t="shared" ref="C129:C160" si="9">IFERROR(VLOOKUP(J129,T_Código_Items,2,FALSE),G129)</f>
        <v>0</v>
      </c>
      <c r="D129" s="115">
        <f t="shared" ref="D129:D160" si="10">IFERROR(VLOOKUP(J129,T_Código_Items,3,FALSE),H129)</f>
        <v>0</v>
      </c>
      <c r="E129" s="659"/>
      <c r="F129" s="163"/>
      <c r="G129" s="162"/>
      <c r="H129" s="657"/>
      <c r="I129" s="507"/>
      <c r="J129" s="79"/>
    </row>
    <row r="130" spans="1:10" ht="20.100000000000001" customHeight="1" x14ac:dyDescent="0.2">
      <c r="A130" s="656">
        <f t="shared" si="8"/>
        <v>19</v>
      </c>
      <c r="B130" s="117"/>
      <c r="C130" s="77">
        <f t="shared" si="9"/>
        <v>0</v>
      </c>
      <c r="D130" s="115">
        <f t="shared" si="10"/>
        <v>0</v>
      </c>
      <c r="E130" s="659"/>
      <c r="F130" s="163"/>
      <c r="G130" s="162"/>
      <c r="H130" s="657"/>
      <c r="I130" s="507"/>
      <c r="J130" s="79"/>
    </row>
    <row r="131" spans="1:10" ht="20.100000000000001" customHeight="1" x14ac:dyDescent="0.2">
      <c r="A131" s="656">
        <f t="shared" si="8"/>
        <v>19</v>
      </c>
      <c r="B131" s="117"/>
      <c r="C131" s="77">
        <f t="shared" si="9"/>
        <v>0</v>
      </c>
      <c r="D131" s="115">
        <f t="shared" si="10"/>
        <v>0</v>
      </c>
      <c r="E131" s="659"/>
      <c r="F131" s="163"/>
      <c r="G131" s="162"/>
      <c r="H131" s="657"/>
      <c r="I131" s="507"/>
      <c r="J131" s="79"/>
    </row>
    <row r="132" spans="1:10" ht="20.100000000000001" customHeight="1" x14ac:dyDescent="0.2">
      <c r="A132" s="656">
        <f t="shared" si="8"/>
        <v>19</v>
      </c>
      <c r="B132" s="117"/>
      <c r="C132" s="77">
        <f t="shared" si="9"/>
        <v>0</v>
      </c>
      <c r="D132" s="115">
        <f t="shared" si="10"/>
        <v>0</v>
      </c>
      <c r="E132" s="659"/>
      <c r="F132" s="163"/>
      <c r="G132" s="162"/>
      <c r="H132" s="657"/>
      <c r="I132" s="507"/>
      <c r="J132" s="79"/>
    </row>
    <row r="133" spans="1:10" ht="20.100000000000001" customHeight="1" x14ac:dyDescent="0.2">
      <c r="A133" s="656">
        <f t="shared" si="8"/>
        <v>19</v>
      </c>
      <c r="B133" s="117"/>
      <c r="C133" s="77">
        <f t="shared" si="9"/>
        <v>0</v>
      </c>
      <c r="D133" s="115">
        <f t="shared" si="10"/>
        <v>0</v>
      </c>
      <c r="E133" s="659"/>
      <c r="F133" s="163"/>
      <c r="G133" s="162"/>
      <c r="H133" s="657"/>
      <c r="I133" s="507"/>
      <c r="J133" s="79"/>
    </row>
    <row r="134" spans="1:10" ht="20.100000000000001" customHeight="1" x14ac:dyDescent="0.2">
      <c r="A134" s="656">
        <f t="shared" si="8"/>
        <v>19</v>
      </c>
      <c r="B134" s="117"/>
      <c r="C134" s="77">
        <f t="shared" si="9"/>
        <v>0</v>
      </c>
      <c r="D134" s="115">
        <f t="shared" si="10"/>
        <v>0</v>
      </c>
      <c r="E134" s="659"/>
      <c r="F134" s="163"/>
      <c r="G134" s="162"/>
      <c r="H134" s="657"/>
      <c r="I134" s="507"/>
      <c r="J134" s="79"/>
    </row>
    <row r="135" spans="1:10" ht="20.100000000000001" customHeight="1" x14ac:dyDescent="0.2">
      <c r="A135" s="656">
        <f t="shared" si="8"/>
        <v>19</v>
      </c>
      <c r="B135" s="117"/>
      <c r="C135" s="77">
        <f t="shared" si="9"/>
        <v>0</v>
      </c>
      <c r="D135" s="115">
        <f t="shared" si="10"/>
        <v>0</v>
      </c>
      <c r="E135" s="659"/>
      <c r="F135" s="163"/>
      <c r="G135" s="162"/>
      <c r="H135" s="657"/>
      <c r="I135" s="507"/>
      <c r="J135" s="79"/>
    </row>
    <row r="136" spans="1:10" ht="20.100000000000001" customHeight="1" x14ac:dyDescent="0.2">
      <c r="A136" s="656">
        <f t="shared" si="8"/>
        <v>19</v>
      </c>
      <c r="B136" s="117"/>
      <c r="C136" s="77">
        <f t="shared" si="9"/>
        <v>0</v>
      </c>
      <c r="D136" s="115">
        <f t="shared" si="10"/>
        <v>0</v>
      </c>
      <c r="E136" s="659"/>
      <c r="F136" s="163"/>
      <c r="G136" s="162"/>
      <c r="H136" s="657"/>
      <c r="I136" s="507"/>
      <c r="J136" s="79"/>
    </row>
    <row r="137" spans="1:10" ht="20.100000000000001" customHeight="1" x14ac:dyDescent="0.2">
      <c r="A137" s="656">
        <f t="shared" si="8"/>
        <v>19</v>
      </c>
      <c r="B137" s="117"/>
      <c r="C137" s="77">
        <f t="shared" si="9"/>
        <v>0</v>
      </c>
      <c r="D137" s="115">
        <f t="shared" si="10"/>
        <v>0</v>
      </c>
      <c r="E137" s="659"/>
      <c r="F137" s="163"/>
      <c r="G137" s="162"/>
      <c r="H137" s="657"/>
      <c r="I137" s="507"/>
      <c r="J137" s="79"/>
    </row>
    <row r="138" spans="1:10" ht="20.100000000000001" customHeight="1" x14ac:dyDescent="0.2">
      <c r="A138" s="656">
        <f t="shared" si="8"/>
        <v>19</v>
      </c>
      <c r="B138" s="117"/>
      <c r="C138" s="77">
        <f t="shared" si="9"/>
        <v>0</v>
      </c>
      <c r="D138" s="115">
        <f t="shared" si="10"/>
        <v>0</v>
      </c>
      <c r="E138" s="659"/>
      <c r="F138" s="163"/>
      <c r="G138" s="162"/>
      <c r="H138" s="657"/>
      <c r="I138" s="507"/>
      <c r="J138" s="79"/>
    </row>
    <row r="139" spans="1:10" ht="20.100000000000001" customHeight="1" x14ac:dyDescent="0.2">
      <c r="A139" s="656">
        <f t="shared" si="8"/>
        <v>19</v>
      </c>
      <c r="B139" s="117"/>
      <c r="C139" s="77">
        <f t="shared" si="9"/>
        <v>0</v>
      </c>
      <c r="D139" s="115">
        <f t="shared" si="10"/>
        <v>0</v>
      </c>
      <c r="E139" s="659"/>
      <c r="F139" s="163"/>
      <c r="G139" s="162"/>
      <c r="H139" s="657"/>
      <c r="I139" s="507"/>
      <c r="J139" s="79"/>
    </row>
    <row r="140" spans="1:10" ht="20.100000000000001" customHeight="1" x14ac:dyDescent="0.2">
      <c r="A140" s="656">
        <f t="shared" si="8"/>
        <v>19</v>
      </c>
      <c r="B140" s="117"/>
      <c r="C140" s="77">
        <f t="shared" si="9"/>
        <v>0</v>
      </c>
      <c r="D140" s="115">
        <f t="shared" si="10"/>
        <v>0</v>
      </c>
      <c r="E140" s="659"/>
      <c r="F140" s="163"/>
      <c r="G140" s="162"/>
      <c r="H140" s="657"/>
      <c r="I140" s="507"/>
      <c r="J140" s="79"/>
    </row>
    <row r="141" spans="1:10" ht="20.100000000000001" customHeight="1" x14ac:dyDescent="0.2">
      <c r="A141" s="656">
        <f t="shared" si="8"/>
        <v>19</v>
      </c>
      <c r="B141" s="117"/>
      <c r="C141" s="77">
        <f t="shared" si="9"/>
        <v>0</v>
      </c>
      <c r="D141" s="115">
        <f t="shared" si="10"/>
        <v>0</v>
      </c>
      <c r="E141" s="659"/>
      <c r="F141" s="163"/>
      <c r="G141" s="162"/>
      <c r="H141" s="657"/>
      <c r="I141" s="507"/>
      <c r="J141" s="79"/>
    </row>
    <row r="142" spans="1:10" ht="20.100000000000001" customHeight="1" x14ac:dyDescent="0.2">
      <c r="A142" s="656">
        <f t="shared" si="8"/>
        <v>19</v>
      </c>
      <c r="B142" s="117"/>
      <c r="C142" s="77">
        <f t="shared" si="9"/>
        <v>0</v>
      </c>
      <c r="D142" s="115">
        <f t="shared" si="10"/>
        <v>0</v>
      </c>
      <c r="E142" s="659"/>
      <c r="F142" s="163"/>
      <c r="G142" s="162"/>
      <c r="H142" s="657"/>
      <c r="I142" s="507"/>
      <c r="J142" s="79"/>
    </row>
    <row r="143" spans="1:10" ht="20.100000000000001" customHeight="1" x14ac:dyDescent="0.2">
      <c r="A143" s="656">
        <f t="shared" si="8"/>
        <v>19</v>
      </c>
      <c r="B143" s="117"/>
      <c r="C143" s="77">
        <f t="shared" si="9"/>
        <v>0</v>
      </c>
      <c r="D143" s="115">
        <f t="shared" si="10"/>
        <v>0</v>
      </c>
      <c r="E143" s="659"/>
      <c r="F143" s="163"/>
      <c r="G143" s="162"/>
      <c r="H143" s="657"/>
      <c r="I143" s="507"/>
      <c r="J143" s="79"/>
    </row>
    <row r="144" spans="1:10" ht="20.100000000000001" customHeight="1" x14ac:dyDescent="0.2">
      <c r="A144" s="656">
        <f t="shared" si="8"/>
        <v>19</v>
      </c>
      <c r="B144" s="117"/>
      <c r="C144" s="77">
        <f t="shared" si="9"/>
        <v>0</v>
      </c>
      <c r="D144" s="115">
        <f t="shared" si="10"/>
        <v>0</v>
      </c>
      <c r="E144" s="659"/>
      <c r="F144" s="163"/>
      <c r="G144" s="162"/>
      <c r="H144" s="657"/>
      <c r="I144" s="507"/>
      <c r="J144" s="79"/>
    </row>
    <row r="145" spans="1:10" ht="20.100000000000001" customHeight="1" x14ac:dyDescent="0.2">
      <c r="A145" s="656">
        <f t="shared" si="8"/>
        <v>19</v>
      </c>
      <c r="B145" s="117"/>
      <c r="C145" s="77">
        <f t="shared" si="9"/>
        <v>0</v>
      </c>
      <c r="D145" s="115">
        <f t="shared" si="10"/>
        <v>0</v>
      </c>
      <c r="E145" s="659"/>
      <c r="F145" s="163"/>
      <c r="G145" s="162"/>
      <c r="H145" s="657"/>
      <c r="I145" s="507"/>
      <c r="J145" s="79"/>
    </row>
    <row r="146" spans="1:10" ht="20.100000000000001" customHeight="1" x14ac:dyDescent="0.2">
      <c r="A146" s="656">
        <f t="shared" si="8"/>
        <v>19</v>
      </c>
      <c r="B146" s="117"/>
      <c r="C146" s="77">
        <f t="shared" si="9"/>
        <v>0</v>
      </c>
      <c r="D146" s="115">
        <f t="shared" si="10"/>
        <v>0</v>
      </c>
      <c r="E146" s="659"/>
      <c r="F146" s="163"/>
      <c r="G146" s="162"/>
      <c r="H146" s="657"/>
      <c r="I146" s="507"/>
      <c r="J146" s="79"/>
    </row>
    <row r="147" spans="1:10" ht="20.100000000000001" customHeight="1" x14ac:dyDescent="0.2">
      <c r="A147" s="656">
        <f t="shared" si="8"/>
        <v>19</v>
      </c>
      <c r="B147" s="117"/>
      <c r="C147" s="77">
        <f t="shared" si="9"/>
        <v>0</v>
      </c>
      <c r="D147" s="115">
        <f t="shared" si="10"/>
        <v>0</v>
      </c>
      <c r="E147" s="659"/>
      <c r="F147" s="163"/>
      <c r="G147" s="162"/>
      <c r="H147" s="657"/>
      <c r="I147" s="507"/>
      <c r="J147" s="79"/>
    </row>
    <row r="148" spans="1:10" ht="20.100000000000001" customHeight="1" x14ac:dyDescent="0.2">
      <c r="A148" s="656">
        <f t="shared" si="8"/>
        <v>19</v>
      </c>
      <c r="B148" s="117"/>
      <c r="C148" s="77">
        <f t="shared" si="9"/>
        <v>0</v>
      </c>
      <c r="D148" s="115">
        <f t="shared" si="10"/>
        <v>0</v>
      </c>
      <c r="E148" s="659"/>
      <c r="F148" s="163"/>
      <c r="G148" s="162"/>
      <c r="H148" s="657"/>
      <c r="I148" s="507"/>
      <c r="J148" s="79"/>
    </row>
    <row r="149" spans="1:10" ht="20.100000000000001" customHeight="1" x14ac:dyDescent="0.2">
      <c r="A149" s="656">
        <f t="shared" si="8"/>
        <v>19</v>
      </c>
      <c r="B149" s="117"/>
      <c r="C149" s="77">
        <f t="shared" si="9"/>
        <v>0</v>
      </c>
      <c r="D149" s="115">
        <f t="shared" si="10"/>
        <v>0</v>
      </c>
      <c r="E149" s="659"/>
      <c r="F149" s="163"/>
      <c r="G149" s="162"/>
      <c r="H149" s="657"/>
      <c r="I149" s="507"/>
      <c r="J149" s="79"/>
    </row>
    <row r="150" spans="1:10" ht="20.100000000000001" customHeight="1" x14ac:dyDescent="0.2">
      <c r="A150" s="656">
        <f t="shared" si="8"/>
        <v>19</v>
      </c>
      <c r="B150" s="117"/>
      <c r="C150" s="77">
        <f t="shared" si="9"/>
        <v>0</v>
      </c>
      <c r="D150" s="115">
        <f t="shared" si="10"/>
        <v>0</v>
      </c>
      <c r="E150" s="659"/>
      <c r="F150" s="163"/>
      <c r="G150" s="162"/>
      <c r="H150" s="657"/>
      <c r="I150" s="507"/>
      <c r="J150" s="79"/>
    </row>
    <row r="151" spans="1:10" ht="20.100000000000001" customHeight="1" x14ac:dyDescent="0.2">
      <c r="A151" s="656">
        <f t="shared" si="8"/>
        <v>19</v>
      </c>
      <c r="B151" s="117"/>
      <c r="C151" s="77">
        <f t="shared" si="9"/>
        <v>0</v>
      </c>
      <c r="D151" s="115">
        <f t="shared" si="10"/>
        <v>0</v>
      </c>
      <c r="E151" s="659"/>
      <c r="F151" s="163"/>
      <c r="G151" s="162"/>
      <c r="H151" s="657"/>
      <c r="I151" s="507"/>
      <c r="J151" s="79"/>
    </row>
    <row r="152" spans="1:10" ht="20.100000000000001" customHeight="1" x14ac:dyDescent="0.2">
      <c r="A152" s="656">
        <f t="shared" si="8"/>
        <v>19</v>
      </c>
      <c r="B152" s="117"/>
      <c r="C152" s="77">
        <f t="shared" si="9"/>
        <v>0</v>
      </c>
      <c r="D152" s="115">
        <f t="shared" si="10"/>
        <v>0</v>
      </c>
      <c r="E152" s="659"/>
      <c r="F152" s="163"/>
      <c r="G152" s="162"/>
      <c r="H152" s="657"/>
      <c r="I152" s="507"/>
      <c r="J152" s="79"/>
    </row>
    <row r="153" spans="1:10" ht="20.100000000000001" customHeight="1" x14ac:dyDescent="0.2">
      <c r="A153" s="656">
        <f t="shared" si="8"/>
        <v>19</v>
      </c>
      <c r="B153" s="117"/>
      <c r="C153" s="77">
        <f t="shared" si="9"/>
        <v>0</v>
      </c>
      <c r="D153" s="115">
        <f t="shared" si="10"/>
        <v>0</v>
      </c>
      <c r="E153" s="659"/>
      <c r="F153" s="163"/>
      <c r="G153" s="162"/>
      <c r="H153" s="657"/>
      <c r="I153" s="507"/>
      <c r="J153" s="79"/>
    </row>
    <row r="154" spans="1:10" ht="20.100000000000001" customHeight="1" x14ac:dyDescent="0.2">
      <c r="A154" s="656">
        <f t="shared" si="8"/>
        <v>19</v>
      </c>
      <c r="B154" s="117"/>
      <c r="C154" s="77">
        <f t="shared" si="9"/>
        <v>0</v>
      </c>
      <c r="D154" s="115">
        <f t="shared" si="10"/>
        <v>0</v>
      </c>
      <c r="E154" s="659"/>
      <c r="F154" s="163"/>
      <c r="G154" s="162"/>
      <c r="H154" s="657"/>
      <c r="I154" s="507"/>
      <c r="J154" s="79"/>
    </row>
    <row r="155" spans="1:10" ht="20.100000000000001" customHeight="1" x14ac:dyDescent="0.2">
      <c r="A155" s="656">
        <f t="shared" si="8"/>
        <v>19</v>
      </c>
      <c r="B155" s="117"/>
      <c r="C155" s="77">
        <f t="shared" si="9"/>
        <v>0</v>
      </c>
      <c r="D155" s="115">
        <f t="shared" si="10"/>
        <v>0</v>
      </c>
      <c r="E155" s="659"/>
      <c r="F155" s="163"/>
      <c r="G155" s="162"/>
      <c r="H155" s="657"/>
      <c r="I155" s="507"/>
      <c r="J155" s="79"/>
    </row>
    <row r="156" spans="1:10" ht="20.100000000000001" customHeight="1" x14ac:dyDescent="0.2">
      <c r="A156" s="656">
        <f t="shared" si="8"/>
        <v>19</v>
      </c>
      <c r="B156" s="117"/>
      <c r="C156" s="77">
        <f t="shared" si="9"/>
        <v>0</v>
      </c>
      <c r="D156" s="115">
        <f t="shared" si="10"/>
        <v>0</v>
      </c>
      <c r="E156" s="659"/>
      <c r="F156" s="163"/>
      <c r="G156" s="162"/>
      <c r="H156" s="657"/>
      <c r="I156" s="507"/>
      <c r="J156" s="79"/>
    </row>
    <row r="157" spans="1:10" ht="20.100000000000001" customHeight="1" x14ac:dyDescent="0.2">
      <c r="A157" s="656">
        <f t="shared" si="8"/>
        <v>19</v>
      </c>
      <c r="B157" s="117"/>
      <c r="C157" s="77">
        <f t="shared" si="9"/>
        <v>0</v>
      </c>
      <c r="D157" s="115">
        <f t="shared" si="10"/>
        <v>0</v>
      </c>
      <c r="E157" s="659"/>
      <c r="F157" s="163"/>
      <c r="G157" s="162"/>
      <c r="H157" s="657"/>
      <c r="I157" s="507"/>
      <c r="J157" s="79"/>
    </row>
    <row r="158" spans="1:10" ht="20.100000000000001" customHeight="1" x14ac:dyDescent="0.2">
      <c r="A158" s="656">
        <f t="shared" si="8"/>
        <v>19</v>
      </c>
      <c r="B158" s="117"/>
      <c r="C158" s="77">
        <f t="shared" si="9"/>
        <v>0</v>
      </c>
      <c r="D158" s="115">
        <f t="shared" si="10"/>
        <v>0</v>
      </c>
      <c r="E158" s="659"/>
      <c r="F158" s="163"/>
      <c r="G158" s="162"/>
      <c r="H158" s="657"/>
      <c r="I158" s="507"/>
      <c r="J158" s="79"/>
    </row>
    <row r="159" spans="1:10" ht="20.100000000000001" customHeight="1" x14ac:dyDescent="0.2">
      <c r="A159" s="656">
        <f t="shared" si="8"/>
        <v>19</v>
      </c>
      <c r="B159" s="117"/>
      <c r="C159" s="77">
        <f t="shared" si="9"/>
        <v>0</v>
      </c>
      <c r="D159" s="115">
        <f t="shared" si="10"/>
        <v>0</v>
      </c>
      <c r="E159" s="659"/>
      <c r="F159" s="163"/>
      <c r="G159" s="162"/>
      <c r="H159" s="657"/>
      <c r="I159" s="507"/>
      <c r="J159" s="79"/>
    </row>
    <row r="160" spans="1:10" ht="20.100000000000001" customHeight="1" x14ac:dyDescent="0.2">
      <c r="A160" s="656">
        <f t="shared" si="8"/>
        <v>19</v>
      </c>
      <c r="B160" s="117"/>
      <c r="C160" s="77">
        <f t="shared" si="9"/>
        <v>0</v>
      </c>
      <c r="D160" s="115">
        <f t="shared" si="10"/>
        <v>0</v>
      </c>
      <c r="E160" s="659"/>
      <c r="F160" s="163"/>
      <c r="G160" s="162"/>
      <c r="H160" s="657"/>
      <c r="I160" s="507"/>
      <c r="J160" s="79"/>
    </row>
    <row r="161" spans="1:10" ht="20.100000000000001" customHeight="1" x14ac:dyDescent="0.2">
      <c r="A161" s="656">
        <f t="shared" si="8"/>
        <v>19</v>
      </c>
      <c r="B161" s="117"/>
      <c r="C161" s="77">
        <f t="shared" ref="C161:C183" si="11">IFERROR(VLOOKUP(J161,T_Código_Items,2,FALSE),G161)</f>
        <v>0</v>
      </c>
      <c r="D161" s="115">
        <f t="shared" ref="D161:D183" si="12">IFERROR(VLOOKUP(J161,T_Código_Items,3,FALSE),H161)</f>
        <v>0</v>
      </c>
      <c r="E161" s="659"/>
      <c r="F161" s="163"/>
      <c r="G161" s="162"/>
      <c r="H161" s="657"/>
      <c r="I161" s="507"/>
      <c r="J161" s="79"/>
    </row>
    <row r="162" spans="1:10" ht="20.100000000000001" customHeight="1" x14ac:dyDescent="0.2">
      <c r="A162" s="656">
        <f t="shared" si="8"/>
        <v>19</v>
      </c>
      <c r="B162" s="117"/>
      <c r="C162" s="77">
        <f t="shared" si="11"/>
        <v>0</v>
      </c>
      <c r="D162" s="115">
        <f t="shared" si="12"/>
        <v>0</v>
      </c>
      <c r="E162" s="659"/>
      <c r="F162" s="163"/>
      <c r="G162" s="162"/>
      <c r="H162" s="657"/>
      <c r="I162" s="507"/>
      <c r="J162" s="79"/>
    </row>
    <row r="163" spans="1:10" ht="20.100000000000001" customHeight="1" x14ac:dyDescent="0.2">
      <c r="A163" s="656">
        <f t="shared" ref="A163:A183" si="13">IF(D163=0,A162,A162+1)</f>
        <v>19</v>
      </c>
      <c r="B163" s="117"/>
      <c r="C163" s="77">
        <f t="shared" si="11"/>
        <v>0</v>
      </c>
      <c r="D163" s="115">
        <f t="shared" si="12"/>
        <v>0</v>
      </c>
      <c r="E163" s="659"/>
      <c r="F163" s="163"/>
      <c r="G163" s="162"/>
      <c r="H163" s="657"/>
      <c r="I163" s="507"/>
      <c r="J163" s="79"/>
    </row>
    <row r="164" spans="1:10" ht="20.100000000000001" customHeight="1" x14ac:dyDescent="0.2">
      <c r="A164" s="656">
        <f t="shared" si="13"/>
        <v>19</v>
      </c>
      <c r="B164" s="117"/>
      <c r="C164" s="77">
        <f t="shared" si="11"/>
        <v>0</v>
      </c>
      <c r="D164" s="115">
        <f t="shared" si="12"/>
        <v>0</v>
      </c>
      <c r="E164" s="659"/>
      <c r="F164" s="163"/>
      <c r="G164" s="162"/>
      <c r="H164" s="657"/>
      <c r="I164" s="507"/>
      <c r="J164" s="79"/>
    </row>
    <row r="165" spans="1:10" ht="20.100000000000001" customHeight="1" x14ac:dyDescent="0.2">
      <c r="A165" s="656">
        <f t="shared" si="13"/>
        <v>19</v>
      </c>
      <c r="B165" s="117"/>
      <c r="C165" s="77">
        <f t="shared" si="11"/>
        <v>0</v>
      </c>
      <c r="D165" s="115">
        <f t="shared" si="12"/>
        <v>0</v>
      </c>
      <c r="E165" s="659"/>
      <c r="F165" s="163"/>
      <c r="G165" s="162"/>
      <c r="H165" s="657"/>
      <c r="I165" s="507"/>
      <c r="J165" s="79"/>
    </row>
    <row r="166" spans="1:10" ht="20.100000000000001" customHeight="1" x14ac:dyDescent="0.2">
      <c r="A166" s="656">
        <f t="shared" si="13"/>
        <v>19</v>
      </c>
      <c r="B166" s="117"/>
      <c r="C166" s="77">
        <f t="shared" si="11"/>
        <v>0</v>
      </c>
      <c r="D166" s="115">
        <f t="shared" si="12"/>
        <v>0</v>
      </c>
      <c r="E166" s="659"/>
      <c r="F166" s="163"/>
      <c r="G166" s="162"/>
      <c r="H166" s="657"/>
      <c r="I166" s="507"/>
      <c r="J166" s="79"/>
    </row>
    <row r="167" spans="1:10" ht="20.100000000000001" customHeight="1" x14ac:dyDescent="0.2">
      <c r="A167" s="656">
        <f t="shared" si="13"/>
        <v>19</v>
      </c>
      <c r="B167" s="117"/>
      <c r="C167" s="77">
        <f t="shared" si="11"/>
        <v>0</v>
      </c>
      <c r="D167" s="115">
        <f t="shared" si="12"/>
        <v>0</v>
      </c>
      <c r="E167" s="659"/>
      <c r="F167" s="163"/>
      <c r="G167" s="162"/>
      <c r="H167" s="657"/>
      <c r="I167" s="507"/>
      <c r="J167" s="79"/>
    </row>
    <row r="168" spans="1:10" ht="20.100000000000001" customHeight="1" x14ac:dyDescent="0.2">
      <c r="A168" s="656">
        <f t="shared" si="13"/>
        <v>19</v>
      </c>
      <c r="B168" s="117"/>
      <c r="C168" s="77">
        <f t="shared" si="11"/>
        <v>0</v>
      </c>
      <c r="D168" s="115">
        <f t="shared" si="12"/>
        <v>0</v>
      </c>
      <c r="E168" s="659"/>
      <c r="F168" s="163"/>
      <c r="G168" s="162"/>
      <c r="H168" s="657"/>
      <c r="I168" s="507"/>
      <c r="J168" s="79"/>
    </row>
    <row r="169" spans="1:10" ht="20.100000000000001" customHeight="1" x14ac:dyDescent="0.2">
      <c r="A169" s="656">
        <f t="shared" si="13"/>
        <v>19</v>
      </c>
      <c r="B169" s="117"/>
      <c r="C169" s="77">
        <f t="shared" si="11"/>
        <v>0</v>
      </c>
      <c r="D169" s="115">
        <f t="shared" si="12"/>
        <v>0</v>
      </c>
      <c r="E169" s="659"/>
      <c r="F169" s="163"/>
      <c r="G169" s="162"/>
      <c r="H169" s="657"/>
      <c r="I169" s="507"/>
      <c r="J169" s="79"/>
    </row>
    <row r="170" spans="1:10" ht="20.100000000000001" customHeight="1" x14ac:dyDescent="0.2">
      <c r="A170" s="656">
        <f t="shared" si="13"/>
        <v>19</v>
      </c>
      <c r="B170" s="117"/>
      <c r="C170" s="77">
        <f t="shared" si="11"/>
        <v>0</v>
      </c>
      <c r="D170" s="115">
        <f t="shared" si="12"/>
        <v>0</v>
      </c>
      <c r="E170" s="659"/>
      <c r="F170" s="163"/>
      <c r="G170" s="162"/>
      <c r="H170" s="657"/>
      <c r="I170" s="507"/>
      <c r="J170" s="79"/>
    </row>
    <row r="171" spans="1:10" ht="20.100000000000001" customHeight="1" x14ac:dyDescent="0.2">
      <c r="A171" s="656">
        <f t="shared" si="13"/>
        <v>19</v>
      </c>
      <c r="B171" s="117"/>
      <c r="C171" s="77">
        <f t="shared" si="11"/>
        <v>0</v>
      </c>
      <c r="D171" s="115">
        <f t="shared" si="12"/>
        <v>0</v>
      </c>
      <c r="E171" s="659"/>
      <c r="F171" s="163"/>
      <c r="G171" s="162"/>
      <c r="H171" s="657"/>
      <c r="I171" s="507"/>
      <c r="J171" s="79"/>
    </row>
    <row r="172" spans="1:10" ht="20.100000000000001" customHeight="1" x14ac:dyDescent="0.2">
      <c r="A172" s="656">
        <f t="shared" si="13"/>
        <v>19</v>
      </c>
      <c r="B172" s="117"/>
      <c r="C172" s="77">
        <f t="shared" si="11"/>
        <v>0</v>
      </c>
      <c r="D172" s="115">
        <f t="shared" si="12"/>
        <v>0</v>
      </c>
      <c r="E172" s="659"/>
      <c r="F172" s="163"/>
      <c r="G172" s="162"/>
      <c r="H172" s="657"/>
      <c r="I172" s="507"/>
      <c r="J172" s="79"/>
    </row>
    <row r="173" spans="1:10" ht="20.100000000000001" customHeight="1" x14ac:dyDescent="0.2">
      <c r="A173" s="656">
        <f t="shared" si="13"/>
        <v>19</v>
      </c>
      <c r="B173" s="117"/>
      <c r="C173" s="77">
        <f t="shared" si="11"/>
        <v>0</v>
      </c>
      <c r="D173" s="115">
        <f t="shared" si="12"/>
        <v>0</v>
      </c>
      <c r="E173" s="659"/>
      <c r="F173" s="163"/>
      <c r="G173" s="162"/>
      <c r="H173" s="657"/>
      <c r="I173" s="507"/>
      <c r="J173" s="79"/>
    </row>
    <row r="174" spans="1:10" ht="20.100000000000001" customHeight="1" x14ac:dyDescent="0.2">
      <c r="A174" s="656">
        <f t="shared" si="13"/>
        <v>19</v>
      </c>
      <c r="B174" s="117"/>
      <c r="C174" s="77">
        <f t="shared" si="11"/>
        <v>0</v>
      </c>
      <c r="D174" s="115">
        <f t="shared" si="12"/>
        <v>0</v>
      </c>
      <c r="E174" s="659"/>
      <c r="F174" s="163"/>
      <c r="G174" s="162"/>
      <c r="H174" s="657"/>
      <c r="I174" s="507"/>
      <c r="J174" s="79"/>
    </row>
    <row r="175" spans="1:10" ht="20.100000000000001" customHeight="1" x14ac:dyDescent="0.2">
      <c r="A175" s="656">
        <f t="shared" si="13"/>
        <v>19</v>
      </c>
      <c r="B175" s="117"/>
      <c r="C175" s="77">
        <f t="shared" si="11"/>
        <v>0</v>
      </c>
      <c r="D175" s="115">
        <f t="shared" si="12"/>
        <v>0</v>
      </c>
      <c r="E175" s="659"/>
      <c r="F175" s="163"/>
      <c r="G175" s="162"/>
      <c r="H175" s="657"/>
      <c r="I175" s="507"/>
      <c r="J175" s="79"/>
    </row>
    <row r="176" spans="1:10" ht="20.100000000000001" customHeight="1" x14ac:dyDescent="0.2">
      <c r="A176" s="656">
        <f t="shared" si="13"/>
        <v>19</v>
      </c>
      <c r="B176" s="117"/>
      <c r="C176" s="77">
        <f t="shared" si="11"/>
        <v>0</v>
      </c>
      <c r="D176" s="115">
        <f t="shared" si="12"/>
        <v>0</v>
      </c>
      <c r="E176" s="659"/>
      <c r="F176" s="163"/>
      <c r="G176" s="162"/>
      <c r="H176" s="657"/>
      <c r="I176" s="507"/>
      <c r="J176" s="79"/>
    </row>
    <row r="177" spans="1:10" ht="20.100000000000001" customHeight="1" x14ac:dyDescent="0.2">
      <c r="A177" s="656">
        <f t="shared" si="13"/>
        <v>19</v>
      </c>
      <c r="B177" s="117"/>
      <c r="C177" s="77">
        <f t="shared" si="11"/>
        <v>0</v>
      </c>
      <c r="D177" s="115">
        <f t="shared" si="12"/>
        <v>0</v>
      </c>
      <c r="E177" s="659"/>
      <c r="F177" s="163"/>
      <c r="G177" s="162"/>
      <c r="H177" s="657"/>
      <c r="I177" s="507"/>
      <c r="J177" s="79"/>
    </row>
    <row r="178" spans="1:10" ht="20.100000000000001" customHeight="1" x14ac:dyDescent="0.2">
      <c r="A178" s="656">
        <f t="shared" si="13"/>
        <v>19</v>
      </c>
      <c r="B178" s="117"/>
      <c r="C178" s="77">
        <f t="shared" si="11"/>
        <v>0</v>
      </c>
      <c r="D178" s="115">
        <f t="shared" si="12"/>
        <v>0</v>
      </c>
      <c r="E178" s="659"/>
      <c r="F178" s="163"/>
      <c r="G178" s="162"/>
      <c r="H178" s="657"/>
      <c r="I178" s="507"/>
      <c r="J178" s="79"/>
    </row>
    <row r="179" spans="1:10" ht="20.100000000000001" customHeight="1" x14ac:dyDescent="0.2">
      <c r="A179" s="656">
        <f t="shared" si="13"/>
        <v>19</v>
      </c>
      <c r="B179" s="117"/>
      <c r="C179" s="77">
        <f t="shared" si="11"/>
        <v>0</v>
      </c>
      <c r="D179" s="115">
        <f t="shared" si="12"/>
        <v>0</v>
      </c>
      <c r="E179" s="659"/>
      <c r="F179" s="163"/>
      <c r="G179" s="162"/>
      <c r="H179" s="657"/>
      <c r="I179" s="507"/>
      <c r="J179" s="79"/>
    </row>
    <row r="180" spans="1:10" ht="20.100000000000001" customHeight="1" x14ac:dyDescent="0.2">
      <c r="A180" s="656">
        <f t="shared" si="13"/>
        <v>19</v>
      </c>
      <c r="B180" s="117"/>
      <c r="C180" s="77">
        <f t="shared" si="11"/>
        <v>0</v>
      </c>
      <c r="D180" s="115">
        <f t="shared" si="12"/>
        <v>0</v>
      </c>
      <c r="E180" s="659"/>
      <c r="F180" s="163"/>
      <c r="G180" s="162"/>
      <c r="H180" s="657"/>
      <c r="I180" s="507"/>
      <c r="J180" s="79"/>
    </row>
    <row r="181" spans="1:10" ht="20.100000000000001" customHeight="1" x14ac:dyDescent="0.2">
      <c r="A181" s="656">
        <f t="shared" si="13"/>
        <v>19</v>
      </c>
      <c r="B181" s="117"/>
      <c r="C181" s="77">
        <f t="shared" si="11"/>
        <v>0</v>
      </c>
      <c r="D181" s="115">
        <f t="shared" si="12"/>
        <v>0</v>
      </c>
      <c r="E181" s="659"/>
      <c r="F181" s="163"/>
      <c r="G181" s="162"/>
      <c r="H181" s="657"/>
      <c r="I181" s="507"/>
      <c r="J181" s="79"/>
    </row>
    <row r="182" spans="1:10" ht="20.100000000000001" customHeight="1" x14ac:dyDescent="0.2">
      <c r="A182" s="656">
        <f t="shared" si="13"/>
        <v>19</v>
      </c>
      <c r="B182" s="117"/>
      <c r="C182" s="77">
        <f t="shared" si="11"/>
        <v>0</v>
      </c>
      <c r="D182" s="115">
        <f t="shared" si="12"/>
        <v>0</v>
      </c>
      <c r="E182" s="659"/>
      <c r="F182" s="163"/>
      <c r="G182" s="162"/>
      <c r="H182" s="657"/>
      <c r="I182" s="507"/>
      <c r="J182" s="79"/>
    </row>
    <row r="183" spans="1:10" ht="20.100000000000001" customHeight="1" x14ac:dyDescent="0.2">
      <c r="A183" s="656">
        <f t="shared" si="13"/>
        <v>19</v>
      </c>
      <c r="B183" s="117"/>
      <c r="C183" s="77">
        <f t="shared" si="11"/>
        <v>0</v>
      </c>
      <c r="D183" s="115">
        <f t="shared" si="12"/>
        <v>0</v>
      </c>
      <c r="E183" s="659"/>
      <c r="F183" s="163"/>
      <c r="G183" s="162"/>
      <c r="H183" s="657"/>
      <c r="I183" s="507"/>
      <c r="J183" s="79"/>
    </row>
    <row r="184" spans="1:10" ht="20.100000000000001" customHeight="1" x14ac:dyDescent="0.2">
      <c r="H184" s="111"/>
      <c r="I184" s="507"/>
      <c r="J184" s="79"/>
    </row>
    <row r="185" spans="1:10" ht="20.100000000000001" customHeight="1" x14ac:dyDescent="0.2">
      <c r="H185" s="111"/>
      <c r="I185" s="507"/>
      <c r="J185" s="79"/>
    </row>
    <row r="186" spans="1:10" ht="20.100000000000001" customHeight="1" x14ac:dyDescent="0.2">
      <c r="H186" s="111"/>
      <c r="I186" s="507"/>
      <c r="J186" s="79"/>
    </row>
    <row r="187" spans="1:10" ht="20.100000000000001" customHeight="1" x14ac:dyDescent="0.2">
      <c r="H187" s="111"/>
      <c r="I187" s="507"/>
      <c r="J187" s="79"/>
    </row>
    <row r="188" spans="1:10" ht="20.100000000000001" customHeight="1" x14ac:dyDescent="0.2">
      <c r="H188" s="111"/>
      <c r="I188" s="507"/>
      <c r="J188" s="79"/>
    </row>
    <row r="189" spans="1:10" ht="20.100000000000001" customHeight="1" x14ac:dyDescent="0.2">
      <c r="H189" s="111"/>
      <c r="I189" s="507"/>
      <c r="J189" s="79"/>
    </row>
    <row r="190" spans="1:10" ht="20.100000000000001" customHeight="1" x14ac:dyDescent="0.2">
      <c r="H190" s="111"/>
      <c r="I190" s="507"/>
      <c r="J190" s="79"/>
    </row>
    <row r="191" spans="1:10" ht="20.100000000000001" customHeight="1" x14ac:dyDescent="0.2">
      <c r="H191" s="111"/>
      <c r="I191" s="507"/>
      <c r="J191" s="79"/>
    </row>
    <row r="192" spans="1:10" ht="20.100000000000001" customHeight="1" x14ac:dyDescent="0.2">
      <c r="H192" s="111"/>
      <c r="I192" s="507"/>
      <c r="J192" s="79"/>
    </row>
    <row r="193" spans="8:10" ht="20.100000000000001" customHeight="1" x14ac:dyDescent="0.2">
      <c r="H193" s="111"/>
      <c r="I193" s="507"/>
      <c r="J193" s="79"/>
    </row>
    <row r="194" spans="8:10" ht="20.100000000000001" customHeight="1" x14ac:dyDescent="0.2">
      <c r="H194" s="111"/>
      <c r="I194" s="507"/>
      <c r="J194" s="79"/>
    </row>
    <row r="195" spans="8:10" ht="20.100000000000001" customHeight="1" x14ac:dyDescent="0.2">
      <c r="H195" s="111"/>
      <c r="I195" s="507"/>
      <c r="J195" s="79"/>
    </row>
    <row r="196" spans="8:10" ht="20.100000000000001" customHeight="1" x14ac:dyDescent="0.2">
      <c r="H196" s="111"/>
      <c r="I196" s="507"/>
      <c r="J196" s="79"/>
    </row>
    <row r="197" spans="8:10" ht="20.100000000000001" customHeight="1" x14ac:dyDescent="0.2">
      <c r="H197" s="111"/>
      <c r="I197" s="507"/>
      <c r="J197" s="79"/>
    </row>
    <row r="198" spans="8:10" ht="20.100000000000001" customHeight="1" x14ac:dyDescent="0.2">
      <c r="H198" s="111"/>
      <c r="I198" s="507"/>
      <c r="J198" s="79"/>
    </row>
    <row r="199" spans="8:10" ht="20.100000000000001" customHeight="1" x14ac:dyDescent="0.2">
      <c r="H199" s="111"/>
      <c r="I199" s="507"/>
      <c r="J199" s="79"/>
    </row>
    <row r="200" spans="8:10" ht="20.100000000000001" customHeight="1" x14ac:dyDescent="0.2">
      <c r="H200" s="111"/>
      <c r="I200" s="507"/>
      <c r="J200" s="79"/>
    </row>
    <row r="201" spans="8:10" ht="20.100000000000001" customHeight="1" x14ac:dyDescent="0.2">
      <c r="H201" s="111"/>
      <c r="I201" s="507"/>
      <c r="J201" s="79"/>
    </row>
    <row r="202" spans="8:10" ht="20.100000000000001" customHeight="1" x14ac:dyDescent="0.2">
      <c r="H202" s="111"/>
      <c r="I202" s="507"/>
      <c r="J202" s="79"/>
    </row>
    <row r="203" spans="8:10" ht="20.100000000000001" customHeight="1" x14ac:dyDescent="0.2">
      <c r="H203" s="111"/>
      <c r="I203" s="507"/>
      <c r="J203" s="79"/>
    </row>
    <row r="204" spans="8:10" ht="20.100000000000001" customHeight="1" x14ac:dyDescent="0.2">
      <c r="H204" s="111"/>
      <c r="I204" s="507"/>
      <c r="J204" s="79"/>
    </row>
    <row r="205" spans="8:10" ht="20.100000000000001" customHeight="1" x14ac:dyDescent="0.2">
      <c r="H205" s="111"/>
      <c r="I205" s="507"/>
      <c r="J205" s="79"/>
    </row>
    <row r="206" spans="8:10" ht="20.100000000000001" customHeight="1" x14ac:dyDescent="0.2">
      <c r="H206" s="111"/>
      <c r="I206" s="507"/>
      <c r="J206" s="79"/>
    </row>
    <row r="207" spans="8:10" ht="20.100000000000001" customHeight="1" x14ac:dyDescent="0.2">
      <c r="H207" s="111"/>
      <c r="I207" s="507"/>
      <c r="J207" s="79"/>
    </row>
    <row r="208" spans="8:10" ht="20.100000000000001" customHeight="1" x14ac:dyDescent="0.2">
      <c r="H208" s="111"/>
      <c r="I208" s="507"/>
      <c r="J208" s="79"/>
    </row>
    <row r="209" spans="4:10" ht="20.100000000000001" customHeight="1" x14ac:dyDescent="0.2">
      <c r="H209" s="111"/>
      <c r="I209" s="507"/>
      <c r="J209" s="79"/>
    </row>
    <row r="210" spans="4:10" ht="20.100000000000001" customHeight="1" x14ac:dyDescent="0.2">
      <c r="H210" s="111"/>
      <c r="I210" s="507"/>
      <c r="J210" s="79"/>
    </row>
    <row r="211" spans="4:10" ht="20.100000000000001" customHeight="1" x14ac:dyDescent="0.2">
      <c r="H211" s="111"/>
      <c r="I211" s="507"/>
      <c r="J211" s="79"/>
    </row>
    <row r="212" spans="4:10" ht="20.100000000000001" customHeight="1" x14ac:dyDescent="0.2">
      <c r="H212" s="111"/>
      <c r="I212" s="507"/>
      <c r="J212" s="79"/>
    </row>
    <row r="213" spans="4:10" ht="20.100000000000001" customHeight="1" x14ac:dyDescent="0.2">
      <c r="H213" s="111"/>
      <c r="I213" s="507"/>
      <c r="J213" s="79"/>
    </row>
    <row r="214" spans="4:10" ht="20.100000000000001" customHeight="1" x14ac:dyDescent="0.2">
      <c r="H214" s="111"/>
      <c r="I214" s="507"/>
      <c r="J214" s="79"/>
    </row>
    <row r="215" spans="4:10" ht="20.100000000000001" customHeight="1" x14ac:dyDescent="0.2">
      <c r="D215" s="79"/>
      <c r="E215" s="111"/>
      <c r="I215" s="111"/>
      <c r="J215" s="507"/>
    </row>
    <row r="216" spans="4:10" ht="20.100000000000001" customHeight="1" x14ac:dyDescent="0.2">
      <c r="D216" s="79"/>
      <c r="E216" s="111"/>
      <c r="I216" s="111"/>
      <c r="J216" s="507"/>
    </row>
    <row r="217" spans="4:10" ht="20.100000000000001" customHeight="1" x14ac:dyDescent="0.2">
      <c r="J217" s="507"/>
    </row>
    <row r="218" spans="4:10" ht="20.100000000000001" customHeight="1" x14ac:dyDescent="0.2">
      <c r="J218" s="507"/>
    </row>
    <row r="219" spans="4:10" ht="20.100000000000001" customHeight="1" x14ac:dyDescent="0.2">
      <c r="J219" s="507"/>
    </row>
    <row r="220" spans="4:10" ht="20.100000000000001" customHeight="1" x14ac:dyDescent="0.2">
      <c r="J220" s="507"/>
    </row>
    <row r="221" spans="4:10" ht="20.100000000000001" customHeight="1" x14ac:dyDescent="0.2">
      <c r="J221" s="507"/>
    </row>
    <row r="222" spans="4:10" ht="20.100000000000001" customHeight="1" x14ac:dyDescent="0.2">
      <c r="J222" s="507"/>
    </row>
    <row r="223" spans="4:10" ht="20.100000000000001" customHeight="1" x14ac:dyDescent="0.2">
      <c r="J223" s="507"/>
    </row>
    <row r="224" spans="4:10" ht="20.100000000000001" customHeight="1" x14ac:dyDescent="0.2">
      <c r="J224" s="507"/>
    </row>
    <row r="225" spans="10:10" ht="20.100000000000001" customHeight="1" x14ac:dyDescent="0.2">
      <c r="J225" s="507"/>
    </row>
    <row r="226" spans="10:10" ht="20.100000000000001" customHeight="1" x14ac:dyDescent="0.2">
      <c r="J226" s="507"/>
    </row>
    <row r="227" spans="10:10" ht="20.100000000000001" customHeight="1" x14ac:dyDescent="0.2">
      <c r="J227" s="507"/>
    </row>
    <row r="228" spans="10:10" ht="20.100000000000001" customHeight="1" x14ac:dyDescent="0.2">
      <c r="J228" s="507"/>
    </row>
    <row r="229" spans="10:10" ht="20.100000000000001" customHeight="1" x14ac:dyDescent="0.2">
      <c r="J229" s="507"/>
    </row>
    <row r="230" spans="10:10" ht="20.100000000000001" customHeight="1" x14ac:dyDescent="0.2">
      <c r="J230" s="507"/>
    </row>
    <row r="231" spans="10:10" ht="20.100000000000001" customHeight="1" x14ac:dyDescent="0.2">
      <c r="J231" s="507"/>
    </row>
    <row r="232" spans="10:10" ht="20.100000000000001" customHeight="1" x14ac:dyDescent="0.2">
      <c r="J232" s="507"/>
    </row>
    <row r="233" spans="10:10" ht="20.100000000000001" customHeight="1" x14ac:dyDescent="0.2">
      <c r="J233" s="507"/>
    </row>
    <row r="234" spans="10:10" ht="20.100000000000001" customHeight="1" x14ac:dyDescent="0.2">
      <c r="J234" s="507"/>
    </row>
    <row r="235" spans="10:10" ht="20.100000000000001" customHeight="1" x14ac:dyDescent="0.2">
      <c r="J235" s="507"/>
    </row>
    <row r="236" spans="10:10" ht="20.100000000000001" customHeight="1" x14ac:dyDescent="0.2">
      <c r="J236" s="507"/>
    </row>
    <row r="237" spans="10:10" ht="20.100000000000001" customHeight="1" x14ac:dyDescent="0.2">
      <c r="J237" s="507"/>
    </row>
    <row r="238" spans="10:10" ht="20.100000000000001" customHeight="1" x14ac:dyDescent="0.2">
      <c r="J238" s="507"/>
    </row>
    <row r="239" spans="10:10" ht="20.100000000000001" customHeight="1" x14ac:dyDescent="0.2">
      <c r="J239" s="507"/>
    </row>
    <row r="240" spans="10:10" ht="20.100000000000001" customHeight="1" x14ac:dyDescent="0.2">
      <c r="J240" s="507"/>
    </row>
    <row r="241" spans="10:10" ht="20.100000000000001" customHeight="1" x14ac:dyDescent="0.2">
      <c r="J241" s="507"/>
    </row>
    <row r="242" spans="10:10" ht="20.100000000000001" customHeight="1" x14ac:dyDescent="0.2">
      <c r="J242" s="507"/>
    </row>
    <row r="243" spans="10:10" ht="20.100000000000001" customHeight="1" x14ac:dyDescent="0.2">
      <c r="J243" s="507"/>
    </row>
    <row r="244" spans="10:10" ht="20.100000000000001" customHeight="1" x14ac:dyDescent="0.2">
      <c r="J244" s="507"/>
    </row>
    <row r="245" spans="10:10" ht="20.100000000000001" customHeight="1" x14ac:dyDescent="0.2">
      <c r="J245" s="507"/>
    </row>
    <row r="246" spans="10:10" ht="20.100000000000001" customHeight="1" x14ac:dyDescent="0.2">
      <c r="J246" s="507"/>
    </row>
    <row r="247" spans="10:10" ht="20.100000000000001" customHeight="1" x14ac:dyDescent="0.2">
      <c r="J247" s="507"/>
    </row>
    <row r="248" spans="10:10" ht="20.100000000000001" customHeight="1" x14ac:dyDescent="0.2">
      <c r="J248" s="507"/>
    </row>
    <row r="249" spans="10:10" ht="20.100000000000001" customHeight="1" x14ac:dyDescent="0.2">
      <c r="J249" s="507"/>
    </row>
    <row r="250" spans="10:10" ht="20.100000000000001" customHeight="1" x14ac:dyDescent="0.2">
      <c r="J250" s="507"/>
    </row>
    <row r="251" spans="10:10" ht="20.100000000000001" customHeight="1" x14ac:dyDescent="0.2">
      <c r="J251" s="507"/>
    </row>
    <row r="252" spans="10:10" ht="20.100000000000001" customHeight="1" x14ac:dyDescent="0.2">
      <c r="J252" s="507"/>
    </row>
    <row r="253" spans="10:10" ht="20.100000000000001" customHeight="1" x14ac:dyDescent="0.2">
      <c r="J253" s="507"/>
    </row>
    <row r="254" spans="10:10" ht="20.100000000000001" customHeight="1" x14ac:dyDescent="0.2">
      <c r="J254" s="507"/>
    </row>
    <row r="255" spans="10:10" ht="20.100000000000001" customHeight="1" x14ac:dyDescent="0.2">
      <c r="J255" s="507"/>
    </row>
    <row r="256" spans="10:10" ht="20.100000000000001" customHeight="1" x14ac:dyDescent="0.2">
      <c r="J256" s="507"/>
    </row>
    <row r="257" spans="3:10" ht="20.100000000000001" customHeight="1" x14ac:dyDescent="0.2">
      <c r="J257" s="507"/>
    </row>
    <row r="258" spans="3:10" ht="20.100000000000001" customHeight="1" x14ac:dyDescent="0.2">
      <c r="J258" s="507"/>
    </row>
    <row r="259" spans="3:10" ht="20.100000000000001" customHeight="1" x14ac:dyDescent="0.2">
      <c r="J259" s="507"/>
    </row>
    <row r="260" spans="3:10" ht="20.100000000000001" customHeight="1" x14ac:dyDescent="0.2">
      <c r="J260" s="507"/>
    </row>
    <row r="261" spans="3:10" ht="20.100000000000001" customHeight="1" x14ac:dyDescent="0.2">
      <c r="J261" s="507"/>
    </row>
    <row r="262" spans="3:10" ht="20.100000000000001" customHeight="1" x14ac:dyDescent="0.2">
      <c r="C262" s="79">
        <v>5</v>
      </c>
      <c r="J262" s="507"/>
    </row>
    <row r="263" spans="3:10" ht="20.100000000000001" customHeight="1" x14ac:dyDescent="0.2">
      <c r="J263" s="507"/>
    </row>
    <row r="264" spans="3:10" ht="20.100000000000001" customHeight="1" x14ac:dyDescent="0.2">
      <c r="J264" s="507"/>
    </row>
    <row r="265" spans="3:10" ht="20.100000000000001" customHeight="1" x14ac:dyDescent="0.2">
      <c r="J265" s="507"/>
    </row>
    <row r="266" spans="3:10" ht="20.100000000000001" customHeight="1" x14ac:dyDescent="0.2">
      <c r="J266" s="507"/>
    </row>
    <row r="267" spans="3:10" ht="20.100000000000001" customHeight="1" x14ac:dyDescent="0.2">
      <c r="J267" s="507"/>
    </row>
    <row r="268" spans="3:10" ht="20.100000000000001" customHeight="1" x14ac:dyDescent="0.2">
      <c r="J268" s="507"/>
    </row>
    <row r="269" spans="3:10" ht="20.100000000000001" customHeight="1" x14ac:dyDescent="0.2">
      <c r="J269" s="507"/>
    </row>
    <row r="270" spans="3:10" ht="20.100000000000001" customHeight="1" x14ac:dyDescent="0.2">
      <c r="J270" s="507"/>
    </row>
    <row r="271" spans="3:10" ht="20.100000000000001" customHeight="1" x14ac:dyDescent="0.2">
      <c r="J271" s="507"/>
    </row>
    <row r="272" spans="3:10" ht="20.100000000000001" customHeight="1" x14ac:dyDescent="0.2">
      <c r="J272" s="507"/>
    </row>
    <row r="273" spans="10:10" ht="20.100000000000001" customHeight="1" x14ac:dyDescent="0.2">
      <c r="J273" s="507"/>
    </row>
    <row r="274" spans="10:10" ht="20.100000000000001" customHeight="1" x14ac:dyDescent="0.2">
      <c r="J274" s="507"/>
    </row>
    <row r="275" spans="10:10" ht="20.100000000000001" customHeight="1" x14ac:dyDescent="0.2">
      <c r="J275" s="507"/>
    </row>
    <row r="276" spans="10:10" ht="20.100000000000001" customHeight="1" x14ac:dyDescent="0.2">
      <c r="J276" s="507"/>
    </row>
    <row r="277" spans="10:10" ht="20.100000000000001" customHeight="1" x14ac:dyDescent="0.2">
      <c r="J277" s="507"/>
    </row>
    <row r="278" spans="10:10" ht="20.100000000000001" customHeight="1" x14ac:dyDescent="0.2">
      <c r="J278" s="507"/>
    </row>
    <row r="279" spans="10:10" ht="20.100000000000001" customHeight="1" x14ac:dyDescent="0.2">
      <c r="J279" s="507"/>
    </row>
    <row r="280" spans="10:10" ht="20.100000000000001" customHeight="1" x14ac:dyDescent="0.2">
      <c r="J280" s="507"/>
    </row>
    <row r="281" spans="10:10" ht="20.100000000000001" customHeight="1" x14ac:dyDescent="0.2">
      <c r="J281" s="507"/>
    </row>
    <row r="282" spans="10:10" ht="20.100000000000001" customHeight="1" x14ac:dyDescent="0.2">
      <c r="J282" s="507"/>
    </row>
    <row r="283" spans="10:10" ht="20.100000000000001" customHeight="1" x14ac:dyDescent="0.2">
      <c r="J283" s="507"/>
    </row>
    <row r="284" spans="10:10" ht="20.100000000000001" customHeight="1" x14ac:dyDescent="0.2">
      <c r="J284" s="507"/>
    </row>
    <row r="285" spans="10:10" ht="20.100000000000001" customHeight="1" x14ac:dyDescent="0.2">
      <c r="J285" s="507"/>
    </row>
    <row r="286" spans="10:10" ht="20.100000000000001" customHeight="1" x14ac:dyDescent="0.2">
      <c r="J286" s="507"/>
    </row>
    <row r="287" spans="10:10" ht="20.100000000000001" customHeight="1" x14ac:dyDescent="0.2">
      <c r="J287" s="507"/>
    </row>
    <row r="288" spans="10:10" ht="20.100000000000001" customHeight="1" x14ac:dyDescent="0.2">
      <c r="J288" s="507"/>
    </row>
    <row r="289" spans="10:10" ht="20.100000000000001" customHeight="1" x14ac:dyDescent="0.2">
      <c r="J289" s="507"/>
    </row>
    <row r="290" spans="10:10" ht="20.100000000000001" customHeight="1" x14ac:dyDescent="0.2">
      <c r="J290" s="507"/>
    </row>
    <row r="291" spans="10:10" ht="20.100000000000001" customHeight="1" x14ac:dyDescent="0.2">
      <c r="J291" s="507"/>
    </row>
    <row r="292" spans="10:10" ht="20.100000000000001" customHeight="1" x14ac:dyDescent="0.2">
      <c r="J292" s="507"/>
    </row>
    <row r="293" spans="10:10" ht="20.100000000000001" customHeight="1" x14ac:dyDescent="0.2">
      <c r="J293" s="507"/>
    </row>
    <row r="294" spans="10:10" ht="20.100000000000001" customHeight="1" x14ac:dyDescent="0.2">
      <c r="J294" s="507"/>
    </row>
    <row r="295" spans="10:10" ht="20.100000000000001" customHeight="1" x14ac:dyDescent="0.2">
      <c r="J295" s="507"/>
    </row>
    <row r="296" spans="10:10" ht="20.100000000000001" customHeight="1" x14ac:dyDescent="0.2">
      <c r="J296" s="507"/>
    </row>
    <row r="297" spans="10:10" ht="20.100000000000001" customHeight="1" x14ac:dyDescent="0.2">
      <c r="J297" s="507"/>
    </row>
    <row r="298" spans="10:10" ht="20.100000000000001" customHeight="1" x14ac:dyDescent="0.2">
      <c r="J298" s="507"/>
    </row>
    <row r="299" spans="10:10" ht="20.100000000000001" customHeight="1" x14ac:dyDescent="0.2">
      <c r="J299" s="507"/>
    </row>
    <row r="300" spans="10:10" ht="20.100000000000001" customHeight="1" x14ac:dyDescent="0.2">
      <c r="J300" s="507"/>
    </row>
    <row r="301" spans="10:10" ht="20.100000000000001" customHeight="1" x14ac:dyDescent="0.2">
      <c r="J301" s="507"/>
    </row>
    <row r="302" spans="10:10" ht="20.100000000000001" customHeight="1" x14ac:dyDescent="0.2">
      <c r="J302" s="507"/>
    </row>
    <row r="303" spans="10:10" ht="20.100000000000001" customHeight="1" x14ac:dyDescent="0.2">
      <c r="J303" s="507"/>
    </row>
    <row r="304" spans="10:10" ht="20.100000000000001" customHeight="1" x14ac:dyDescent="0.2">
      <c r="J304" s="507"/>
    </row>
    <row r="305" spans="3:10" ht="20.100000000000001" customHeight="1" x14ac:dyDescent="0.2">
      <c r="J305" s="507"/>
    </row>
    <row r="306" spans="3:10" ht="20.100000000000001" customHeight="1" x14ac:dyDescent="0.2">
      <c r="J306" s="507"/>
    </row>
    <row r="307" spans="3:10" ht="20.100000000000001" customHeight="1" x14ac:dyDescent="0.2">
      <c r="J307" s="507"/>
    </row>
    <row r="308" spans="3:10" ht="20.100000000000001" customHeight="1" x14ac:dyDescent="0.2">
      <c r="J308" s="507"/>
    </row>
    <row r="309" spans="3:10" ht="20.100000000000001" customHeight="1" x14ac:dyDescent="0.2">
      <c r="J309" s="507"/>
    </row>
    <row r="310" spans="3:10" ht="20.100000000000001" customHeight="1" x14ac:dyDescent="0.2">
      <c r="J310" s="507"/>
    </row>
    <row r="311" spans="3:10" ht="20.100000000000001" customHeight="1" x14ac:dyDescent="0.2">
      <c r="J311" s="507"/>
    </row>
    <row r="312" spans="3:10" ht="20.100000000000001" customHeight="1" x14ac:dyDescent="0.2">
      <c r="C312" s="79">
        <v>5</v>
      </c>
    </row>
    <row r="362" spans="3:3" ht="20.100000000000001" customHeight="1" x14ac:dyDescent="0.2">
      <c r="C362" s="79">
        <v>5</v>
      </c>
    </row>
    <row r="412" spans="3:3" ht="20.100000000000001" customHeight="1" x14ac:dyDescent="0.2">
      <c r="C412" s="79">
        <v>5</v>
      </c>
    </row>
    <row r="462" spans="3:3" ht="20.100000000000001" customHeight="1" x14ac:dyDescent="0.2">
      <c r="C462" s="79">
        <v>5</v>
      </c>
    </row>
    <row r="512" spans="3:3" ht="20.100000000000001" customHeight="1" x14ac:dyDescent="0.2">
      <c r="C512" s="79">
        <v>5</v>
      </c>
    </row>
    <row r="562" spans="3:3" ht="20.100000000000001" customHeight="1" x14ac:dyDescent="0.2">
      <c r="C562" s="79">
        <v>5</v>
      </c>
    </row>
    <row r="612" spans="3:3" ht="20.100000000000001" customHeight="1" x14ac:dyDescent="0.2">
      <c r="C612" s="79">
        <v>5</v>
      </c>
    </row>
    <row r="662" spans="3:3" ht="20.100000000000001" customHeight="1" x14ac:dyDescent="0.2">
      <c r="C662" s="79">
        <v>5</v>
      </c>
    </row>
    <row r="712" spans="3:3" ht="20.100000000000001" customHeight="1" x14ac:dyDescent="0.2">
      <c r="C712" s="79">
        <v>5</v>
      </c>
    </row>
    <row r="762" spans="3:3" ht="20.100000000000001" customHeight="1" x14ac:dyDescent="0.2">
      <c r="C762" s="79">
        <v>5</v>
      </c>
    </row>
    <row r="812" spans="3:3" ht="20.100000000000001" customHeight="1" x14ac:dyDescent="0.2">
      <c r="C812" s="79">
        <v>5</v>
      </c>
    </row>
    <row r="813" spans="3:3" ht="20.100000000000001" customHeight="1" x14ac:dyDescent="0.2">
      <c r="C813" s="79" t="e">
        <f>Datos!#REF!</f>
        <v>#REF!</v>
      </c>
    </row>
    <row r="862" spans="3:3" ht="20.100000000000001" customHeight="1" x14ac:dyDescent="0.2">
      <c r="C862" s="79">
        <v>5</v>
      </c>
    </row>
    <row r="863" spans="3:3" ht="20.100000000000001" customHeight="1" x14ac:dyDescent="0.2">
      <c r="C863" s="79" t="e">
        <f>Datos!#REF!</f>
        <v>#REF!</v>
      </c>
    </row>
    <row r="912" spans="3:3" ht="20.100000000000001" customHeight="1" x14ac:dyDescent="0.2">
      <c r="C912" s="79">
        <v>5</v>
      </c>
    </row>
    <row r="913" spans="3:3" ht="20.100000000000001" customHeight="1" x14ac:dyDescent="0.2">
      <c r="C913" s="79" t="e">
        <f>Datos!#REF!</f>
        <v>#REF!</v>
      </c>
    </row>
    <row r="962" spans="3:3" ht="20.100000000000001" customHeight="1" x14ac:dyDescent="0.2">
      <c r="C962" s="79">
        <v>5</v>
      </c>
    </row>
    <row r="963" spans="3:3" ht="20.100000000000001" customHeight="1" x14ac:dyDescent="0.2">
      <c r="C963" s="79" t="e">
        <f>Datos!#REF!</f>
        <v>#REF!</v>
      </c>
    </row>
    <row r="1013" spans="3:3" ht="20.100000000000001" customHeight="1" x14ac:dyDescent="0.2">
      <c r="C1013" s="79" t="e">
        <f>Datos!#REF!</f>
        <v>#REF!</v>
      </c>
    </row>
    <row r="1062" spans="3:3" ht="20.100000000000001" customHeight="1" x14ac:dyDescent="0.2">
      <c r="C1062" s="79">
        <v>7</v>
      </c>
    </row>
    <row r="1063" spans="3:3" ht="20.100000000000001" customHeight="1" x14ac:dyDescent="0.2">
      <c r="C1063" s="79" t="e">
        <f>Datos!#REF!</f>
        <v>#REF!</v>
      </c>
    </row>
    <row r="1113" spans="3:3" ht="20.100000000000001" customHeight="1" x14ac:dyDescent="0.2">
      <c r="C1113" s="79" t="e">
        <f>Datos!#REF!</f>
        <v>#REF!</v>
      </c>
    </row>
    <row r="1162" spans="3:3" ht="20.100000000000001" customHeight="1" x14ac:dyDescent="0.2">
      <c r="C1162" s="79">
        <v>8</v>
      </c>
    </row>
    <row r="1163" spans="3:3" ht="20.100000000000001" customHeight="1" x14ac:dyDescent="0.2">
      <c r="C1163" s="79" t="e">
        <f>Datos!#REF!</f>
        <v>#REF!</v>
      </c>
    </row>
    <row r="1212" spans="3:3" ht="20.100000000000001" customHeight="1" x14ac:dyDescent="0.2">
      <c r="C1212" s="79">
        <v>8</v>
      </c>
    </row>
    <row r="1213" spans="3:3" ht="20.100000000000001" customHeight="1" x14ac:dyDescent="0.2">
      <c r="C1213" s="79" t="e">
        <f>Datos!#REF!</f>
        <v>#REF!</v>
      </c>
    </row>
    <row r="1262" spans="3:3" ht="20.100000000000001" customHeight="1" x14ac:dyDescent="0.2">
      <c r="C1262" s="79">
        <v>8</v>
      </c>
    </row>
    <row r="1263" spans="3:3" ht="20.100000000000001" customHeight="1" x14ac:dyDescent="0.2">
      <c r="C1263" s="79" t="e">
        <f>Datos!#REF!</f>
        <v>#REF!</v>
      </c>
    </row>
    <row r="1312" spans="3:3" ht="20.100000000000001" customHeight="1" x14ac:dyDescent="0.2">
      <c r="C1312" s="79">
        <v>8</v>
      </c>
    </row>
    <row r="1313" spans="3:3" ht="20.100000000000001" customHeight="1" x14ac:dyDescent="0.2">
      <c r="C1313" s="79" t="e">
        <f>Datos!#REF!</f>
        <v>#REF!</v>
      </c>
    </row>
    <row r="1362" spans="3:3" ht="20.100000000000001" customHeight="1" x14ac:dyDescent="0.2">
      <c r="C1362" s="79">
        <v>8</v>
      </c>
    </row>
    <row r="1363" spans="3:3" ht="20.100000000000001" customHeight="1" x14ac:dyDescent="0.2">
      <c r="C1363" s="79" t="e">
        <f>Datos!#REF!</f>
        <v>#REF!</v>
      </c>
    </row>
    <row r="1413" spans="3:3" ht="20.100000000000001" customHeight="1" x14ac:dyDescent="0.2">
      <c r="C1413" s="79" t="e">
        <f>Datos!#REF!</f>
        <v>#REF!</v>
      </c>
    </row>
    <row r="1463" spans="3:3" ht="20.100000000000001" customHeight="1" x14ac:dyDescent="0.2">
      <c r="C1463" s="79" t="e">
        <f>Datos!#REF!</f>
        <v>#REF!</v>
      </c>
    </row>
    <row r="1513" spans="3:3" ht="20.100000000000001" customHeight="1" x14ac:dyDescent="0.2">
      <c r="C1513" s="79" t="e">
        <f>Datos!#REF!</f>
        <v>#REF!</v>
      </c>
    </row>
    <row r="1562" spans="3:3" ht="20.100000000000001" customHeight="1" x14ac:dyDescent="0.2">
      <c r="C1562" s="79">
        <v>12</v>
      </c>
    </row>
    <row r="1563" spans="3:3" ht="20.100000000000001" customHeight="1" x14ac:dyDescent="0.2">
      <c r="C1563" s="79" t="e">
        <f>Datos!#REF!</f>
        <v>#REF!</v>
      </c>
    </row>
    <row r="1612" spans="3:3" ht="20.100000000000001" customHeight="1" x14ac:dyDescent="0.2">
      <c r="C1612" s="79">
        <v>12</v>
      </c>
    </row>
    <row r="1613" spans="3:3" ht="20.100000000000001" customHeight="1" x14ac:dyDescent="0.2">
      <c r="C1613" s="79" t="e">
        <f>Datos!#REF!</f>
        <v>#REF!</v>
      </c>
    </row>
    <row r="1662" spans="3:3" ht="20.100000000000001" customHeight="1" x14ac:dyDescent="0.2">
      <c r="C1662" s="79">
        <v>12</v>
      </c>
    </row>
    <row r="1663" spans="3:3" ht="20.100000000000001" customHeight="1" x14ac:dyDescent="0.2">
      <c r="C1663" s="79" t="e">
        <f>Datos!#REF!</f>
        <v>#REF!</v>
      </c>
    </row>
    <row r="1712" spans="3:3" ht="20.100000000000001" customHeight="1" x14ac:dyDescent="0.2">
      <c r="C1712" s="79">
        <v>12</v>
      </c>
    </row>
    <row r="1713" spans="3:3" ht="20.100000000000001" customHeight="1" x14ac:dyDescent="0.2">
      <c r="C1713" s="79" t="e">
        <f>Datos!#REF!</f>
        <v>#REF!</v>
      </c>
    </row>
    <row r="1762" spans="3:3" ht="20.100000000000001" customHeight="1" x14ac:dyDescent="0.2">
      <c r="C1762" s="79">
        <v>12</v>
      </c>
    </row>
    <row r="1763" spans="3:3" ht="20.100000000000001" customHeight="1" x14ac:dyDescent="0.2">
      <c r="C1763" s="79" t="e">
        <f>Datos!#REF!</f>
        <v>#REF!</v>
      </c>
    </row>
    <row r="1812" spans="3:3" ht="20.100000000000001" customHeight="1" x14ac:dyDescent="0.2">
      <c r="C1812" s="79">
        <v>13</v>
      </c>
    </row>
    <row r="1813" spans="3:3" ht="20.100000000000001" customHeight="1" x14ac:dyDescent="0.2">
      <c r="C1813" s="79" t="e">
        <f>Datos!#REF!</f>
        <v>#REF!</v>
      </c>
    </row>
    <row r="1862" spans="3:3" ht="20.100000000000001" customHeight="1" x14ac:dyDescent="0.2">
      <c r="C1862" s="79">
        <v>13</v>
      </c>
    </row>
    <row r="1863" spans="3:3" ht="20.100000000000001" customHeight="1" x14ac:dyDescent="0.2">
      <c r="C1863" s="79" t="e">
        <f>Datos!#REF!</f>
        <v>#REF!</v>
      </c>
    </row>
  </sheetData>
  <mergeCells count="4">
    <mergeCell ref="G31:H31"/>
    <mergeCell ref="A1:D1"/>
    <mergeCell ref="A16:E16"/>
    <mergeCell ref="B30:E30"/>
  </mergeCells>
  <conditionalFormatting sqref="D24:D27">
    <cfRule type="expression" dxfId="152" priority="4" stopIfTrue="1">
      <formula>#REF!=1</formula>
    </cfRule>
  </conditionalFormatting>
  <conditionalFormatting sqref="B34:B183">
    <cfRule type="expression" dxfId="151" priority="5" stopIfTrue="1">
      <formula>#REF!&gt;0</formula>
    </cfRule>
    <cfRule type="expression" dxfId="150" priority="6" stopIfTrue="1">
      <formula>#REF!&gt;0</formula>
    </cfRule>
    <cfRule type="expression" dxfId="149" priority="7" stopIfTrue="1">
      <formula>#REF!&gt;0</formula>
    </cfRule>
  </conditionalFormatting>
  <conditionalFormatting sqref="D24:D27">
    <cfRule type="expression" dxfId="148" priority="8" stopIfTrue="1">
      <formula>#REF!=1</formula>
    </cfRule>
  </conditionalFormatting>
  <conditionalFormatting sqref="C34:C183">
    <cfRule type="expression" dxfId="147" priority="1" stopIfTrue="1">
      <formula>#REF!&gt;0</formula>
    </cfRule>
    <cfRule type="expression" dxfId="146" priority="2" stopIfTrue="1">
      <formula>#REF!&gt;0</formula>
    </cfRule>
    <cfRule type="expression" dxfId="145"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71" workbookViewId="0">
      <selection activeCell="C536" sqref="C536"/>
    </sheetView>
  </sheetViews>
  <sheetFormatPr baseColWidth="10" defaultColWidth="11.42578125" defaultRowHeight="15" x14ac:dyDescent="0.2"/>
  <cols>
    <col min="1" max="1" width="11.42578125" style="371"/>
    <col min="2" max="2" width="23" style="371" bestFit="1" customWidth="1"/>
    <col min="3" max="3" width="61.7109375" style="371" customWidth="1"/>
    <col min="4" max="4" width="17.28515625" style="371" bestFit="1" customWidth="1"/>
    <col min="5" max="16384" width="11.42578125" style="46"/>
  </cols>
  <sheetData>
    <row r="1" spans="1:19" x14ac:dyDescent="0.2">
      <c r="A1" s="188"/>
      <c r="B1" s="189" t="s">
        <v>995</v>
      </c>
      <c r="C1" s="190" t="s">
        <v>996</v>
      </c>
      <c r="D1" s="191"/>
      <c r="G1" s="192"/>
      <c r="H1" s="193" t="s">
        <v>995</v>
      </c>
      <c r="I1" s="194" t="s">
        <v>996</v>
      </c>
      <c r="J1" s="192"/>
      <c r="K1" s="192"/>
      <c r="L1" s="192"/>
      <c r="M1" s="192"/>
      <c r="N1" s="192"/>
      <c r="O1" s="195"/>
      <c r="P1" s="192"/>
      <c r="Q1" s="192"/>
      <c r="R1" s="192"/>
      <c r="S1" s="192"/>
    </row>
    <row r="2" spans="1:19" ht="15.75" thickBot="1" x14ac:dyDescent="0.25">
      <c r="A2" s="188"/>
      <c r="B2" s="189"/>
      <c r="C2" s="190"/>
      <c r="D2" s="191"/>
      <c r="G2" s="192"/>
      <c r="H2" s="196"/>
      <c r="I2" s="197"/>
      <c r="J2" s="192"/>
      <c r="K2" s="192"/>
      <c r="L2" s="192"/>
      <c r="M2" s="192"/>
      <c r="N2" s="192"/>
      <c r="O2" s="195"/>
      <c r="P2" s="192"/>
      <c r="Q2" s="192"/>
      <c r="R2" s="192"/>
      <c r="S2" s="192"/>
    </row>
    <row r="3" spans="1:19" x14ac:dyDescent="0.2">
      <c r="A3" s="198">
        <v>1</v>
      </c>
      <c r="B3" s="199" t="s">
        <v>997</v>
      </c>
      <c r="C3" s="200" t="s">
        <v>998</v>
      </c>
      <c r="D3" s="191"/>
      <c r="G3" s="192"/>
      <c r="H3" s="201">
        <v>1</v>
      </c>
      <c r="I3" s="202"/>
      <c r="J3" s="203"/>
      <c r="K3" s="204" t="s">
        <v>998</v>
      </c>
      <c r="L3" s="205"/>
      <c r="M3" s="205"/>
      <c r="N3" s="205"/>
      <c r="O3" s="206"/>
      <c r="P3" s="192"/>
      <c r="Q3" s="207">
        <f>H3</f>
        <v>1</v>
      </c>
      <c r="R3" s="197" t="str">
        <f>CONCATENATE("II-",TEXT(Q3,"0000"))</f>
        <v>II-0001</v>
      </c>
      <c r="S3" s="208" t="str">
        <f>K3</f>
        <v xml:space="preserve"> ACERO EN BARRA COLOCADO</v>
      </c>
    </row>
    <row r="4" spans="1:19" x14ac:dyDescent="0.2">
      <c r="A4" s="198"/>
      <c r="B4" s="199"/>
      <c r="C4" s="200"/>
      <c r="D4" s="191"/>
      <c r="G4" s="192"/>
      <c r="H4" s="209"/>
      <c r="I4" s="210" t="s">
        <v>999</v>
      </c>
      <c r="J4" s="211"/>
      <c r="K4" s="212" t="s">
        <v>1000</v>
      </c>
      <c r="L4" s="213"/>
      <c r="M4" s="213"/>
      <c r="N4" s="213"/>
      <c r="O4" s="214"/>
      <c r="P4" s="192"/>
      <c r="Q4" s="192"/>
      <c r="R4" s="192"/>
      <c r="S4" s="192"/>
    </row>
    <row r="5" spans="1:19" x14ac:dyDescent="0.2">
      <c r="A5" s="198">
        <v>1</v>
      </c>
      <c r="B5" s="199" t="s">
        <v>1001</v>
      </c>
      <c r="C5" s="200" t="s">
        <v>1002</v>
      </c>
      <c r="D5" s="215" t="s">
        <v>1003</v>
      </c>
      <c r="G5" s="192"/>
      <c r="H5" s="209"/>
      <c r="I5" s="216"/>
      <c r="J5" s="217">
        <v>1</v>
      </c>
      <c r="K5" s="218"/>
      <c r="L5" s="219" t="s">
        <v>1004</v>
      </c>
      <c r="M5" s="218"/>
      <c r="N5" s="218"/>
      <c r="O5" s="220" t="s">
        <v>1003</v>
      </c>
      <c r="P5" s="192"/>
      <c r="Q5" s="207">
        <v>1</v>
      </c>
      <c r="R5" s="199" t="str">
        <f>CONCATENATE($R$3,".",TEXT(Q5,"0000"))</f>
        <v>II-0001.0001</v>
      </c>
      <c r="S5" s="192" t="str">
        <f t="shared" ref="S5:S12" si="0">CONCATENATE($E$4," ",L5)</f>
        <v xml:space="preserve"> Ø4</v>
      </c>
    </row>
    <row r="6" spans="1:19" x14ac:dyDescent="0.2">
      <c r="A6" s="198">
        <v>2</v>
      </c>
      <c r="B6" s="191" t="s">
        <v>1005</v>
      </c>
      <c r="C6" s="200" t="s">
        <v>1006</v>
      </c>
      <c r="D6" s="215" t="s">
        <v>1003</v>
      </c>
      <c r="G6" s="192"/>
      <c r="H6" s="209"/>
      <c r="I6" s="216"/>
      <c r="J6" s="217">
        <v>2</v>
      </c>
      <c r="K6" s="218"/>
      <c r="L6" s="219" t="s">
        <v>1007</v>
      </c>
      <c r="M6" s="218"/>
      <c r="N6" s="218"/>
      <c r="O6" s="220" t="s">
        <v>1003</v>
      </c>
      <c r="P6" s="192"/>
      <c r="Q6" s="207">
        <v>2</v>
      </c>
      <c r="R6" s="199" t="str">
        <f t="shared" ref="R6:R30" si="1">CONCATENATE($R$3,".",TEXT(Q6,"0000"))</f>
        <v>II-0001.0002</v>
      </c>
      <c r="S6" s="192" t="str">
        <f t="shared" si="0"/>
        <v xml:space="preserve"> Ø6</v>
      </c>
    </row>
    <row r="7" spans="1:19" x14ac:dyDescent="0.2">
      <c r="A7" s="198">
        <v>3</v>
      </c>
      <c r="B7" s="191" t="s">
        <v>1008</v>
      </c>
      <c r="C7" s="200" t="s">
        <v>1009</v>
      </c>
      <c r="D7" s="215" t="s">
        <v>1003</v>
      </c>
      <c r="G7" s="192"/>
      <c r="H7" s="209"/>
      <c r="I7" s="216"/>
      <c r="J7" s="217">
        <v>3</v>
      </c>
      <c r="K7" s="218"/>
      <c r="L7" s="219" t="s">
        <v>1010</v>
      </c>
      <c r="M7" s="218"/>
      <c r="N7" s="218"/>
      <c r="O7" s="220" t="s">
        <v>1003</v>
      </c>
      <c r="P7" s="192"/>
      <c r="Q7" s="207">
        <v>3</v>
      </c>
      <c r="R7" s="199" t="str">
        <f t="shared" si="1"/>
        <v>II-0001.0003</v>
      </c>
      <c r="S7" s="192" t="str">
        <f t="shared" si="0"/>
        <v xml:space="preserve"> Ø8</v>
      </c>
    </row>
    <row r="8" spans="1:19" x14ac:dyDescent="0.2">
      <c r="A8" s="198">
        <v>4</v>
      </c>
      <c r="B8" s="221" t="s">
        <v>1011</v>
      </c>
      <c r="C8" s="222" t="s">
        <v>1012</v>
      </c>
      <c r="D8" s="215" t="s">
        <v>1003</v>
      </c>
      <c r="G8" s="192"/>
      <c r="H8" s="209"/>
      <c r="I8" s="216"/>
      <c r="J8" s="217">
        <v>4</v>
      </c>
      <c r="K8" s="218"/>
      <c r="L8" s="219" t="s">
        <v>1013</v>
      </c>
      <c r="M8" s="218"/>
      <c r="N8" s="218"/>
      <c r="O8" s="220" t="s">
        <v>1003</v>
      </c>
      <c r="P8" s="192"/>
      <c r="Q8" s="207">
        <v>4</v>
      </c>
      <c r="R8" s="199" t="str">
        <f t="shared" si="1"/>
        <v>II-0001.0004</v>
      </c>
      <c r="S8" s="192" t="str">
        <f t="shared" si="0"/>
        <v xml:space="preserve"> Ø10</v>
      </c>
    </row>
    <row r="9" spans="1:19" x14ac:dyDescent="0.2">
      <c r="A9" s="198">
        <v>5</v>
      </c>
      <c r="B9" s="199" t="s">
        <v>1014</v>
      </c>
      <c r="C9" s="200" t="s">
        <v>1015</v>
      </c>
      <c r="D9" s="215" t="s">
        <v>1003</v>
      </c>
      <c r="G9" s="192"/>
      <c r="H9" s="209"/>
      <c r="I9" s="216"/>
      <c r="J9" s="217">
        <v>5</v>
      </c>
      <c r="K9" s="218"/>
      <c r="L9" s="219" t="s">
        <v>1016</v>
      </c>
      <c r="M9" s="218"/>
      <c r="N9" s="218"/>
      <c r="O9" s="220" t="s">
        <v>1003</v>
      </c>
      <c r="P9" s="192"/>
      <c r="Q9" s="207">
        <v>5</v>
      </c>
      <c r="R9" s="199" t="str">
        <f t="shared" si="1"/>
        <v>II-0001.0005</v>
      </c>
      <c r="S9" s="192" t="str">
        <f t="shared" si="0"/>
        <v xml:space="preserve"> Ø12</v>
      </c>
    </row>
    <row r="10" spans="1:19" x14ac:dyDescent="0.2">
      <c r="A10" s="198">
        <v>6</v>
      </c>
      <c r="B10" s="199" t="s">
        <v>1017</v>
      </c>
      <c r="C10" s="200" t="s">
        <v>1018</v>
      </c>
      <c r="D10" s="215" t="s">
        <v>1003</v>
      </c>
      <c r="G10" s="192"/>
      <c r="H10" s="209"/>
      <c r="I10" s="216"/>
      <c r="J10" s="217">
        <v>6</v>
      </c>
      <c r="K10" s="218"/>
      <c r="L10" s="219" t="s">
        <v>1019</v>
      </c>
      <c r="M10" s="218"/>
      <c r="N10" s="218"/>
      <c r="O10" s="220" t="s">
        <v>1003</v>
      </c>
      <c r="P10" s="192"/>
      <c r="Q10" s="207">
        <v>6</v>
      </c>
      <c r="R10" s="199" t="str">
        <f t="shared" si="1"/>
        <v>II-0001.0006</v>
      </c>
      <c r="S10" s="192" t="str">
        <f t="shared" si="0"/>
        <v xml:space="preserve"> Ø16</v>
      </c>
    </row>
    <row r="11" spans="1:19" x14ac:dyDescent="0.2">
      <c r="A11" s="198">
        <v>7</v>
      </c>
      <c r="B11" s="199" t="s">
        <v>1020</v>
      </c>
      <c r="C11" s="200" t="s">
        <v>1021</v>
      </c>
      <c r="D11" s="215" t="s">
        <v>1003</v>
      </c>
      <c r="G11" s="192"/>
      <c r="H11" s="209"/>
      <c r="I11" s="216"/>
      <c r="J11" s="217">
        <v>7</v>
      </c>
      <c r="K11" s="218"/>
      <c r="L11" s="219" t="s">
        <v>1022</v>
      </c>
      <c r="M11" s="218"/>
      <c r="N11" s="218"/>
      <c r="O11" s="220" t="s">
        <v>1003</v>
      </c>
      <c r="P11" s="192"/>
      <c r="Q11" s="207">
        <v>7</v>
      </c>
      <c r="R11" s="199" t="str">
        <f t="shared" si="1"/>
        <v>II-0001.0007</v>
      </c>
      <c r="S11" s="192" t="str">
        <f t="shared" si="0"/>
        <v xml:space="preserve"> Ø18</v>
      </c>
    </row>
    <row r="12" spans="1:19" x14ac:dyDescent="0.2">
      <c r="A12" s="198">
        <v>8</v>
      </c>
      <c r="B12" s="191" t="s">
        <v>1023</v>
      </c>
      <c r="C12" s="200" t="s">
        <v>1024</v>
      </c>
      <c r="D12" s="215" t="s">
        <v>1003</v>
      </c>
      <c r="G12" s="192"/>
      <c r="H12" s="209"/>
      <c r="I12" s="216"/>
      <c r="J12" s="223">
        <v>8</v>
      </c>
      <c r="K12" s="224"/>
      <c r="L12" s="225" t="s">
        <v>1025</v>
      </c>
      <c r="M12" s="224"/>
      <c r="N12" s="224"/>
      <c r="O12" s="226" t="s">
        <v>1003</v>
      </c>
      <c r="P12" s="192"/>
      <c r="Q12" s="207">
        <v>8</v>
      </c>
      <c r="R12" s="199" t="str">
        <f t="shared" si="1"/>
        <v>II-0001.0008</v>
      </c>
      <c r="S12" s="192" t="str">
        <f t="shared" si="0"/>
        <v xml:space="preserve"> Ø20</v>
      </c>
    </row>
    <row r="13" spans="1:19" x14ac:dyDescent="0.2">
      <c r="A13" s="198"/>
      <c r="B13" s="191"/>
      <c r="C13" s="200"/>
      <c r="D13" s="215"/>
      <c r="G13" s="192"/>
      <c r="H13" s="209"/>
      <c r="I13" s="210" t="s">
        <v>1026</v>
      </c>
      <c r="J13" s="216"/>
      <c r="K13" s="227" t="s">
        <v>1027</v>
      </c>
      <c r="L13" s="213"/>
      <c r="M13" s="213"/>
      <c r="N13" s="213"/>
      <c r="O13" s="214"/>
      <c r="P13" s="192"/>
      <c r="Q13" s="192"/>
      <c r="R13" s="192"/>
      <c r="S13" s="192"/>
    </row>
    <row r="14" spans="1:19" x14ac:dyDescent="0.2">
      <c r="A14" s="198">
        <v>20</v>
      </c>
      <c r="B14" s="221" t="s">
        <v>1028</v>
      </c>
      <c r="C14" s="222" t="s">
        <v>1002</v>
      </c>
      <c r="D14" s="215" t="s">
        <v>1003</v>
      </c>
      <c r="G14" s="192"/>
      <c r="H14" s="209"/>
      <c r="I14" s="216"/>
      <c r="J14" s="217">
        <v>1</v>
      </c>
      <c r="K14" s="218"/>
      <c r="L14" s="219" t="s">
        <v>1004</v>
      </c>
      <c r="M14" s="218"/>
      <c r="N14" s="218"/>
      <c r="O14" s="220" t="s">
        <v>1003</v>
      </c>
      <c r="P14" s="192"/>
      <c r="Q14" s="207">
        <v>20</v>
      </c>
      <c r="R14" s="199" t="str">
        <f t="shared" si="1"/>
        <v>II-0001.0020</v>
      </c>
      <c r="S14" s="192" t="str">
        <f t="shared" ref="S14:S21" si="2">CONCATENATE($E$13," ",L14)</f>
        <v xml:space="preserve"> Ø4</v>
      </c>
    </row>
    <row r="15" spans="1:19" x14ac:dyDescent="0.2">
      <c r="A15" s="198">
        <v>21</v>
      </c>
      <c r="B15" s="199" t="s">
        <v>1029</v>
      </c>
      <c r="C15" s="200" t="s">
        <v>1006</v>
      </c>
      <c r="D15" s="215" t="s">
        <v>1003</v>
      </c>
      <c r="G15" s="192"/>
      <c r="H15" s="209"/>
      <c r="I15" s="216"/>
      <c r="J15" s="217">
        <v>2</v>
      </c>
      <c r="K15" s="218"/>
      <c r="L15" s="219" t="s">
        <v>1007</v>
      </c>
      <c r="M15" s="218"/>
      <c r="N15" s="218"/>
      <c r="O15" s="220" t="s">
        <v>1003</v>
      </c>
      <c r="P15" s="192"/>
      <c r="Q15" s="207">
        <v>21</v>
      </c>
      <c r="R15" s="199" t="str">
        <f t="shared" si="1"/>
        <v>II-0001.0021</v>
      </c>
      <c r="S15" s="192" t="str">
        <f t="shared" si="2"/>
        <v xml:space="preserve"> Ø6</v>
      </c>
    </row>
    <row r="16" spans="1:19" x14ac:dyDescent="0.2">
      <c r="A16" s="198">
        <v>22</v>
      </c>
      <c r="B16" s="199" t="s">
        <v>1030</v>
      </c>
      <c r="C16" s="200" t="s">
        <v>1009</v>
      </c>
      <c r="D16" s="215" t="s">
        <v>1003</v>
      </c>
      <c r="G16" s="192"/>
      <c r="H16" s="209"/>
      <c r="I16" s="216"/>
      <c r="J16" s="217">
        <v>3</v>
      </c>
      <c r="K16" s="218"/>
      <c r="L16" s="219" t="s">
        <v>1010</v>
      </c>
      <c r="M16" s="218"/>
      <c r="N16" s="218"/>
      <c r="O16" s="220" t="s">
        <v>1003</v>
      </c>
      <c r="P16" s="192"/>
      <c r="Q16" s="207">
        <v>22</v>
      </c>
      <c r="R16" s="199" t="str">
        <f t="shared" si="1"/>
        <v>II-0001.0022</v>
      </c>
      <c r="S16" s="192" t="str">
        <f t="shared" si="2"/>
        <v xml:space="preserve"> Ø8</v>
      </c>
    </row>
    <row r="17" spans="1:19" x14ac:dyDescent="0.2">
      <c r="A17" s="198">
        <v>23</v>
      </c>
      <c r="B17" s="199" t="s">
        <v>1031</v>
      </c>
      <c r="C17" s="200" t="s">
        <v>1012</v>
      </c>
      <c r="D17" s="215" t="s">
        <v>1003</v>
      </c>
      <c r="G17" s="192"/>
      <c r="H17" s="209"/>
      <c r="I17" s="216"/>
      <c r="J17" s="217">
        <v>4</v>
      </c>
      <c r="K17" s="218"/>
      <c r="L17" s="219" t="s">
        <v>1013</v>
      </c>
      <c r="M17" s="218"/>
      <c r="N17" s="218"/>
      <c r="O17" s="220" t="s">
        <v>1003</v>
      </c>
      <c r="P17" s="192"/>
      <c r="Q17" s="207">
        <v>23</v>
      </c>
      <c r="R17" s="199" t="str">
        <f t="shared" si="1"/>
        <v>II-0001.0023</v>
      </c>
      <c r="S17" s="192" t="str">
        <f t="shared" si="2"/>
        <v xml:space="preserve"> Ø10</v>
      </c>
    </row>
    <row r="18" spans="1:19" x14ac:dyDescent="0.2">
      <c r="A18" s="198">
        <v>24</v>
      </c>
      <c r="B18" s="199" t="s">
        <v>1032</v>
      </c>
      <c r="C18" s="200" t="s">
        <v>1015</v>
      </c>
      <c r="D18" s="215" t="s">
        <v>1003</v>
      </c>
      <c r="G18" s="192"/>
      <c r="H18" s="209"/>
      <c r="I18" s="216"/>
      <c r="J18" s="217">
        <v>5</v>
      </c>
      <c r="K18" s="218"/>
      <c r="L18" s="219" t="s">
        <v>1016</v>
      </c>
      <c r="M18" s="218"/>
      <c r="N18" s="218"/>
      <c r="O18" s="220" t="s">
        <v>1003</v>
      </c>
      <c r="P18" s="192"/>
      <c r="Q18" s="207">
        <v>24</v>
      </c>
      <c r="R18" s="199" t="str">
        <f t="shared" si="1"/>
        <v>II-0001.0024</v>
      </c>
      <c r="S18" s="192" t="str">
        <f t="shared" si="2"/>
        <v xml:space="preserve"> Ø12</v>
      </c>
    </row>
    <row r="19" spans="1:19" x14ac:dyDescent="0.2">
      <c r="A19" s="198">
        <v>25</v>
      </c>
      <c r="B19" s="191" t="s">
        <v>1033</v>
      </c>
      <c r="C19" s="200" t="s">
        <v>1018</v>
      </c>
      <c r="D19" s="215" t="s">
        <v>1003</v>
      </c>
      <c r="G19" s="192"/>
      <c r="H19" s="209"/>
      <c r="I19" s="216"/>
      <c r="J19" s="217">
        <v>6</v>
      </c>
      <c r="K19" s="218"/>
      <c r="L19" s="219" t="s">
        <v>1019</v>
      </c>
      <c r="M19" s="218"/>
      <c r="N19" s="218"/>
      <c r="O19" s="220" t="s">
        <v>1003</v>
      </c>
      <c r="P19" s="192"/>
      <c r="Q19" s="207">
        <v>25</v>
      </c>
      <c r="R19" s="199" t="str">
        <f t="shared" si="1"/>
        <v>II-0001.0025</v>
      </c>
      <c r="S19" s="192" t="str">
        <f t="shared" si="2"/>
        <v xml:space="preserve"> Ø16</v>
      </c>
    </row>
    <row r="20" spans="1:19" x14ac:dyDescent="0.2">
      <c r="A20" s="198">
        <v>26</v>
      </c>
      <c r="B20" s="191" t="s">
        <v>1034</v>
      </c>
      <c r="C20" s="200" t="s">
        <v>1021</v>
      </c>
      <c r="D20" s="215" t="s">
        <v>1003</v>
      </c>
      <c r="G20" s="192"/>
      <c r="H20" s="209"/>
      <c r="I20" s="216"/>
      <c r="J20" s="217">
        <v>7</v>
      </c>
      <c r="K20" s="218"/>
      <c r="L20" s="219" t="s">
        <v>1022</v>
      </c>
      <c r="M20" s="218"/>
      <c r="N20" s="218"/>
      <c r="O20" s="220" t="s">
        <v>1003</v>
      </c>
      <c r="P20" s="192"/>
      <c r="Q20" s="207">
        <v>26</v>
      </c>
      <c r="R20" s="199" t="str">
        <f t="shared" si="1"/>
        <v>II-0001.0026</v>
      </c>
      <c r="S20" s="192" t="str">
        <f t="shared" si="2"/>
        <v xml:space="preserve"> Ø18</v>
      </c>
    </row>
    <row r="21" spans="1:19" x14ac:dyDescent="0.2">
      <c r="A21" s="198">
        <v>27</v>
      </c>
      <c r="B21" s="221" t="s">
        <v>1035</v>
      </c>
      <c r="C21" s="222" t="s">
        <v>1024</v>
      </c>
      <c r="D21" s="215" t="s">
        <v>1003</v>
      </c>
      <c r="G21" s="192"/>
      <c r="H21" s="209"/>
      <c r="I21" s="228"/>
      <c r="J21" s="223">
        <v>8</v>
      </c>
      <c r="K21" s="224"/>
      <c r="L21" s="225" t="s">
        <v>1025</v>
      </c>
      <c r="M21" s="224"/>
      <c r="N21" s="224"/>
      <c r="O21" s="226" t="s">
        <v>1003</v>
      </c>
      <c r="P21" s="192"/>
      <c r="Q21" s="207">
        <v>27</v>
      </c>
      <c r="R21" s="199" t="str">
        <f t="shared" si="1"/>
        <v>II-0001.0027</v>
      </c>
      <c r="S21" s="192" t="str">
        <f t="shared" si="2"/>
        <v xml:space="preserve"> Ø20</v>
      </c>
    </row>
    <row r="22" spans="1:19" x14ac:dyDescent="0.2">
      <c r="A22" s="198"/>
      <c r="B22" s="199"/>
      <c r="C22" s="200"/>
      <c r="D22" s="215"/>
      <c r="G22" s="192"/>
      <c r="H22" s="209"/>
      <c r="I22" s="210" t="s">
        <v>1036</v>
      </c>
      <c r="J22" s="216"/>
      <c r="K22" s="227" t="s">
        <v>1037</v>
      </c>
      <c r="L22" s="213"/>
      <c r="M22" s="213"/>
      <c r="N22" s="213"/>
      <c r="O22" s="214"/>
      <c r="P22" s="192"/>
      <c r="Q22" s="192"/>
      <c r="R22" s="192"/>
      <c r="S22" s="192"/>
    </row>
    <row r="23" spans="1:19" x14ac:dyDescent="0.2">
      <c r="A23" s="198">
        <v>30</v>
      </c>
      <c r="B23" s="199" t="s">
        <v>1038</v>
      </c>
      <c r="C23" s="200" t="s">
        <v>1002</v>
      </c>
      <c r="D23" s="215" t="s">
        <v>1003</v>
      </c>
      <c r="G23" s="192"/>
      <c r="H23" s="209"/>
      <c r="I23" s="216"/>
      <c r="J23" s="217">
        <v>1</v>
      </c>
      <c r="K23" s="218"/>
      <c r="L23" s="219" t="s">
        <v>1004</v>
      </c>
      <c r="M23" s="218"/>
      <c r="N23" s="218"/>
      <c r="O23" s="220" t="s">
        <v>1003</v>
      </c>
      <c r="P23" s="192"/>
      <c r="Q23" s="207">
        <v>30</v>
      </c>
      <c r="R23" s="199" t="str">
        <f t="shared" si="1"/>
        <v>II-0001.0030</v>
      </c>
      <c r="S23" s="192" t="str">
        <f>CONCATENATE($E$22," ",L23)</f>
        <v xml:space="preserve"> Ø4</v>
      </c>
    </row>
    <row r="24" spans="1:19" x14ac:dyDescent="0.2">
      <c r="A24" s="198">
        <v>31</v>
      </c>
      <c r="B24" s="199" t="s">
        <v>1039</v>
      </c>
      <c r="C24" s="200" t="s">
        <v>1006</v>
      </c>
      <c r="D24" s="215" t="s">
        <v>1003</v>
      </c>
      <c r="G24" s="192"/>
      <c r="H24" s="209"/>
      <c r="I24" s="216"/>
      <c r="J24" s="217">
        <v>2</v>
      </c>
      <c r="K24" s="218"/>
      <c r="L24" s="219" t="s">
        <v>1007</v>
      </c>
      <c r="M24" s="218"/>
      <c r="N24" s="218"/>
      <c r="O24" s="220" t="s">
        <v>1003</v>
      </c>
      <c r="P24" s="192"/>
      <c r="Q24" s="207">
        <v>31</v>
      </c>
      <c r="R24" s="199" t="str">
        <f t="shared" si="1"/>
        <v>II-0001.0031</v>
      </c>
      <c r="S24" s="192" t="str">
        <f t="shared" ref="S24:S30" si="3">CONCATENATE($E$22," ",L24)</f>
        <v xml:space="preserve"> Ø6</v>
      </c>
    </row>
    <row r="25" spans="1:19" x14ac:dyDescent="0.2">
      <c r="A25" s="198">
        <v>32</v>
      </c>
      <c r="B25" s="199" t="s">
        <v>1040</v>
      </c>
      <c r="C25" s="200" t="s">
        <v>1009</v>
      </c>
      <c r="D25" s="215" t="s">
        <v>1003</v>
      </c>
      <c r="G25" s="192"/>
      <c r="H25" s="209"/>
      <c r="I25" s="216"/>
      <c r="J25" s="217">
        <v>3</v>
      </c>
      <c r="K25" s="218"/>
      <c r="L25" s="219" t="s">
        <v>1010</v>
      </c>
      <c r="M25" s="218"/>
      <c r="N25" s="218"/>
      <c r="O25" s="220" t="s">
        <v>1003</v>
      </c>
      <c r="P25" s="192"/>
      <c r="Q25" s="207">
        <v>32</v>
      </c>
      <c r="R25" s="199" t="str">
        <f t="shared" si="1"/>
        <v>II-0001.0032</v>
      </c>
      <c r="S25" s="192" t="str">
        <f t="shared" si="3"/>
        <v xml:space="preserve"> Ø8</v>
      </c>
    </row>
    <row r="26" spans="1:19" x14ac:dyDescent="0.2">
      <c r="A26" s="198">
        <v>33</v>
      </c>
      <c r="B26" s="199" t="s">
        <v>1041</v>
      </c>
      <c r="C26" s="200" t="s">
        <v>1012</v>
      </c>
      <c r="D26" s="215" t="s">
        <v>1003</v>
      </c>
      <c r="G26" s="192"/>
      <c r="H26" s="209"/>
      <c r="I26" s="216"/>
      <c r="J26" s="217">
        <v>4</v>
      </c>
      <c r="K26" s="218"/>
      <c r="L26" s="219" t="s">
        <v>1013</v>
      </c>
      <c r="M26" s="218"/>
      <c r="N26" s="218"/>
      <c r="O26" s="220" t="s">
        <v>1003</v>
      </c>
      <c r="P26" s="192"/>
      <c r="Q26" s="207">
        <v>33</v>
      </c>
      <c r="R26" s="199" t="str">
        <f t="shared" si="1"/>
        <v>II-0001.0033</v>
      </c>
      <c r="S26" s="192" t="str">
        <f t="shared" si="3"/>
        <v xml:space="preserve"> Ø10</v>
      </c>
    </row>
    <row r="27" spans="1:19" x14ac:dyDescent="0.2">
      <c r="A27" s="198">
        <v>34</v>
      </c>
      <c r="B27" s="199" t="s">
        <v>1042</v>
      </c>
      <c r="C27" s="200" t="s">
        <v>1015</v>
      </c>
      <c r="D27" s="215" t="s">
        <v>1003</v>
      </c>
      <c r="G27" s="192"/>
      <c r="H27" s="209"/>
      <c r="I27" s="216"/>
      <c r="J27" s="217">
        <v>5</v>
      </c>
      <c r="K27" s="218"/>
      <c r="L27" s="219" t="s">
        <v>1016</v>
      </c>
      <c r="M27" s="218"/>
      <c r="N27" s="218"/>
      <c r="O27" s="220" t="s">
        <v>1003</v>
      </c>
      <c r="P27" s="192"/>
      <c r="Q27" s="207">
        <v>34</v>
      </c>
      <c r="R27" s="199" t="str">
        <f t="shared" si="1"/>
        <v>II-0001.0034</v>
      </c>
      <c r="S27" s="192" t="str">
        <f t="shared" si="3"/>
        <v xml:space="preserve"> Ø12</v>
      </c>
    </row>
    <row r="28" spans="1:19" x14ac:dyDescent="0.2">
      <c r="A28" s="198">
        <v>35</v>
      </c>
      <c r="B28" s="199" t="s">
        <v>1043</v>
      </c>
      <c r="C28" s="200" t="s">
        <v>1018</v>
      </c>
      <c r="D28" s="215" t="s">
        <v>1003</v>
      </c>
      <c r="G28" s="192"/>
      <c r="H28" s="209"/>
      <c r="I28" s="216"/>
      <c r="J28" s="217">
        <v>6</v>
      </c>
      <c r="K28" s="218"/>
      <c r="L28" s="219" t="s">
        <v>1019</v>
      </c>
      <c r="M28" s="218"/>
      <c r="N28" s="218"/>
      <c r="O28" s="220" t="s">
        <v>1003</v>
      </c>
      <c r="P28" s="192"/>
      <c r="Q28" s="207">
        <v>35</v>
      </c>
      <c r="R28" s="199" t="str">
        <f t="shared" si="1"/>
        <v>II-0001.0035</v>
      </c>
      <c r="S28" s="192" t="str">
        <f t="shared" si="3"/>
        <v xml:space="preserve"> Ø16</v>
      </c>
    </row>
    <row r="29" spans="1:19" x14ac:dyDescent="0.2">
      <c r="A29" s="198">
        <v>36</v>
      </c>
      <c r="B29" s="199" t="s">
        <v>1044</v>
      </c>
      <c r="C29" s="200" t="s">
        <v>1021</v>
      </c>
      <c r="D29" s="215" t="s">
        <v>1003</v>
      </c>
      <c r="G29" s="192"/>
      <c r="H29" s="209"/>
      <c r="I29" s="216"/>
      <c r="J29" s="217">
        <v>7</v>
      </c>
      <c r="K29" s="218"/>
      <c r="L29" s="219" t="s">
        <v>1022</v>
      </c>
      <c r="M29" s="218"/>
      <c r="N29" s="218"/>
      <c r="O29" s="220" t="s">
        <v>1003</v>
      </c>
      <c r="P29" s="192"/>
      <c r="Q29" s="207">
        <v>36</v>
      </c>
      <c r="R29" s="199" t="str">
        <f t="shared" si="1"/>
        <v>II-0001.0036</v>
      </c>
      <c r="S29" s="192" t="str">
        <f t="shared" si="3"/>
        <v xml:space="preserve"> Ø18</v>
      </c>
    </row>
    <row r="30" spans="1:19" ht="15.75" thickBot="1" x14ac:dyDescent="0.25">
      <c r="A30" s="198">
        <v>37</v>
      </c>
      <c r="B30" s="199" t="s">
        <v>1045</v>
      </c>
      <c r="C30" s="200" t="s">
        <v>1024</v>
      </c>
      <c r="D30" s="215" t="s">
        <v>1003</v>
      </c>
      <c r="G30" s="192"/>
      <c r="H30" s="229"/>
      <c r="I30" s="230"/>
      <c r="J30" s="231">
        <v>8</v>
      </c>
      <c r="K30" s="232"/>
      <c r="L30" s="233" t="s">
        <v>1025</v>
      </c>
      <c r="M30" s="232"/>
      <c r="N30" s="232"/>
      <c r="O30" s="234" t="s">
        <v>1003</v>
      </c>
      <c r="P30" s="192"/>
      <c r="Q30" s="207">
        <v>37</v>
      </c>
      <c r="R30" s="199" t="str">
        <f t="shared" si="1"/>
        <v>II-0001.0037</v>
      </c>
      <c r="S30" s="192" t="str">
        <f t="shared" si="3"/>
        <v xml:space="preserve"> Ø20</v>
      </c>
    </row>
    <row r="31" spans="1:19" ht="16.5" thickTop="1" thickBot="1" x14ac:dyDescent="0.25">
      <c r="A31" s="198"/>
      <c r="B31" s="199"/>
      <c r="C31" s="200"/>
      <c r="D31" s="215"/>
      <c r="G31" s="192"/>
      <c r="H31" s="209"/>
      <c r="I31" s="216"/>
      <c r="J31" s="216"/>
      <c r="K31" s="218"/>
      <c r="L31" s="219"/>
      <c r="M31" s="218"/>
      <c r="N31" s="218"/>
      <c r="O31" s="235"/>
      <c r="P31" s="192"/>
      <c r="Q31" s="207"/>
      <c r="R31" s="199"/>
      <c r="S31" s="192"/>
    </row>
    <row r="32" spans="1:19" ht="15.75" thickTop="1" x14ac:dyDescent="0.2">
      <c r="A32" s="198">
        <v>2</v>
      </c>
      <c r="B32" s="199" t="s">
        <v>1046</v>
      </c>
      <c r="C32" s="200" t="s">
        <v>1047</v>
      </c>
      <c r="D32" s="215"/>
      <c r="G32" s="192"/>
      <c r="H32" s="236">
        <v>2</v>
      </c>
      <c r="I32" s="237"/>
      <c r="J32" s="238"/>
      <c r="K32" s="863" t="s">
        <v>1047</v>
      </c>
      <c r="L32" s="863"/>
      <c r="M32" s="863"/>
      <c r="N32" s="863"/>
      <c r="O32" s="239"/>
      <c r="P32" s="192"/>
      <c r="Q32" s="207">
        <f>H32</f>
        <v>2</v>
      </c>
      <c r="R32" s="197" t="str">
        <f>CONCATENATE("II-",TEXT(Q32,"0000"))</f>
        <v>II-0002</v>
      </c>
      <c r="S32" s="208" t="str">
        <f>K32</f>
        <v>ABOVEDAMIENTO  REACONDICIONAMIENTO</v>
      </c>
    </row>
    <row r="33" spans="1:19" ht="15.75" thickBot="1" x14ac:dyDescent="0.25">
      <c r="A33" s="198">
        <v>1</v>
      </c>
      <c r="B33" s="199" t="s">
        <v>1048</v>
      </c>
      <c r="C33" s="200" t="s">
        <v>1049</v>
      </c>
      <c r="D33" s="215" t="s">
        <v>6</v>
      </c>
      <c r="G33" s="192"/>
      <c r="H33" s="240"/>
      <c r="I33" s="241" t="s">
        <v>999</v>
      </c>
      <c r="J33" s="242"/>
      <c r="K33" s="243" t="s">
        <v>1050</v>
      </c>
      <c r="L33" s="244"/>
      <c r="M33" s="244"/>
      <c r="N33" s="244"/>
      <c r="O33" s="245" t="s">
        <v>6</v>
      </c>
      <c r="P33" s="192"/>
      <c r="Q33" s="207">
        <v>1</v>
      </c>
      <c r="R33" s="199" t="str">
        <f>CONCATENATE($R$32,".",TEXT(Q33,"0000"))</f>
        <v>II-0002.0001</v>
      </c>
      <c r="S33" s="192" t="str">
        <f>CONCATENATE($K$33," ",L33)</f>
        <v xml:space="preserve">V-384 </v>
      </c>
    </row>
    <row r="34" spans="1:19" ht="16.5" thickTop="1" thickBot="1" x14ac:dyDescent="0.25">
      <c r="A34" s="198"/>
      <c r="B34" s="191"/>
      <c r="C34" s="200"/>
      <c r="D34" s="215"/>
      <c r="G34" s="192"/>
      <c r="H34" s="209"/>
      <c r="I34" s="216"/>
      <c r="J34" s="216"/>
      <c r="K34" s="246"/>
      <c r="L34" s="218"/>
      <c r="M34" s="218"/>
      <c r="N34" s="218"/>
      <c r="O34" s="247"/>
      <c r="P34" s="192"/>
      <c r="Q34" s="192"/>
      <c r="R34" s="192"/>
      <c r="S34" s="192"/>
    </row>
    <row r="35" spans="1:19" ht="15.75" thickTop="1" x14ac:dyDescent="0.2">
      <c r="A35" s="198">
        <v>3</v>
      </c>
      <c r="B35" s="191" t="s">
        <v>1051</v>
      </c>
      <c r="C35" s="200" t="s">
        <v>1052</v>
      </c>
      <c r="D35" s="215"/>
      <c r="G35" s="192"/>
      <c r="H35" s="236">
        <v>3</v>
      </c>
      <c r="I35" s="238"/>
      <c r="J35" s="238"/>
      <c r="K35" s="248" t="s">
        <v>1052</v>
      </c>
      <c r="L35" s="249"/>
      <c r="M35" s="249"/>
      <c r="N35" s="249"/>
      <c r="O35" s="239"/>
      <c r="P35" s="192"/>
      <c r="Q35" s="207">
        <f>H35</f>
        <v>3</v>
      </c>
      <c r="R35" s="197" t="str">
        <f>CONCATENATE("II-",TEXT(Q35,"0000"))</f>
        <v>II-0003</v>
      </c>
      <c r="S35" s="208" t="str">
        <f>K35</f>
        <v>ALAMBRADO</v>
      </c>
    </row>
    <row r="36" spans="1:19" x14ac:dyDescent="0.2">
      <c r="A36" s="198"/>
      <c r="B36" s="221"/>
      <c r="C36" s="222"/>
      <c r="D36" s="215"/>
      <c r="G36" s="192"/>
      <c r="H36" s="250"/>
      <c r="I36" s="210" t="s">
        <v>999</v>
      </c>
      <c r="J36" s="211"/>
      <c r="K36" s="246" t="s">
        <v>1053</v>
      </c>
      <c r="L36" s="218"/>
      <c r="M36" s="218"/>
      <c r="N36" s="218"/>
      <c r="O36" s="251"/>
      <c r="P36" s="192"/>
      <c r="Q36" s="192"/>
      <c r="R36" s="192"/>
      <c r="S36" s="192"/>
    </row>
    <row r="37" spans="1:19" x14ac:dyDescent="0.2">
      <c r="A37" s="198">
        <v>1</v>
      </c>
      <c r="B37" s="199" t="s">
        <v>1054</v>
      </c>
      <c r="C37" s="200" t="s">
        <v>1055</v>
      </c>
      <c r="D37" s="215" t="s">
        <v>975</v>
      </c>
      <c r="G37" s="192"/>
      <c r="H37" s="209"/>
      <c r="I37" s="216"/>
      <c r="J37" s="217">
        <v>1</v>
      </c>
      <c r="K37" s="218"/>
      <c r="L37" s="246" t="s">
        <v>999</v>
      </c>
      <c r="M37" s="252"/>
      <c r="N37" s="218"/>
      <c r="O37" s="235" t="s">
        <v>975</v>
      </c>
      <c r="P37" s="192"/>
      <c r="Q37" s="207">
        <v>1</v>
      </c>
      <c r="R37" s="199" t="str">
        <f>CONCATENATE($R$35,".",TEXT(Q37,"0000"))</f>
        <v>II-0003.0001</v>
      </c>
      <c r="S37" s="192" t="str">
        <f>CONCATENATE($K$36," - TIPO ",L37)</f>
        <v>H-2840-I - TIPO A</v>
      </c>
    </row>
    <row r="38" spans="1:19" x14ac:dyDescent="0.2">
      <c r="A38" s="198">
        <v>2</v>
      </c>
      <c r="B38" s="199" t="s">
        <v>1056</v>
      </c>
      <c r="C38" s="200" t="s">
        <v>1057</v>
      </c>
      <c r="D38" s="215" t="s">
        <v>975</v>
      </c>
      <c r="G38" s="192"/>
      <c r="H38" s="209"/>
      <c r="I38" s="216"/>
      <c r="J38" s="217">
        <v>2</v>
      </c>
      <c r="K38" s="218"/>
      <c r="L38" s="246" t="s">
        <v>1026</v>
      </c>
      <c r="M38" s="252"/>
      <c r="N38" s="218"/>
      <c r="O38" s="235" t="s">
        <v>975</v>
      </c>
      <c r="P38" s="192"/>
      <c r="Q38" s="207">
        <v>2</v>
      </c>
      <c r="R38" s="199" t="str">
        <f t="shared" ref="R38:R42" si="4">CONCATENATE($R$35,".",TEXT(Q38,"0000"))</f>
        <v>II-0003.0002</v>
      </c>
      <c r="S38" s="192" t="str">
        <f t="shared" ref="S38:S40" si="5">CONCATENATE($K$36," - TIPO ",L38)</f>
        <v>H-2840-I - TIPO B</v>
      </c>
    </row>
    <row r="39" spans="1:19" x14ac:dyDescent="0.2">
      <c r="A39" s="198">
        <v>3</v>
      </c>
      <c r="B39" s="199" t="s">
        <v>1058</v>
      </c>
      <c r="C39" s="200" t="s">
        <v>1059</v>
      </c>
      <c r="D39" s="215" t="s">
        <v>975</v>
      </c>
      <c r="G39" s="192"/>
      <c r="H39" s="209"/>
      <c r="I39" s="216"/>
      <c r="J39" s="217">
        <v>3</v>
      </c>
      <c r="K39" s="218"/>
      <c r="L39" s="246" t="s">
        <v>1036</v>
      </c>
      <c r="M39" s="252"/>
      <c r="N39" s="218"/>
      <c r="O39" s="235" t="s">
        <v>975</v>
      </c>
      <c r="P39" s="192"/>
      <c r="Q39" s="207">
        <v>3</v>
      </c>
      <c r="R39" s="199" t="str">
        <f t="shared" si="4"/>
        <v>II-0003.0003</v>
      </c>
      <c r="S39" s="192" t="str">
        <f t="shared" si="5"/>
        <v>H-2840-I - TIPO C</v>
      </c>
    </row>
    <row r="40" spans="1:19" x14ac:dyDescent="0.2">
      <c r="A40" s="198">
        <v>4</v>
      </c>
      <c r="B40" s="191" t="s">
        <v>1060</v>
      </c>
      <c r="C40" s="200" t="s">
        <v>1061</v>
      </c>
      <c r="D40" s="215" t="s">
        <v>975</v>
      </c>
      <c r="G40" s="192"/>
      <c r="H40" s="209"/>
      <c r="I40" s="228"/>
      <c r="J40" s="223">
        <v>4</v>
      </c>
      <c r="K40" s="224"/>
      <c r="L40" s="253" t="s">
        <v>1062</v>
      </c>
      <c r="M40" s="254"/>
      <c r="N40" s="224"/>
      <c r="O40" s="255" t="s">
        <v>975</v>
      </c>
      <c r="P40" s="192"/>
      <c r="Q40" s="207">
        <v>4</v>
      </c>
      <c r="R40" s="199" t="str">
        <f t="shared" si="4"/>
        <v>II-0003.0004</v>
      </c>
      <c r="S40" s="192" t="str">
        <f t="shared" si="5"/>
        <v>H-2840-I - TIPO D</v>
      </c>
    </row>
    <row r="41" spans="1:19" x14ac:dyDescent="0.2">
      <c r="A41" s="198">
        <v>5</v>
      </c>
      <c r="B41" s="199" t="s">
        <v>1063</v>
      </c>
      <c r="C41" s="200" t="s">
        <v>1064</v>
      </c>
      <c r="D41" s="215" t="s">
        <v>975</v>
      </c>
      <c r="G41" s="192"/>
      <c r="H41" s="209"/>
      <c r="I41" s="223" t="s">
        <v>1026</v>
      </c>
      <c r="J41" s="228"/>
      <c r="K41" s="256" t="s">
        <v>1064</v>
      </c>
      <c r="L41" s="257"/>
      <c r="M41" s="257"/>
      <c r="N41" s="257"/>
      <c r="O41" s="258" t="s">
        <v>975</v>
      </c>
      <c r="P41" s="192"/>
      <c r="Q41" s="207">
        <v>5</v>
      </c>
      <c r="R41" s="199" t="str">
        <f t="shared" si="4"/>
        <v>II-0003.0005</v>
      </c>
      <c r="S41" s="192" t="str">
        <f>CONCATENATE($E$36,K41)</f>
        <v>OLIMPICO H-9830</v>
      </c>
    </row>
    <row r="42" spans="1:19" ht="15.75" thickBot="1" x14ac:dyDescent="0.25">
      <c r="A42" s="198">
        <v>6</v>
      </c>
      <c r="B42" s="199" t="s">
        <v>1065</v>
      </c>
      <c r="C42" s="200" t="s">
        <v>1066</v>
      </c>
      <c r="D42" s="215" t="s">
        <v>975</v>
      </c>
      <c r="G42" s="192"/>
      <c r="H42" s="229"/>
      <c r="I42" s="231" t="s">
        <v>1036</v>
      </c>
      <c r="J42" s="242"/>
      <c r="K42" s="243" t="s">
        <v>1066</v>
      </c>
      <c r="L42" s="244"/>
      <c r="M42" s="244"/>
      <c r="N42" s="244"/>
      <c r="O42" s="259" t="s">
        <v>975</v>
      </c>
      <c r="P42" s="192"/>
      <c r="Q42" s="207">
        <v>6</v>
      </c>
      <c r="R42" s="199" t="str">
        <f t="shared" si="4"/>
        <v>II-0003.0006</v>
      </c>
      <c r="S42" s="192" t="str">
        <f>CONCATENATE($E$36,K42)</f>
        <v>TRAZADO C/ REPOSICION  (%)</v>
      </c>
    </row>
    <row r="43" spans="1:19" ht="15.75" thickTop="1" x14ac:dyDescent="0.2">
      <c r="A43" s="198">
        <v>7</v>
      </c>
      <c r="B43" s="199" t="s">
        <v>1067</v>
      </c>
      <c r="C43" s="200" t="s">
        <v>1068</v>
      </c>
      <c r="D43" s="215" t="s">
        <v>975</v>
      </c>
      <c r="G43" s="192"/>
      <c r="H43" s="209"/>
      <c r="I43" s="216"/>
      <c r="J43" s="216"/>
      <c r="K43" s="246"/>
      <c r="L43" s="218"/>
      <c r="M43" s="218"/>
      <c r="N43" s="218"/>
      <c r="O43" s="235"/>
      <c r="P43" s="192"/>
      <c r="Q43" s="207"/>
      <c r="R43" s="199"/>
      <c r="S43" s="192"/>
    </row>
    <row r="44" spans="1:19" x14ac:dyDescent="0.2">
      <c r="A44" s="198"/>
      <c r="B44" s="199"/>
      <c r="C44" s="200"/>
      <c r="D44" s="215"/>
      <c r="G44" s="192"/>
      <c r="H44" s="209"/>
      <c r="I44" s="216"/>
      <c r="J44" s="216"/>
      <c r="K44" s="246"/>
      <c r="L44" s="218"/>
      <c r="M44" s="218"/>
      <c r="N44" s="218"/>
      <c r="O44" s="235"/>
      <c r="P44" s="192"/>
      <c r="Q44" s="207"/>
      <c r="R44" s="199"/>
      <c r="S44" s="192"/>
    </row>
    <row r="45" spans="1:19" x14ac:dyDescent="0.2">
      <c r="A45" s="198">
        <v>4</v>
      </c>
      <c r="B45" s="191" t="s">
        <v>1069</v>
      </c>
      <c r="C45" s="200" t="s">
        <v>1070</v>
      </c>
      <c r="D45" s="215"/>
      <c r="G45" s="192"/>
      <c r="H45" s="236">
        <v>4</v>
      </c>
      <c r="I45" s="238"/>
      <c r="J45" s="238"/>
      <c r="K45" s="864" t="s">
        <v>1070</v>
      </c>
      <c r="L45" s="864"/>
      <c r="M45" s="864"/>
      <c r="N45" s="864"/>
      <c r="O45" s="260"/>
      <c r="P45" s="192"/>
      <c r="Q45" s="207">
        <f>H45</f>
        <v>4</v>
      </c>
      <c r="R45" s="197" t="str">
        <f>CONCATENATE("II-",TEXT(Q45,"0000"))</f>
        <v>II-0004</v>
      </c>
      <c r="S45" s="208" t="str">
        <f>K45</f>
        <v>ALCANTARILLAS METALICAS ACERO CORRUGADO</v>
      </c>
    </row>
    <row r="46" spans="1:19" x14ac:dyDescent="0.2">
      <c r="A46" s="198"/>
      <c r="B46" s="199"/>
      <c r="C46" s="200"/>
      <c r="D46" s="215"/>
      <c r="G46" s="192"/>
      <c r="H46" s="250"/>
      <c r="I46" s="210" t="s">
        <v>999</v>
      </c>
      <c r="J46" s="211"/>
      <c r="K46" s="212" t="s">
        <v>1071</v>
      </c>
      <c r="L46" s="213"/>
      <c r="M46" s="213"/>
      <c r="N46" s="213"/>
      <c r="O46" s="261"/>
      <c r="P46" s="192"/>
      <c r="Q46" s="192"/>
      <c r="R46" s="192"/>
      <c r="S46" s="192"/>
    </row>
    <row r="47" spans="1:19" x14ac:dyDescent="0.2">
      <c r="A47" s="198">
        <v>1</v>
      </c>
      <c r="B47" s="199" t="s">
        <v>1072</v>
      </c>
      <c r="C47" s="200" t="s">
        <v>1073</v>
      </c>
      <c r="D47" s="215" t="s">
        <v>975</v>
      </c>
      <c r="G47" s="192"/>
      <c r="H47" s="209"/>
      <c r="I47" s="216"/>
      <c r="J47" s="217">
        <v>1</v>
      </c>
      <c r="K47" s="218"/>
      <c r="L47" s="219" t="s">
        <v>1074</v>
      </c>
      <c r="M47" s="218"/>
      <c r="N47" s="218"/>
      <c r="O47" s="235" t="s">
        <v>975</v>
      </c>
      <c r="P47" s="192"/>
      <c r="Q47" s="207">
        <v>1</v>
      </c>
      <c r="R47" s="199" t="str">
        <f>CONCATENATE($R$45,".",TEXT(Q47,"0000"))</f>
        <v>II-0004.0001</v>
      </c>
      <c r="S47" s="192" t="str">
        <f>CONCATENATE($K$46," - TIPO ",L47)</f>
        <v>H-10209 - TIPO H-9987</v>
      </c>
    </row>
    <row r="48" spans="1:19" x14ac:dyDescent="0.2">
      <c r="A48" s="198">
        <v>2</v>
      </c>
      <c r="B48" s="191" t="s">
        <v>1075</v>
      </c>
      <c r="C48" s="200" t="s">
        <v>1076</v>
      </c>
      <c r="D48" s="215" t="s">
        <v>975</v>
      </c>
      <c r="G48" s="192"/>
      <c r="H48" s="209"/>
      <c r="I48" s="216"/>
      <c r="J48" s="223">
        <v>2</v>
      </c>
      <c r="K48" s="218"/>
      <c r="L48" s="219" t="s">
        <v>1077</v>
      </c>
      <c r="M48" s="218"/>
      <c r="N48" s="218"/>
      <c r="O48" s="235" t="s">
        <v>975</v>
      </c>
      <c r="P48" s="192"/>
      <c r="Q48" s="207">
        <v>2</v>
      </c>
      <c r="R48" s="199" t="str">
        <f>CONCATENATE($R$45,".",TEXT(Q48,"0000"))</f>
        <v>II-0004.0002</v>
      </c>
      <c r="S48" s="192" t="str">
        <f>CONCATENATE($K$46," - TIPO ",L48)</f>
        <v>H-10209 - TIPO H-2993</v>
      </c>
    </row>
    <row r="49" spans="1:19" x14ac:dyDescent="0.2">
      <c r="A49" s="198"/>
      <c r="B49" s="191"/>
      <c r="C49" s="200"/>
      <c r="D49" s="215"/>
      <c r="G49" s="192"/>
      <c r="H49" s="209"/>
      <c r="I49" s="210" t="s">
        <v>1026</v>
      </c>
      <c r="J49" s="211"/>
      <c r="K49" s="212" t="s">
        <v>1078</v>
      </c>
      <c r="L49" s="213"/>
      <c r="M49" s="213"/>
      <c r="N49" s="213"/>
      <c r="O49" s="261"/>
      <c r="P49" s="192"/>
      <c r="Q49" s="192"/>
      <c r="R49" s="192"/>
      <c r="S49" s="192"/>
    </row>
    <row r="50" spans="1:19" x14ac:dyDescent="0.2">
      <c r="A50" s="198">
        <v>3</v>
      </c>
      <c r="B50" s="221" t="s">
        <v>1079</v>
      </c>
      <c r="C50" s="222" t="s">
        <v>1080</v>
      </c>
      <c r="D50" s="215" t="s">
        <v>975</v>
      </c>
      <c r="G50" s="192"/>
      <c r="H50" s="209"/>
      <c r="I50" s="216"/>
      <c r="J50" s="217">
        <v>1</v>
      </c>
      <c r="K50" s="218"/>
      <c r="L50" s="219" t="s">
        <v>1074</v>
      </c>
      <c r="M50" s="218"/>
      <c r="N50" s="218"/>
      <c r="O50" s="235" t="s">
        <v>975</v>
      </c>
      <c r="P50" s="192"/>
      <c r="Q50" s="207">
        <v>3</v>
      </c>
      <c r="R50" s="199" t="str">
        <f>CONCATENATE($R$45,".",TEXT(Q50,"0000"))</f>
        <v>II-0004.0003</v>
      </c>
      <c r="S50" s="192" t="str">
        <f>CONCATENATE($K$49," - TIPO ",L50)</f>
        <v>H-10235 - TIPO H-9987</v>
      </c>
    </row>
    <row r="51" spans="1:19" x14ac:dyDescent="0.2">
      <c r="A51" s="198">
        <v>4</v>
      </c>
      <c r="B51" s="199" t="s">
        <v>1081</v>
      </c>
      <c r="C51" s="200" t="s">
        <v>1082</v>
      </c>
      <c r="D51" s="215" t="s">
        <v>975</v>
      </c>
      <c r="G51" s="192"/>
      <c r="H51" s="209"/>
      <c r="I51" s="216"/>
      <c r="J51" s="223">
        <v>2</v>
      </c>
      <c r="K51" s="218"/>
      <c r="L51" s="219" t="s">
        <v>1077</v>
      </c>
      <c r="M51" s="218"/>
      <c r="N51" s="218"/>
      <c r="O51" s="235" t="s">
        <v>975</v>
      </c>
      <c r="P51" s="192"/>
      <c r="Q51" s="207">
        <v>4</v>
      </c>
      <c r="R51" s="199" t="str">
        <f>CONCATENATE($R$45,".",TEXT(Q51,"0000"))</f>
        <v>II-0004.0004</v>
      </c>
      <c r="S51" s="192" t="str">
        <f>CONCATENATE($K$49," - TIPO ",L51)</f>
        <v>H-10235 - TIPO H-2993</v>
      </c>
    </row>
    <row r="52" spans="1:19" x14ac:dyDescent="0.2">
      <c r="A52" s="198"/>
      <c r="B52" s="199"/>
      <c r="C52" s="200"/>
      <c r="D52" s="215"/>
      <c r="G52" s="192"/>
      <c r="H52" s="209"/>
      <c r="I52" s="210" t="s">
        <v>1036</v>
      </c>
      <c r="J52" s="211"/>
      <c r="K52" s="212" t="s">
        <v>1083</v>
      </c>
      <c r="L52" s="213"/>
      <c r="M52" s="213"/>
      <c r="N52" s="213"/>
      <c r="O52" s="261"/>
      <c r="P52" s="192"/>
      <c r="Q52" s="192"/>
      <c r="R52" s="192"/>
      <c r="S52" s="192"/>
    </row>
    <row r="53" spans="1:19" ht="15.75" thickBot="1" x14ac:dyDescent="0.25">
      <c r="A53" s="198">
        <v>5</v>
      </c>
      <c r="B53" s="199" t="s">
        <v>1084</v>
      </c>
      <c r="C53" s="200" t="s">
        <v>1085</v>
      </c>
      <c r="D53" s="215" t="s">
        <v>975</v>
      </c>
      <c r="G53" s="192"/>
      <c r="H53" s="262"/>
      <c r="I53" s="263"/>
      <c r="J53" s="264">
        <v>1</v>
      </c>
      <c r="K53" s="265"/>
      <c r="L53" s="266" t="s">
        <v>1086</v>
      </c>
      <c r="M53" s="265"/>
      <c r="N53" s="265"/>
      <c r="O53" s="267" t="s">
        <v>975</v>
      </c>
      <c r="P53" s="192"/>
      <c r="Q53" s="207">
        <v>5</v>
      </c>
      <c r="R53" s="199" t="str">
        <f>CONCATENATE($R$45,".",TEXT(Q53,"0000"))</f>
        <v>II-0004.0005</v>
      </c>
      <c r="S53" s="192" t="str">
        <f>CONCATENATE($K$52," - TIPO ",L53)</f>
        <v>H-10236 - TIPO H-2553</v>
      </c>
    </row>
    <row r="54" spans="1:19" x14ac:dyDescent="0.2">
      <c r="A54" s="198"/>
      <c r="B54" s="199"/>
      <c r="C54" s="200"/>
      <c r="D54" s="215"/>
      <c r="G54" s="218"/>
      <c r="H54" s="268"/>
      <c r="I54" s="216"/>
      <c r="J54" s="216"/>
      <c r="K54" s="218"/>
      <c r="L54" s="219"/>
      <c r="M54" s="218"/>
      <c r="N54" s="218"/>
      <c r="O54" s="252"/>
      <c r="P54" s="218"/>
      <c r="Q54" s="218"/>
      <c r="R54" s="218"/>
      <c r="S54" s="218"/>
    </row>
    <row r="55" spans="1:19" x14ac:dyDescent="0.2">
      <c r="A55" s="198">
        <v>4</v>
      </c>
      <c r="B55" s="199" t="s">
        <v>1069</v>
      </c>
      <c r="C55" s="200" t="s">
        <v>1070</v>
      </c>
      <c r="D55" s="215"/>
      <c r="G55" s="192"/>
      <c r="H55" s="236">
        <v>4</v>
      </c>
      <c r="I55" s="238"/>
      <c r="J55" s="238"/>
      <c r="K55" s="864" t="s">
        <v>1070</v>
      </c>
      <c r="L55" s="864"/>
      <c r="M55" s="864"/>
      <c r="N55" s="864"/>
      <c r="O55" s="260"/>
      <c r="P55" s="192"/>
      <c r="Q55" s="207">
        <f>H55</f>
        <v>4</v>
      </c>
      <c r="R55" s="197" t="str">
        <f>CONCATENATE("II-",TEXT(Q55,"0000"))</f>
        <v>II-0004</v>
      </c>
      <c r="S55" s="208" t="str">
        <f>K55</f>
        <v>ALCANTARILLAS METALICAS ACERO CORRUGADO</v>
      </c>
    </row>
    <row r="56" spans="1:19" x14ac:dyDescent="0.2">
      <c r="A56" s="198"/>
      <c r="B56" s="199"/>
      <c r="C56" s="200"/>
      <c r="D56" s="215"/>
      <c r="G56" s="192"/>
      <c r="H56" s="209"/>
      <c r="I56" s="210" t="s">
        <v>1062</v>
      </c>
      <c r="J56" s="211"/>
      <c r="K56" s="219" t="s">
        <v>1027</v>
      </c>
      <c r="L56" s="218"/>
      <c r="M56" s="218"/>
      <c r="N56" s="218"/>
      <c r="O56" s="251"/>
      <c r="P56" s="192"/>
      <c r="Q56" s="192"/>
      <c r="R56" s="192"/>
      <c r="S56" s="192"/>
    </row>
    <row r="57" spans="1:19" x14ac:dyDescent="0.2">
      <c r="A57" s="198">
        <v>10</v>
      </c>
      <c r="B57" s="199" t="s">
        <v>1087</v>
      </c>
      <c r="C57" s="200" t="s">
        <v>1088</v>
      </c>
      <c r="D57" s="215" t="s">
        <v>975</v>
      </c>
      <c r="G57" s="192"/>
      <c r="H57" s="209"/>
      <c r="I57" s="216"/>
      <c r="J57" s="217">
        <v>1</v>
      </c>
      <c r="K57" s="218"/>
      <c r="L57" s="219" t="s">
        <v>1089</v>
      </c>
      <c r="M57" s="218"/>
      <c r="N57" s="218"/>
      <c r="O57" s="251" t="s">
        <v>975</v>
      </c>
      <c r="P57" s="192"/>
      <c r="Q57" s="207">
        <v>10</v>
      </c>
      <c r="R57" s="199" t="str">
        <f>CONCATENATE($R$45,".",TEXT(Q57,"0000"))</f>
        <v>II-0004.0010</v>
      </c>
      <c r="S57" s="192" t="str">
        <f>CONCATENATE($K$56," - TIPO ",L57)</f>
        <v>ESPECIAL - TIPO BOVEDA PERFIL ALTO Z-6584</v>
      </c>
    </row>
    <row r="58" spans="1:19" x14ac:dyDescent="0.2">
      <c r="A58" s="198">
        <v>11</v>
      </c>
      <c r="B58" s="199" t="s">
        <v>1090</v>
      </c>
      <c r="C58" s="200" t="s">
        <v>1091</v>
      </c>
      <c r="D58" s="215" t="s">
        <v>975</v>
      </c>
      <c r="G58" s="192"/>
      <c r="H58" s="209"/>
      <c r="I58" s="216"/>
      <c r="J58" s="217">
        <v>2</v>
      </c>
      <c r="K58" s="218"/>
      <c r="L58" s="219" t="s">
        <v>1092</v>
      </c>
      <c r="M58" s="218"/>
      <c r="N58" s="218"/>
      <c r="O58" s="251" t="s">
        <v>975</v>
      </c>
      <c r="P58" s="192"/>
      <c r="Q58" s="207">
        <v>11</v>
      </c>
      <c r="R58" s="199" t="str">
        <f t="shared" ref="R58:R67" si="6">CONCATENATE($R$45,".",TEXT(Q58,"0000"))</f>
        <v>II-0004.0011</v>
      </c>
      <c r="S58" s="192" t="str">
        <f t="shared" ref="S58:S61" si="7">CONCATENATE($K$56," - TIPO ",L58)</f>
        <v>ESPECIAL - TIPO BOVEDA PERFIL BAJO Z-6584</v>
      </c>
    </row>
    <row r="59" spans="1:19" x14ac:dyDescent="0.2">
      <c r="A59" s="198">
        <v>12</v>
      </c>
      <c r="B59" s="191" t="s">
        <v>1093</v>
      </c>
      <c r="C59" s="200" t="s">
        <v>1094</v>
      </c>
      <c r="D59" s="215" t="s">
        <v>975</v>
      </c>
      <c r="G59" s="192"/>
      <c r="H59" s="209"/>
      <c r="I59" s="216"/>
      <c r="J59" s="217">
        <v>3</v>
      </c>
      <c r="K59" s="218"/>
      <c r="L59" s="219" t="s">
        <v>1095</v>
      </c>
      <c r="M59" s="218"/>
      <c r="N59" s="218"/>
      <c r="O59" s="251" t="s">
        <v>975</v>
      </c>
      <c r="P59" s="192"/>
      <c r="Q59" s="207">
        <v>12</v>
      </c>
      <c r="R59" s="199" t="str">
        <f t="shared" si="6"/>
        <v>II-0004.0012</v>
      </c>
      <c r="S59" s="192" t="str">
        <f t="shared" si="7"/>
        <v>ESPECIAL - TIPO CIRCULAR</v>
      </c>
    </row>
    <row r="60" spans="1:19" x14ac:dyDescent="0.2">
      <c r="A60" s="198">
        <v>13</v>
      </c>
      <c r="B60" s="191" t="s">
        <v>1096</v>
      </c>
      <c r="C60" s="200" t="s">
        <v>1097</v>
      </c>
      <c r="D60" s="215" t="s">
        <v>975</v>
      </c>
      <c r="G60" s="192"/>
      <c r="H60" s="209"/>
      <c r="I60" s="216"/>
      <c r="J60" s="217">
        <v>4</v>
      </c>
      <c r="K60" s="218"/>
      <c r="L60" s="219" t="s">
        <v>1098</v>
      </c>
      <c r="M60" s="218"/>
      <c r="N60" s="218"/>
      <c r="O60" s="251" t="s">
        <v>975</v>
      </c>
      <c r="P60" s="192"/>
      <c r="Q60" s="207">
        <v>13</v>
      </c>
      <c r="R60" s="199" t="str">
        <f t="shared" si="6"/>
        <v>II-0004.0013</v>
      </c>
      <c r="S60" s="192" t="str">
        <f t="shared" si="7"/>
        <v>ESPECIAL - TIPO ELIPTICA</v>
      </c>
    </row>
    <row r="61" spans="1:19" x14ac:dyDescent="0.2">
      <c r="A61" s="198">
        <v>14</v>
      </c>
      <c r="B61" s="199" t="s">
        <v>1099</v>
      </c>
      <c r="C61" s="200" t="s">
        <v>1100</v>
      </c>
      <c r="D61" s="215" t="s">
        <v>975</v>
      </c>
      <c r="G61" s="192"/>
      <c r="H61" s="209"/>
      <c r="I61" s="269"/>
      <c r="J61" s="223">
        <v>5</v>
      </c>
      <c r="K61" s="224"/>
      <c r="L61" s="225" t="s">
        <v>1101</v>
      </c>
      <c r="M61" s="224"/>
      <c r="N61" s="224"/>
      <c r="O61" s="270" t="s">
        <v>975</v>
      </c>
      <c r="P61" s="192"/>
      <c r="Q61" s="207">
        <v>14</v>
      </c>
      <c r="R61" s="199" t="str">
        <f t="shared" si="6"/>
        <v>II-0004.0014</v>
      </c>
      <c r="S61" s="192" t="str">
        <f t="shared" si="7"/>
        <v>ESPECIAL - TIPO ELIPTICA P/ FERROCARRIL Z-6584</v>
      </c>
    </row>
    <row r="62" spans="1:19" x14ac:dyDescent="0.2">
      <c r="A62" s="198">
        <v>20</v>
      </c>
      <c r="B62" s="199" t="s">
        <v>1102</v>
      </c>
      <c r="C62" s="200" t="s">
        <v>1103</v>
      </c>
      <c r="D62" s="215" t="s">
        <v>975</v>
      </c>
      <c r="G62" s="271"/>
      <c r="H62" s="272"/>
      <c r="I62" s="273" t="s">
        <v>1104</v>
      </c>
      <c r="J62" s="273"/>
      <c r="K62" s="274" t="s">
        <v>1103</v>
      </c>
      <c r="L62" s="275"/>
      <c r="M62" s="275"/>
      <c r="N62" s="275"/>
      <c r="O62" s="276" t="s">
        <v>975</v>
      </c>
      <c r="P62" s="271"/>
      <c r="Q62" s="207">
        <v>20</v>
      </c>
      <c r="R62" s="199" t="str">
        <f t="shared" si="6"/>
        <v>II-0004.0020</v>
      </c>
      <c r="S62" s="192" t="str">
        <f>CONCATENATE(K62)</f>
        <v>PINTURA</v>
      </c>
    </row>
    <row r="63" spans="1:19" x14ac:dyDescent="0.2">
      <c r="A63" s="198">
        <v>21</v>
      </c>
      <c r="B63" s="191" t="s">
        <v>1105</v>
      </c>
      <c r="C63" s="200" t="s">
        <v>1106</v>
      </c>
      <c r="D63" s="215" t="s">
        <v>975</v>
      </c>
      <c r="G63" s="271"/>
      <c r="H63" s="272"/>
      <c r="I63" s="273" t="s">
        <v>1107</v>
      </c>
      <c r="J63" s="273"/>
      <c r="K63" s="865" t="s">
        <v>1106</v>
      </c>
      <c r="L63" s="865"/>
      <c r="M63" s="275"/>
      <c r="N63" s="275"/>
      <c r="O63" s="277" t="s">
        <v>975</v>
      </c>
      <c r="P63" s="271"/>
      <c r="Q63" s="207">
        <v>21</v>
      </c>
      <c r="R63" s="199" t="str">
        <f t="shared" si="6"/>
        <v>II-0004.0021</v>
      </c>
      <c r="S63" s="192" t="str">
        <f t="shared" ref="S63:S67" si="8">CONCATENATE(K63)</f>
        <v>COLOCACION</v>
      </c>
    </row>
    <row r="64" spans="1:19" x14ac:dyDescent="0.2">
      <c r="A64" s="198">
        <v>22</v>
      </c>
      <c r="B64" s="199" t="s">
        <v>1108</v>
      </c>
      <c r="C64" s="200" t="s">
        <v>1109</v>
      </c>
      <c r="D64" s="215" t="s">
        <v>1110</v>
      </c>
      <c r="G64" s="271"/>
      <c r="H64" s="272"/>
      <c r="I64" s="273" t="s">
        <v>1111</v>
      </c>
      <c r="J64" s="273"/>
      <c r="K64" s="865" t="s">
        <v>1109</v>
      </c>
      <c r="L64" s="865"/>
      <c r="M64" s="275"/>
      <c r="N64" s="275"/>
      <c r="O64" s="277" t="s">
        <v>1110</v>
      </c>
      <c r="P64" s="271"/>
      <c r="Q64" s="207">
        <v>22</v>
      </c>
      <c r="R64" s="199" t="str">
        <f t="shared" si="6"/>
        <v>II-0004.0022</v>
      </c>
      <c r="S64" s="192" t="str">
        <f t="shared" si="8"/>
        <v>RELLENO DE SOCAVACION</v>
      </c>
    </row>
    <row r="65" spans="1:19" x14ac:dyDescent="0.2">
      <c r="A65" s="198">
        <v>23</v>
      </c>
      <c r="B65" s="199" t="s">
        <v>1112</v>
      </c>
      <c r="C65" s="200" t="s">
        <v>1113</v>
      </c>
      <c r="D65" s="215" t="s">
        <v>975</v>
      </c>
      <c r="G65" s="192"/>
      <c r="H65" s="272"/>
      <c r="I65" s="210" t="s">
        <v>1114</v>
      </c>
      <c r="J65" s="257"/>
      <c r="K65" s="278" t="s">
        <v>1113</v>
      </c>
      <c r="L65" s="257"/>
      <c r="M65" s="257"/>
      <c r="N65" s="257"/>
      <c r="O65" s="277" t="s">
        <v>975</v>
      </c>
      <c r="P65" s="192"/>
      <c r="Q65" s="207">
        <v>23</v>
      </c>
      <c r="R65" s="199" t="str">
        <f t="shared" si="6"/>
        <v>II-0004.0023</v>
      </c>
      <c r="S65" s="192" t="str">
        <f t="shared" si="8"/>
        <v>REPARACION</v>
      </c>
    </row>
    <row r="66" spans="1:19" x14ac:dyDescent="0.2">
      <c r="A66" s="198">
        <v>24</v>
      </c>
      <c r="B66" s="191" t="s">
        <v>1115</v>
      </c>
      <c r="C66" s="200" t="s">
        <v>1116</v>
      </c>
      <c r="D66" s="215" t="s">
        <v>975</v>
      </c>
      <c r="G66" s="192"/>
      <c r="H66" s="272"/>
      <c r="I66" s="210" t="s">
        <v>889</v>
      </c>
      <c r="J66" s="257"/>
      <c r="K66" s="278" t="s">
        <v>1116</v>
      </c>
      <c r="L66" s="257"/>
      <c r="M66" s="257"/>
      <c r="N66" s="257"/>
      <c r="O66" s="277" t="s">
        <v>975</v>
      </c>
      <c r="P66" s="192"/>
      <c r="Q66" s="207">
        <v>24</v>
      </c>
      <c r="R66" s="199" t="str">
        <f t="shared" si="6"/>
        <v>II-0004.0024</v>
      </c>
      <c r="S66" s="192" t="str">
        <f t="shared" si="8"/>
        <v>RETIRO Y RECOLOCACION</v>
      </c>
    </row>
    <row r="67" spans="1:19" ht="15.75" thickBot="1" x14ac:dyDescent="0.25">
      <c r="A67" s="198">
        <v>25</v>
      </c>
      <c r="B67" s="191" t="s">
        <v>1117</v>
      </c>
      <c r="C67" s="200" t="s">
        <v>1118</v>
      </c>
      <c r="D67" s="215" t="s">
        <v>975</v>
      </c>
      <c r="G67" s="192"/>
      <c r="H67" s="279"/>
      <c r="I67" s="241" t="s">
        <v>1119</v>
      </c>
      <c r="J67" s="244"/>
      <c r="K67" s="280" t="s">
        <v>1118</v>
      </c>
      <c r="L67" s="244"/>
      <c r="M67" s="244"/>
      <c r="N67" s="244"/>
      <c r="O67" s="281" t="s">
        <v>975</v>
      </c>
      <c r="P67" s="192"/>
      <c r="Q67" s="207">
        <v>25</v>
      </c>
      <c r="R67" s="199" t="str">
        <f t="shared" si="6"/>
        <v>II-0004.0025</v>
      </c>
      <c r="S67" s="192" t="str">
        <f t="shared" si="8"/>
        <v xml:space="preserve">RETIRO </v>
      </c>
    </row>
    <row r="68" spans="1:19" ht="16.5" thickTop="1" thickBot="1" x14ac:dyDescent="0.25">
      <c r="A68" s="198"/>
      <c r="B68" s="221"/>
      <c r="C68" s="222"/>
      <c r="D68" s="215"/>
      <c r="G68" s="192"/>
      <c r="H68" s="209"/>
      <c r="I68" s="216"/>
      <c r="J68" s="218"/>
      <c r="K68" s="219"/>
      <c r="L68" s="218"/>
      <c r="M68" s="218"/>
      <c r="N68" s="218"/>
      <c r="O68" s="282"/>
      <c r="P68" s="192"/>
      <c r="Q68" s="207"/>
      <c r="R68" s="199"/>
      <c r="S68" s="192"/>
    </row>
    <row r="69" spans="1:19" ht="15.75" thickTop="1" x14ac:dyDescent="0.2">
      <c r="A69" s="198">
        <v>5</v>
      </c>
      <c r="B69" s="199" t="s">
        <v>1120</v>
      </c>
      <c r="C69" s="200" t="s">
        <v>1121</v>
      </c>
      <c r="D69" s="215"/>
      <c r="G69" s="192"/>
      <c r="H69" s="236">
        <v>5</v>
      </c>
      <c r="I69" s="238"/>
      <c r="J69" s="249"/>
      <c r="K69" s="283" t="s">
        <v>1121</v>
      </c>
      <c r="L69" s="249"/>
      <c r="M69" s="249"/>
      <c r="N69" s="249"/>
      <c r="O69" s="260"/>
      <c r="P69" s="192"/>
      <c r="Q69" s="207">
        <f>H69</f>
        <v>5</v>
      </c>
      <c r="R69" s="197" t="str">
        <f>CONCATENATE("II-",TEXT(Q69,"0000"))</f>
        <v>II-0005</v>
      </c>
      <c r="S69" s="208" t="str">
        <f>K69</f>
        <v>ALCANTARILLAS HORMIGON</v>
      </c>
    </row>
    <row r="70" spans="1:19" x14ac:dyDescent="0.2">
      <c r="A70" s="198"/>
      <c r="B70" s="199"/>
      <c r="C70" s="200"/>
      <c r="D70" s="215"/>
      <c r="G70" s="192"/>
      <c r="H70" s="209"/>
      <c r="I70" s="210" t="s">
        <v>999</v>
      </c>
      <c r="J70" s="213"/>
      <c r="K70" s="219" t="s">
        <v>1095</v>
      </c>
      <c r="L70" s="218"/>
      <c r="M70" s="218"/>
      <c r="N70" s="218"/>
      <c r="O70" s="251"/>
      <c r="P70" s="192"/>
      <c r="Q70" s="192"/>
      <c r="R70" s="192"/>
      <c r="S70" s="192"/>
    </row>
    <row r="71" spans="1:19" x14ac:dyDescent="0.2">
      <c r="A71" s="198">
        <v>1</v>
      </c>
      <c r="B71" s="199" t="s">
        <v>1122</v>
      </c>
      <c r="C71" s="200" t="s">
        <v>1123</v>
      </c>
      <c r="D71" s="215" t="s">
        <v>975</v>
      </c>
      <c r="G71" s="192"/>
      <c r="H71" s="209"/>
      <c r="I71" s="216"/>
      <c r="J71" s="217">
        <v>1</v>
      </c>
      <c r="K71" s="218"/>
      <c r="L71" s="219" t="s">
        <v>1124</v>
      </c>
      <c r="M71" s="218"/>
      <c r="N71" s="218"/>
      <c r="O71" s="251" t="s">
        <v>975</v>
      </c>
      <c r="P71" s="192"/>
      <c r="Q71" s="207">
        <v>1</v>
      </c>
      <c r="R71" s="199" t="str">
        <f>CONCATENATE($R$69,".",TEXT(Q71,"0000"))</f>
        <v>II-0005.0001</v>
      </c>
      <c r="S71" s="192" t="str">
        <f>CONCATENATE($K$70," - TIPO ",L71)</f>
        <v>CIRCULAR - TIPO A-82</v>
      </c>
    </row>
    <row r="72" spans="1:19" x14ac:dyDescent="0.2">
      <c r="A72" s="198">
        <v>2</v>
      </c>
      <c r="B72" s="199" t="s">
        <v>1125</v>
      </c>
      <c r="C72" s="200" t="s">
        <v>1126</v>
      </c>
      <c r="D72" s="215" t="s">
        <v>975</v>
      </c>
      <c r="G72" s="192"/>
      <c r="H72" s="209"/>
      <c r="I72" s="228"/>
      <c r="J72" s="223">
        <v>2</v>
      </c>
      <c r="K72" s="224"/>
      <c r="L72" s="225" t="s">
        <v>1077</v>
      </c>
      <c r="M72" s="224"/>
      <c r="N72" s="224"/>
      <c r="O72" s="270" t="s">
        <v>975</v>
      </c>
      <c r="P72" s="192"/>
      <c r="Q72" s="207">
        <v>2</v>
      </c>
      <c r="R72" s="199" t="str">
        <f>CONCATENATE($R$69,".",TEXT(Q72,"0000"))</f>
        <v>II-0005.0002</v>
      </c>
      <c r="S72" s="192" t="str">
        <f>CONCATENATE($K$70," - TIPO ",L72)</f>
        <v>CIRCULAR - TIPO H-2993</v>
      </c>
    </row>
    <row r="73" spans="1:19" x14ac:dyDescent="0.2">
      <c r="A73" s="198"/>
      <c r="B73" s="191"/>
      <c r="C73" s="200"/>
      <c r="D73" s="215" t="s">
        <v>975</v>
      </c>
      <c r="G73" s="192"/>
      <c r="H73" s="209"/>
      <c r="I73" s="223" t="s">
        <v>1026</v>
      </c>
      <c r="J73" s="216"/>
      <c r="K73" s="219" t="s">
        <v>1127</v>
      </c>
      <c r="L73" s="219"/>
      <c r="M73" s="218"/>
      <c r="N73" s="218"/>
      <c r="O73" s="251" t="s">
        <v>975</v>
      </c>
      <c r="P73" s="192"/>
      <c r="Q73" s="192"/>
      <c r="R73" s="192"/>
      <c r="S73" s="192"/>
    </row>
    <row r="74" spans="1:19" x14ac:dyDescent="0.2">
      <c r="A74" s="198">
        <v>10</v>
      </c>
      <c r="B74" s="191" t="s">
        <v>1128</v>
      </c>
      <c r="C74" s="200" t="s">
        <v>1129</v>
      </c>
      <c r="D74" s="215" t="s">
        <v>975</v>
      </c>
      <c r="G74" s="192"/>
      <c r="H74" s="209"/>
      <c r="I74" s="216"/>
      <c r="J74" s="217">
        <v>1</v>
      </c>
      <c r="K74" s="218"/>
      <c r="L74" s="219" t="s">
        <v>1130</v>
      </c>
      <c r="M74" s="218"/>
      <c r="N74" s="218"/>
      <c r="O74" s="235" t="s">
        <v>975</v>
      </c>
      <c r="P74" s="192"/>
      <c r="Q74" s="207">
        <v>10</v>
      </c>
      <c r="R74" s="199" t="str">
        <f>CONCATENATE($R$69,".",TEXT(Q74,"0000"))</f>
        <v>II-0005.0010</v>
      </c>
      <c r="S74" s="192" t="str">
        <f>CONCATENATE($K$73," - TIPO ",L74)</f>
        <v>RECTANGULAR - TIPO H-1900-BIS-1</v>
      </c>
    </row>
    <row r="75" spans="1:19" x14ac:dyDescent="0.2">
      <c r="A75" s="198">
        <v>11</v>
      </c>
      <c r="B75" s="221" t="s">
        <v>1131</v>
      </c>
      <c r="C75" s="222" t="s">
        <v>1132</v>
      </c>
      <c r="D75" s="215" t="s">
        <v>975</v>
      </c>
      <c r="G75" s="192"/>
      <c r="H75" s="209"/>
      <c r="I75" s="216"/>
      <c r="J75" s="217">
        <v>2</v>
      </c>
      <c r="K75" s="218"/>
      <c r="L75" s="219" t="s">
        <v>1133</v>
      </c>
      <c r="M75" s="218"/>
      <c r="N75" s="218"/>
      <c r="O75" s="235" t="s">
        <v>975</v>
      </c>
      <c r="P75" s="192"/>
      <c r="Q75" s="207">
        <v>11</v>
      </c>
      <c r="R75" s="199" t="str">
        <f t="shared" ref="R75:R90" si="9">CONCATENATE($R$69,".",TEXT(Q75,"0000"))</f>
        <v>II-0005.0011</v>
      </c>
      <c r="S75" s="192" t="str">
        <f t="shared" ref="S75:S85" si="10">CONCATENATE($K$73," - TIPO ",L75)</f>
        <v>RECTANGULAR - TIPO O-41211-I</v>
      </c>
    </row>
    <row r="76" spans="1:19" x14ac:dyDescent="0.2">
      <c r="A76" s="198">
        <v>12</v>
      </c>
      <c r="B76" s="199" t="s">
        <v>1134</v>
      </c>
      <c r="C76" s="200" t="s">
        <v>1135</v>
      </c>
      <c r="D76" s="215" t="s">
        <v>975</v>
      </c>
      <c r="G76" s="192"/>
      <c r="H76" s="209"/>
      <c r="I76" s="216"/>
      <c r="J76" s="217">
        <v>3</v>
      </c>
      <c r="K76" s="218"/>
      <c r="L76" s="219" t="s">
        <v>1136</v>
      </c>
      <c r="M76" s="218"/>
      <c r="N76" s="218"/>
      <c r="O76" s="235" t="s">
        <v>975</v>
      </c>
      <c r="P76" s="192"/>
      <c r="Q76" s="207">
        <v>12</v>
      </c>
      <c r="R76" s="199" t="str">
        <f t="shared" si="9"/>
        <v>II-0005.0012</v>
      </c>
      <c r="S76" s="192" t="str">
        <f t="shared" si="10"/>
        <v>RECTANGULAR - TIPO Z-959</v>
      </c>
    </row>
    <row r="77" spans="1:19" x14ac:dyDescent="0.2">
      <c r="A77" s="198">
        <v>13</v>
      </c>
      <c r="B77" s="199" t="s">
        <v>1137</v>
      </c>
      <c r="C77" s="200" t="s">
        <v>1138</v>
      </c>
      <c r="D77" s="215" t="s">
        <v>975</v>
      </c>
      <c r="G77" s="192"/>
      <c r="H77" s="209"/>
      <c r="I77" s="216"/>
      <c r="J77" s="217">
        <v>4</v>
      </c>
      <c r="K77" s="218"/>
      <c r="L77" s="219" t="s">
        <v>1139</v>
      </c>
      <c r="M77" s="218"/>
      <c r="N77" s="218"/>
      <c r="O77" s="235" t="s">
        <v>975</v>
      </c>
      <c r="P77" s="192"/>
      <c r="Q77" s="207">
        <v>13</v>
      </c>
      <c r="R77" s="199" t="str">
        <f t="shared" si="9"/>
        <v>II-0005.0013</v>
      </c>
      <c r="S77" s="192" t="str">
        <f t="shared" si="10"/>
        <v>RECTANGULAR - TIPO Z-2915-I</v>
      </c>
    </row>
    <row r="78" spans="1:19" x14ac:dyDescent="0.2">
      <c r="A78" s="198">
        <v>14</v>
      </c>
      <c r="B78" s="199" t="s">
        <v>1140</v>
      </c>
      <c r="C78" s="200" t="s">
        <v>1141</v>
      </c>
      <c r="D78" s="215" t="s">
        <v>975</v>
      </c>
      <c r="G78" s="192"/>
      <c r="H78" s="209"/>
      <c r="I78" s="216"/>
      <c r="J78" s="217">
        <v>5</v>
      </c>
      <c r="K78" s="218"/>
      <c r="L78" s="219" t="s">
        <v>1142</v>
      </c>
      <c r="M78" s="218"/>
      <c r="N78" s="218"/>
      <c r="O78" s="235" t="s">
        <v>975</v>
      </c>
      <c r="P78" s="192"/>
      <c r="Q78" s="207">
        <v>14</v>
      </c>
      <c r="R78" s="199" t="str">
        <f t="shared" si="9"/>
        <v>II-0005.0014</v>
      </c>
      <c r="S78" s="192" t="str">
        <f t="shared" si="10"/>
        <v>RECTANGULAR - TIPO Z-2916-I</v>
      </c>
    </row>
    <row r="79" spans="1:19" x14ac:dyDescent="0.2">
      <c r="A79" s="198">
        <v>15</v>
      </c>
      <c r="B79" s="199" t="s">
        <v>1143</v>
      </c>
      <c r="C79" s="200" t="s">
        <v>1144</v>
      </c>
      <c r="D79" s="215" t="s">
        <v>975</v>
      </c>
      <c r="G79" s="192"/>
      <c r="H79" s="209"/>
      <c r="I79" s="216"/>
      <c r="J79" s="217">
        <v>6</v>
      </c>
      <c r="K79" s="218"/>
      <c r="L79" s="219" t="s">
        <v>1145</v>
      </c>
      <c r="M79" s="218"/>
      <c r="N79" s="218"/>
      <c r="O79" s="235" t="s">
        <v>975</v>
      </c>
      <c r="P79" s="192"/>
      <c r="Q79" s="207">
        <v>15</v>
      </c>
      <c r="R79" s="199" t="str">
        <f t="shared" si="9"/>
        <v>II-0005.0015</v>
      </c>
      <c r="S79" s="192" t="str">
        <f t="shared" si="10"/>
        <v>RECTANGULAR - TIPO A-505</v>
      </c>
    </row>
    <row r="80" spans="1:19" x14ac:dyDescent="0.2">
      <c r="A80" s="198">
        <v>16</v>
      </c>
      <c r="B80" s="191" t="s">
        <v>1146</v>
      </c>
      <c r="C80" s="200" t="s">
        <v>1147</v>
      </c>
      <c r="D80" s="215" t="s">
        <v>975</v>
      </c>
      <c r="G80" s="192"/>
      <c r="H80" s="209"/>
      <c r="I80" s="216"/>
      <c r="J80" s="217">
        <v>7</v>
      </c>
      <c r="K80" s="218"/>
      <c r="L80" s="219" t="s">
        <v>1148</v>
      </c>
      <c r="M80" s="218"/>
      <c r="N80" s="218"/>
      <c r="O80" s="235" t="s">
        <v>975</v>
      </c>
      <c r="P80" s="192"/>
      <c r="Q80" s="207">
        <v>16</v>
      </c>
      <c r="R80" s="199" t="str">
        <f t="shared" si="9"/>
        <v>II-0005.0016</v>
      </c>
      <c r="S80" s="192" t="str">
        <f t="shared" si="10"/>
        <v>RECTANGULAR - TIPO A-660</v>
      </c>
    </row>
    <row r="81" spans="1:19" x14ac:dyDescent="0.2">
      <c r="A81" s="198">
        <v>17</v>
      </c>
      <c r="B81" s="191" t="s">
        <v>1149</v>
      </c>
      <c r="C81" s="200" t="s">
        <v>1150</v>
      </c>
      <c r="D81" s="215" t="s">
        <v>975</v>
      </c>
      <c r="G81" s="192"/>
      <c r="H81" s="209"/>
      <c r="I81" s="216"/>
      <c r="J81" s="217">
        <v>8</v>
      </c>
      <c r="K81" s="218"/>
      <c r="L81" s="219" t="s">
        <v>1151</v>
      </c>
      <c r="M81" s="218"/>
      <c r="N81" s="218"/>
      <c r="O81" s="235" t="s">
        <v>975</v>
      </c>
      <c r="P81" s="192"/>
      <c r="Q81" s="207">
        <v>17</v>
      </c>
      <c r="R81" s="199" t="str">
        <f t="shared" si="9"/>
        <v>II-0005.0017</v>
      </c>
      <c r="S81" s="192" t="str">
        <f t="shared" si="10"/>
        <v>RECTANGULAR - TIPO O-41211-MODIFICADA</v>
      </c>
    </row>
    <row r="82" spans="1:19" x14ac:dyDescent="0.2">
      <c r="A82" s="198">
        <v>18</v>
      </c>
      <c r="B82" s="221" t="s">
        <v>1152</v>
      </c>
      <c r="C82" s="222" t="s">
        <v>1153</v>
      </c>
      <c r="D82" s="215" t="s">
        <v>975</v>
      </c>
      <c r="G82" s="192"/>
      <c r="H82" s="209"/>
      <c r="I82" s="216"/>
      <c r="J82" s="217">
        <v>9</v>
      </c>
      <c r="K82" s="218"/>
      <c r="L82" s="219" t="s">
        <v>1154</v>
      </c>
      <c r="M82" s="218"/>
      <c r="N82" s="218"/>
      <c r="O82" s="235" t="s">
        <v>975</v>
      </c>
      <c r="P82" s="192"/>
      <c r="Q82" s="207">
        <v>18</v>
      </c>
      <c r="R82" s="199" t="str">
        <f t="shared" si="9"/>
        <v>II-0005.0018</v>
      </c>
      <c r="S82" s="192" t="str">
        <f t="shared" si="10"/>
        <v>RECTANGULAR - TIPO X-1113</v>
      </c>
    </row>
    <row r="83" spans="1:19" x14ac:dyDescent="0.2">
      <c r="A83" s="198">
        <v>19</v>
      </c>
      <c r="B83" s="199" t="s">
        <v>1155</v>
      </c>
      <c r="C83" s="200" t="s">
        <v>1156</v>
      </c>
      <c r="D83" s="215" t="s">
        <v>975</v>
      </c>
      <c r="G83" s="192"/>
      <c r="H83" s="209"/>
      <c r="I83" s="216"/>
      <c r="J83" s="217">
        <v>10</v>
      </c>
      <c r="K83" s="218"/>
      <c r="L83" s="219" t="s">
        <v>1157</v>
      </c>
      <c r="M83" s="218"/>
      <c r="N83" s="218"/>
      <c r="O83" s="235" t="s">
        <v>975</v>
      </c>
      <c r="P83" s="192"/>
      <c r="Q83" s="207">
        <v>19</v>
      </c>
      <c r="R83" s="199" t="str">
        <f t="shared" si="9"/>
        <v>II-0005.0019</v>
      </c>
      <c r="S83" s="192" t="str">
        <f t="shared" si="10"/>
        <v>RECTANGULAR - TIPO 0-52229</v>
      </c>
    </row>
    <row r="84" spans="1:19" x14ac:dyDescent="0.2">
      <c r="A84" s="198">
        <v>20</v>
      </c>
      <c r="B84" s="199" t="s">
        <v>1158</v>
      </c>
      <c r="C84" s="200" t="s">
        <v>1159</v>
      </c>
      <c r="D84" s="215" t="s">
        <v>975</v>
      </c>
      <c r="G84" s="192"/>
      <c r="H84" s="209"/>
      <c r="I84" s="216"/>
      <c r="J84" s="217">
        <v>11</v>
      </c>
      <c r="K84" s="218"/>
      <c r="L84" s="219" t="s">
        <v>1160</v>
      </c>
      <c r="M84" s="218"/>
      <c r="N84" s="218"/>
      <c r="O84" s="235" t="s">
        <v>975</v>
      </c>
      <c r="P84" s="192"/>
      <c r="Q84" s="207">
        <v>20</v>
      </c>
      <c r="R84" s="199" t="str">
        <f t="shared" si="9"/>
        <v>II-0005.0020</v>
      </c>
      <c r="S84" s="192" t="str">
        <f t="shared" si="10"/>
        <v>RECTANGULAR - TIPO 0-52233</v>
      </c>
    </row>
    <row r="85" spans="1:19" x14ac:dyDescent="0.2">
      <c r="A85" s="198">
        <v>21</v>
      </c>
      <c r="B85" s="191" t="s">
        <v>1161</v>
      </c>
      <c r="C85" s="200" t="s">
        <v>1162</v>
      </c>
      <c r="D85" s="215" t="s">
        <v>975</v>
      </c>
      <c r="G85" s="192"/>
      <c r="H85" s="209"/>
      <c r="I85" s="228"/>
      <c r="J85" s="223">
        <v>12</v>
      </c>
      <c r="K85" s="218"/>
      <c r="L85" s="225" t="s">
        <v>1163</v>
      </c>
      <c r="M85" s="224"/>
      <c r="N85" s="224"/>
      <c r="O85" s="255" t="s">
        <v>975</v>
      </c>
      <c r="P85" s="192"/>
      <c r="Q85" s="207">
        <v>21</v>
      </c>
      <c r="R85" s="199" t="str">
        <f t="shared" si="9"/>
        <v>II-0005.0021</v>
      </c>
      <c r="S85" s="192" t="str">
        <f t="shared" si="10"/>
        <v>RECTANGULAR - TIPO 0-52241</v>
      </c>
    </row>
    <row r="86" spans="1:19" x14ac:dyDescent="0.2">
      <c r="A86" s="198">
        <v>30</v>
      </c>
      <c r="B86" s="191" t="s">
        <v>1164</v>
      </c>
      <c r="C86" s="200" t="s">
        <v>1106</v>
      </c>
      <c r="D86" s="215" t="s">
        <v>975</v>
      </c>
      <c r="G86" s="192"/>
      <c r="H86" s="209"/>
      <c r="I86" s="210" t="s">
        <v>1036</v>
      </c>
      <c r="J86" s="228"/>
      <c r="K86" s="278" t="s">
        <v>1106</v>
      </c>
      <c r="L86" s="225"/>
      <c r="M86" s="224"/>
      <c r="N86" s="224"/>
      <c r="O86" s="255" t="s">
        <v>975</v>
      </c>
      <c r="P86" s="192"/>
      <c r="Q86" s="207">
        <v>30</v>
      </c>
      <c r="R86" s="199" t="str">
        <f t="shared" si="9"/>
        <v>II-0005.0030</v>
      </c>
      <c r="S86" s="192" t="str">
        <f>CONCATENATE(K86)</f>
        <v>COLOCACION</v>
      </c>
    </row>
    <row r="87" spans="1:19" x14ac:dyDescent="0.2">
      <c r="A87" s="198">
        <v>31</v>
      </c>
      <c r="B87" s="221" t="s">
        <v>1165</v>
      </c>
      <c r="C87" s="222" t="s">
        <v>1103</v>
      </c>
      <c r="D87" s="215" t="s">
        <v>975</v>
      </c>
      <c r="G87" s="192"/>
      <c r="H87" s="209"/>
      <c r="I87" s="223" t="s">
        <v>1062</v>
      </c>
      <c r="J87" s="228"/>
      <c r="K87" s="219" t="s">
        <v>1103</v>
      </c>
      <c r="L87" s="225"/>
      <c r="M87" s="224"/>
      <c r="N87" s="224"/>
      <c r="O87" s="255" t="s">
        <v>975</v>
      </c>
      <c r="P87" s="192"/>
      <c r="Q87" s="207">
        <v>31</v>
      </c>
      <c r="R87" s="199" t="str">
        <f t="shared" si="9"/>
        <v>II-0005.0031</v>
      </c>
      <c r="S87" s="192" t="str">
        <f t="shared" ref="S87:S90" si="11">CONCATENATE(K87)</f>
        <v>PINTURA</v>
      </c>
    </row>
    <row r="88" spans="1:19" x14ac:dyDescent="0.2">
      <c r="A88" s="198">
        <v>32</v>
      </c>
      <c r="B88" s="199" t="s">
        <v>1166</v>
      </c>
      <c r="C88" s="200" t="s">
        <v>1167</v>
      </c>
      <c r="D88" s="284" t="s">
        <v>1110</v>
      </c>
      <c r="G88" s="192"/>
      <c r="H88" s="209"/>
      <c r="I88" s="223" t="s">
        <v>1104</v>
      </c>
      <c r="J88" s="228"/>
      <c r="K88" s="278" t="s">
        <v>1167</v>
      </c>
      <c r="L88" s="225"/>
      <c r="M88" s="224"/>
      <c r="N88" s="224"/>
      <c r="O88" s="285" t="s">
        <v>1110</v>
      </c>
      <c r="P88" s="192"/>
      <c r="Q88" s="207">
        <v>32</v>
      </c>
      <c r="R88" s="199" t="str">
        <f t="shared" si="9"/>
        <v>II-0005.0032</v>
      </c>
      <c r="S88" s="192" t="str">
        <f t="shared" si="11"/>
        <v>RELLENO SOCAVACION</v>
      </c>
    </row>
    <row r="89" spans="1:19" x14ac:dyDescent="0.2">
      <c r="A89" s="198">
        <v>33</v>
      </c>
      <c r="B89" s="199" t="s">
        <v>1168</v>
      </c>
      <c r="C89" s="200" t="s">
        <v>1113</v>
      </c>
      <c r="D89" s="215" t="s">
        <v>975</v>
      </c>
      <c r="G89" s="192"/>
      <c r="H89" s="209"/>
      <c r="I89" s="210" t="s">
        <v>1107</v>
      </c>
      <c r="J89" s="257"/>
      <c r="K89" s="278" t="s">
        <v>1113</v>
      </c>
      <c r="L89" s="257"/>
      <c r="M89" s="257"/>
      <c r="N89" s="257"/>
      <c r="O89" s="258" t="s">
        <v>975</v>
      </c>
      <c r="P89" s="192"/>
      <c r="Q89" s="207">
        <v>33</v>
      </c>
      <c r="R89" s="199" t="str">
        <f t="shared" si="9"/>
        <v>II-0005.0033</v>
      </c>
      <c r="S89" s="192" t="str">
        <f t="shared" si="11"/>
        <v>REPARACION</v>
      </c>
    </row>
    <row r="90" spans="1:19" ht="15.75" thickBot="1" x14ac:dyDescent="0.25">
      <c r="A90" s="198">
        <v>34</v>
      </c>
      <c r="B90" s="199" t="s">
        <v>1169</v>
      </c>
      <c r="C90" s="200" t="s">
        <v>1118</v>
      </c>
      <c r="D90" s="215" t="s">
        <v>975</v>
      </c>
      <c r="G90" s="192"/>
      <c r="H90" s="229"/>
      <c r="I90" s="241" t="s">
        <v>1111</v>
      </c>
      <c r="J90" s="232"/>
      <c r="K90" s="233" t="s">
        <v>1118</v>
      </c>
      <c r="L90" s="232"/>
      <c r="M90" s="232"/>
      <c r="N90" s="232"/>
      <c r="O90" s="286" t="s">
        <v>975</v>
      </c>
      <c r="P90" s="192"/>
      <c r="Q90" s="207">
        <v>34</v>
      </c>
      <c r="R90" s="199" t="str">
        <f t="shared" si="9"/>
        <v>II-0005.0034</v>
      </c>
      <c r="S90" s="192" t="str">
        <f t="shared" si="11"/>
        <v xml:space="preserve">RETIRO </v>
      </c>
    </row>
    <row r="91" spans="1:19" ht="16.5" thickTop="1" thickBot="1" x14ac:dyDescent="0.25">
      <c r="A91" s="198"/>
      <c r="B91" s="199"/>
      <c r="C91" s="200"/>
      <c r="D91" s="215"/>
      <c r="G91" s="192"/>
      <c r="H91" s="209"/>
      <c r="I91" s="216"/>
      <c r="J91" s="218"/>
      <c r="K91" s="219"/>
      <c r="L91" s="218"/>
      <c r="M91" s="218"/>
      <c r="N91" s="218"/>
      <c r="O91" s="235"/>
      <c r="P91" s="192"/>
      <c r="Q91" s="207"/>
      <c r="R91" s="199"/>
      <c r="S91" s="192"/>
    </row>
    <row r="92" spans="1:19" ht="15.75" thickTop="1" x14ac:dyDescent="0.2">
      <c r="A92" s="198">
        <v>6</v>
      </c>
      <c r="B92" s="199" t="s">
        <v>1170</v>
      </c>
      <c r="C92" s="200" t="s">
        <v>1171</v>
      </c>
      <c r="D92" s="215"/>
      <c r="G92" s="192"/>
      <c r="H92" s="287">
        <v>6</v>
      </c>
      <c r="I92" s="288"/>
      <c r="J92" s="289"/>
      <c r="K92" s="290" t="s">
        <v>1171</v>
      </c>
      <c r="L92" s="289"/>
      <c r="M92" s="289"/>
      <c r="N92" s="289"/>
      <c r="O92" s="291"/>
      <c r="P92" s="192"/>
      <c r="Q92" s="207">
        <f>H92</f>
        <v>6</v>
      </c>
      <c r="R92" s="197" t="str">
        <f>CONCATENATE("II-",TEXT(Q92,"0000"))</f>
        <v>II-0006</v>
      </c>
      <c r="S92" s="208" t="str">
        <f>K92</f>
        <v>APERTURA DE CAJA P/ ENSANCHE</v>
      </c>
    </row>
    <row r="93" spans="1:19" x14ac:dyDescent="0.2">
      <c r="A93" s="198">
        <v>1</v>
      </c>
      <c r="B93" s="199" t="s">
        <v>1172</v>
      </c>
      <c r="C93" s="200" t="s">
        <v>1068</v>
      </c>
      <c r="D93" s="215" t="s">
        <v>1110</v>
      </c>
      <c r="G93" s="271"/>
      <c r="H93" s="209"/>
      <c r="I93" s="210" t="s">
        <v>999</v>
      </c>
      <c r="J93" s="257"/>
      <c r="K93" s="278" t="s">
        <v>1068</v>
      </c>
      <c r="L93" s="257"/>
      <c r="M93" s="257"/>
      <c r="N93" s="257"/>
      <c r="O93" s="292" t="s">
        <v>1110</v>
      </c>
      <c r="P93" s="271"/>
      <c r="Q93" s="207">
        <v>1</v>
      </c>
      <c r="R93" s="199" t="str">
        <f>CONCATENATE($R$92,".",TEXT(Q93,"0000"))</f>
        <v>II-0006.0001</v>
      </c>
      <c r="S93" s="192" t="str">
        <f>CONCATENATE(K93)</f>
        <v>RETIRO</v>
      </c>
    </row>
    <row r="94" spans="1:19" ht="15.75" thickBot="1" x14ac:dyDescent="0.25">
      <c r="A94" s="198">
        <v>2</v>
      </c>
      <c r="B94" s="199" t="s">
        <v>1173</v>
      </c>
      <c r="C94" s="200" t="s">
        <v>1174</v>
      </c>
      <c r="D94" s="215" t="s">
        <v>1110</v>
      </c>
      <c r="G94" s="271"/>
      <c r="H94" s="293"/>
      <c r="I94" s="294" t="s">
        <v>1026</v>
      </c>
      <c r="J94" s="295"/>
      <c r="K94" s="296" t="s">
        <v>1174</v>
      </c>
      <c r="L94" s="295"/>
      <c r="M94" s="295"/>
      <c r="N94" s="295"/>
      <c r="O94" s="282" t="s">
        <v>1110</v>
      </c>
      <c r="P94" s="271"/>
      <c r="Q94" s="207">
        <v>2</v>
      </c>
      <c r="R94" s="199" t="str">
        <f>CONCATENATE($R$92,".",TEXT(Q94,"0000"))</f>
        <v>II-0006.0002</v>
      </c>
      <c r="S94" s="192" t="str">
        <f>CONCATENATE(K94)</f>
        <v>RETIRO Y COLOCACION</v>
      </c>
    </row>
    <row r="95" spans="1:19" ht="16.5" thickTop="1" thickBot="1" x14ac:dyDescent="0.25">
      <c r="A95" s="198"/>
      <c r="B95" s="191"/>
      <c r="C95" s="200"/>
      <c r="D95" s="215"/>
      <c r="G95" s="271"/>
      <c r="H95" s="293"/>
      <c r="I95" s="215"/>
      <c r="J95" s="295"/>
      <c r="K95" s="296"/>
      <c r="L95" s="295"/>
      <c r="M95" s="295"/>
      <c r="N95" s="295"/>
      <c r="O95" s="282"/>
      <c r="P95" s="271"/>
      <c r="Q95" s="207"/>
      <c r="R95" s="199"/>
      <c r="S95" s="192"/>
    </row>
    <row r="96" spans="1:19" ht="15.75" thickTop="1" x14ac:dyDescent="0.2">
      <c r="A96" s="198">
        <v>7</v>
      </c>
      <c r="B96" s="191" t="s">
        <v>1175</v>
      </c>
      <c r="C96" s="200" t="s">
        <v>1176</v>
      </c>
      <c r="D96" s="215"/>
      <c r="G96" s="192"/>
      <c r="H96" s="287">
        <v>7</v>
      </c>
      <c r="I96" s="237"/>
      <c r="J96" s="297"/>
      <c r="K96" s="298" t="s">
        <v>1176</v>
      </c>
      <c r="L96" s="297"/>
      <c r="M96" s="297"/>
      <c r="N96" s="297"/>
      <c r="O96" s="239"/>
      <c r="P96" s="192"/>
      <c r="Q96" s="207">
        <f>H96</f>
        <v>7</v>
      </c>
      <c r="R96" s="197" t="str">
        <f>CONCATENATE("II-",TEXT(Q96,"0000"))</f>
        <v>II-0007</v>
      </c>
      <c r="S96" s="208" t="str">
        <f>K96</f>
        <v>APOYO DE POLICLOROPENO SHARE 60</v>
      </c>
    </row>
    <row r="97" spans="1:19" x14ac:dyDescent="0.2">
      <c r="A97" s="198">
        <v>1</v>
      </c>
      <c r="B97" s="221" t="s">
        <v>1177</v>
      </c>
      <c r="C97" s="222" t="s">
        <v>1116</v>
      </c>
      <c r="D97" s="215" t="s">
        <v>1178</v>
      </c>
      <c r="G97" s="192"/>
      <c r="H97" s="209"/>
      <c r="I97" s="210" t="s">
        <v>999</v>
      </c>
      <c r="J97" s="257"/>
      <c r="K97" s="278" t="s">
        <v>1116</v>
      </c>
      <c r="L97" s="257"/>
      <c r="M97" s="257"/>
      <c r="N97" s="257"/>
      <c r="O97" s="258" t="s">
        <v>1178</v>
      </c>
      <c r="P97" s="192"/>
      <c r="Q97" s="207">
        <v>1</v>
      </c>
      <c r="R97" s="199" t="str">
        <f>CONCATENATE($R$96,".",TEXT(Q97,"0000"))</f>
        <v>II-0007.0001</v>
      </c>
      <c r="S97" s="192" t="str">
        <f>CONCATENATE(K97)</f>
        <v>RETIRO Y RECOLOCACION</v>
      </c>
    </row>
    <row r="98" spans="1:19" ht="15.75" thickBot="1" x14ac:dyDescent="0.25">
      <c r="A98" s="198">
        <v>2</v>
      </c>
      <c r="B98" s="199" t="s">
        <v>1179</v>
      </c>
      <c r="C98" s="200" t="s">
        <v>1113</v>
      </c>
      <c r="D98" s="215" t="s">
        <v>1178</v>
      </c>
      <c r="G98" s="192"/>
      <c r="H98" s="209"/>
      <c r="I98" s="231" t="s">
        <v>1026</v>
      </c>
      <c r="J98" s="218"/>
      <c r="K98" s="219" t="s">
        <v>1113</v>
      </c>
      <c r="L98" s="218"/>
      <c r="M98" s="218"/>
      <c r="N98" s="218"/>
      <c r="O98" s="286" t="s">
        <v>1178</v>
      </c>
      <c r="P98" s="192"/>
      <c r="Q98" s="207">
        <v>2</v>
      </c>
      <c r="R98" s="199" t="str">
        <f>CONCATENATE($R$96,".",TEXT(Q98,"0000"))</f>
        <v>II-0007.0002</v>
      </c>
      <c r="S98" s="192" t="str">
        <f>CONCATENATE(K98)</f>
        <v>REPARACION</v>
      </c>
    </row>
    <row r="99" spans="1:19" ht="16.5" thickTop="1" thickBot="1" x14ac:dyDescent="0.25">
      <c r="A99" s="198"/>
      <c r="B99" s="199"/>
      <c r="C99" s="200"/>
      <c r="D99" s="215"/>
      <c r="G99" s="192"/>
      <c r="H99" s="209"/>
      <c r="I99" s="216"/>
      <c r="J99" s="218"/>
      <c r="K99" s="219"/>
      <c r="L99" s="218"/>
      <c r="M99" s="218"/>
      <c r="N99" s="218"/>
      <c r="O99" s="235"/>
      <c r="P99" s="192"/>
      <c r="Q99" s="207"/>
      <c r="R99" s="199"/>
      <c r="S99" s="192"/>
    </row>
    <row r="100" spans="1:19" ht="16.5" thickTop="1" thickBot="1" x14ac:dyDescent="0.25">
      <c r="A100" s="198">
        <v>8</v>
      </c>
      <c r="B100" s="199" t="s">
        <v>1180</v>
      </c>
      <c r="C100" s="200" t="s">
        <v>1181</v>
      </c>
      <c r="D100" s="215" t="s">
        <v>1110</v>
      </c>
      <c r="G100" s="192"/>
      <c r="H100" s="299">
        <v>8</v>
      </c>
      <c r="I100" s="300"/>
      <c r="J100" s="301"/>
      <c r="K100" s="302" t="s">
        <v>1181</v>
      </c>
      <c r="L100" s="301"/>
      <c r="M100" s="301"/>
      <c r="N100" s="301"/>
      <c r="O100" s="303" t="s">
        <v>1110</v>
      </c>
      <c r="P100" s="192"/>
      <c r="Q100" s="207">
        <f>H100</f>
        <v>8</v>
      </c>
      <c r="R100" s="197" t="str">
        <f>CONCATENATE("II-",TEXT(Q100,"0000"))</f>
        <v>II-0008</v>
      </c>
      <c r="S100" s="208" t="str">
        <f>K100</f>
        <v>ARIDOS</v>
      </c>
    </row>
    <row r="101" spans="1:19" x14ac:dyDescent="0.2">
      <c r="A101" s="198"/>
      <c r="B101" s="199"/>
      <c r="C101" s="200"/>
      <c r="D101" s="215"/>
      <c r="G101" s="295"/>
      <c r="H101" s="304"/>
      <c r="I101" s="215"/>
      <c r="J101" s="295"/>
      <c r="K101" s="296"/>
      <c r="L101" s="295"/>
      <c r="M101" s="295"/>
      <c r="N101" s="295"/>
      <c r="O101" s="305"/>
      <c r="P101" s="295"/>
      <c r="Q101" s="295"/>
      <c r="R101" s="295"/>
      <c r="S101" s="295"/>
    </row>
    <row r="102" spans="1:19" x14ac:dyDescent="0.2">
      <c r="A102" s="198"/>
      <c r="B102" s="199"/>
      <c r="C102" s="200"/>
      <c r="D102" s="215"/>
      <c r="G102" s="295"/>
      <c r="H102" s="304"/>
      <c r="I102" s="215"/>
      <c r="J102" s="295"/>
      <c r="K102" s="296"/>
      <c r="L102" s="295"/>
      <c r="M102" s="295"/>
      <c r="N102" s="295"/>
      <c r="O102" s="305"/>
      <c r="P102" s="295"/>
      <c r="Q102" s="295"/>
      <c r="R102" s="295"/>
      <c r="S102" s="295"/>
    </row>
    <row r="103" spans="1:19" x14ac:dyDescent="0.2">
      <c r="A103" s="198"/>
      <c r="B103" s="191"/>
      <c r="C103" s="200"/>
      <c r="D103" s="215"/>
      <c r="G103" s="295"/>
      <c r="H103" s="304"/>
      <c r="I103" s="215"/>
      <c r="J103" s="295"/>
      <c r="K103" s="296"/>
      <c r="L103" s="295"/>
      <c r="M103" s="295"/>
      <c r="N103" s="295"/>
      <c r="O103" s="305"/>
      <c r="P103" s="295"/>
      <c r="Q103" s="295"/>
      <c r="R103" s="295"/>
      <c r="S103" s="295"/>
    </row>
    <row r="104" spans="1:19" x14ac:dyDescent="0.2">
      <c r="A104" s="198">
        <v>9</v>
      </c>
      <c r="B104" s="191" t="s">
        <v>1182</v>
      </c>
      <c r="C104" s="200" t="s">
        <v>1183</v>
      </c>
      <c r="D104" s="215"/>
      <c r="G104" s="192"/>
      <c r="H104" s="236">
        <v>9</v>
      </c>
      <c r="I104" s="238"/>
      <c r="J104" s="249"/>
      <c r="K104" s="306" t="s">
        <v>1183</v>
      </c>
      <c r="L104" s="249"/>
      <c r="M104" s="249"/>
      <c r="N104" s="249"/>
      <c r="O104" s="260"/>
      <c r="P104" s="192"/>
      <c r="Q104" s="207">
        <f>H104</f>
        <v>9</v>
      </c>
      <c r="R104" s="197" t="str">
        <f>CONCATENATE("II-",TEXT(Q104,"0000"))</f>
        <v>II-0009</v>
      </c>
      <c r="S104" s="208" t="str">
        <f>K104</f>
        <v>BACHEO DE PAVIMENTO ASFALTICO</v>
      </c>
    </row>
    <row r="105" spans="1:19" x14ac:dyDescent="0.2">
      <c r="A105" s="198"/>
      <c r="B105" s="221"/>
      <c r="C105" s="222"/>
      <c r="D105" s="215"/>
      <c r="G105" s="271"/>
      <c r="H105" s="293"/>
      <c r="I105" s="210" t="s">
        <v>999</v>
      </c>
      <c r="J105" s="218"/>
      <c r="K105" s="296" t="s">
        <v>1184</v>
      </c>
      <c r="L105" s="218"/>
      <c r="M105" s="218"/>
      <c r="N105" s="218"/>
      <c r="O105" s="251"/>
      <c r="P105" s="271"/>
      <c r="Q105" s="271"/>
      <c r="R105" s="271"/>
      <c r="S105" s="271"/>
    </row>
    <row r="106" spans="1:19" x14ac:dyDescent="0.2">
      <c r="A106" s="198">
        <v>1</v>
      </c>
      <c r="B106" s="199" t="s">
        <v>1185</v>
      </c>
      <c r="C106" s="200" t="s">
        <v>1186</v>
      </c>
      <c r="D106" s="215" t="s">
        <v>1110</v>
      </c>
      <c r="G106" s="271"/>
      <c r="H106" s="293"/>
      <c r="I106" s="215"/>
      <c r="J106" s="307">
        <v>1</v>
      </c>
      <c r="K106" s="296"/>
      <c r="L106" s="296" t="s">
        <v>1187</v>
      </c>
      <c r="M106" s="295"/>
      <c r="N106" s="295"/>
      <c r="O106" s="251" t="s">
        <v>1110</v>
      </c>
      <c r="P106" s="271"/>
      <c r="Q106" s="207">
        <v>1</v>
      </c>
      <c r="R106" s="199" t="str">
        <f>CONCATENATE($R$104,".",TEXT(Q106,"0000"))</f>
        <v>II-0009.0001</v>
      </c>
      <c r="S106" s="192" t="str">
        <f>CONCATENATE($K$105," CON ",L106)</f>
        <v>PROFUNDO CON MATERIAL PETREO Y SUELO</v>
      </c>
    </row>
    <row r="107" spans="1:19" x14ac:dyDescent="0.2">
      <c r="A107" s="198">
        <v>2</v>
      </c>
      <c r="B107" s="199" t="s">
        <v>1188</v>
      </c>
      <c r="C107" s="200" t="s">
        <v>1189</v>
      </c>
      <c r="D107" s="215" t="s">
        <v>1110</v>
      </c>
      <c r="G107" s="271"/>
      <c r="H107" s="293"/>
      <c r="I107" s="215"/>
      <c r="J107" s="307">
        <v>2</v>
      </c>
      <c r="K107" s="296"/>
      <c r="L107" s="296" t="s">
        <v>1190</v>
      </c>
      <c r="M107" s="295"/>
      <c r="N107" s="295"/>
      <c r="O107" s="251" t="s">
        <v>1110</v>
      </c>
      <c r="P107" s="271"/>
      <c r="Q107" s="207">
        <v>2</v>
      </c>
      <c r="R107" s="199" t="str">
        <f t="shared" ref="R107:R111" si="12">CONCATENATE($R$104,".",TEXT(Q107,"0000"))</f>
        <v>II-0009.0002</v>
      </c>
      <c r="S107" s="192" t="str">
        <f t="shared" ref="S107:S111" si="13">CONCATENATE($K$105," CON ",L107)</f>
        <v>PROFUNDO CON MEZCLA ASFALTICA</v>
      </c>
    </row>
    <row r="108" spans="1:19" x14ac:dyDescent="0.2">
      <c r="A108" s="198">
        <v>3</v>
      </c>
      <c r="B108" s="199" t="s">
        <v>1191</v>
      </c>
      <c r="C108" s="200" t="s">
        <v>1192</v>
      </c>
      <c r="D108" s="215" t="s">
        <v>1193</v>
      </c>
      <c r="G108" s="271"/>
      <c r="H108" s="293"/>
      <c r="I108" s="215"/>
      <c r="J108" s="307">
        <v>3</v>
      </c>
      <c r="K108" s="296"/>
      <c r="L108" s="296" t="s">
        <v>1194</v>
      </c>
      <c r="M108" s="295"/>
      <c r="N108" s="295"/>
      <c r="O108" s="251" t="s">
        <v>1193</v>
      </c>
      <c r="P108" s="271"/>
      <c r="Q108" s="207">
        <v>3</v>
      </c>
      <c r="R108" s="199" t="str">
        <f t="shared" si="12"/>
        <v>II-0009.0003</v>
      </c>
      <c r="S108" s="192" t="str">
        <f t="shared" si="13"/>
        <v>PROFUNDO CON SUELO CAL</v>
      </c>
    </row>
    <row r="109" spans="1:19" x14ac:dyDescent="0.2">
      <c r="A109" s="198">
        <v>4</v>
      </c>
      <c r="B109" s="199" t="s">
        <v>1195</v>
      </c>
      <c r="C109" s="200" t="s">
        <v>1196</v>
      </c>
      <c r="D109" s="215" t="s">
        <v>1193</v>
      </c>
      <c r="G109" s="271"/>
      <c r="H109" s="293"/>
      <c r="I109" s="215"/>
      <c r="J109" s="307">
        <v>4</v>
      </c>
      <c r="K109" s="296"/>
      <c r="L109" s="296" t="s">
        <v>1197</v>
      </c>
      <c r="M109" s="295"/>
      <c r="N109" s="295"/>
      <c r="O109" s="251" t="s">
        <v>1193</v>
      </c>
      <c r="P109" s="271"/>
      <c r="Q109" s="207">
        <v>4</v>
      </c>
      <c r="R109" s="199" t="str">
        <f t="shared" si="12"/>
        <v>II-0009.0004</v>
      </c>
      <c r="S109" s="192" t="str">
        <f t="shared" si="13"/>
        <v>PROFUNDO CON SUELO CEMENTO</v>
      </c>
    </row>
    <row r="110" spans="1:19" x14ac:dyDescent="0.2">
      <c r="A110" s="198">
        <v>5</v>
      </c>
      <c r="B110" s="199" t="s">
        <v>1198</v>
      </c>
      <c r="C110" s="200" t="s">
        <v>1199</v>
      </c>
      <c r="D110" s="215" t="s">
        <v>1193</v>
      </c>
      <c r="G110" s="271"/>
      <c r="H110" s="293"/>
      <c r="I110" s="215"/>
      <c r="J110" s="307">
        <v>5</v>
      </c>
      <c r="K110" s="296"/>
      <c r="L110" s="296" t="s">
        <v>1200</v>
      </c>
      <c r="M110" s="295"/>
      <c r="N110" s="295"/>
      <c r="O110" s="251" t="s">
        <v>1193</v>
      </c>
      <c r="P110" s="271"/>
      <c r="Q110" s="207">
        <v>5</v>
      </c>
      <c r="R110" s="199" t="str">
        <f t="shared" si="12"/>
        <v>II-0009.0005</v>
      </c>
      <c r="S110" s="192" t="str">
        <f t="shared" si="13"/>
        <v>PROFUNDO CON SUELO SELECCIONADO</v>
      </c>
    </row>
    <row r="111" spans="1:19" x14ac:dyDescent="0.2">
      <c r="A111" s="198">
        <v>6</v>
      </c>
      <c r="B111" s="199" t="s">
        <v>1201</v>
      </c>
      <c r="C111" s="200" t="s">
        <v>1202</v>
      </c>
      <c r="D111" s="215" t="s">
        <v>1193</v>
      </c>
      <c r="G111" s="271"/>
      <c r="H111" s="293"/>
      <c r="I111" s="273"/>
      <c r="J111" s="308">
        <v>6</v>
      </c>
      <c r="K111" s="309"/>
      <c r="L111" s="309" t="s">
        <v>1203</v>
      </c>
      <c r="M111" s="310"/>
      <c r="N111" s="310"/>
      <c r="O111" s="270" t="s">
        <v>1193</v>
      </c>
      <c r="P111" s="271"/>
      <c r="Q111" s="207">
        <v>6</v>
      </c>
      <c r="R111" s="199" t="str">
        <f t="shared" si="12"/>
        <v>II-0009.0006</v>
      </c>
      <c r="S111" s="192" t="str">
        <f t="shared" si="13"/>
        <v>PROFUNDO CON SUELO TRATADO C / CAL</v>
      </c>
    </row>
    <row r="112" spans="1:19" x14ac:dyDescent="0.2">
      <c r="A112" s="198"/>
      <c r="B112" s="200"/>
      <c r="C112" s="200"/>
      <c r="D112" s="215"/>
      <c r="G112" s="271"/>
      <c r="H112" s="293"/>
      <c r="I112" s="311" t="s">
        <v>1026</v>
      </c>
      <c r="J112" s="295"/>
      <c r="K112" s="296" t="s">
        <v>1204</v>
      </c>
      <c r="L112" s="295"/>
      <c r="M112" s="295"/>
      <c r="N112" s="295"/>
      <c r="O112" s="282"/>
      <c r="P112" s="271"/>
      <c r="Q112" s="271"/>
      <c r="R112" s="271"/>
      <c r="S112" s="271"/>
    </row>
    <row r="113" spans="1:19" ht="15.75" thickBot="1" x14ac:dyDescent="0.25">
      <c r="A113" s="198">
        <v>10</v>
      </c>
      <c r="B113" s="191" t="s">
        <v>1205</v>
      </c>
      <c r="C113" s="200" t="s">
        <v>1206</v>
      </c>
      <c r="D113" s="215" t="s">
        <v>1110</v>
      </c>
      <c r="G113" s="271"/>
      <c r="H113" s="312"/>
      <c r="I113" s="313"/>
      <c r="J113" s="314">
        <v>2</v>
      </c>
      <c r="K113" s="315"/>
      <c r="L113" s="315" t="s">
        <v>1190</v>
      </c>
      <c r="M113" s="316"/>
      <c r="N113" s="316"/>
      <c r="O113" s="317" t="s">
        <v>1110</v>
      </c>
      <c r="P113" s="271"/>
      <c r="Q113" s="207">
        <v>10</v>
      </c>
      <c r="R113" s="199" t="str">
        <f>CONCATENATE($R$104,".",TEXT(Q113,"0000"))</f>
        <v>II-0009.0010</v>
      </c>
      <c r="S113" s="192" t="str">
        <f>CONCATENATE($K$112," CON ",L113)</f>
        <v>SUPERFICIAL CON MEZCLA ASFALTICA</v>
      </c>
    </row>
    <row r="114" spans="1:19" ht="15.75" thickTop="1" x14ac:dyDescent="0.2">
      <c r="A114" s="198"/>
      <c r="B114" s="221"/>
      <c r="C114" s="222"/>
      <c r="D114" s="215"/>
      <c r="G114" s="271"/>
      <c r="H114" s="293"/>
      <c r="I114" s="215"/>
      <c r="J114" s="215"/>
      <c r="K114" s="296"/>
      <c r="L114" s="296"/>
      <c r="M114" s="295"/>
      <c r="N114" s="295"/>
      <c r="O114" s="251"/>
      <c r="P114" s="271"/>
      <c r="Q114" s="207"/>
      <c r="R114" s="199"/>
      <c r="S114" s="192"/>
    </row>
    <row r="115" spans="1:19" x14ac:dyDescent="0.2">
      <c r="A115" s="198">
        <v>10</v>
      </c>
      <c r="B115" s="199" t="s">
        <v>1207</v>
      </c>
      <c r="C115" s="200" t="s">
        <v>1208</v>
      </c>
      <c r="D115" s="215"/>
      <c r="G115" s="192"/>
      <c r="H115" s="236">
        <v>10</v>
      </c>
      <c r="I115" s="238"/>
      <c r="J115" s="249"/>
      <c r="K115" s="306" t="s">
        <v>1208</v>
      </c>
      <c r="L115" s="249"/>
      <c r="M115" s="249"/>
      <c r="N115" s="249"/>
      <c r="O115" s="260"/>
      <c r="P115" s="192"/>
      <c r="Q115" s="207">
        <f>H115</f>
        <v>10</v>
      </c>
      <c r="R115" s="197" t="str">
        <f>CONCATENATE("II-",TEXT(Q115,"0000"))</f>
        <v>II-0010</v>
      </c>
      <c r="S115" s="208" t="str">
        <f>K115</f>
        <v>BADEN</v>
      </c>
    </row>
    <row r="116" spans="1:19" x14ac:dyDescent="0.2">
      <c r="A116" s="198"/>
      <c r="B116" s="199"/>
      <c r="C116" s="200"/>
      <c r="D116" s="215"/>
      <c r="G116" s="192"/>
      <c r="H116" s="209"/>
      <c r="I116" s="210" t="s">
        <v>999</v>
      </c>
      <c r="J116" s="218"/>
      <c r="K116" s="219" t="s">
        <v>1209</v>
      </c>
      <c r="L116" s="218"/>
      <c r="M116" s="218"/>
      <c r="N116" s="218"/>
      <c r="O116" s="251"/>
      <c r="P116" s="192"/>
      <c r="Q116" s="192"/>
      <c r="R116" s="192"/>
      <c r="S116" s="192"/>
    </row>
    <row r="117" spans="1:19" x14ac:dyDescent="0.2">
      <c r="A117" s="198">
        <v>1</v>
      </c>
      <c r="B117" s="199" t="s">
        <v>1210</v>
      </c>
      <c r="C117" s="200" t="s">
        <v>1211</v>
      </c>
      <c r="D117" s="215" t="s">
        <v>1110</v>
      </c>
      <c r="G117" s="192"/>
      <c r="H117" s="209"/>
      <c r="I117" s="216"/>
      <c r="J117" s="217">
        <v>1</v>
      </c>
      <c r="K117" s="218"/>
      <c r="L117" s="219" t="s">
        <v>1212</v>
      </c>
      <c r="M117" s="218"/>
      <c r="N117" s="218"/>
      <c r="O117" s="251" t="s">
        <v>1110</v>
      </c>
      <c r="P117" s="192"/>
      <c r="Q117" s="207">
        <v>1</v>
      </c>
      <c r="R117" s="199" t="str">
        <f>CONCATENATE($R$115,".",TEXT(Q117,"0000"))</f>
        <v>II-0010.0001</v>
      </c>
      <c r="S117" s="192" t="str">
        <f>CONCATENATE($K$116," - TIPO ",L117)</f>
        <v>Hº  SIMPLE - TIPO A-2862</v>
      </c>
    </row>
    <row r="118" spans="1:19" x14ac:dyDescent="0.2">
      <c r="A118" s="198">
        <v>2</v>
      </c>
      <c r="B118" s="199" t="s">
        <v>1213</v>
      </c>
      <c r="C118" s="200" t="s">
        <v>1214</v>
      </c>
      <c r="D118" s="215" t="s">
        <v>1110</v>
      </c>
      <c r="G118" s="192"/>
      <c r="H118" s="209"/>
      <c r="I118" s="216"/>
      <c r="J118" s="223">
        <v>2</v>
      </c>
      <c r="K118" s="224"/>
      <c r="L118" s="225" t="s">
        <v>1215</v>
      </c>
      <c r="M118" s="224"/>
      <c r="N118" s="224"/>
      <c r="O118" s="270" t="s">
        <v>1110</v>
      </c>
      <c r="P118" s="192"/>
      <c r="Q118" s="207">
        <v>2</v>
      </c>
      <c r="R118" s="199" t="str">
        <f>CONCATENATE($R$115,".",TEXT(Q118,"0000"))</f>
        <v>II-0010.0002</v>
      </c>
      <c r="S118" s="192" t="str">
        <f>CONCATENATE($K$116," - TIPO ",L118)</f>
        <v>Hº  SIMPLE - TIPO H-8621</v>
      </c>
    </row>
    <row r="119" spans="1:19" x14ac:dyDescent="0.2">
      <c r="A119" s="198"/>
      <c r="B119" s="199"/>
      <c r="C119" s="200"/>
      <c r="D119" s="215"/>
      <c r="G119" s="192"/>
      <c r="H119" s="209"/>
      <c r="I119" s="210" t="s">
        <v>1026</v>
      </c>
      <c r="J119" s="218"/>
      <c r="K119" s="219" t="s">
        <v>1216</v>
      </c>
      <c r="L119" s="218"/>
      <c r="M119" s="218"/>
      <c r="N119" s="218"/>
      <c r="O119" s="251"/>
      <c r="P119" s="192"/>
      <c r="Q119" s="192"/>
      <c r="R119" s="192"/>
      <c r="S119" s="192"/>
    </row>
    <row r="120" spans="1:19" x14ac:dyDescent="0.2">
      <c r="A120" s="198">
        <v>10</v>
      </c>
      <c r="B120" s="199" t="s">
        <v>1217</v>
      </c>
      <c r="C120" s="200" t="s">
        <v>1218</v>
      </c>
      <c r="D120" s="215" t="s">
        <v>1110</v>
      </c>
      <c r="G120" s="192"/>
      <c r="H120" s="209"/>
      <c r="I120" s="228"/>
      <c r="J120" s="223">
        <v>1</v>
      </c>
      <c r="K120" s="224"/>
      <c r="L120" s="225" t="s">
        <v>1219</v>
      </c>
      <c r="M120" s="224"/>
      <c r="N120" s="224"/>
      <c r="O120" s="270" t="s">
        <v>1110</v>
      </c>
      <c r="P120" s="192"/>
      <c r="Q120" s="207">
        <v>10</v>
      </c>
      <c r="R120" s="199" t="str">
        <f>CONCATENATE($R$115,".",TEXT(Q120,"0000"))</f>
        <v>II-0010.0010</v>
      </c>
      <c r="S120" s="192" t="str">
        <f>CONCATENATE($K$119," - TIPO ",L120)</f>
        <v>Hº ARMADO - TIPO V-331</v>
      </c>
    </row>
    <row r="121" spans="1:19" ht="15.75" thickBot="1" x14ac:dyDescent="0.25">
      <c r="A121" s="198"/>
      <c r="B121" s="199"/>
      <c r="C121" s="200"/>
      <c r="D121" s="215" t="s">
        <v>1110</v>
      </c>
      <c r="G121" s="192"/>
      <c r="H121" s="229"/>
      <c r="I121" s="231" t="s">
        <v>1036</v>
      </c>
      <c r="J121" s="232"/>
      <c r="K121" s="233" t="s">
        <v>1027</v>
      </c>
      <c r="L121" s="232"/>
      <c r="M121" s="232"/>
      <c r="N121" s="232"/>
      <c r="O121" s="317" t="s">
        <v>1110</v>
      </c>
      <c r="P121" s="192"/>
      <c r="Q121" s="192"/>
      <c r="R121" s="192"/>
      <c r="S121" s="192"/>
    </row>
    <row r="122" spans="1:19" ht="15.75" thickTop="1" x14ac:dyDescent="0.2">
      <c r="A122" s="198">
        <v>11</v>
      </c>
      <c r="B122" s="199" t="s">
        <v>1220</v>
      </c>
      <c r="C122" s="200" t="s">
        <v>1221</v>
      </c>
      <c r="D122" s="215"/>
      <c r="G122" s="192"/>
      <c r="H122" s="236">
        <v>11</v>
      </c>
      <c r="I122" s="238"/>
      <c r="J122" s="249"/>
      <c r="K122" s="306" t="s">
        <v>1221</v>
      </c>
      <c r="L122" s="249"/>
      <c r="M122" s="249"/>
      <c r="N122" s="249"/>
      <c r="O122" s="260"/>
      <c r="P122" s="192"/>
      <c r="Q122" s="207">
        <f>H122</f>
        <v>11</v>
      </c>
      <c r="R122" s="197" t="str">
        <f>CONCATENATE("II-",TEXT(Q122,"0000"))</f>
        <v>II-0011</v>
      </c>
      <c r="S122" s="208" t="str">
        <f>K122</f>
        <v>BAJADA DE AGUA</v>
      </c>
    </row>
    <row r="123" spans="1:19" x14ac:dyDescent="0.2">
      <c r="A123" s="198">
        <v>1</v>
      </c>
      <c r="B123" s="199" t="s">
        <v>1222</v>
      </c>
      <c r="C123" s="200" t="s">
        <v>1223</v>
      </c>
      <c r="D123" s="215" t="s">
        <v>975</v>
      </c>
      <c r="G123" s="192"/>
      <c r="H123" s="250"/>
      <c r="I123" s="210" t="s">
        <v>999</v>
      </c>
      <c r="J123" s="257"/>
      <c r="K123" s="278" t="s">
        <v>1223</v>
      </c>
      <c r="L123" s="257"/>
      <c r="M123" s="257"/>
      <c r="N123" s="257"/>
      <c r="O123" s="292" t="s">
        <v>975</v>
      </c>
      <c r="P123" s="192"/>
      <c r="Q123" s="207">
        <v>1</v>
      </c>
      <c r="R123" s="199" t="str">
        <f>CONCATENATE($R$122,".",TEXT(Q123,"0000"))</f>
        <v>II-0011.0001</v>
      </c>
      <c r="S123" s="192" t="str">
        <f>CONCATENATE($K$123)</f>
        <v>METALICA</v>
      </c>
    </row>
    <row r="124" spans="1:19" x14ac:dyDescent="0.2">
      <c r="A124" s="198"/>
      <c r="B124" s="199"/>
      <c r="C124" s="200"/>
      <c r="D124" s="215"/>
      <c r="G124" s="192"/>
      <c r="H124" s="209"/>
      <c r="I124" s="210" t="s">
        <v>1026</v>
      </c>
      <c r="J124" s="218"/>
      <c r="K124" s="219" t="s">
        <v>1224</v>
      </c>
      <c r="L124" s="218"/>
      <c r="M124" s="218"/>
      <c r="N124" s="218"/>
      <c r="O124" s="251"/>
      <c r="P124" s="192"/>
      <c r="Q124" s="192"/>
      <c r="R124" s="192"/>
      <c r="S124" s="192"/>
    </row>
    <row r="125" spans="1:19" x14ac:dyDescent="0.2">
      <c r="A125" s="198">
        <v>10</v>
      </c>
      <c r="B125" s="199" t="s">
        <v>1225</v>
      </c>
      <c r="C125" s="200" t="s">
        <v>1226</v>
      </c>
      <c r="D125" s="215" t="s">
        <v>1227</v>
      </c>
      <c r="G125" s="192"/>
      <c r="H125" s="209"/>
      <c r="I125" s="216"/>
      <c r="J125" s="217">
        <v>1</v>
      </c>
      <c r="K125" s="218"/>
      <c r="L125" s="219" t="s">
        <v>1228</v>
      </c>
      <c r="M125" s="218"/>
      <c r="N125" s="218"/>
      <c r="O125" s="251" t="s">
        <v>1227</v>
      </c>
      <c r="P125" s="192"/>
      <c r="Q125" s="207">
        <v>10</v>
      </c>
      <c r="R125" s="199" t="str">
        <f>CONCATENATE($R$122,".",TEXT(Q125,"0000"))</f>
        <v>II-0011.0010</v>
      </c>
      <c r="S125" s="192" t="str">
        <f>CONCATENATE($K$124," - TIPO ",L125)</f>
        <v>HORMIGON - TIPO H-8558</v>
      </c>
    </row>
    <row r="126" spans="1:19" x14ac:dyDescent="0.2">
      <c r="A126" s="198">
        <v>11</v>
      </c>
      <c r="B126" s="199" t="s">
        <v>1229</v>
      </c>
      <c r="C126" s="200" t="s">
        <v>1230</v>
      </c>
      <c r="D126" s="215" t="s">
        <v>1227</v>
      </c>
      <c r="G126" s="192"/>
      <c r="H126" s="209"/>
      <c r="I126" s="216"/>
      <c r="J126" s="217">
        <v>2</v>
      </c>
      <c r="K126" s="218"/>
      <c r="L126" s="219" t="s">
        <v>1231</v>
      </c>
      <c r="M126" s="218"/>
      <c r="N126" s="218"/>
      <c r="O126" s="251" t="s">
        <v>1227</v>
      </c>
      <c r="P126" s="192"/>
      <c r="Q126" s="207">
        <v>11</v>
      </c>
      <c r="R126" s="199" t="str">
        <f>CONCATENATE($R$122,".",TEXT(Q126,"0000"))</f>
        <v>II-0011.0011</v>
      </c>
      <c r="S126" s="192" t="str">
        <f t="shared" ref="S126:S127" si="14">CONCATENATE($K$124," - TIPO ",L126)</f>
        <v>HORMIGON - TIPO H-2350</v>
      </c>
    </row>
    <row r="127" spans="1:19" x14ac:dyDescent="0.2">
      <c r="A127" s="198">
        <v>12</v>
      </c>
      <c r="B127" s="199" t="s">
        <v>1232</v>
      </c>
      <c r="C127" s="200" t="s">
        <v>1233</v>
      </c>
      <c r="D127" s="215" t="s">
        <v>1227</v>
      </c>
      <c r="G127" s="192"/>
      <c r="H127" s="209"/>
      <c r="I127" s="216"/>
      <c r="J127" s="223">
        <v>3</v>
      </c>
      <c r="K127" s="218"/>
      <c r="L127" s="219" t="s">
        <v>1234</v>
      </c>
      <c r="M127" s="218"/>
      <c r="N127" s="218"/>
      <c r="O127" s="251" t="s">
        <v>1227</v>
      </c>
      <c r="P127" s="192"/>
      <c r="Q127" s="207">
        <v>12</v>
      </c>
      <c r="R127" s="199" t="str">
        <f>CONCATENATE($R$122,".",TEXT(Q127,"0000"))</f>
        <v>II-0011.0012</v>
      </c>
      <c r="S127" s="192" t="str">
        <f t="shared" si="14"/>
        <v>HORMIGON - TIPO H-7691</v>
      </c>
    </row>
    <row r="128" spans="1:19" x14ac:dyDescent="0.2">
      <c r="A128" s="198">
        <v>12</v>
      </c>
      <c r="B128" s="191" t="s">
        <v>1232</v>
      </c>
      <c r="C128" s="200" t="s">
        <v>1068</v>
      </c>
      <c r="D128" s="215" t="s">
        <v>1235</v>
      </c>
      <c r="G128" s="192"/>
      <c r="H128" s="209"/>
      <c r="I128" s="210" t="s">
        <v>1036</v>
      </c>
      <c r="J128" s="257"/>
      <c r="K128" s="278" t="s">
        <v>1068</v>
      </c>
      <c r="L128" s="257"/>
      <c r="M128" s="257"/>
      <c r="N128" s="257"/>
      <c r="O128" s="292" t="s">
        <v>1235</v>
      </c>
      <c r="P128" s="192"/>
      <c r="Q128" s="207">
        <v>12</v>
      </c>
      <c r="R128" s="199" t="str">
        <f>CONCATENATE($R$122,".",TEXT(Q128,"0000"))</f>
        <v>II-0011.0012</v>
      </c>
      <c r="S128" s="192" t="str">
        <f>CONCATENATE($K$128)</f>
        <v>RETIRO</v>
      </c>
    </row>
    <row r="129" spans="1:19" ht="15.75" thickBot="1" x14ac:dyDescent="0.25">
      <c r="A129" s="198">
        <v>12</v>
      </c>
      <c r="B129" s="191" t="s">
        <v>1232</v>
      </c>
      <c r="C129" s="200" t="s">
        <v>1236</v>
      </c>
      <c r="D129" s="215" t="s">
        <v>1235</v>
      </c>
      <c r="G129" s="192"/>
      <c r="H129" s="229"/>
      <c r="I129" s="241" t="s">
        <v>1062</v>
      </c>
      <c r="J129" s="244"/>
      <c r="K129" s="280" t="s">
        <v>1236</v>
      </c>
      <c r="L129" s="244"/>
      <c r="M129" s="244"/>
      <c r="N129" s="244"/>
      <c r="O129" s="318" t="s">
        <v>1235</v>
      </c>
      <c r="P129" s="192"/>
      <c r="Q129" s="207">
        <v>12</v>
      </c>
      <c r="R129" s="199" t="str">
        <f>CONCATENATE($R$122,".",TEXT(Q129,"0000"))</f>
        <v>II-0011.0012</v>
      </c>
      <c r="S129" s="192" t="str">
        <f>CONCATENATE($K$129)</f>
        <v>RETIRO,REPARACION, RECOLOCACION</v>
      </c>
    </row>
    <row r="130" spans="1:19" ht="15.75" thickTop="1" x14ac:dyDescent="0.2">
      <c r="A130" s="198"/>
      <c r="B130" s="221"/>
      <c r="C130" s="222"/>
      <c r="D130" s="215"/>
      <c r="G130" s="192"/>
      <c r="H130" s="209"/>
      <c r="I130" s="216"/>
      <c r="J130" s="218"/>
      <c r="K130" s="219"/>
      <c r="L130" s="218"/>
      <c r="M130" s="218"/>
      <c r="N130" s="218"/>
      <c r="O130" s="251"/>
      <c r="P130" s="192"/>
      <c r="Q130" s="192"/>
      <c r="R130" s="192"/>
      <c r="S130" s="192"/>
    </row>
    <row r="131" spans="1:19" x14ac:dyDescent="0.2">
      <c r="A131" s="198">
        <v>12</v>
      </c>
      <c r="B131" s="199" t="s">
        <v>1237</v>
      </c>
      <c r="C131" s="200" t="s">
        <v>1238</v>
      </c>
      <c r="D131" s="215"/>
      <c r="G131" s="192"/>
      <c r="H131" s="236">
        <v>12</v>
      </c>
      <c r="I131" s="238"/>
      <c r="J131" s="249"/>
      <c r="K131" s="306" t="s">
        <v>1238</v>
      </c>
      <c r="L131" s="249"/>
      <c r="M131" s="249"/>
      <c r="N131" s="249"/>
      <c r="O131" s="260"/>
      <c r="P131" s="192"/>
      <c r="Q131" s="207">
        <f>H131</f>
        <v>12</v>
      </c>
      <c r="R131" s="197" t="str">
        <f>CONCATENATE("II-",TEXT(Q131,"0000"))</f>
        <v>II-0012</v>
      </c>
      <c r="S131" s="208" t="str">
        <f>K131</f>
        <v>BANQUINA</v>
      </c>
    </row>
    <row r="132" spans="1:19" x14ac:dyDescent="0.2">
      <c r="A132" s="198">
        <v>1</v>
      </c>
      <c r="B132" s="199" t="str">
        <f>CONCATENATE($B$131,".",TEXT(A132,"0000"))</f>
        <v>II-0012.0001</v>
      </c>
      <c r="C132" s="192" t="str">
        <f>CONCATENATE($K$132)</f>
        <v xml:space="preserve">SUELO </v>
      </c>
      <c r="D132" s="215" t="s">
        <v>1110</v>
      </c>
      <c r="G132" s="192"/>
      <c r="H132" s="209"/>
      <c r="I132" s="210" t="s">
        <v>999</v>
      </c>
      <c r="J132" s="257"/>
      <c r="K132" s="278" t="s">
        <v>1239</v>
      </c>
      <c r="L132" s="257"/>
      <c r="M132" s="257"/>
      <c r="N132" s="257"/>
      <c r="O132" s="292" t="s">
        <v>1110</v>
      </c>
      <c r="P132" s="192"/>
      <c r="Q132" s="207">
        <v>1</v>
      </c>
      <c r="R132" s="199" t="str">
        <f>CONCATENATE($L$131,".",TEXT(Q132,"0000"))</f>
        <v>.0001</v>
      </c>
      <c r="S132" s="192" t="str">
        <f>CONCATENATE($E$132)</f>
        <v/>
      </c>
    </row>
    <row r="133" spans="1:19" x14ac:dyDescent="0.2">
      <c r="A133" s="198">
        <v>2</v>
      </c>
      <c r="B133" s="199" t="str">
        <f>CONCATENATE($B$131,".",TEXT(A133,"0000"))</f>
        <v>II-0012.0002</v>
      </c>
      <c r="C133" s="192" t="str">
        <f>CONCATENATE($K$132)</f>
        <v xml:space="preserve">SUELO </v>
      </c>
      <c r="D133" s="215" t="s">
        <v>1110</v>
      </c>
      <c r="G133" s="192"/>
      <c r="H133" s="209"/>
      <c r="I133" s="210" t="s">
        <v>1026</v>
      </c>
      <c r="J133" s="257"/>
      <c r="K133" s="278" t="s">
        <v>1240</v>
      </c>
      <c r="L133" s="257"/>
      <c r="M133" s="257"/>
      <c r="N133" s="257"/>
      <c r="O133" s="292" t="s">
        <v>1110</v>
      </c>
      <c r="P133" s="192"/>
      <c r="Q133" s="207">
        <v>2</v>
      </c>
      <c r="R133" s="199" t="str">
        <f>CONCATENATE($L$131,".",TEXT(Q133,"0000"))</f>
        <v>.0002</v>
      </c>
      <c r="S133" s="192" t="str">
        <f>CONCATENATE($E$133)</f>
        <v/>
      </c>
    </row>
    <row r="134" spans="1:19" x14ac:dyDescent="0.2">
      <c r="A134" s="198"/>
      <c r="B134" s="200"/>
      <c r="C134" s="200"/>
      <c r="D134" s="215"/>
      <c r="G134" s="192"/>
      <c r="H134" s="209"/>
      <c r="I134" s="210" t="s">
        <v>1036</v>
      </c>
      <c r="J134" s="218"/>
      <c r="K134" s="219" t="s">
        <v>1241</v>
      </c>
      <c r="L134" s="218"/>
      <c r="M134" s="218"/>
      <c r="N134" s="218"/>
      <c r="O134" s="251"/>
      <c r="P134" s="192"/>
      <c r="Q134" s="192"/>
      <c r="R134" s="192"/>
      <c r="S134" s="192"/>
    </row>
    <row r="135" spans="1:19" x14ac:dyDescent="0.2">
      <c r="A135" s="198">
        <v>3</v>
      </c>
      <c r="B135" s="199" t="str">
        <f t="shared" ref="B135:B136" si="15">CONCATENATE($B$131,".",TEXT(A135,"0000"))</f>
        <v>II-0012.0003</v>
      </c>
      <c r="C135" s="192" t="str">
        <f>CONCATENATE($K$134," - TIPO ",L135)</f>
        <v xml:space="preserve">PAVIMENTO - TIPO CARPETA </v>
      </c>
      <c r="D135" s="215" t="s">
        <v>1193</v>
      </c>
      <c r="G135" s="192"/>
      <c r="H135" s="209"/>
      <c r="I135" s="216"/>
      <c r="J135" s="217">
        <v>1</v>
      </c>
      <c r="K135" s="218"/>
      <c r="L135" s="219" t="s">
        <v>1242</v>
      </c>
      <c r="M135" s="218"/>
      <c r="N135" s="218"/>
      <c r="O135" s="251" t="s">
        <v>1193</v>
      </c>
      <c r="P135" s="192"/>
      <c r="Q135" s="207">
        <v>3</v>
      </c>
      <c r="R135" s="199" t="str">
        <f t="shared" ref="R135:R136" si="16">CONCATENATE($L$131,".",TEXT(Q135,"0000"))</f>
        <v>.0003</v>
      </c>
      <c r="S135" s="192" t="str">
        <f>CONCATENATE($E$134," TIPO ",L135)</f>
        <v xml:space="preserve"> TIPO CARPETA </v>
      </c>
    </row>
    <row r="136" spans="1:19" ht="15.75" thickBot="1" x14ac:dyDescent="0.25">
      <c r="A136" s="198">
        <v>4</v>
      </c>
      <c r="B136" s="199" t="str">
        <f t="shared" si="15"/>
        <v>II-0012.0004</v>
      </c>
      <c r="C136" s="192" t="str">
        <f>CONCATENATE($K$134," - TIPO ",L136)</f>
        <v>PAVIMENTO - TIPO TRATAMIENTO</v>
      </c>
      <c r="D136" s="215" t="s">
        <v>1193</v>
      </c>
      <c r="G136" s="192"/>
      <c r="H136" s="229"/>
      <c r="I136" s="230"/>
      <c r="J136" s="231">
        <v>2</v>
      </c>
      <c r="K136" s="232"/>
      <c r="L136" s="233" t="s">
        <v>1243</v>
      </c>
      <c r="M136" s="232"/>
      <c r="N136" s="232"/>
      <c r="O136" s="317" t="s">
        <v>1193</v>
      </c>
      <c r="P136" s="192"/>
      <c r="Q136" s="207">
        <v>4</v>
      </c>
      <c r="R136" s="199" t="str">
        <f t="shared" si="16"/>
        <v>.0004</v>
      </c>
      <c r="S136" s="192" t="str">
        <f>CONCATENATE($E$134," TIPO ",L136)</f>
        <v xml:space="preserve"> TIPO TRATAMIENTO</v>
      </c>
    </row>
    <row r="137" spans="1:19" ht="15.75" thickTop="1" x14ac:dyDescent="0.2">
      <c r="A137" s="198"/>
      <c r="B137" s="199"/>
      <c r="C137" s="200"/>
      <c r="D137" s="215"/>
      <c r="G137" s="192"/>
      <c r="H137" s="209"/>
      <c r="I137" s="216"/>
      <c r="J137" s="216"/>
      <c r="K137" s="218"/>
      <c r="L137" s="219"/>
      <c r="M137" s="218"/>
      <c r="N137" s="218"/>
      <c r="O137" s="251"/>
      <c r="P137" s="192"/>
      <c r="Q137" s="207"/>
      <c r="R137" s="192"/>
      <c r="S137" s="192"/>
    </row>
    <row r="138" spans="1:19" x14ac:dyDescent="0.2">
      <c r="A138" s="198">
        <v>13</v>
      </c>
      <c r="B138" s="199" t="s">
        <v>1244</v>
      </c>
      <c r="C138" s="200" t="s">
        <v>1245</v>
      </c>
      <c r="D138" s="215"/>
      <c r="G138" s="192"/>
      <c r="H138" s="236">
        <v>13</v>
      </c>
      <c r="I138" s="238"/>
      <c r="J138" s="249"/>
      <c r="K138" s="306" t="s">
        <v>1245</v>
      </c>
      <c r="L138" s="249"/>
      <c r="M138" s="249"/>
      <c r="N138" s="249"/>
      <c r="O138" s="260"/>
      <c r="P138" s="192"/>
      <c r="Q138" s="207">
        <f>H138</f>
        <v>13</v>
      </c>
      <c r="R138" s="197" t="str">
        <f>CONCATENATE("II-",TEXT(Q138,"0000"))</f>
        <v>II-0013</v>
      </c>
      <c r="S138" s="208" t="str">
        <f>K138</f>
        <v>BARANDA METALICA DE DEFENSA</v>
      </c>
    </row>
    <row r="139" spans="1:19" x14ac:dyDescent="0.2">
      <c r="A139" s="198"/>
      <c r="B139" s="199"/>
      <c r="C139" s="200"/>
      <c r="D139" s="215"/>
      <c r="G139" s="192"/>
      <c r="H139" s="250"/>
      <c r="I139" s="210" t="s">
        <v>999</v>
      </c>
      <c r="J139" s="218"/>
      <c r="K139" s="219" t="s">
        <v>1246</v>
      </c>
      <c r="L139" s="213"/>
      <c r="M139" s="213"/>
      <c r="N139" s="213"/>
      <c r="O139" s="261"/>
      <c r="P139" s="192"/>
      <c r="Q139" s="192"/>
      <c r="R139" s="192"/>
      <c r="S139" s="192"/>
    </row>
    <row r="140" spans="1:19" x14ac:dyDescent="0.2">
      <c r="A140" s="198">
        <v>1</v>
      </c>
      <c r="B140" s="199" t="str">
        <f>CONCATENATE($B$138,".",TEXT(A140,"0000"))</f>
        <v>II-0013.0001</v>
      </c>
      <c r="C140" s="192" t="str">
        <f>CONCATENATE($K$139," - TIPO ",L140)</f>
        <v>VEHICULAR  H-10237 - TIPO LIVIANA  ( A )</v>
      </c>
      <c r="D140" s="215" t="s">
        <v>975</v>
      </c>
      <c r="G140" s="192"/>
      <c r="H140" s="209"/>
      <c r="I140" s="216"/>
      <c r="J140" s="217">
        <v>1</v>
      </c>
      <c r="K140" s="218"/>
      <c r="L140" s="219" t="s">
        <v>1247</v>
      </c>
      <c r="M140" s="218"/>
      <c r="N140" s="218"/>
      <c r="O140" s="251" t="s">
        <v>975</v>
      </c>
      <c r="P140" s="192"/>
      <c r="Q140" s="207">
        <v>1</v>
      </c>
      <c r="R140" s="199" t="str">
        <f>CONCATENATE($L$138,".",TEXT(Q140,"0000"))</f>
        <v>.0001</v>
      </c>
      <c r="S140" s="192" t="str">
        <f>CONCATENATE($E$139," TIPO ",L140)</f>
        <v xml:space="preserve"> TIPO LIVIANA  ( A )</v>
      </c>
    </row>
    <row r="141" spans="1:19" x14ac:dyDescent="0.2">
      <c r="A141" s="198">
        <v>2</v>
      </c>
      <c r="B141" s="199" t="str">
        <f>CONCATENATE($B$138,".",TEXT(A141,"0000"))</f>
        <v>II-0013.0002</v>
      </c>
      <c r="C141" s="192" t="str">
        <f>CONCATENATE($K$139," - TIPO ",L141)</f>
        <v>VEHICULAR  H-10237 - TIPO PESADA ( B )</v>
      </c>
      <c r="D141" s="215" t="s">
        <v>975</v>
      </c>
      <c r="G141" s="192"/>
      <c r="H141" s="209"/>
      <c r="I141" s="216"/>
      <c r="J141" s="223">
        <v>2</v>
      </c>
      <c r="K141" s="224"/>
      <c r="L141" s="225" t="s">
        <v>1248</v>
      </c>
      <c r="M141" s="224"/>
      <c r="N141" s="224"/>
      <c r="O141" s="270" t="s">
        <v>975</v>
      </c>
      <c r="P141" s="192"/>
      <c r="Q141" s="207">
        <v>2</v>
      </c>
      <c r="R141" s="199" t="str">
        <f>CONCATENATE($L$138,".",TEXT(Q141,"0000"))</f>
        <v>.0002</v>
      </c>
      <c r="S141" s="192" t="str">
        <f>CONCATENATE($E$139," TIPO ",L141)</f>
        <v xml:space="preserve"> TIPO PESADA ( B )</v>
      </c>
    </row>
    <row r="142" spans="1:19" x14ac:dyDescent="0.2">
      <c r="A142" s="198"/>
      <c r="B142" s="199"/>
      <c r="C142" s="200"/>
      <c r="D142" s="215" t="s">
        <v>975</v>
      </c>
      <c r="G142" s="192"/>
      <c r="H142" s="209"/>
      <c r="I142" s="210" t="s">
        <v>1026</v>
      </c>
      <c r="J142" s="218"/>
      <c r="K142" s="219" t="s">
        <v>1249</v>
      </c>
      <c r="L142" s="218"/>
      <c r="M142" s="218"/>
      <c r="N142" s="218"/>
      <c r="O142" s="251" t="s">
        <v>975</v>
      </c>
      <c r="P142" s="192"/>
      <c r="Q142" s="192"/>
      <c r="R142" s="192"/>
      <c r="S142" s="192"/>
    </row>
    <row r="143" spans="1:19" x14ac:dyDescent="0.2">
      <c r="A143" s="198">
        <v>3</v>
      </c>
      <c r="B143" s="199" t="str">
        <f t="shared" ref="B143:B146" si="17">CONCATENATE($B$138,".",TEXT(A143,"0000"))</f>
        <v>II-0013.0003</v>
      </c>
      <c r="C143" s="192" t="str">
        <f>CONCATENATE($K$142," - TIPO ",L143)</f>
        <v>PEATONAL  H-10237 - TIPO LIVIANA  ( A )</v>
      </c>
      <c r="D143" s="215" t="s">
        <v>975</v>
      </c>
      <c r="G143" s="192"/>
      <c r="H143" s="209"/>
      <c r="I143" s="216"/>
      <c r="J143" s="217">
        <v>1</v>
      </c>
      <c r="K143" s="218"/>
      <c r="L143" s="219" t="s">
        <v>1247</v>
      </c>
      <c r="M143" s="218"/>
      <c r="N143" s="218"/>
      <c r="O143" s="251" t="s">
        <v>975</v>
      </c>
      <c r="P143" s="192"/>
      <c r="Q143" s="207">
        <v>3</v>
      </c>
      <c r="R143" s="199" t="str">
        <f>CONCATENATE($L$138,".",TEXT(Q143,"0000"))</f>
        <v>.0003</v>
      </c>
      <c r="S143" s="192" t="str">
        <f>CONCATENATE($E$142," TIPO ",L143)</f>
        <v xml:space="preserve"> TIPO LIVIANA  ( A )</v>
      </c>
    </row>
    <row r="144" spans="1:19" x14ac:dyDescent="0.2">
      <c r="A144" s="198">
        <v>4</v>
      </c>
      <c r="B144" s="199" t="str">
        <f t="shared" si="17"/>
        <v>II-0013.0004</v>
      </c>
      <c r="C144" s="192" t="str">
        <f>CONCATENATE($K$142," - TIPO ",L144)</f>
        <v>PEATONAL  H-10237 - TIPO PESADA ( B )</v>
      </c>
      <c r="D144" s="215" t="s">
        <v>975</v>
      </c>
      <c r="G144" s="192"/>
      <c r="H144" s="209"/>
      <c r="I144" s="216"/>
      <c r="J144" s="223">
        <v>2</v>
      </c>
      <c r="K144" s="218"/>
      <c r="L144" s="219" t="s">
        <v>1248</v>
      </c>
      <c r="M144" s="218"/>
      <c r="N144" s="218"/>
      <c r="O144" s="251" t="s">
        <v>975</v>
      </c>
      <c r="P144" s="192"/>
      <c r="Q144" s="207">
        <v>4</v>
      </c>
      <c r="R144" s="199" t="str">
        <f>CONCATENATE($L$138,".",TEXT(Q144,"0000"))</f>
        <v>.0004</v>
      </c>
      <c r="S144" s="192" t="str">
        <f>CONCATENATE($E$142," TIPO ",L144)</f>
        <v xml:space="preserve"> TIPO PESADA ( B )</v>
      </c>
    </row>
    <row r="145" spans="1:19" x14ac:dyDescent="0.2">
      <c r="A145" s="198">
        <v>10</v>
      </c>
      <c r="B145" s="199" t="str">
        <f t="shared" si="17"/>
        <v>II-0013.0010</v>
      </c>
      <c r="C145" s="192" t="str">
        <f>CONCATENATE($K$145)</f>
        <v xml:space="preserve">RETIRO </v>
      </c>
      <c r="D145" s="215" t="s">
        <v>975</v>
      </c>
      <c r="G145" s="192"/>
      <c r="H145" s="209"/>
      <c r="I145" s="210" t="s">
        <v>1036</v>
      </c>
      <c r="J145" s="257"/>
      <c r="K145" s="278" t="s">
        <v>1118</v>
      </c>
      <c r="L145" s="257"/>
      <c r="M145" s="257"/>
      <c r="N145" s="257"/>
      <c r="O145" s="292" t="s">
        <v>975</v>
      </c>
      <c r="P145" s="192"/>
      <c r="Q145" s="207">
        <v>10</v>
      </c>
      <c r="R145" s="199" t="str">
        <f t="shared" ref="R145:R146" si="18">CONCATENATE($L$138,".",TEXT(Q145,"0000"))</f>
        <v>.0010</v>
      </c>
      <c r="S145" s="192" t="str">
        <f>CONCATENATE($E$145)</f>
        <v/>
      </c>
    </row>
    <row r="146" spans="1:19" ht="15.75" thickBot="1" x14ac:dyDescent="0.25">
      <c r="A146" s="198">
        <v>11</v>
      </c>
      <c r="B146" s="199" t="str">
        <f t="shared" si="17"/>
        <v>II-0013.0011</v>
      </c>
      <c r="C146" s="192" t="str">
        <f>CONCATENATE(K146)</f>
        <v>RETIRO Y REPARACION</v>
      </c>
      <c r="D146" s="215" t="s">
        <v>975</v>
      </c>
      <c r="G146" s="192"/>
      <c r="H146" s="262"/>
      <c r="I146" s="319" t="s">
        <v>1062</v>
      </c>
      <c r="J146" s="265"/>
      <c r="K146" s="266" t="s">
        <v>1250</v>
      </c>
      <c r="L146" s="265"/>
      <c r="M146" s="265"/>
      <c r="N146" s="265"/>
      <c r="O146" s="320" t="s">
        <v>975</v>
      </c>
      <c r="P146" s="192"/>
      <c r="Q146" s="207">
        <v>11</v>
      </c>
      <c r="R146" s="199" t="str">
        <f t="shared" si="18"/>
        <v>.0011</v>
      </c>
      <c r="S146" s="192" t="str">
        <f>CONCATENATE($E$146)</f>
        <v/>
      </c>
    </row>
    <row r="147" spans="1:19" x14ac:dyDescent="0.2">
      <c r="A147" s="198"/>
      <c r="B147" s="199"/>
      <c r="C147" s="200"/>
      <c r="D147" s="215"/>
      <c r="G147" s="192"/>
      <c r="H147" s="209"/>
      <c r="I147" s="216"/>
      <c r="J147" s="218"/>
      <c r="K147" s="219"/>
      <c r="L147" s="218"/>
      <c r="M147" s="218"/>
      <c r="N147" s="218"/>
      <c r="O147" s="251"/>
      <c r="P147" s="192"/>
      <c r="Q147" s="207"/>
      <c r="R147" s="199"/>
      <c r="S147" s="192"/>
    </row>
    <row r="148" spans="1:19" x14ac:dyDescent="0.2">
      <c r="A148" s="198">
        <v>14</v>
      </c>
      <c r="B148" s="191" t="s">
        <v>1251</v>
      </c>
      <c r="C148" s="200" t="s">
        <v>1252</v>
      </c>
      <c r="D148" s="215"/>
      <c r="G148" s="192"/>
      <c r="H148" s="236">
        <v>14</v>
      </c>
      <c r="I148" s="321"/>
      <c r="J148" s="322"/>
      <c r="K148" s="290" t="s">
        <v>1252</v>
      </c>
      <c r="L148" s="322"/>
      <c r="M148" s="322"/>
      <c r="N148" s="322"/>
      <c r="O148" s="323"/>
      <c r="P148" s="192"/>
      <c r="Q148" s="207">
        <f>H148</f>
        <v>14</v>
      </c>
      <c r="R148" s="197" t="str">
        <f>CONCATENATE("II-",TEXT(Q148,"0000"))</f>
        <v>II-0014</v>
      </c>
      <c r="S148" s="208" t="str">
        <f>K148</f>
        <v>BASE</v>
      </c>
    </row>
    <row r="149" spans="1:19" x14ac:dyDescent="0.2">
      <c r="A149" s="198">
        <v>1</v>
      </c>
      <c r="B149" s="199" t="str">
        <f>CONCATENATE($B$148,".",TEXT(A149,"0000"))</f>
        <v>II-0014.0001</v>
      </c>
      <c r="C149" s="200" t="s">
        <v>1253</v>
      </c>
      <c r="D149" s="215" t="s">
        <v>1110</v>
      </c>
      <c r="G149" s="218"/>
      <c r="H149" s="293"/>
      <c r="I149" s="210" t="s">
        <v>999</v>
      </c>
      <c r="J149" s="257"/>
      <c r="K149" s="324" t="s">
        <v>1253</v>
      </c>
      <c r="L149" s="257"/>
      <c r="M149" s="257"/>
      <c r="N149" s="257"/>
      <c r="O149" s="292" t="s">
        <v>1110</v>
      </c>
      <c r="P149" s="218"/>
      <c r="Q149" s="207">
        <v>1</v>
      </c>
      <c r="R149" s="199" t="str">
        <f>CONCATENATE($L$148,".",TEXT(Q149,"0000"))</f>
        <v>.0001</v>
      </c>
      <c r="S149" s="192" t="str">
        <f>CONCATENATE(K149)</f>
        <v>ARENA ASFALTO</v>
      </c>
    </row>
    <row r="150" spans="1:19" x14ac:dyDescent="0.2">
      <c r="A150" s="198">
        <v>2</v>
      </c>
      <c r="B150" s="199" t="str">
        <f>CONCATENATE($B$148,".",TEXT(A150,"0000"))</f>
        <v>II-0014.0002</v>
      </c>
      <c r="C150" s="222" t="s">
        <v>1254</v>
      </c>
      <c r="D150" s="215" t="s">
        <v>1110</v>
      </c>
      <c r="G150" s="218"/>
      <c r="H150" s="209"/>
      <c r="I150" s="210" t="s">
        <v>1026</v>
      </c>
      <c r="J150" s="257"/>
      <c r="K150" s="278" t="s">
        <v>1254</v>
      </c>
      <c r="L150" s="257"/>
      <c r="M150" s="257"/>
      <c r="N150" s="257"/>
      <c r="O150" s="292" t="s">
        <v>1110</v>
      </c>
      <c r="P150" s="218"/>
      <c r="Q150" s="207">
        <v>2</v>
      </c>
      <c r="R150" s="199" t="str">
        <f>CONCATENATE($L$148,".",TEXT(Q150,"0000"))</f>
        <v>.0002</v>
      </c>
      <c r="S150" s="192" t="str">
        <f>CONCATENATE(K150)</f>
        <v>CONCRETO ASFALTICO BITUMINOSO</v>
      </c>
    </row>
    <row r="151" spans="1:19" x14ac:dyDescent="0.2">
      <c r="A151" s="198"/>
      <c r="B151" s="199"/>
      <c r="C151" s="200"/>
      <c r="D151" s="215"/>
      <c r="G151" s="218"/>
      <c r="H151" s="209"/>
      <c r="I151" s="223" t="s">
        <v>1036</v>
      </c>
      <c r="J151" s="218"/>
      <c r="K151" s="219" t="s">
        <v>1255</v>
      </c>
      <c r="L151" s="218"/>
      <c r="M151" s="218"/>
      <c r="N151" s="218"/>
      <c r="O151" s="251"/>
      <c r="P151" s="218"/>
      <c r="Q151" s="218"/>
      <c r="R151" s="218"/>
      <c r="S151" s="218"/>
    </row>
    <row r="152" spans="1:19" x14ac:dyDescent="0.2">
      <c r="A152" s="198">
        <v>3</v>
      </c>
      <c r="B152" s="199" t="str">
        <f t="shared" ref="B152:B154" si="19">CONCATENATE($B$148,".",TEXT(A152,"0000"))</f>
        <v>II-0014.0003</v>
      </c>
      <c r="C152" s="192" t="str">
        <f>CONCATENATE($K$151," - TIPO ",L152)</f>
        <v>GRANULAR - TIPO ANTICOGELANTES</v>
      </c>
      <c r="D152" s="215" t="s">
        <v>1110</v>
      </c>
      <c r="G152" s="218"/>
      <c r="H152" s="209"/>
      <c r="I152" s="216"/>
      <c r="J152" s="217">
        <v>1</v>
      </c>
      <c r="K152" s="218"/>
      <c r="L152" s="219" t="s">
        <v>1256</v>
      </c>
      <c r="M152" s="218"/>
      <c r="N152" s="218"/>
      <c r="O152" s="251" t="s">
        <v>1110</v>
      </c>
      <c r="P152" s="218"/>
      <c r="Q152" s="207">
        <v>3</v>
      </c>
      <c r="R152" s="199" t="str">
        <f>CONCATENATE($L$148,".",TEXT(Q152,"0000"))</f>
        <v>.0003</v>
      </c>
      <c r="S152" s="192" t="str">
        <f>CONCATENATE($E$151," ",L152)</f>
        <v xml:space="preserve"> ANTICOGELANTES</v>
      </c>
    </row>
    <row r="153" spans="1:19" x14ac:dyDescent="0.2">
      <c r="A153" s="198">
        <v>4</v>
      </c>
      <c r="B153" s="199" t="str">
        <f t="shared" si="19"/>
        <v>II-0014.0004</v>
      </c>
      <c r="C153" s="192" t="str">
        <f t="shared" ref="C153:C154" si="20">CONCATENATE($K$151," - TIPO ",L153)</f>
        <v>GRANULAR - TIPO DRENANTES</v>
      </c>
      <c r="D153" s="215" t="s">
        <v>1110</v>
      </c>
      <c r="G153" s="218"/>
      <c r="H153" s="209"/>
      <c r="I153" s="216"/>
      <c r="J153" s="217">
        <v>2</v>
      </c>
      <c r="K153" s="219"/>
      <c r="L153" s="219" t="s">
        <v>1257</v>
      </c>
      <c r="M153" s="218"/>
      <c r="N153" s="218"/>
      <c r="O153" s="251" t="s">
        <v>1110</v>
      </c>
      <c r="P153" s="218"/>
      <c r="Q153" s="207">
        <v>4</v>
      </c>
      <c r="R153" s="199" t="str">
        <f t="shared" ref="R153:R154" si="21">CONCATENATE($L$148,".",TEXT(Q153,"0000"))</f>
        <v>.0004</v>
      </c>
      <c r="S153" s="192" t="str">
        <f t="shared" ref="S153" si="22">CONCATENATE($E$151," ",L153)</f>
        <v xml:space="preserve"> DRENANTES</v>
      </c>
    </row>
    <row r="154" spans="1:19" ht="15.75" thickBot="1" x14ac:dyDescent="0.25">
      <c r="A154" s="198">
        <v>5</v>
      </c>
      <c r="B154" s="199" t="str">
        <f t="shared" si="19"/>
        <v>II-0014.0005</v>
      </c>
      <c r="C154" s="192" t="str">
        <f t="shared" si="20"/>
        <v>GRANULAR - TIPO GRANULAR</v>
      </c>
      <c r="D154" s="215" t="s">
        <v>1110</v>
      </c>
      <c r="G154" s="218"/>
      <c r="H154" s="262"/>
      <c r="I154" s="325"/>
      <c r="J154" s="264">
        <v>3</v>
      </c>
      <c r="K154" s="266"/>
      <c r="L154" s="266" t="s">
        <v>1255</v>
      </c>
      <c r="M154" s="265"/>
      <c r="N154" s="265"/>
      <c r="O154" s="320" t="s">
        <v>1110</v>
      </c>
      <c r="P154" s="218"/>
      <c r="Q154" s="207">
        <v>5</v>
      </c>
      <c r="R154" s="199" t="str">
        <f t="shared" si="21"/>
        <v>.0005</v>
      </c>
      <c r="S154" s="192" t="str">
        <f>CONCATENATE($E$151)</f>
        <v/>
      </c>
    </row>
    <row r="155" spans="1:19" x14ac:dyDescent="0.2">
      <c r="A155" s="198"/>
      <c r="B155" s="199"/>
      <c r="C155" s="200"/>
      <c r="D155" s="215"/>
      <c r="G155" s="218"/>
      <c r="H155" s="268"/>
      <c r="I155" s="216"/>
      <c r="J155" s="216"/>
      <c r="K155" s="219"/>
      <c r="L155" s="219"/>
      <c r="M155" s="218"/>
      <c r="N155" s="218"/>
      <c r="O155" s="326"/>
      <c r="P155" s="218"/>
      <c r="Q155" s="207"/>
      <c r="R155" s="218"/>
      <c r="S155" s="218"/>
    </row>
    <row r="156" spans="1:19" x14ac:dyDescent="0.2">
      <c r="A156" s="198"/>
      <c r="B156" s="199"/>
      <c r="C156" s="200"/>
      <c r="D156" s="215"/>
      <c r="G156" s="192"/>
      <c r="H156" s="236">
        <v>14</v>
      </c>
      <c r="I156" s="238"/>
      <c r="J156" s="249"/>
      <c r="K156" s="306" t="s">
        <v>1252</v>
      </c>
      <c r="L156" s="249"/>
      <c r="M156" s="249"/>
      <c r="N156" s="249"/>
      <c r="O156" s="260"/>
      <c r="P156" s="192"/>
      <c r="Q156" s="207"/>
      <c r="R156" s="192"/>
      <c r="S156" s="192"/>
    </row>
    <row r="157" spans="1:19" x14ac:dyDescent="0.2">
      <c r="A157" s="198">
        <v>6</v>
      </c>
      <c r="B157" s="199" t="str">
        <f t="shared" ref="B157" si="23">CONCATENATE($B$148,".",TEXT(A157,"0000"))</f>
        <v>II-0014.0006</v>
      </c>
      <c r="C157" s="192" t="str">
        <f>CONCATENATE(K157)</f>
        <v>AGREGADO PETREO Y SUELO</v>
      </c>
      <c r="D157" s="215" t="s">
        <v>1110</v>
      </c>
      <c r="G157" s="192"/>
      <c r="H157" s="209"/>
      <c r="I157" s="210" t="s">
        <v>1062</v>
      </c>
      <c r="J157" s="257"/>
      <c r="K157" s="324" t="s">
        <v>1258</v>
      </c>
      <c r="L157" s="257"/>
      <c r="M157" s="257"/>
      <c r="N157" s="257"/>
      <c r="O157" s="292" t="s">
        <v>1110</v>
      </c>
      <c r="P157" s="192"/>
      <c r="Q157" s="207">
        <v>6</v>
      </c>
      <c r="R157" s="199" t="str">
        <f t="shared" ref="R157" si="24">CONCATENATE($L$148,".",TEXT(Q157,"0000"))</f>
        <v>.0006</v>
      </c>
      <c r="S157" s="192" t="str">
        <f>CONCATENATE($E$157)</f>
        <v/>
      </c>
    </row>
    <row r="158" spans="1:19" x14ac:dyDescent="0.2">
      <c r="A158" s="198"/>
      <c r="B158" s="199"/>
      <c r="C158" s="200"/>
      <c r="D158" s="215"/>
      <c r="G158" s="192"/>
      <c r="H158" s="209"/>
      <c r="I158" s="210" t="s">
        <v>1104</v>
      </c>
      <c r="J158" s="218"/>
      <c r="K158" s="296" t="s">
        <v>1113</v>
      </c>
      <c r="L158" s="218"/>
      <c r="M158" s="218"/>
      <c r="N158" s="218"/>
      <c r="O158" s="251"/>
      <c r="P158" s="192"/>
      <c r="Q158" s="192"/>
      <c r="R158" s="192"/>
      <c r="S158" s="192"/>
    </row>
    <row r="159" spans="1:19" x14ac:dyDescent="0.2">
      <c r="A159" s="198">
        <v>10</v>
      </c>
      <c r="B159" s="199" t="str">
        <f t="shared" ref="B159:B167" si="25">CONCATENATE($B$148,".",TEXT(A159,"0000"))</f>
        <v>II-0014.0010</v>
      </c>
      <c r="C159" s="192" t="str">
        <f>CONCATENATE($K$158," ",L159)</f>
        <v>REPARACION AGREGADO PETREO Y SUELO</v>
      </c>
      <c r="D159" s="215" t="s">
        <v>1110</v>
      </c>
      <c r="G159" s="192"/>
      <c r="H159" s="209"/>
      <c r="I159" s="216"/>
      <c r="J159" s="217">
        <v>1</v>
      </c>
      <c r="K159" s="296"/>
      <c r="L159" s="219" t="s">
        <v>1258</v>
      </c>
      <c r="M159" s="218"/>
      <c r="N159" s="218"/>
      <c r="O159" s="251" t="s">
        <v>1110</v>
      </c>
      <c r="P159" s="192"/>
      <c r="Q159" s="207">
        <v>10</v>
      </c>
      <c r="R159" s="199" t="str">
        <f>CONCATENATE($L$148,".",TEXT(Q159,"0000"))</f>
        <v>.0010</v>
      </c>
      <c r="S159" s="192" t="str">
        <f>CONCATENATE($E$158," ",L159)</f>
        <v xml:space="preserve"> AGREGADO PETREO Y SUELO</v>
      </c>
    </row>
    <row r="160" spans="1:19" x14ac:dyDescent="0.2">
      <c r="A160" s="198">
        <v>11</v>
      </c>
      <c r="B160" s="199" t="str">
        <f t="shared" si="25"/>
        <v>II-0014.0011</v>
      </c>
      <c r="C160" s="192" t="str">
        <f t="shared" ref="C160:C163" si="26">CONCATENATE($K$158," ",L160)</f>
        <v>REPARACION SUELO CAL</v>
      </c>
      <c r="D160" s="215" t="s">
        <v>1110</v>
      </c>
      <c r="G160" s="192"/>
      <c r="H160" s="209"/>
      <c r="I160" s="216"/>
      <c r="J160" s="217">
        <v>2</v>
      </c>
      <c r="K160" s="296"/>
      <c r="L160" s="219" t="s">
        <v>1194</v>
      </c>
      <c r="M160" s="218"/>
      <c r="N160" s="218"/>
      <c r="O160" s="251" t="s">
        <v>1110</v>
      </c>
      <c r="P160" s="192"/>
      <c r="Q160" s="207">
        <v>11</v>
      </c>
      <c r="R160" s="199" t="str">
        <f t="shared" ref="R160:R167" si="27">CONCATENATE($L$148,".",TEXT(Q160,"0000"))</f>
        <v>.0011</v>
      </c>
      <c r="S160" s="192" t="str">
        <f t="shared" ref="S160:S163" si="28">CONCATENATE($E$158," ",L160)</f>
        <v xml:space="preserve"> SUELO CAL</v>
      </c>
    </row>
    <row r="161" spans="1:19" x14ac:dyDescent="0.2">
      <c r="A161" s="198">
        <v>12</v>
      </c>
      <c r="B161" s="199" t="str">
        <f t="shared" si="25"/>
        <v>II-0014.0012</v>
      </c>
      <c r="C161" s="192" t="str">
        <f t="shared" si="26"/>
        <v>REPARACION SUELO CEMENTO</v>
      </c>
      <c r="D161" s="215" t="s">
        <v>1110</v>
      </c>
      <c r="G161" s="192"/>
      <c r="H161" s="209"/>
      <c r="I161" s="216"/>
      <c r="J161" s="217">
        <v>3</v>
      </c>
      <c r="K161" s="296"/>
      <c r="L161" s="219" t="s">
        <v>1197</v>
      </c>
      <c r="M161" s="218"/>
      <c r="N161" s="218"/>
      <c r="O161" s="251" t="s">
        <v>1110</v>
      </c>
      <c r="P161" s="192"/>
      <c r="Q161" s="207">
        <v>12</v>
      </c>
      <c r="R161" s="199" t="str">
        <f t="shared" si="27"/>
        <v>.0012</v>
      </c>
      <c r="S161" s="192" t="str">
        <f t="shared" si="28"/>
        <v xml:space="preserve"> SUELO CEMENTO</v>
      </c>
    </row>
    <row r="162" spans="1:19" x14ac:dyDescent="0.2">
      <c r="A162" s="198">
        <v>13</v>
      </c>
      <c r="B162" s="199" t="str">
        <f t="shared" si="25"/>
        <v>II-0014.0013</v>
      </c>
      <c r="C162" s="192" t="str">
        <f t="shared" si="26"/>
        <v>REPARACION SUELO ESCORIA</v>
      </c>
      <c r="D162" s="215" t="s">
        <v>1110</v>
      </c>
      <c r="G162" s="192"/>
      <c r="H162" s="209"/>
      <c r="I162" s="216"/>
      <c r="J162" s="217">
        <v>4</v>
      </c>
      <c r="K162" s="296"/>
      <c r="L162" s="219" t="s">
        <v>1259</v>
      </c>
      <c r="M162" s="218"/>
      <c r="N162" s="218"/>
      <c r="O162" s="251" t="s">
        <v>1110</v>
      </c>
      <c r="P162" s="192"/>
      <c r="Q162" s="207">
        <v>13</v>
      </c>
      <c r="R162" s="199" t="str">
        <f t="shared" si="27"/>
        <v>.0013</v>
      </c>
      <c r="S162" s="192" t="str">
        <f t="shared" si="28"/>
        <v xml:space="preserve"> SUELO ESCORIA</v>
      </c>
    </row>
    <row r="163" spans="1:19" x14ac:dyDescent="0.2">
      <c r="A163" s="198">
        <v>14</v>
      </c>
      <c r="B163" s="199" t="str">
        <f t="shared" si="25"/>
        <v>II-0014.0014</v>
      </c>
      <c r="C163" s="192" t="str">
        <f t="shared" si="26"/>
        <v>REPARACION SUELO SELECCIONADO</v>
      </c>
      <c r="D163" s="215" t="s">
        <v>1110</v>
      </c>
      <c r="G163" s="192"/>
      <c r="H163" s="209"/>
      <c r="I163" s="228"/>
      <c r="J163" s="223">
        <v>5</v>
      </c>
      <c r="K163" s="296"/>
      <c r="L163" s="219" t="s">
        <v>1200</v>
      </c>
      <c r="M163" s="218"/>
      <c r="N163" s="218"/>
      <c r="O163" s="251" t="s">
        <v>1110</v>
      </c>
      <c r="P163" s="192"/>
      <c r="Q163" s="207">
        <v>14</v>
      </c>
      <c r="R163" s="199" t="str">
        <f t="shared" si="27"/>
        <v>.0014</v>
      </c>
      <c r="S163" s="192" t="str">
        <f t="shared" si="28"/>
        <v xml:space="preserve"> SUELO SELECCIONADO</v>
      </c>
    </row>
    <row r="164" spans="1:19" x14ac:dyDescent="0.2">
      <c r="A164" s="198">
        <v>20</v>
      </c>
      <c r="B164" s="199" t="str">
        <f t="shared" si="25"/>
        <v>II-0014.0020</v>
      </c>
      <c r="C164" s="192" t="str">
        <f t="shared" ref="C164:C167" si="29">CONCATENATE(K164)</f>
        <v>SUELO CAL</v>
      </c>
      <c r="D164" s="215" t="s">
        <v>1110</v>
      </c>
      <c r="G164" s="192"/>
      <c r="H164" s="209"/>
      <c r="I164" s="223" t="s">
        <v>1107</v>
      </c>
      <c r="J164" s="257"/>
      <c r="K164" s="324" t="s">
        <v>1194</v>
      </c>
      <c r="L164" s="257"/>
      <c r="M164" s="257"/>
      <c r="N164" s="257"/>
      <c r="O164" s="292" t="s">
        <v>1110</v>
      </c>
      <c r="P164" s="192"/>
      <c r="Q164" s="207">
        <v>20</v>
      </c>
      <c r="R164" s="199" t="str">
        <f t="shared" si="27"/>
        <v>.0020</v>
      </c>
      <c r="S164" s="192" t="str">
        <f>CONCATENATE(K164)</f>
        <v>SUELO CAL</v>
      </c>
    </row>
    <row r="165" spans="1:19" x14ac:dyDescent="0.2">
      <c r="A165" s="198">
        <v>21</v>
      </c>
      <c r="B165" s="199" t="str">
        <f t="shared" si="25"/>
        <v>II-0014.0021</v>
      </c>
      <c r="C165" s="192" t="str">
        <f t="shared" si="29"/>
        <v>SUELO CEMENTO</v>
      </c>
      <c r="D165" s="215" t="s">
        <v>1110</v>
      </c>
      <c r="G165" s="192"/>
      <c r="H165" s="209"/>
      <c r="I165" s="217" t="s">
        <v>1111</v>
      </c>
      <c r="J165" s="218"/>
      <c r="K165" s="296" t="s">
        <v>1197</v>
      </c>
      <c r="L165" s="218"/>
      <c r="M165" s="218"/>
      <c r="N165" s="218"/>
      <c r="O165" s="251" t="s">
        <v>1110</v>
      </c>
      <c r="P165" s="192"/>
      <c r="Q165" s="207">
        <v>21</v>
      </c>
      <c r="R165" s="199" t="str">
        <f t="shared" si="27"/>
        <v>.0021</v>
      </c>
      <c r="S165" s="192" t="str">
        <f t="shared" ref="S165:S167" si="30">CONCATENATE(K165)</f>
        <v>SUELO CEMENTO</v>
      </c>
    </row>
    <row r="166" spans="1:19" x14ac:dyDescent="0.2">
      <c r="A166" s="198">
        <v>22</v>
      </c>
      <c r="B166" s="199" t="str">
        <f t="shared" si="25"/>
        <v>II-0014.0022</v>
      </c>
      <c r="C166" s="192" t="str">
        <f t="shared" si="29"/>
        <v>SUELO ESCORIA</v>
      </c>
      <c r="D166" s="215" t="s">
        <v>1110</v>
      </c>
      <c r="G166" s="192"/>
      <c r="H166" s="209"/>
      <c r="I166" s="210" t="s">
        <v>1114</v>
      </c>
      <c r="J166" s="257"/>
      <c r="K166" s="324" t="s">
        <v>1259</v>
      </c>
      <c r="L166" s="257"/>
      <c r="M166" s="257"/>
      <c r="N166" s="257"/>
      <c r="O166" s="292" t="s">
        <v>1110</v>
      </c>
      <c r="P166" s="192"/>
      <c r="Q166" s="207">
        <v>22</v>
      </c>
      <c r="R166" s="199" t="str">
        <f t="shared" si="27"/>
        <v>.0022</v>
      </c>
      <c r="S166" s="192" t="str">
        <f t="shared" si="30"/>
        <v>SUELO ESCORIA</v>
      </c>
    </row>
    <row r="167" spans="1:19" x14ac:dyDescent="0.2">
      <c r="A167" s="198">
        <v>23</v>
      </c>
      <c r="B167" s="199" t="str">
        <f t="shared" si="25"/>
        <v>II-0014.0023</v>
      </c>
      <c r="C167" s="192" t="str">
        <f t="shared" si="29"/>
        <v>SUELO SELECCIONADO</v>
      </c>
      <c r="D167" s="215" t="s">
        <v>1110</v>
      </c>
      <c r="G167" s="192"/>
      <c r="H167" s="209"/>
      <c r="I167" s="217" t="s">
        <v>889</v>
      </c>
      <c r="J167" s="218"/>
      <c r="K167" s="296" t="s">
        <v>1200</v>
      </c>
      <c r="L167" s="218"/>
      <c r="M167" s="218"/>
      <c r="N167" s="218"/>
      <c r="O167" s="251" t="s">
        <v>1110</v>
      </c>
      <c r="P167" s="192"/>
      <c r="Q167" s="207">
        <v>23</v>
      </c>
      <c r="R167" s="199" t="str">
        <f t="shared" si="27"/>
        <v>.0023</v>
      </c>
      <c r="S167" s="192" t="str">
        <f t="shared" si="30"/>
        <v>SUELO SELECCIONADO</v>
      </c>
    </row>
    <row r="168" spans="1:19" ht="15.75" thickBot="1" x14ac:dyDescent="0.25">
      <c r="A168" s="198"/>
      <c r="B168" s="199"/>
      <c r="C168" s="200"/>
      <c r="D168" s="215"/>
      <c r="G168" s="192"/>
      <c r="H168" s="209"/>
      <c r="I168" s="216"/>
      <c r="J168" s="218"/>
      <c r="K168" s="296"/>
      <c r="L168" s="218"/>
      <c r="M168" s="218"/>
      <c r="N168" s="218"/>
      <c r="O168" s="251"/>
      <c r="P168" s="192"/>
      <c r="Q168" s="207"/>
      <c r="R168" s="199"/>
      <c r="S168" s="192"/>
    </row>
    <row r="169" spans="1:19" ht="15.75" thickTop="1" x14ac:dyDescent="0.2">
      <c r="A169" s="198">
        <v>15</v>
      </c>
      <c r="B169" s="199" t="s">
        <v>1260</v>
      </c>
      <c r="C169" s="200" t="s">
        <v>1261</v>
      </c>
      <c r="D169" s="215"/>
      <c r="G169" s="192"/>
      <c r="H169" s="287">
        <v>15</v>
      </c>
      <c r="I169" s="237"/>
      <c r="J169" s="297"/>
      <c r="K169" s="298" t="s">
        <v>1261</v>
      </c>
      <c r="L169" s="297"/>
      <c r="M169" s="297"/>
      <c r="N169" s="297"/>
      <c r="O169" s="239"/>
      <c r="P169" s="192"/>
      <c r="Q169" s="207">
        <f>H169</f>
        <v>15</v>
      </c>
      <c r="R169" s="197" t="str">
        <f>CONCATENATE("II-",TEXT(Q169,"0000"))</f>
        <v>II-0015</v>
      </c>
      <c r="S169" s="208" t="str">
        <f>K169</f>
        <v>CALZADA</v>
      </c>
    </row>
    <row r="170" spans="1:19" x14ac:dyDescent="0.2">
      <c r="A170" s="198"/>
      <c r="B170" s="199"/>
      <c r="C170" s="200"/>
      <c r="D170" s="215"/>
      <c r="G170" s="192"/>
      <c r="H170" s="209"/>
      <c r="I170" s="210" t="s">
        <v>999</v>
      </c>
      <c r="J170" s="218"/>
      <c r="K170" s="219" t="s">
        <v>1262</v>
      </c>
      <c r="L170" s="213"/>
      <c r="M170" s="213"/>
      <c r="N170" s="213"/>
      <c r="O170" s="261"/>
      <c r="P170" s="192"/>
      <c r="Q170" s="207"/>
      <c r="R170" s="192"/>
      <c r="S170" s="192"/>
    </row>
    <row r="171" spans="1:19" x14ac:dyDescent="0.2">
      <c r="A171" s="198">
        <v>1</v>
      </c>
      <c r="B171" s="199" t="str">
        <f>CONCATENATE($B$169,".",TEXT(A171,"0000"))</f>
        <v>II-0015.0001</v>
      </c>
      <c r="C171" s="192" t="str">
        <f>CONCATENATE($K$170," ",L171)</f>
        <v>CORRECCION DE AHUELLAMIENTO AGREGADO PETREO Y SUELO</v>
      </c>
      <c r="D171" s="215" t="s">
        <v>1193</v>
      </c>
      <c r="G171" s="192"/>
      <c r="H171" s="209"/>
      <c r="I171" s="216"/>
      <c r="J171" s="217">
        <v>1</v>
      </c>
      <c r="K171" s="218"/>
      <c r="L171" s="296" t="s">
        <v>1258</v>
      </c>
      <c r="M171" s="218"/>
      <c r="N171" s="218"/>
      <c r="O171" s="251" t="s">
        <v>1193</v>
      </c>
      <c r="P171" s="192"/>
      <c r="Q171" s="207"/>
      <c r="R171" s="192"/>
      <c r="S171" s="192"/>
    </row>
    <row r="172" spans="1:19" x14ac:dyDescent="0.2">
      <c r="A172" s="198">
        <v>2</v>
      </c>
      <c r="B172" s="199" t="str">
        <f t="shared" ref="B172:B181" si="31">CONCATENATE($B$169,".",TEXT(A172,"0000"))</f>
        <v>II-0015.0002</v>
      </c>
      <c r="C172" s="192" t="str">
        <f t="shared" ref="C172:C175" si="32">CONCATENATE($K$170," ",L172)</f>
        <v>CORRECCION DE AHUELLAMIENTO FRESADO</v>
      </c>
      <c r="D172" s="215" t="s">
        <v>1193</v>
      </c>
      <c r="G172" s="192"/>
      <c r="H172" s="209"/>
      <c r="I172" s="216"/>
      <c r="J172" s="217">
        <v>2</v>
      </c>
      <c r="K172" s="219"/>
      <c r="L172" s="208" t="s">
        <v>1263</v>
      </c>
      <c r="M172" s="295"/>
      <c r="N172" s="295"/>
      <c r="O172" s="251" t="s">
        <v>1193</v>
      </c>
      <c r="P172" s="192"/>
      <c r="Q172" s="207"/>
      <c r="R172" s="192"/>
      <c r="S172" s="192"/>
    </row>
    <row r="173" spans="1:19" x14ac:dyDescent="0.2">
      <c r="A173" s="198">
        <v>3</v>
      </c>
      <c r="B173" s="199" t="str">
        <f t="shared" si="31"/>
        <v>II-0015.0003</v>
      </c>
      <c r="C173" s="192" t="str">
        <f t="shared" si="32"/>
        <v>CORRECCION DE AHUELLAMIENTO MEZCLA ASFALTICA</v>
      </c>
      <c r="D173" s="215" t="s">
        <v>1193</v>
      </c>
      <c r="G173" s="192"/>
      <c r="H173" s="209"/>
      <c r="I173" s="216"/>
      <c r="J173" s="217">
        <v>3</v>
      </c>
      <c r="K173" s="219"/>
      <c r="L173" s="219" t="s">
        <v>1190</v>
      </c>
      <c r="M173" s="295"/>
      <c r="N173" s="295"/>
      <c r="O173" s="251" t="s">
        <v>1193</v>
      </c>
      <c r="P173" s="192"/>
      <c r="Q173" s="192"/>
      <c r="R173" s="192"/>
      <c r="S173" s="192"/>
    </row>
    <row r="174" spans="1:19" x14ac:dyDescent="0.2">
      <c r="A174" s="198">
        <v>4</v>
      </c>
      <c r="B174" s="199" t="str">
        <f t="shared" si="31"/>
        <v>II-0015.0004</v>
      </c>
      <c r="C174" s="192" t="str">
        <f t="shared" si="32"/>
        <v>CORRECCION DE AHUELLAMIENTO MICROAGLOMERADO</v>
      </c>
      <c r="D174" s="215" t="s">
        <v>1193</v>
      </c>
      <c r="G174" s="192"/>
      <c r="H174" s="209"/>
      <c r="I174" s="216"/>
      <c r="J174" s="307">
        <v>4</v>
      </c>
      <c r="K174" s="219"/>
      <c r="L174" s="219" t="s">
        <v>1264</v>
      </c>
      <c r="M174" s="218"/>
      <c r="N174" s="218"/>
      <c r="O174" s="251" t="s">
        <v>1193</v>
      </c>
      <c r="P174" s="192"/>
      <c r="Q174" s="192"/>
      <c r="R174" s="192"/>
      <c r="S174" s="192"/>
    </row>
    <row r="175" spans="1:19" x14ac:dyDescent="0.2">
      <c r="A175" s="198">
        <v>5</v>
      </c>
      <c r="B175" s="199" t="str">
        <f t="shared" si="31"/>
        <v>II-0015.0005</v>
      </c>
      <c r="C175" s="192" t="str">
        <f t="shared" si="32"/>
        <v>CORRECCION DE AHUELLAMIENTO SUELO CEMENTO</v>
      </c>
      <c r="D175" s="215" t="s">
        <v>1193</v>
      </c>
      <c r="G175" s="192"/>
      <c r="H175" s="209"/>
      <c r="I175" s="228"/>
      <c r="J175" s="308">
        <v>5</v>
      </c>
      <c r="K175" s="225"/>
      <c r="L175" s="225" t="s">
        <v>1197</v>
      </c>
      <c r="M175" s="224"/>
      <c r="N175" s="224"/>
      <c r="O175" s="270" t="s">
        <v>1193</v>
      </c>
      <c r="P175" s="192"/>
      <c r="Q175" s="192"/>
      <c r="R175" s="192"/>
      <c r="S175" s="192"/>
    </row>
    <row r="176" spans="1:19" x14ac:dyDescent="0.2">
      <c r="A176" s="198"/>
      <c r="B176" s="199"/>
      <c r="C176" s="200"/>
      <c r="D176" s="215"/>
      <c r="G176" s="192"/>
      <c r="H176" s="209"/>
      <c r="I176" s="210" t="s">
        <v>1026</v>
      </c>
      <c r="J176" s="215"/>
      <c r="K176" s="219" t="s">
        <v>1265</v>
      </c>
      <c r="L176" s="296"/>
      <c r="M176" s="218"/>
      <c r="N176" s="218"/>
      <c r="O176" s="251"/>
      <c r="P176" s="192"/>
      <c r="Q176" s="192"/>
      <c r="R176" s="192"/>
      <c r="S176" s="192"/>
    </row>
    <row r="177" spans="1:19" x14ac:dyDescent="0.2">
      <c r="A177" s="198">
        <v>11</v>
      </c>
      <c r="B177" s="199" t="str">
        <f t="shared" si="31"/>
        <v>II-0015.0011</v>
      </c>
      <c r="C177" s="192" t="str">
        <f>CONCATENATE($K$176," ",L177)</f>
        <v>CORRECCION DE DEPRESIONES Y DEFORMACIONES AGREGADO PETREO Y SUELO</v>
      </c>
      <c r="D177" s="215" t="s">
        <v>1110</v>
      </c>
      <c r="G177" s="192"/>
      <c r="H177" s="209"/>
      <c r="I177" s="216"/>
      <c r="J177" s="217">
        <v>1</v>
      </c>
      <c r="K177" s="219"/>
      <c r="L177" s="296" t="s">
        <v>1258</v>
      </c>
      <c r="M177" s="295"/>
      <c r="N177" s="295"/>
      <c r="O177" s="251" t="s">
        <v>1110</v>
      </c>
      <c r="P177" s="192"/>
      <c r="Q177" s="192"/>
      <c r="R177" s="192"/>
      <c r="S177" s="192"/>
    </row>
    <row r="178" spans="1:19" x14ac:dyDescent="0.2">
      <c r="A178" s="198">
        <v>12</v>
      </c>
      <c r="B178" s="199" t="str">
        <f t="shared" si="31"/>
        <v>II-0015.0012</v>
      </c>
      <c r="C178" s="192" t="str">
        <f t="shared" ref="C178:C181" si="33">CONCATENATE($K$176," ",L178)</f>
        <v>CORRECCION DE DEPRESIONES Y DEFORMACIONES SUELO CAL</v>
      </c>
      <c r="D178" s="215" t="s">
        <v>1110</v>
      </c>
      <c r="G178" s="192"/>
      <c r="H178" s="209"/>
      <c r="I178" s="216"/>
      <c r="J178" s="217">
        <v>2</v>
      </c>
      <c r="K178" s="219"/>
      <c r="L178" s="296" t="s">
        <v>1194</v>
      </c>
      <c r="M178" s="295"/>
      <c r="N178" s="295"/>
      <c r="O178" s="251" t="s">
        <v>1110</v>
      </c>
      <c r="P178" s="192"/>
      <c r="Q178" s="192"/>
      <c r="R178" s="192"/>
      <c r="S178" s="192"/>
    </row>
    <row r="179" spans="1:19" x14ac:dyDescent="0.2">
      <c r="A179" s="198">
        <v>13</v>
      </c>
      <c r="B179" s="199" t="str">
        <f t="shared" si="31"/>
        <v>II-0015.0013</v>
      </c>
      <c r="C179" s="192" t="str">
        <f t="shared" si="33"/>
        <v>CORRECCION DE DEPRESIONES Y DEFORMACIONES SUELO CEMENTO</v>
      </c>
      <c r="D179" s="215" t="s">
        <v>1110</v>
      </c>
      <c r="G179" s="192"/>
      <c r="H179" s="209"/>
      <c r="I179" s="216"/>
      <c r="J179" s="217">
        <v>3</v>
      </c>
      <c r="K179" s="219"/>
      <c r="L179" s="296" t="s">
        <v>1197</v>
      </c>
      <c r="M179" s="295"/>
      <c r="N179" s="295"/>
      <c r="O179" s="251" t="s">
        <v>1110</v>
      </c>
      <c r="P179" s="192"/>
      <c r="Q179" s="192"/>
      <c r="R179" s="192"/>
      <c r="S179" s="192"/>
    </row>
    <row r="180" spans="1:19" x14ac:dyDescent="0.2">
      <c r="A180" s="198">
        <v>14</v>
      </c>
      <c r="B180" s="199" t="str">
        <f t="shared" si="31"/>
        <v>II-0015.0014</v>
      </c>
      <c r="C180" s="192" t="str">
        <f t="shared" si="33"/>
        <v>CORRECCION DE DEPRESIONES Y DEFORMACIONES SUELO ESCORIA</v>
      </c>
      <c r="D180" s="215" t="s">
        <v>1110</v>
      </c>
      <c r="G180" s="192"/>
      <c r="H180" s="209"/>
      <c r="I180" s="216"/>
      <c r="J180" s="307">
        <v>4</v>
      </c>
      <c r="K180" s="219"/>
      <c r="L180" s="296" t="s">
        <v>1259</v>
      </c>
      <c r="M180" s="218"/>
      <c r="N180" s="218"/>
      <c r="O180" s="251" t="s">
        <v>1110</v>
      </c>
      <c r="P180" s="192"/>
      <c r="Q180" s="192"/>
      <c r="R180" s="192"/>
      <c r="S180" s="192"/>
    </row>
    <row r="181" spans="1:19" x14ac:dyDescent="0.2">
      <c r="A181" s="198">
        <v>15</v>
      </c>
      <c r="B181" s="199" t="str">
        <f t="shared" si="31"/>
        <v>II-0015.0015</v>
      </c>
      <c r="C181" s="192" t="str">
        <f t="shared" si="33"/>
        <v>CORRECCION DE DEPRESIONES Y DEFORMACIONES SUELO SELECCIONADO</v>
      </c>
      <c r="D181" s="215" t="s">
        <v>1110</v>
      </c>
      <c r="G181" s="192"/>
      <c r="H181" s="209"/>
      <c r="I181" s="228"/>
      <c r="J181" s="308">
        <v>5</v>
      </c>
      <c r="K181" s="225"/>
      <c r="L181" s="309" t="s">
        <v>1200</v>
      </c>
      <c r="M181" s="224"/>
      <c r="N181" s="224"/>
      <c r="O181" s="270" t="s">
        <v>1110</v>
      </c>
      <c r="P181" s="192"/>
      <c r="Q181" s="192"/>
      <c r="R181" s="192"/>
      <c r="S181" s="192"/>
    </row>
    <row r="182" spans="1:19" ht="15.75" thickBot="1" x14ac:dyDescent="0.25">
      <c r="A182" s="198"/>
      <c r="B182" s="221"/>
      <c r="C182" s="222"/>
      <c r="D182" s="215" t="s">
        <v>975</v>
      </c>
      <c r="G182" s="192"/>
      <c r="H182" s="229"/>
      <c r="I182" s="241" t="s">
        <v>1062</v>
      </c>
      <c r="J182" s="313"/>
      <c r="K182" s="233" t="s">
        <v>1266</v>
      </c>
      <c r="L182" s="315"/>
      <c r="M182" s="232"/>
      <c r="N182" s="232"/>
      <c r="O182" s="317" t="s">
        <v>975</v>
      </c>
      <c r="P182" s="192"/>
      <c r="Q182" s="192"/>
      <c r="R182" s="192"/>
      <c r="S182" s="192"/>
    </row>
    <row r="183" spans="1:19" ht="15.75" thickTop="1" x14ac:dyDescent="0.2">
      <c r="A183" s="198">
        <v>16</v>
      </c>
      <c r="B183" s="199" t="s">
        <v>1267</v>
      </c>
      <c r="C183" s="200" t="s">
        <v>1268</v>
      </c>
      <c r="D183" s="215"/>
      <c r="G183" s="192"/>
      <c r="H183" s="236">
        <v>16</v>
      </c>
      <c r="I183" s="238"/>
      <c r="J183" s="249"/>
      <c r="K183" s="306" t="s">
        <v>1268</v>
      </c>
      <c r="L183" s="249"/>
      <c r="M183" s="249"/>
      <c r="N183" s="249"/>
      <c r="O183" s="260"/>
      <c r="P183" s="192"/>
      <c r="Q183" s="207">
        <f>H183</f>
        <v>16</v>
      </c>
      <c r="R183" s="197" t="str">
        <f>CONCATENATE("II-",TEXT(Q183,"0000"))</f>
        <v>II-0016</v>
      </c>
      <c r="S183" s="208" t="str">
        <f>K183</f>
        <v>CAMARA DE INSPECCION</v>
      </c>
    </row>
    <row r="184" spans="1:19" ht="15.75" thickBot="1" x14ac:dyDescent="0.25">
      <c r="A184" s="198">
        <v>1</v>
      </c>
      <c r="B184" s="199" t="str">
        <f>CONCATENATE($B$183,".",TEXT(A184,"0000"))</f>
        <v>II-0016.0001</v>
      </c>
      <c r="C184" s="192" t="str">
        <f>CONCATENATE("S/PLANO ",K184)</f>
        <v>S/PLANO H-2465</v>
      </c>
      <c r="D184" s="215" t="s">
        <v>5</v>
      </c>
      <c r="G184" s="192"/>
      <c r="H184" s="240"/>
      <c r="I184" s="241" t="s">
        <v>999</v>
      </c>
      <c r="J184" s="244"/>
      <c r="K184" s="280" t="s">
        <v>1269</v>
      </c>
      <c r="L184" s="244"/>
      <c r="M184" s="244"/>
      <c r="N184" s="244"/>
      <c r="O184" s="318" t="s">
        <v>5</v>
      </c>
      <c r="P184" s="192"/>
      <c r="Q184" s="192"/>
      <c r="R184" s="192"/>
      <c r="S184" s="192"/>
    </row>
    <row r="185" spans="1:19" ht="15.75" thickTop="1" x14ac:dyDescent="0.2">
      <c r="A185" s="198">
        <v>17</v>
      </c>
      <c r="B185" s="199" t="s">
        <v>1270</v>
      </c>
      <c r="C185" s="200" t="s">
        <v>1271</v>
      </c>
      <c r="D185" s="215"/>
      <c r="G185" s="192"/>
      <c r="H185" s="236">
        <v>17</v>
      </c>
      <c r="I185" s="238"/>
      <c r="J185" s="249"/>
      <c r="K185" s="306" t="s">
        <v>1271</v>
      </c>
      <c r="L185" s="249"/>
      <c r="M185" s="249"/>
      <c r="N185" s="249"/>
      <c r="O185" s="260"/>
      <c r="P185" s="192"/>
      <c r="Q185" s="207">
        <f>H185</f>
        <v>17</v>
      </c>
      <c r="R185" s="197" t="str">
        <f>CONCATENATE("II-",TEXT(Q185,"0000"))</f>
        <v>II-0017</v>
      </c>
      <c r="S185" s="208" t="str">
        <f>K185</f>
        <v>CARPETA</v>
      </c>
    </row>
    <row r="186" spans="1:19" x14ac:dyDescent="0.2">
      <c r="A186" s="198"/>
      <c r="B186" s="199"/>
      <c r="C186" s="200"/>
      <c r="D186" s="215"/>
      <c r="G186" s="192"/>
      <c r="H186" s="209"/>
      <c r="I186" s="210" t="s">
        <v>999</v>
      </c>
      <c r="J186" s="215"/>
      <c r="K186" s="219" t="s">
        <v>1272</v>
      </c>
      <c r="L186" s="296"/>
      <c r="M186" s="218"/>
      <c r="N186" s="218"/>
      <c r="O186" s="251"/>
      <c r="P186" s="192"/>
      <c r="Q186" s="192"/>
      <c r="R186" s="192"/>
      <c r="S186" s="192"/>
    </row>
    <row r="187" spans="1:19" x14ac:dyDescent="0.2">
      <c r="A187" s="198">
        <v>1</v>
      </c>
      <c r="B187" s="199" t="str">
        <f>CONCATENATE($B$185,".",TEXT(A187,"0000"))</f>
        <v>II-0017.0001</v>
      </c>
      <c r="C187" s="192" t="str">
        <f>CONCATENATE($K$186," ",L187)</f>
        <v>MEZCLA BITUMINOSA DE CONCRETO ASFALTICO MEZCLA EN CALIENTE</v>
      </c>
      <c r="D187" s="215" t="s">
        <v>1193</v>
      </c>
      <c r="G187" s="192"/>
      <c r="H187" s="209"/>
      <c r="I187" s="216"/>
      <c r="J187" s="217">
        <v>1</v>
      </c>
      <c r="K187" s="219"/>
      <c r="L187" s="296" t="s">
        <v>1273</v>
      </c>
      <c r="M187" s="295"/>
      <c r="N187" s="218"/>
      <c r="O187" s="251" t="s">
        <v>1193</v>
      </c>
      <c r="P187" s="192"/>
      <c r="Q187" s="192"/>
      <c r="R187" s="192"/>
      <c r="S187" s="192"/>
    </row>
    <row r="188" spans="1:19" x14ac:dyDescent="0.2">
      <c r="A188" s="198">
        <v>2</v>
      </c>
      <c r="B188" s="199" t="str">
        <f t="shared" ref="B188:B192" si="34">CONCATENATE($B$185,".",TEXT(A188,"0000"))</f>
        <v>II-0017.0002</v>
      </c>
      <c r="C188" s="192" t="str">
        <f>CONCATENATE($K$186," ",L188)</f>
        <v>MEZCLA BITUMINOSA DE CONCRETO ASFALTICO MEZCLA EN FRIO</v>
      </c>
      <c r="D188" s="215" t="s">
        <v>1193</v>
      </c>
      <c r="G188" s="192"/>
      <c r="H188" s="209"/>
      <c r="I188" s="216"/>
      <c r="J188" s="223">
        <v>2</v>
      </c>
      <c r="K188" s="225"/>
      <c r="L188" s="225" t="s">
        <v>1274</v>
      </c>
      <c r="M188" s="224"/>
      <c r="N188" s="224"/>
      <c r="O188" s="270" t="s">
        <v>1193</v>
      </c>
      <c r="P188" s="192"/>
      <c r="Q188" s="192"/>
      <c r="R188" s="192"/>
      <c r="S188" s="192"/>
    </row>
    <row r="189" spans="1:19" x14ac:dyDescent="0.2">
      <c r="A189" s="198"/>
      <c r="B189" s="199"/>
      <c r="C189" s="200"/>
      <c r="D189" s="215"/>
      <c r="G189" s="192"/>
      <c r="H189" s="209"/>
      <c r="I189" s="210" t="s">
        <v>1026</v>
      </c>
      <c r="J189" s="215"/>
      <c r="K189" s="219" t="s">
        <v>1275</v>
      </c>
      <c r="L189" s="296"/>
      <c r="M189" s="218"/>
      <c r="N189" s="218"/>
      <c r="O189" s="251"/>
      <c r="P189" s="192"/>
      <c r="Q189" s="192"/>
      <c r="R189" s="192"/>
      <c r="S189" s="192"/>
    </row>
    <row r="190" spans="1:19" x14ac:dyDescent="0.2">
      <c r="A190" s="198">
        <v>11</v>
      </c>
      <c r="B190" s="199" t="str">
        <f t="shared" si="34"/>
        <v>II-0017.0011</v>
      </c>
      <c r="C190" s="192" t="str">
        <f>CONCATENATE($K$189," ",L190)</f>
        <v>CARPETA DE BAJO ESPESOR MEZCLA EN CALIENTE</v>
      </c>
      <c r="D190" s="215" t="s">
        <v>1193</v>
      </c>
      <c r="G190" s="192"/>
      <c r="H190" s="209"/>
      <c r="I190" s="216"/>
      <c r="J190" s="217">
        <v>1</v>
      </c>
      <c r="K190" s="219"/>
      <c r="L190" s="296" t="s">
        <v>1273</v>
      </c>
      <c r="M190" s="295"/>
      <c r="N190" s="295"/>
      <c r="O190" s="251" t="s">
        <v>1193</v>
      </c>
      <c r="P190" s="192"/>
      <c r="Q190" s="192"/>
      <c r="R190" s="192"/>
      <c r="S190" s="192"/>
    </row>
    <row r="191" spans="1:19" x14ac:dyDescent="0.2">
      <c r="A191" s="198">
        <v>12</v>
      </c>
      <c r="B191" s="199" t="str">
        <f t="shared" si="34"/>
        <v>II-0017.0012</v>
      </c>
      <c r="C191" s="192" t="str">
        <f t="shared" ref="C191:C192" si="35">CONCATENATE($K$189," ",L191)</f>
        <v>CARPETA DE BAJO ESPESOR MEZCLA EN FRIO</v>
      </c>
      <c r="D191" s="215" t="s">
        <v>1193</v>
      </c>
      <c r="G191" s="192"/>
      <c r="H191" s="209"/>
      <c r="I191" s="216"/>
      <c r="J191" s="217">
        <v>2</v>
      </c>
      <c r="K191" s="219"/>
      <c r="L191" s="296" t="s">
        <v>1274</v>
      </c>
      <c r="M191" s="295"/>
      <c r="N191" s="295"/>
      <c r="O191" s="251" t="s">
        <v>1193</v>
      </c>
      <c r="P191" s="192"/>
      <c r="Q191" s="192"/>
      <c r="R191" s="192"/>
      <c r="S191" s="192"/>
    </row>
    <row r="192" spans="1:19" ht="15.75" thickBot="1" x14ac:dyDescent="0.25">
      <c r="A192" s="198">
        <v>13</v>
      </c>
      <c r="B192" s="199" t="str">
        <f t="shared" si="34"/>
        <v>II-0017.0013</v>
      </c>
      <c r="C192" s="192" t="str">
        <f t="shared" si="35"/>
        <v>CARPETA DE BAJO ESPESOR MICROAGLOMERADO</v>
      </c>
      <c r="D192" s="215" t="s">
        <v>1193</v>
      </c>
      <c r="G192" s="192"/>
      <c r="H192" s="209"/>
      <c r="I192" s="216"/>
      <c r="J192" s="217">
        <v>3</v>
      </c>
      <c r="K192" s="219"/>
      <c r="L192" s="296" t="s">
        <v>1264</v>
      </c>
      <c r="M192" s="295"/>
      <c r="N192" s="295"/>
      <c r="O192" s="251" t="s">
        <v>1193</v>
      </c>
      <c r="P192" s="192"/>
      <c r="Q192" s="192"/>
      <c r="R192" s="192"/>
      <c r="S192" s="192"/>
    </row>
    <row r="193" spans="1:19" ht="15.75" thickTop="1" x14ac:dyDescent="0.2">
      <c r="A193" s="198">
        <v>18</v>
      </c>
      <c r="B193" s="199" t="s">
        <v>1276</v>
      </c>
      <c r="C193" s="200" t="s">
        <v>1277</v>
      </c>
      <c r="D193" s="215"/>
      <c r="G193" s="192"/>
      <c r="H193" s="287">
        <v>18</v>
      </c>
      <c r="I193" s="237"/>
      <c r="J193" s="297"/>
      <c r="K193" s="298" t="s">
        <v>1277</v>
      </c>
      <c r="L193" s="297"/>
      <c r="M193" s="297"/>
      <c r="N193" s="297"/>
      <c r="O193" s="239"/>
      <c r="P193" s="192"/>
      <c r="Q193" s="207">
        <f>H193</f>
        <v>18</v>
      </c>
      <c r="R193" s="197" t="str">
        <f>CONCATENATE("II-",TEXT(Q193,"0000"))</f>
        <v>II-0018</v>
      </c>
      <c r="S193" s="208" t="str">
        <f>K193</f>
        <v>COLCHONETA ( PIEDRA EMBOLSADA)</v>
      </c>
    </row>
    <row r="194" spans="1:19" x14ac:dyDescent="0.2">
      <c r="A194" s="198">
        <v>1</v>
      </c>
      <c r="B194" s="199" t="str">
        <f>CONCATENATE($B$193,".",TEXT(A194,"0000"))</f>
        <v>II-0018.0001</v>
      </c>
      <c r="C194" s="192" t="str">
        <f>CONCATENATE(K194," ",L194)</f>
        <v xml:space="preserve">ELECTROSOLDADA </v>
      </c>
      <c r="D194" s="215" t="s">
        <v>1110</v>
      </c>
      <c r="G194" s="192"/>
      <c r="H194" s="327"/>
      <c r="I194" s="210" t="s">
        <v>999</v>
      </c>
      <c r="J194" s="257"/>
      <c r="K194" s="278" t="s">
        <v>1278</v>
      </c>
      <c r="L194" s="257"/>
      <c r="M194" s="257"/>
      <c r="N194" s="257"/>
      <c r="O194" s="292" t="s">
        <v>1110</v>
      </c>
      <c r="P194" s="192"/>
      <c r="Q194" s="192"/>
      <c r="R194" s="192"/>
      <c r="S194" s="192"/>
    </row>
    <row r="195" spans="1:19" x14ac:dyDescent="0.2">
      <c r="A195" s="198">
        <v>2</v>
      </c>
      <c r="B195" s="199" t="str">
        <f t="shared" ref="B195:B197" si="36">CONCATENATE($B$193,".",TEXT(A195,"0000"))</f>
        <v>II-0018.0002</v>
      </c>
      <c r="C195" s="192" t="str">
        <f t="shared" ref="C195:C197" si="37">CONCATENATE(K195," ",L195)</f>
        <v xml:space="preserve">MALLA HEXAGONAL </v>
      </c>
      <c r="D195" s="215" t="s">
        <v>1110</v>
      </c>
      <c r="G195" s="192"/>
      <c r="H195" s="272"/>
      <c r="I195" s="210" t="s">
        <v>1026</v>
      </c>
      <c r="J195" s="257"/>
      <c r="K195" s="278" t="s">
        <v>1279</v>
      </c>
      <c r="L195" s="257"/>
      <c r="M195" s="257"/>
      <c r="N195" s="257"/>
      <c r="O195" s="292" t="s">
        <v>1110</v>
      </c>
      <c r="P195" s="192"/>
      <c r="Q195" s="192"/>
      <c r="R195" s="192"/>
      <c r="S195" s="192"/>
    </row>
    <row r="196" spans="1:19" x14ac:dyDescent="0.2">
      <c r="A196" s="198">
        <v>3</v>
      </c>
      <c r="B196" s="199" t="str">
        <f t="shared" si="36"/>
        <v>II-0018.0003</v>
      </c>
      <c r="C196" s="192" t="str">
        <f t="shared" si="37"/>
        <v xml:space="preserve">REPARACION </v>
      </c>
      <c r="D196" s="215" t="s">
        <v>1110</v>
      </c>
      <c r="G196" s="192"/>
      <c r="H196" s="272"/>
      <c r="I196" s="210" t="s">
        <v>1036</v>
      </c>
      <c r="J196" s="257"/>
      <c r="K196" s="278" t="s">
        <v>1113</v>
      </c>
      <c r="L196" s="257"/>
      <c r="M196" s="257"/>
      <c r="N196" s="257"/>
      <c r="O196" s="292" t="s">
        <v>1110</v>
      </c>
      <c r="P196" s="192"/>
      <c r="Q196" s="192"/>
      <c r="R196" s="192"/>
      <c r="S196" s="192"/>
    </row>
    <row r="197" spans="1:19" x14ac:dyDescent="0.2">
      <c r="A197" s="198">
        <v>4</v>
      </c>
      <c r="B197" s="199" t="str">
        <f t="shared" si="36"/>
        <v>II-0018.0004</v>
      </c>
      <c r="C197" s="192" t="str">
        <f t="shared" si="37"/>
        <v xml:space="preserve">RETIRO  </v>
      </c>
      <c r="D197" s="215" t="s">
        <v>1110</v>
      </c>
      <c r="G197" s="192"/>
      <c r="H197" s="272"/>
      <c r="I197" s="210" t="s">
        <v>1062</v>
      </c>
      <c r="J197" s="257"/>
      <c r="K197" s="278" t="s">
        <v>1118</v>
      </c>
      <c r="L197" s="257"/>
      <c r="M197" s="257"/>
      <c r="N197" s="257"/>
      <c r="O197" s="292" t="s">
        <v>1110</v>
      </c>
      <c r="P197" s="192"/>
      <c r="Q197" s="192"/>
      <c r="R197" s="192"/>
      <c r="S197" s="192"/>
    </row>
    <row r="198" spans="1:19" ht="15.75" thickBot="1" x14ac:dyDescent="0.25">
      <c r="A198" s="198"/>
      <c r="B198" s="199"/>
      <c r="C198" s="200"/>
      <c r="D198" s="215" t="s">
        <v>1110</v>
      </c>
      <c r="G198" s="192"/>
      <c r="H198" s="279"/>
      <c r="I198" s="241" t="s">
        <v>1104</v>
      </c>
      <c r="J198" s="244"/>
      <c r="K198" s="280" t="s">
        <v>1236</v>
      </c>
      <c r="L198" s="244"/>
      <c r="M198" s="244"/>
      <c r="N198" s="244"/>
      <c r="O198" s="318" t="s">
        <v>1110</v>
      </c>
      <c r="P198" s="192"/>
      <c r="Q198" s="192"/>
      <c r="R198" s="192"/>
      <c r="S198" s="192"/>
    </row>
    <row r="199" spans="1:19" ht="15.75" thickTop="1" x14ac:dyDescent="0.2">
      <c r="A199" s="198">
        <v>19</v>
      </c>
      <c r="B199" s="199" t="s">
        <v>1280</v>
      </c>
      <c r="C199" s="200" t="s">
        <v>1281</v>
      </c>
      <c r="D199" s="215"/>
      <c r="G199" s="218"/>
      <c r="H199" s="236">
        <v>19</v>
      </c>
      <c r="I199" s="238"/>
      <c r="J199" s="249"/>
      <c r="K199" s="306" t="s">
        <v>1281</v>
      </c>
      <c r="L199" s="249"/>
      <c r="M199" s="249"/>
      <c r="N199" s="249"/>
      <c r="O199" s="260"/>
      <c r="P199" s="218"/>
      <c r="Q199" s="207">
        <f>H199</f>
        <v>19</v>
      </c>
      <c r="R199" s="197" t="str">
        <f>CONCATENATE("II-",TEXT(Q199,"0000"))</f>
        <v>II-0019</v>
      </c>
      <c r="S199" s="208" t="str">
        <f>K199</f>
        <v>CORDONES</v>
      </c>
    </row>
    <row r="200" spans="1:19" x14ac:dyDescent="0.2">
      <c r="A200" s="198"/>
      <c r="B200" s="199"/>
      <c r="C200" s="200"/>
      <c r="D200" s="215"/>
      <c r="G200" s="218"/>
      <c r="H200" s="250"/>
      <c r="I200" s="210" t="s">
        <v>999</v>
      </c>
      <c r="J200" s="216"/>
      <c r="K200" s="219" t="s">
        <v>1282</v>
      </c>
      <c r="L200" s="218"/>
      <c r="M200" s="218"/>
      <c r="N200" s="218"/>
      <c r="O200" s="251"/>
      <c r="P200" s="218"/>
      <c r="Q200" s="218"/>
      <c r="R200" s="218"/>
      <c r="S200" s="218"/>
    </row>
    <row r="201" spans="1:19" x14ac:dyDescent="0.2">
      <c r="A201" s="198">
        <v>1</v>
      </c>
      <c r="B201" s="200"/>
      <c r="C201" s="192" t="str">
        <f>CONCATENATE("S/PLANO ",$K$200," - TIPO ",L201 )</f>
        <v>S/PLANO H-8431 - TIPO A</v>
      </c>
      <c r="D201" s="215" t="s">
        <v>1235</v>
      </c>
      <c r="G201" s="192"/>
      <c r="H201" s="209"/>
      <c r="I201" s="216"/>
      <c r="J201" s="217">
        <v>1</v>
      </c>
      <c r="K201" s="218"/>
      <c r="L201" s="219" t="s">
        <v>999</v>
      </c>
      <c r="M201" s="218"/>
      <c r="N201" s="218"/>
      <c r="O201" s="251" t="s">
        <v>1235</v>
      </c>
      <c r="P201" s="192"/>
      <c r="Q201" s="192"/>
      <c r="R201" s="192"/>
      <c r="S201" s="192"/>
    </row>
    <row r="202" spans="1:19" x14ac:dyDescent="0.2">
      <c r="A202" s="198">
        <v>2</v>
      </c>
      <c r="B202" s="199"/>
      <c r="C202" s="192" t="str">
        <f t="shared" ref="C202:C203" si="38">CONCATENATE("S/PLANO ",$K$200," - TIPO ",L202 )</f>
        <v>S/PLANO H-8431 - TIPO B</v>
      </c>
      <c r="D202" s="215" t="s">
        <v>1235</v>
      </c>
      <c r="G202" s="192"/>
      <c r="H202" s="209"/>
      <c r="I202" s="216"/>
      <c r="J202" s="217">
        <v>2</v>
      </c>
      <c r="K202" s="218"/>
      <c r="L202" s="219" t="s">
        <v>1026</v>
      </c>
      <c r="M202" s="218"/>
      <c r="N202" s="218"/>
      <c r="O202" s="251" t="s">
        <v>1235</v>
      </c>
      <c r="P202" s="192"/>
      <c r="Q202" s="192"/>
      <c r="R202" s="192"/>
      <c r="S202" s="192"/>
    </row>
    <row r="203" spans="1:19" ht="15.75" thickBot="1" x14ac:dyDescent="0.25">
      <c r="A203" s="198">
        <v>3</v>
      </c>
      <c r="B203" s="200"/>
      <c r="C203" s="192" t="str">
        <f t="shared" si="38"/>
        <v>S/PLANO H-8431 - TIPO C</v>
      </c>
      <c r="D203" s="215" t="s">
        <v>1235</v>
      </c>
      <c r="G203" s="192"/>
      <c r="H203" s="262"/>
      <c r="I203" s="263"/>
      <c r="J203" s="264">
        <v>3</v>
      </c>
      <c r="K203" s="265"/>
      <c r="L203" s="266" t="s">
        <v>1036</v>
      </c>
      <c r="M203" s="265"/>
      <c r="N203" s="265"/>
      <c r="O203" s="320" t="s">
        <v>1235</v>
      </c>
      <c r="P203" s="192"/>
      <c r="Q203" s="192"/>
      <c r="R203" s="192"/>
      <c r="S203" s="192"/>
    </row>
    <row r="204" spans="1:19" x14ac:dyDescent="0.2">
      <c r="A204" s="198"/>
      <c r="B204" s="199"/>
      <c r="C204" s="200"/>
      <c r="D204" s="215"/>
      <c r="G204" s="192"/>
      <c r="H204" s="196"/>
      <c r="I204" s="197"/>
      <c r="J204" s="192"/>
      <c r="K204" s="192"/>
      <c r="L204" s="192"/>
      <c r="M204" s="192"/>
      <c r="N204" s="192"/>
      <c r="O204" s="195"/>
      <c r="P204" s="192"/>
      <c r="Q204" s="192"/>
      <c r="R204" s="192"/>
      <c r="S204" s="192"/>
    </row>
    <row r="205" spans="1:19" x14ac:dyDescent="0.2">
      <c r="A205" s="198"/>
      <c r="B205" s="191"/>
      <c r="C205" s="200"/>
      <c r="D205" s="215"/>
      <c r="G205" s="218"/>
      <c r="H205" s="236">
        <v>19</v>
      </c>
      <c r="I205" s="238"/>
      <c r="J205" s="249"/>
      <c r="K205" s="306" t="s">
        <v>1281</v>
      </c>
      <c r="L205" s="249"/>
      <c r="M205" s="249"/>
      <c r="N205" s="249"/>
      <c r="O205" s="260"/>
      <c r="P205" s="218"/>
      <c r="Q205" s="218"/>
      <c r="R205" s="218"/>
      <c r="S205" s="218"/>
    </row>
    <row r="206" spans="1:19" x14ac:dyDescent="0.2">
      <c r="A206" s="198"/>
      <c r="B206" s="199"/>
      <c r="C206" s="200"/>
      <c r="D206" s="215"/>
      <c r="G206" s="295"/>
      <c r="H206" s="293"/>
      <c r="I206" s="210" t="s">
        <v>999</v>
      </c>
      <c r="J206" s="216"/>
      <c r="K206" s="219" t="s">
        <v>1282</v>
      </c>
      <c r="L206" s="295"/>
      <c r="M206" s="295"/>
      <c r="N206" s="295"/>
      <c r="O206" s="282"/>
      <c r="P206" s="295"/>
      <c r="Q206" s="295"/>
      <c r="R206" s="295"/>
      <c r="S206" s="295"/>
    </row>
    <row r="207" spans="1:19" x14ac:dyDescent="0.2">
      <c r="A207" s="198"/>
      <c r="B207" s="191"/>
      <c r="C207" s="200"/>
      <c r="D207" s="215" t="s">
        <v>1235</v>
      </c>
      <c r="G207" s="192"/>
      <c r="H207" s="209"/>
      <c r="I207" s="216"/>
      <c r="J207" s="307">
        <v>4</v>
      </c>
      <c r="K207" s="218"/>
      <c r="L207" s="219" t="s">
        <v>1062</v>
      </c>
      <c r="M207" s="218"/>
      <c r="N207" s="218"/>
      <c r="O207" s="251" t="s">
        <v>1235</v>
      </c>
      <c r="P207" s="192"/>
      <c r="Q207" s="192"/>
      <c r="R207" s="192"/>
      <c r="S207" s="192"/>
    </row>
    <row r="208" spans="1:19" x14ac:dyDescent="0.2">
      <c r="A208" s="198"/>
      <c r="B208" s="199"/>
      <c r="C208" s="200"/>
      <c r="D208" s="215" t="s">
        <v>1235</v>
      </c>
      <c r="G208" s="192"/>
      <c r="H208" s="209"/>
      <c r="I208" s="216"/>
      <c r="J208" s="307">
        <v>5</v>
      </c>
      <c r="K208" s="218"/>
      <c r="L208" s="219" t="s">
        <v>1104</v>
      </c>
      <c r="M208" s="218"/>
      <c r="N208" s="218"/>
      <c r="O208" s="251" t="s">
        <v>1235</v>
      </c>
      <c r="P208" s="192"/>
      <c r="Q208" s="192"/>
      <c r="R208" s="192"/>
      <c r="S208" s="192"/>
    </row>
    <row r="209" spans="1:19" x14ac:dyDescent="0.2">
      <c r="A209" s="198"/>
      <c r="B209" s="191"/>
      <c r="C209" s="200"/>
      <c r="D209" s="215" t="s">
        <v>1235</v>
      </c>
      <c r="G209" s="192"/>
      <c r="H209" s="209"/>
      <c r="I209" s="216"/>
      <c r="J209" s="307">
        <v>6</v>
      </c>
      <c r="K209" s="218"/>
      <c r="L209" s="219" t="s">
        <v>1107</v>
      </c>
      <c r="M209" s="218"/>
      <c r="N209" s="218"/>
      <c r="O209" s="251" t="s">
        <v>1235</v>
      </c>
      <c r="P209" s="192"/>
      <c r="Q209" s="192"/>
      <c r="R209" s="192"/>
      <c r="S209" s="192"/>
    </row>
    <row r="210" spans="1:19" x14ac:dyDescent="0.2">
      <c r="A210" s="198"/>
      <c r="B210" s="191"/>
      <c r="C210" s="200"/>
      <c r="D210" s="215" t="s">
        <v>1235</v>
      </c>
      <c r="G210" s="192"/>
      <c r="H210" s="209"/>
      <c r="I210" s="216"/>
      <c r="J210" s="307">
        <v>7</v>
      </c>
      <c r="K210" s="218"/>
      <c r="L210" s="219" t="s">
        <v>1111</v>
      </c>
      <c r="M210" s="218"/>
      <c r="N210" s="218"/>
      <c r="O210" s="251" t="s">
        <v>1235</v>
      </c>
      <c r="P210" s="192"/>
      <c r="Q210" s="192"/>
      <c r="R210" s="192"/>
      <c r="S210" s="192"/>
    </row>
    <row r="211" spans="1:19" x14ac:dyDescent="0.2">
      <c r="A211" s="198"/>
      <c r="B211" s="221"/>
      <c r="C211" s="222"/>
      <c r="D211" s="215" t="s">
        <v>1235</v>
      </c>
      <c r="G211" s="192"/>
      <c r="H211" s="209"/>
      <c r="I211" s="216"/>
      <c r="J211" s="307">
        <v>8</v>
      </c>
      <c r="K211" s="218"/>
      <c r="L211" s="219" t="s">
        <v>1114</v>
      </c>
      <c r="M211" s="218"/>
      <c r="N211" s="218"/>
      <c r="O211" s="251" t="s">
        <v>1235</v>
      </c>
      <c r="P211" s="192"/>
      <c r="Q211" s="192"/>
      <c r="R211" s="192"/>
      <c r="S211" s="192"/>
    </row>
    <row r="212" spans="1:19" x14ac:dyDescent="0.2">
      <c r="A212" s="198"/>
      <c r="B212" s="199"/>
      <c r="C212" s="200"/>
      <c r="D212" s="215" t="s">
        <v>1235</v>
      </c>
      <c r="G212" s="192"/>
      <c r="H212" s="209"/>
      <c r="I212" s="216"/>
      <c r="J212" s="307">
        <v>9</v>
      </c>
      <c r="K212" s="218"/>
      <c r="L212" s="219" t="s">
        <v>889</v>
      </c>
      <c r="M212" s="218"/>
      <c r="N212" s="218"/>
      <c r="O212" s="251" t="s">
        <v>1235</v>
      </c>
      <c r="P212" s="192"/>
      <c r="Q212" s="192"/>
      <c r="R212" s="192"/>
      <c r="S212" s="192"/>
    </row>
    <row r="213" spans="1:19" x14ac:dyDescent="0.2">
      <c r="A213" s="198"/>
      <c r="B213" s="199"/>
      <c r="C213" s="200"/>
      <c r="D213" s="215" t="s">
        <v>1235</v>
      </c>
      <c r="G213" s="192"/>
      <c r="H213" s="209"/>
      <c r="I213" s="228"/>
      <c r="J213" s="308">
        <v>10</v>
      </c>
      <c r="K213" s="224"/>
      <c r="L213" s="225" t="s">
        <v>1119</v>
      </c>
      <c r="M213" s="224"/>
      <c r="N213" s="224"/>
      <c r="O213" s="270" t="s">
        <v>1235</v>
      </c>
      <c r="P213" s="192"/>
      <c r="Q213" s="192"/>
      <c r="R213" s="192"/>
      <c r="S213" s="192"/>
    </row>
    <row r="214" spans="1:19" x14ac:dyDescent="0.2">
      <c r="A214" s="198"/>
      <c r="B214" s="199"/>
      <c r="C214" s="200"/>
      <c r="D214" s="215" t="s">
        <v>1235</v>
      </c>
      <c r="G214" s="192"/>
      <c r="H214" s="209"/>
      <c r="I214" s="223" t="s">
        <v>1026</v>
      </c>
      <c r="J214" s="216"/>
      <c r="K214" s="219" t="s">
        <v>1283</v>
      </c>
      <c r="L214" s="218"/>
      <c r="M214" s="218"/>
      <c r="N214" s="218"/>
      <c r="O214" s="251" t="s">
        <v>1235</v>
      </c>
      <c r="P214" s="192"/>
      <c r="Q214" s="192"/>
      <c r="R214" s="192"/>
      <c r="S214" s="192"/>
    </row>
    <row r="215" spans="1:19" x14ac:dyDescent="0.2">
      <c r="A215" s="198"/>
      <c r="B215" s="199"/>
      <c r="C215" s="200"/>
      <c r="D215" s="215" t="s">
        <v>1235</v>
      </c>
      <c r="G215" s="192"/>
      <c r="H215" s="209"/>
      <c r="I215" s="216"/>
      <c r="J215" s="217">
        <v>1</v>
      </c>
      <c r="K215" s="218"/>
      <c r="L215" s="219" t="s">
        <v>999</v>
      </c>
      <c r="M215" s="218"/>
      <c r="N215" s="218"/>
      <c r="O215" s="251" t="s">
        <v>1235</v>
      </c>
      <c r="P215" s="192"/>
      <c r="Q215" s="192"/>
      <c r="R215" s="192"/>
      <c r="S215" s="192"/>
    </row>
    <row r="216" spans="1:19" x14ac:dyDescent="0.2">
      <c r="A216" s="198"/>
      <c r="B216" s="199"/>
      <c r="C216" s="200"/>
      <c r="D216" s="215" t="s">
        <v>1235</v>
      </c>
      <c r="G216" s="192"/>
      <c r="H216" s="209"/>
      <c r="I216" s="216"/>
      <c r="J216" s="217">
        <v>2</v>
      </c>
      <c r="K216" s="218"/>
      <c r="L216" s="219" t="s">
        <v>1026</v>
      </c>
      <c r="M216" s="218"/>
      <c r="N216" s="218"/>
      <c r="O216" s="251" t="s">
        <v>1235</v>
      </c>
      <c r="P216" s="192"/>
      <c r="Q216" s="192"/>
      <c r="R216" s="192"/>
      <c r="S216" s="192"/>
    </row>
    <row r="217" spans="1:19" x14ac:dyDescent="0.2">
      <c r="A217" s="198"/>
      <c r="B217" s="191"/>
      <c r="C217" s="200"/>
      <c r="D217" s="215" t="s">
        <v>1235</v>
      </c>
      <c r="G217" s="192"/>
      <c r="H217" s="209"/>
      <c r="I217" s="216"/>
      <c r="J217" s="217">
        <v>3</v>
      </c>
      <c r="K217" s="218"/>
      <c r="L217" s="219" t="s">
        <v>1036</v>
      </c>
      <c r="M217" s="218"/>
      <c r="N217" s="218"/>
      <c r="O217" s="251" t="s">
        <v>1235</v>
      </c>
      <c r="P217" s="192"/>
      <c r="Q217" s="192"/>
      <c r="R217" s="192"/>
      <c r="S217" s="192"/>
    </row>
    <row r="218" spans="1:19" x14ac:dyDescent="0.2">
      <c r="A218" s="198"/>
      <c r="B218" s="221"/>
      <c r="C218" s="222"/>
      <c r="D218" s="215" t="s">
        <v>1235</v>
      </c>
      <c r="G218" s="192"/>
      <c r="H218" s="209"/>
      <c r="I218" s="216"/>
      <c r="J218" s="307">
        <v>4</v>
      </c>
      <c r="K218" s="218"/>
      <c r="L218" s="219" t="s">
        <v>1062</v>
      </c>
      <c r="M218" s="218"/>
      <c r="N218" s="218"/>
      <c r="O218" s="251" t="s">
        <v>1235</v>
      </c>
      <c r="P218" s="192"/>
      <c r="Q218" s="192"/>
      <c r="R218" s="192"/>
      <c r="S218" s="192"/>
    </row>
    <row r="219" spans="1:19" x14ac:dyDescent="0.2">
      <c r="A219" s="198"/>
      <c r="B219" s="199"/>
      <c r="C219" s="200"/>
      <c r="D219" s="215" t="s">
        <v>1235</v>
      </c>
      <c r="G219" s="192"/>
      <c r="H219" s="209"/>
      <c r="I219" s="192"/>
      <c r="J219" s="307">
        <v>5</v>
      </c>
      <c r="K219" s="218"/>
      <c r="L219" s="219" t="s">
        <v>1104</v>
      </c>
      <c r="M219" s="218"/>
      <c r="N219" s="218"/>
      <c r="O219" s="251" t="s">
        <v>1235</v>
      </c>
      <c r="P219" s="192"/>
      <c r="Q219" s="192"/>
      <c r="R219" s="192"/>
      <c r="S219" s="192"/>
    </row>
    <row r="220" spans="1:19" x14ac:dyDescent="0.2">
      <c r="A220" s="198"/>
      <c r="B220" s="199"/>
      <c r="C220" s="200"/>
      <c r="D220" s="215" t="s">
        <v>1235</v>
      </c>
      <c r="G220" s="192"/>
      <c r="H220" s="209"/>
      <c r="I220" s="192"/>
      <c r="J220" s="307">
        <v>6</v>
      </c>
      <c r="K220" s="218"/>
      <c r="L220" s="219" t="s">
        <v>1107</v>
      </c>
      <c r="M220" s="218"/>
      <c r="N220" s="218"/>
      <c r="O220" s="251" t="s">
        <v>1235</v>
      </c>
      <c r="P220" s="192"/>
      <c r="Q220" s="192"/>
      <c r="R220" s="192"/>
      <c r="S220" s="192"/>
    </row>
    <row r="221" spans="1:19" x14ac:dyDescent="0.2">
      <c r="A221" s="198"/>
      <c r="B221" s="191"/>
      <c r="C221" s="200"/>
      <c r="D221" s="215" t="s">
        <v>1235</v>
      </c>
      <c r="G221" s="192"/>
      <c r="H221" s="209"/>
      <c r="I221" s="216"/>
      <c r="J221" s="307">
        <v>7</v>
      </c>
      <c r="K221" s="218"/>
      <c r="L221" s="219" t="s">
        <v>1111</v>
      </c>
      <c r="M221" s="218"/>
      <c r="N221" s="218"/>
      <c r="O221" s="251" t="s">
        <v>1235</v>
      </c>
      <c r="P221" s="192"/>
      <c r="Q221" s="192"/>
      <c r="R221" s="192"/>
      <c r="S221" s="192"/>
    </row>
    <row r="222" spans="1:19" x14ac:dyDescent="0.2">
      <c r="A222" s="198"/>
      <c r="B222" s="191"/>
      <c r="C222" s="200"/>
      <c r="D222" s="215" t="s">
        <v>1235</v>
      </c>
      <c r="G222" s="192"/>
      <c r="H222" s="209"/>
      <c r="I222" s="216"/>
      <c r="J222" s="307">
        <v>8</v>
      </c>
      <c r="K222" s="218"/>
      <c r="L222" s="219" t="s">
        <v>1114</v>
      </c>
      <c r="M222" s="218"/>
      <c r="N222" s="218"/>
      <c r="O222" s="251" t="s">
        <v>1235</v>
      </c>
      <c r="P222" s="192"/>
      <c r="Q222" s="192"/>
      <c r="R222" s="192"/>
      <c r="S222" s="192"/>
    </row>
    <row r="223" spans="1:19" x14ac:dyDescent="0.2">
      <c r="A223" s="198"/>
      <c r="B223" s="191"/>
      <c r="C223" s="200"/>
      <c r="D223" s="215" t="s">
        <v>1235</v>
      </c>
      <c r="G223" s="192"/>
      <c r="H223" s="209"/>
      <c r="I223" s="216"/>
      <c r="J223" s="307">
        <v>9</v>
      </c>
      <c r="K223" s="218"/>
      <c r="L223" s="219" t="s">
        <v>889</v>
      </c>
      <c r="M223" s="218"/>
      <c r="N223" s="218"/>
      <c r="O223" s="251" t="s">
        <v>1235</v>
      </c>
      <c r="P223" s="192"/>
      <c r="Q223" s="192"/>
      <c r="R223" s="192"/>
      <c r="S223" s="192"/>
    </row>
    <row r="224" spans="1:19" x14ac:dyDescent="0.2">
      <c r="A224" s="198"/>
      <c r="B224" s="221"/>
      <c r="C224" s="222"/>
      <c r="D224" s="215" t="s">
        <v>1235</v>
      </c>
      <c r="G224" s="192"/>
      <c r="H224" s="209"/>
      <c r="I224" s="216"/>
      <c r="J224" s="308">
        <v>10</v>
      </c>
      <c r="K224" s="224"/>
      <c r="L224" s="219" t="s">
        <v>1119</v>
      </c>
      <c r="M224" s="218"/>
      <c r="N224" s="218"/>
      <c r="O224" s="251" t="s">
        <v>1235</v>
      </c>
      <c r="P224" s="192"/>
      <c r="Q224" s="192"/>
      <c r="R224" s="192"/>
      <c r="S224" s="192"/>
    </row>
    <row r="225" spans="1:19" x14ac:dyDescent="0.2">
      <c r="A225" s="198"/>
      <c r="B225" s="199"/>
      <c r="C225" s="200"/>
      <c r="D225" s="215" t="s">
        <v>1235</v>
      </c>
      <c r="G225" s="192"/>
      <c r="H225" s="209"/>
      <c r="I225" s="210" t="s">
        <v>1036</v>
      </c>
      <c r="J225" s="257"/>
      <c r="K225" s="225" t="s">
        <v>1284</v>
      </c>
      <c r="L225" s="257"/>
      <c r="M225" s="257"/>
      <c r="N225" s="257"/>
      <c r="O225" s="292" t="s">
        <v>1235</v>
      </c>
      <c r="P225" s="192"/>
      <c r="Q225" s="192"/>
      <c r="R225" s="192"/>
      <c r="S225" s="192"/>
    </row>
    <row r="226" spans="1:19" x14ac:dyDescent="0.2">
      <c r="A226" s="198"/>
      <c r="B226" s="199"/>
      <c r="C226" s="200"/>
      <c r="D226" s="215" t="s">
        <v>1235</v>
      </c>
      <c r="G226" s="192"/>
      <c r="H226" s="209"/>
      <c r="I226" s="210" t="s">
        <v>1062</v>
      </c>
      <c r="J226" s="257"/>
      <c r="K226" s="278" t="s">
        <v>1118</v>
      </c>
      <c r="L226" s="257"/>
      <c r="M226" s="257"/>
      <c r="N226" s="257"/>
      <c r="O226" s="251" t="s">
        <v>1235</v>
      </c>
      <c r="P226" s="192"/>
      <c r="Q226" s="192"/>
      <c r="R226" s="192"/>
      <c r="S226" s="192"/>
    </row>
    <row r="227" spans="1:19" ht="15.75" thickBot="1" x14ac:dyDescent="0.25">
      <c r="A227" s="198"/>
      <c r="B227" s="199"/>
      <c r="C227" s="200"/>
      <c r="D227" s="215" t="s">
        <v>1235</v>
      </c>
      <c r="G227" s="192"/>
      <c r="H227" s="229"/>
      <c r="I227" s="231" t="s">
        <v>1104</v>
      </c>
      <c r="J227" s="232"/>
      <c r="K227" s="233" t="s">
        <v>1285</v>
      </c>
      <c r="L227" s="232"/>
      <c r="M227" s="232"/>
      <c r="N227" s="232"/>
      <c r="O227" s="318" t="s">
        <v>1235</v>
      </c>
      <c r="P227" s="192"/>
      <c r="Q227" s="192"/>
      <c r="R227" s="192"/>
      <c r="S227" s="192"/>
    </row>
    <row r="228" spans="1:19" ht="16.5" thickTop="1" thickBot="1" x14ac:dyDescent="0.25">
      <c r="A228" s="198">
        <v>20</v>
      </c>
      <c r="B228" s="199" t="s">
        <v>1286</v>
      </c>
      <c r="C228" s="200" t="s">
        <v>1287</v>
      </c>
      <c r="D228" s="215" t="s">
        <v>976</v>
      </c>
      <c r="G228" s="192"/>
      <c r="H228" s="328">
        <v>20</v>
      </c>
      <c r="I228" s="329"/>
      <c r="J228" s="330"/>
      <c r="K228" s="331" t="s">
        <v>1287</v>
      </c>
      <c r="L228" s="330"/>
      <c r="M228" s="330"/>
      <c r="N228" s="330"/>
      <c r="O228" s="332" t="s">
        <v>976</v>
      </c>
      <c r="P228" s="192"/>
      <c r="Q228" s="207">
        <f>H228</f>
        <v>20</v>
      </c>
      <c r="R228" s="197" t="str">
        <f>CONCATENATE("II-",TEXT(Q228,"0000"))</f>
        <v>II-0020</v>
      </c>
      <c r="S228" s="208" t="str">
        <f>K228</f>
        <v>CORTE DE PASTO</v>
      </c>
    </row>
    <row r="229" spans="1:19" ht="15.75" thickTop="1" x14ac:dyDescent="0.2">
      <c r="A229" s="198">
        <v>21</v>
      </c>
      <c r="B229" s="199" t="s">
        <v>1288</v>
      </c>
      <c r="C229" s="200" t="s">
        <v>1289</v>
      </c>
      <c r="D229" s="215"/>
      <c r="G229" s="192"/>
      <c r="H229" s="287">
        <v>21</v>
      </c>
      <c r="I229" s="238"/>
      <c r="J229" s="249"/>
      <c r="K229" s="306" t="s">
        <v>1289</v>
      </c>
      <c r="L229" s="249"/>
      <c r="M229" s="249"/>
      <c r="N229" s="249"/>
      <c r="O229" s="260"/>
      <c r="P229" s="192"/>
      <c r="Q229" s="207">
        <f>H229</f>
        <v>21</v>
      </c>
      <c r="R229" s="197" t="str">
        <f>CONCATENATE("II-",TEXT(Q229,"0000"))</f>
        <v>II-0021</v>
      </c>
      <c r="S229" s="208" t="str">
        <f>K229</f>
        <v xml:space="preserve">CUNETA </v>
      </c>
    </row>
    <row r="230" spans="1:19" x14ac:dyDescent="0.2">
      <c r="A230" s="198"/>
      <c r="B230" s="199"/>
      <c r="C230" s="200"/>
      <c r="D230" s="215" t="s">
        <v>1110</v>
      </c>
      <c r="G230" s="271"/>
      <c r="H230" s="272"/>
      <c r="I230" s="273" t="s">
        <v>999</v>
      </c>
      <c r="J230" s="310"/>
      <c r="K230" s="309" t="s">
        <v>1290</v>
      </c>
      <c r="L230" s="310"/>
      <c r="M230" s="310"/>
      <c r="N230" s="310"/>
      <c r="O230" s="276" t="s">
        <v>1110</v>
      </c>
      <c r="P230" s="271"/>
      <c r="Q230" s="271"/>
      <c r="R230" s="271"/>
      <c r="S230" s="271"/>
    </row>
    <row r="231" spans="1:19" x14ac:dyDescent="0.2">
      <c r="A231" s="198"/>
      <c r="B231" s="199"/>
      <c r="C231" s="200"/>
      <c r="D231" s="215" t="s">
        <v>1193</v>
      </c>
      <c r="G231" s="192"/>
      <c r="H231" s="272"/>
      <c r="I231" s="210" t="s">
        <v>1026</v>
      </c>
      <c r="J231" s="257"/>
      <c r="K231" s="278" t="s">
        <v>1113</v>
      </c>
      <c r="L231" s="257"/>
      <c r="M231" s="257"/>
      <c r="N231" s="257"/>
      <c r="O231" s="292" t="s">
        <v>1193</v>
      </c>
      <c r="P231" s="192"/>
      <c r="Q231" s="192"/>
      <c r="R231" s="192"/>
      <c r="S231" s="192"/>
    </row>
    <row r="232" spans="1:19" x14ac:dyDescent="0.2">
      <c r="A232" s="198"/>
      <c r="B232" s="199"/>
      <c r="C232" s="200"/>
      <c r="D232" s="215" t="s">
        <v>1235</v>
      </c>
      <c r="G232" s="192"/>
      <c r="H232" s="272"/>
      <c r="I232" s="210" t="s">
        <v>1036</v>
      </c>
      <c r="J232" s="257"/>
      <c r="K232" s="278" t="s">
        <v>1118</v>
      </c>
      <c r="L232" s="257"/>
      <c r="M232" s="257"/>
      <c r="N232" s="257"/>
      <c r="O232" s="292" t="s">
        <v>1235</v>
      </c>
      <c r="P232" s="192"/>
      <c r="Q232" s="192"/>
      <c r="R232" s="192"/>
      <c r="S232" s="192"/>
    </row>
    <row r="233" spans="1:19" x14ac:dyDescent="0.2">
      <c r="A233" s="198"/>
      <c r="B233" s="191"/>
      <c r="C233" s="200"/>
      <c r="D233" s="215" t="s">
        <v>975</v>
      </c>
      <c r="G233" s="192"/>
      <c r="H233" s="272"/>
      <c r="I233" s="210" t="s">
        <v>1062</v>
      </c>
      <c r="J233" s="257"/>
      <c r="K233" s="278" t="s">
        <v>1174</v>
      </c>
      <c r="L233" s="257"/>
      <c r="M233" s="257"/>
      <c r="N233" s="257"/>
      <c r="O233" s="292" t="s">
        <v>975</v>
      </c>
      <c r="P233" s="192"/>
      <c r="Q233" s="192"/>
      <c r="R233" s="192"/>
      <c r="S233" s="192"/>
    </row>
    <row r="234" spans="1:19" x14ac:dyDescent="0.2">
      <c r="A234" s="198"/>
      <c r="B234" s="191"/>
      <c r="C234" s="200"/>
      <c r="D234" s="215" t="s">
        <v>1110</v>
      </c>
      <c r="G234" s="192"/>
      <c r="H234" s="272"/>
      <c r="I234" s="210" t="s">
        <v>1104</v>
      </c>
      <c r="J234" s="257"/>
      <c r="K234" s="278" t="s">
        <v>1291</v>
      </c>
      <c r="L234" s="257"/>
      <c r="M234" s="257"/>
      <c r="N234" s="257"/>
      <c r="O234" s="292" t="s">
        <v>1110</v>
      </c>
      <c r="P234" s="192"/>
      <c r="Q234" s="192"/>
      <c r="R234" s="192"/>
      <c r="S234" s="192"/>
    </row>
    <row r="235" spans="1:19" ht="15.75" thickBot="1" x14ac:dyDescent="0.25">
      <c r="A235" s="198"/>
      <c r="B235" s="221"/>
      <c r="C235" s="222"/>
      <c r="D235" s="215" t="s">
        <v>975</v>
      </c>
      <c r="G235" s="192"/>
      <c r="H235" s="279"/>
      <c r="I235" s="241" t="s">
        <v>1107</v>
      </c>
      <c r="J235" s="244"/>
      <c r="K235" s="280" t="s">
        <v>1292</v>
      </c>
      <c r="L235" s="244"/>
      <c r="M235" s="244"/>
      <c r="N235" s="244"/>
      <c r="O235" s="318" t="s">
        <v>975</v>
      </c>
      <c r="P235" s="192"/>
      <c r="Q235" s="192"/>
      <c r="R235" s="192"/>
      <c r="S235" s="192"/>
    </row>
    <row r="236" spans="1:19" ht="16.5" thickTop="1" thickBot="1" x14ac:dyDescent="0.25">
      <c r="A236" s="198">
        <v>22</v>
      </c>
      <c r="B236" s="199" t="s">
        <v>1293</v>
      </c>
      <c r="C236" s="200" t="s">
        <v>1294</v>
      </c>
      <c r="D236" s="215" t="s">
        <v>5</v>
      </c>
      <c r="G236" s="192"/>
      <c r="H236" s="333">
        <v>22</v>
      </c>
      <c r="I236" s="334"/>
      <c r="J236" s="335"/>
      <c r="K236" s="336" t="s">
        <v>1294</v>
      </c>
      <c r="L236" s="335"/>
      <c r="M236" s="335"/>
      <c r="N236" s="335"/>
      <c r="O236" s="337" t="s">
        <v>5</v>
      </c>
      <c r="P236" s="192"/>
      <c r="Q236" s="207">
        <f>H236</f>
        <v>22</v>
      </c>
      <c r="R236" s="197" t="str">
        <f>CONCATENATE("II-",TEXT(Q236,"0000"))</f>
        <v>II-0022</v>
      </c>
      <c r="S236" s="208" t="str">
        <f>K236</f>
        <v>DARSENA DE DETENCION DE VEHICULOS</v>
      </c>
    </row>
    <row r="237" spans="1:19" ht="15.75" thickTop="1" x14ac:dyDescent="0.2">
      <c r="A237" s="198">
        <v>23</v>
      </c>
      <c r="B237" s="188" t="s">
        <v>1295</v>
      </c>
      <c r="C237" s="188" t="s">
        <v>1296</v>
      </c>
      <c r="D237" s="215"/>
      <c r="G237" s="192"/>
      <c r="H237" s="287">
        <v>23</v>
      </c>
      <c r="I237" s="237"/>
      <c r="J237" s="297"/>
      <c r="K237" s="298" t="s">
        <v>1296</v>
      </c>
      <c r="L237" s="297"/>
      <c r="M237" s="297"/>
      <c r="N237" s="297"/>
      <c r="O237" s="239"/>
      <c r="P237" s="192"/>
      <c r="Q237" s="207">
        <f>H237</f>
        <v>23</v>
      </c>
      <c r="R237" s="197" t="str">
        <f>CONCATENATE("II-",TEXT(Q237,"0000"))</f>
        <v>II-0023</v>
      </c>
      <c r="S237" s="208" t="str">
        <f>K237</f>
        <v>DEFENSA CAMINOS</v>
      </c>
    </row>
    <row r="238" spans="1:19" x14ac:dyDescent="0.2">
      <c r="A238" s="198"/>
      <c r="B238" s="188"/>
      <c r="C238" s="188"/>
      <c r="D238" s="215" t="s">
        <v>1193</v>
      </c>
      <c r="G238" s="192"/>
      <c r="H238" s="209"/>
      <c r="I238" s="210" t="s">
        <v>999</v>
      </c>
      <c r="J238" s="257"/>
      <c r="K238" s="278" t="s">
        <v>1297</v>
      </c>
      <c r="L238" s="257"/>
      <c r="M238" s="257"/>
      <c r="N238" s="257"/>
      <c r="O238" s="292" t="s">
        <v>1193</v>
      </c>
      <c r="P238" s="192"/>
      <c r="Q238" s="192"/>
      <c r="R238" s="192"/>
      <c r="S238" s="192"/>
    </row>
    <row r="239" spans="1:19" x14ac:dyDescent="0.2">
      <c r="A239" s="198"/>
      <c r="B239" s="188"/>
      <c r="C239" s="188"/>
      <c r="D239" s="215" t="s">
        <v>1193</v>
      </c>
      <c r="G239" s="192"/>
      <c r="H239" s="209"/>
      <c r="I239" s="210" t="s">
        <v>1026</v>
      </c>
      <c r="J239" s="257"/>
      <c r="K239" s="278" t="s">
        <v>1298</v>
      </c>
      <c r="L239" s="257"/>
      <c r="M239" s="257"/>
      <c r="N239" s="257"/>
      <c r="O239" s="292" t="s">
        <v>1193</v>
      </c>
      <c r="P239" s="192"/>
      <c r="Q239" s="192"/>
      <c r="R239" s="192"/>
      <c r="S239" s="192"/>
    </row>
    <row r="240" spans="1:19" x14ac:dyDescent="0.2">
      <c r="A240" s="198"/>
      <c r="B240" s="188"/>
      <c r="C240" s="188"/>
      <c r="D240" s="215" t="s">
        <v>1193</v>
      </c>
      <c r="G240" s="192"/>
      <c r="H240" s="209"/>
      <c r="I240" s="210" t="s">
        <v>1036</v>
      </c>
      <c r="J240" s="257"/>
      <c r="K240" s="278" t="s">
        <v>1299</v>
      </c>
      <c r="L240" s="257"/>
      <c r="M240" s="257"/>
      <c r="N240" s="257"/>
      <c r="O240" s="292" t="s">
        <v>1193</v>
      </c>
      <c r="P240" s="192"/>
      <c r="Q240" s="192"/>
      <c r="R240" s="192"/>
      <c r="S240" s="192"/>
    </row>
    <row r="241" spans="1:19" x14ac:dyDescent="0.2">
      <c r="A241" s="198"/>
      <c r="B241" s="221"/>
      <c r="C241" s="222"/>
      <c r="D241" s="215" t="s">
        <v>1110</v>
      </c>
      <c r="G241" s="192"/>
      <c r="H241" s="209"/>
      <c r="I241" s="210" t="s">
        <v>1062</v>
      </c>
      <c r="J241" s="257"/>
      <c r="K241" s="278" t="s">
        <v>1300</v>
      </c>
      <c r="L241" s="257"/>
      <c r="M241" s="257"/>
      <c r="N241" s="257"/>
      <c r="O241" s="292" t="s">
        <v>1110</v>
      </c>
      <c r="P241" s="192"/>
      <c r="Q241" s="192"/>
      <c r="R241" s="192"/>
      <c r="S241" s="192"/>
    </row>
    <row r="242" spans="1:19" x14ac:dyDescent="0.2">
      <c r="A242" s="198"/>
      <c r="B242" s="199"/>
      <c r="C242" s="200"/>
      <c r="D242" s="215" t="s">
        <v>1110</v>
      </c>
      <c r="G242" s="192"/>
      <c r="H242" s="209"/>
      <c r="I242" s="210" t="s">
        <v>1104</v>
      </c>
      <c r="J242" s="257"/>
      <c r="K242" s="278" t="s">
        <v>1113</v>
      </c>
      <c r="L242" s="257"/>
      <c r="M242" s="257"/>
      <c r="N242" s="257"/>
      <c r="O242" s="292" t="s">
        <v>1110</v>
      </c>
      <c r="P242" s="192"/>
      <c r="Q242" s="192"/>
      <c r="R242" s="192"/>
      <c r="S242" s="192"/>
    </row>
    <row r="243" spans="1:19" x14ac:dyDescent="0.2">
      <c r="A243" s="198"/>
      <c r="B243" s="199"/>
      <c r="C243" s="200"/>
      <c r="D243" s="215" t="s">
        <v>1110</v>
      </c>
      <c r="G243" s="192"/>
      <c r="H243" s="209"/>
      <c r="I243" s="210" t="s">
        <v>1107</v>
      </c>
      <c r="J243" s="257"/>
      <c r="K243" s="278" t="s">
        <v>1068</v>
      </c>
      <c r="L243" s="257"/>
      <c r="M243" s="257"/>
      <c r="N243" s="257"/>
      <c r="O243" s="292" t="s">
        <v>1110</v>
      </c>
      <c r="P243" s="192"/>
      <c r="Q243" s="192"/>
      <c r="R243" s="192"/>
      <c r="S243" s="192"/>
    </row>
    <row r="244" spans="1:19" x14ac:dyDescent="0.2">
      <c r="A244" s="198"/>
      <c r="B244" s="199"/>
      <c r="C244" s="200"/>
      <c r="D244" s="215" t="s">
        <v>1110</v>
      </c>
      <c r="G244" s="192"/>
      <c r="H244" s="209"/>
      <c r="I244" s="210" t="s">
        <v>1111</v>
      </c>
      <c r="J244" s="257"/>
      <c r="K244" s="278" t="s">
        <v>1116</v>
      </c>
      <c r="L244" s="257"/>
      <c r="M244" s="257"/>
      <c r="N244" s="257"/>
      <c r="O244" s="292" t="s">
        <v>1110</v>
      </c>
      <c r="P244" s="192"/>
      <c r="Q244" s="192"/>
      <c r="R244" s="192"/>
      <c r="S244" s="192"/>
    </row>
    <row r="245" spans="1:19" ht="15.75" thickBot="1" x14ac:dyDescent="0.25">
      <c r="A245" s="198"/>
      <c r="B245" s="199"/>
      <c r="C245" s="200"/>
      <c r="D245" s="215" t="s">
        <v>1110</v>
      </c>
      <c r="G245" s="192"/>
      <c r="H245" s="229"/>
      <c r="I245" s="241" t="s">
        <v>1114</v>
      </c>
      <c r="J245" s="244"/>
      <c r="K245" s="280" t="s">
        <v>1301</v>
      </c>
      <c r="L245" s="244"/>
      <c r="M245" s="244"/>
      <c r="N245" s="244"/>
      <c r="O245" s="318" t="s">
        <v>1110</v>
      </c>
      <c r="P245" s="192"/>
      <c r="Q245" s="192"/>
      <c r="R245" s="192"/>
      <c r="S245" s="192"/>
    </row>
    <row r="246" spans="1:19" ht="15.75" thickTop="1" x14ac:dyDescent="0.2">
      <c r="A246" s="198">
        <v>24</v>
      </c>
      <c r="B246" s="191" t="s">
        <v>1302</v>
      </c>
      <c r="C246" s="200" t="s">
        <v>1303</v>
      </c>
      <c r="D246" s="215"/>
      <c r="G246" s="192"/>
      <c r="H246" s="287">
        <v>24</v>
      </c>
      <c r="I246" s="237"/>
      <c r="J246" s="297"/>
      <c r="K246" s="298" t="s">
        <v>1303</v>
      </c>
      <c r="L246" s="297"/>
      <c r="M246" s="297"/>
      <c r="N246" s="297"/>
      <c r="O246" s="239"/>
      <c r="P246" s="192"/>
      <c r="Q246" s="207">
        <f>H246</f>
        <v>24</v>
      </c>
      <c r="R246" s="197" t="str">
        <f>CONCATENATE("II-",TEXT(Q246,"0000"))</f>
        <v>II-0024</v>
      </c>
      <c r="S246" s="208" t="str">
        <f>K246</f>
        <v>DEFENSA DE MARGENES</v>
      </c>
    </row>
    <row r="247" spans="1:19" x14ac:dyDescent="0.2">
      <c r="A247" s="198"/>
      <c r="B247" s="191"/>
      <c r="C247" s="200"/>
      <c r="D247" s="215" t="s">
        <v>1193</v>
      </c>
      <c r="G247" s="192"/>
      <c r="H247" s="209"/>
      <c r="I247" s="210" t="s">
        <v>999</v>
      </c>
      <c r="J247" s="257"/>
      <c r="K247" s="278" t="s">
        <v>1304</v>
      </c>
      <c r="L247" s="257"/>
      <c r="M247" s="257"/>
      <c r="N247" s="257"/>
      <c r="O247" s="292" t="s">
        <v>1193</v>
      </c>
      <c r="P247" s="192"/>
      <c r="Q247" s="192"/>
      <c r="R247" s="192"/>
      <c r="S247" s="192"/>
    </row>
    <row r="248" spans="1:19" x14ac:dyDescent="0.2">
      <c r="A248" s="198"/>
      <c r="B248" s="221"/>
      <c r="C248" s="222"/>
      <c r="D248" s="215" t="s">
        <v>1110</v>
      </c>
      <c r="G248" s="192"/>
      <c r="H248" s="209"/>
      <c r="I248" s="210" t="s">
        <v>1026</v>
      </c>
      <c r="J248" s="257"/>
      <c r="K248" s="278" t="s">
        <v>1305</v>
      </c>
      <c r="L248" s="257"/>
      <c r="M248" s="257"/>
      <c r="N248" s="257"/>
      <c r="O248" s="292" t="s">
        <v>1110</v>
      </c>
      <c r="P248" s="192"/>
      <c r="Q248" s="192"/>
      <c r="R248" s="192"/>
      <c r="S248" s="192"/>
    </row>
    <row r="249" spans="1:19" x14ac:dyDescent="0.2">
      <c r="A249" s="198"/>
      <c r="B249" s="199"/>
      <c r="C249" s="200"/>
      <c r="D249" s="215" t="s">
        <v>1110</v>
      </c>
      <c r="G249" s="192"/>
      <c r="H249" s="209"/>
      <c r="I249" s="223" t="s">
        <v>1036</v>
      </c>
      <c r="J249" s="224"/>
      <c r="K249" s="225" t="s">
        <v>1306</v>
      </c>
      <c r="L249" s="224"/>
      <c r="M249" s="224"/>
      <c r="N249" s="224"/>
      <c r="O249" s="270" t="s">
        <v>1110</v>
      </c>
      <c r="P249" s="192"/>
      <c r="Q249" s="192"/>
      <c r="R249" s="192"/>
      <c r="S249" s="192"/>
    </row>
    <row r="250" spans="1:19" x14ac:dyDescent="0.2">
      <c r="A250" s="198"/>
      <c r="B250" s="199"/>
      <c r="C250" s="200"/>
      <c r="D250" s="215" t="s">
        <v>1110</v>
      </c>
      <c r="G250" s="192"/>
      <c r="H250" s="209"/>
      <c r="I250" s="210" t="s">
        <v>1062</v>
      </c>
      <c r="J250" s="257"/>
      <c r="K250" s="278" t="s">
        <v>1307</v>
      </c>
      <c r="L250" s="257"/>
      <c r="M250" s="257"/>
      <c r="N250" s="257"/>
      <c r="O250" s="292" t="s">
        <v>1110</v>
      </c>
      <c r="P250" s="192"/>
      <c r="Q250" s="192"/>
      <c r="R250" s="192"/>
      <c r="S250" s="192"/>
    </row>
    <row r="251" spans="1:19" ht="15.75" thickBot="1" x14ac:dyDescent="0.25">
      <c r="A251" s="198"/>
      <c r="B251" s="199"/>
      <c r="C251" s="200"/>
      <c r="D251" s="215" t="s">
        <v>975</v>
      </c>
      <c r="G251" s="192"/>
      <c r="H251" s="262"/>
      <c r="I251" s="319" t="s">
        <v>1104</v>
      </c>
      <c r="J251" s="338"/>
      <c r="K251" s="339" t="s">
        <v>1308</v>
      </c>
      <c r="L251" s="338"/>
      <c r="M251" s="338"/>
      <c r="N251" s="338"/>
      <c r="O251" s="340" t="s">
        <v>975</v>
      </c>
      <c r="P251" s="192"/>
      <c r="Q251" s="192"/>
      <c r="R251" s="192"/>
      <c r="S251" s="192"/>
    </row>
    <row r="252" spans="1:19" x14ac:dyDescent="0.2">
      <c r="A252" s="198"/>
      <c r="B252" s="199"/>
      <c r="C252" s="200"/>
      <c r="D252" s="215"/>
      <c r="G252" s="218"/>
      <c r="H252" s="268"/>
      <c r="I252" s="216"/>
      <c r="J252" s="218"/>
      <c r="K252" s="219"/>
      <c r="L252" s="218"/>
      <c r="M252" s="218"/>
      <c r="N252" s="218"/>
      <c r="O252" s="326"/>
      <c r="P252" s="218"/>
      <c r="Q252" s="218"/>
      <c r="R252" s="218"/>
      <c r="S252" s="218"/>
    </row>
    <row r="253" spans="1:19" s="45" customFormat="1" x14ac:dyDescent="0.2">
      <c r="A253" s="198">
        <v>25</v>
      </c>
      <c r="B253" s="188" t="s">
        <v>1309</v>
      </c>
      <c r="C253" s="188" t="s">
        <v>1310</v>
      </c>
      <c r="D253" s="215"/>
      <c r="G253" s="192"/>
      <c r="H253" s="236">
        <v>25</v>
      </c>
      <c r="I253" s="238"/>
      <c r="J253" s="249"/>
      <c r="K253" s="306" t="s">
        <v>1310</v>
      </c>
      <c r="L253" s="249"/>
      <c r="M253" s="249"/>
      <c r="N253" s="249"/>
      <c r="O253" s="260"/>
      <c r="P253" s="192"/>
      <c r="Q253" s="207">
        <f>H253</f>
        <v>25</v>
      </c>
      <c r="R253" s="197" t="str">
        <f>CONCATENATE("II-",TEXT(Q253,"0000"))</f>
        <v>II-0025</v>
      </c>
      <c r="S253" s="208" t="str">
        <f>K253</f>
        <v>DEFENSA VEHICULAR</v>
      </c>
    </row>
    <row r="254" spans="1:19" x14ac:dyDescent="0.2">
      <c r="A254" s="198"/>
      <c r="B254" s="188"/>
      <c r="C254" s="188"/>
      <c r="D254" s="215"/>
      <c r="G254" s="192"/>
      <c r="H254" s="250"/>
      <c r="I254" s="210" t="s">
        <v>999</v>
      </c>
      <c r="J254" s="213"/>
      <c r="K254" s="227" t="s">
        <v>1223</v>
      </c>
      <c r="L254" s="213"/>
      <c r="M254" s="213"/>
      <c r="N254" s="213"/>
      <c r="O254" s="261"/>
      <c r="P254" s="192"/>
      <c r="Q254" s="192"/>
      <c r="R254" s="192"/>
      <c r="S254" s="192"/>
    </row>
    <row r="255" spans="1:19" x14ac:dyDescent="0.2">
      <c r="A255" s="198"/>
      <c r="B255" s="188"/>
      <c r="C255" s="188"/>
      <c r="D255" s="215" t="s">
        <v>1235</v>
      </c>
      <c r="G255" s="192"/>
      <c r="H255" s="209"/>
      <c r="I255" s="216"/>
      <c r="J255" s="217">
        <v>1</v>
      </c>
      <c r="K255" s="218"/>
      <c r="L255" s="219" t="s">
        <v>1311</v>
      </c>
      <c r="M255" s="218"/>
      <c r="N255" s="218"/>
      <c r="O255" s="251" t="s">
        <v>1235</v>
      </c>
      <c r="P255" s="192"/>
      <c r="Q255" s="192"/>
      <c r="R255" s="192"/>
      <c r="S255" s="192"/>
    </row>
    <row r="256" spans="1:19" x14ac:dyDescent="0.2">
      <c r="A256" s="198"/>
      <c r="B256" s="188"/>
      <c r="C256" s="188"/>
      <c r="D256" s="215" t="s">
        <v>1235</v>
      </c>
      <c r="G256" s="192"/>
      <c r="H256" s="209"/>
      <c r="I256" s="216"/>
      <c r="J256" s="223">
        <v>2</v>
      </c>
      <c r="K256" s="224"/>
      <c r="L256" s="225" t="s">
        <v>1312</v>
      </c>
      <c r="M256" s="224"/>
      <c r="N256" s="224"/>
      <c r="O256" s="270" t="s">
        <v>1235</v>
      </c>
      <c r="P256" s="192"/>
      <c r="Q256" s="192"/>
      <c r="R256" s="192"/>
      <c r="S256" s="192"/>
    </row>
    <row r="257" spans="1:19" x14ac:dyDescent="0.2">
      <c r="A257" s="198"/>
      <c r="B257" s="188"/>
      <c r="C257" s="188"/>
      <c r="D257" s="215"/>
      <c r="G257" s="192"/>
      <c r="H257" s="209"/>
      <c r="I257" s="210" t="s">
        <v>1026</v>
      </c>
      <c r="J257" s="218"/>
      <c r="K257" s="219" t="s">
        <v>1224</v>
      </c>
      <c r="L257" s="218"/>
      <c r="M257" s="218"/>
      <c r="N257" s="218"/>
      <c r="O257" s="251"/>
      <c r="P257" s="192"/>
      <c r="Q257" s="192"/>
      <c r="R257" s="192"/>
      <c r="S257" s="192"/>
    </row>
    <row r="258" spans="1:19" x14ac:dyDescent="0.2">
      <c r="A258" s="198"/>
      <c r="B258" s="188"/>
      <c r="C258" s="188"/>
      <c r="D258" s="215" t="s">
        <v>1235</v>
      </c>
      <c r="G258" s="192"/>
      <c r="H258" s="209"/>
      <c r="I258" s="216"/>
      <c r="J258" s="217">
        <v>1</v>
      </c>
      <c r="K258" s="218"/>
      <c r="L258" s="219" t="s">
        <v>1313</v>
      </c>
      <c r="M258" s="218"/>
      <c r="N258" s="218"/>
      <c r="O258" s="251" t="s">
        <v>1235</v>
      </c>
      <c r="P258" s="192"/>
      <c r="Q258" s="192"/>
      <c r="R258" s="192"/>
      <c r="S258" s="192"/>
    </row>
    <row r="259" spans="1:19" x14ac:dyDescent="0.2">
      <c r="A259" s="198"/>
      <c r="B259" s="188"/>
      <c r="C259" s="188"/>
      <c r="D259" s="215" t="s">
        <v>1235</v>
      </c>
      <c r="G259" s="192"/>
      <c r="H259" s="209"/>
      <c r="I259" s="216"/>
      <c r="J259" s="217">
        <v>2</v>
      </c>
      <c r="K259" s="218"/>
      <c r="L259" s="219" t="s">
        <v>1314</v>
      </c>
      <c r="M259" s="218"/>
      <c r="N259" s="218"/>
      <c r="O259" s="251" t="s">
        <v>1235</v>
      </c>
      <c r="P259" s="192"/>
      <c r="Q259" s="192"/>
      <c r="R259" s="192"/>
      <c r="S259" s="192"/>
    </row>
    <row r="260" spans="1:19" x14ac:dyDescent="0.2">
      <c r="A260" s="198"/>
      <c r="B260" s="188"/>
      <c r="C260" s="188"/>
      <c r="D260" s="215" t="s">
        <v>975</v>
      </c>
      <c r="G260" s="192"/>
      <c r="H260" s="209"/>
      <c r="I260" s="210" t="s">
        <v>1036</v>
      </c>
      <c r="J260" s="257"/>
      <c r="K260" s="278" t="s">
        <v>1118</v>
      </c>
      <c r="L260" s="257"/>
      <c r="M260" s="257"/>
      <c r="N260" s="257"/>
      <c r="O260" s="292" t="s">
        <v>975</v>
      </c>
      <c r="P260" s="192"/>
      <c r="Q260" s="192"/>
      <c r="R260" s="192"/>
      <c r="S260" s="192"/>
    </row>
    <row r="261" spans="1:19" ht="15.75" thickBot="1" x14ac:dyDescent="0.25">
      <c r="A261" s="198"/>
      <c r="B261" s="188"/>
      <c r="C261" s="188"/>
      <c r="D261" s="215" t="s">
        <v>975</v>
      </c>
      <c r="G261" s="192"/>
      <c r="H261" s="229"/>
      <c r="I261" s="241" t="s">
        <v>1062</v>
      </c>
      <c r="J261" s="244"/>
      <c r="K261" s="280" t="s">
        <v>1116</v>
      </c>
      <c r="L261" s="244"/>
      <c r="M261" s="244"/>
      <c r="N261" s="244"/>
      <c r="O261" s="318" t="s">
        <v>975</v>
      </c>
      <c r="P261" s="192"/>
      <c r="Q261" s="192"/>
      <c r="R261" s="192"/>
      <c r="S261" s="192"/>
    </row>
    <row r="262" spans="1:19" ht="15.75" thickTop="1" x14ac:dyDescent="0.2">
      <c r="A262" s="198">
        <v>26</v>
      </c>
      <c r="B262" s="188" t="s">
        <v>1315</v>
      </c>
      <c r="C262" s="188" t="s">
        <v>1316</v>
      </c>
      <c r="D262" s="215"/>
      <c r="G262" s="192"/>
      <c r="H262" s="287">
        <v>26</v>
      </c>
      <c r="I262" s="237"/>
      <c r="J262" s="297"/>
      <c r="K262" s="298" t="s">
        <v>1316</v>
      </c>
      <c r="L262" s="297"/>
      <c r="M262" s="297"/>
      <c r="N262" s="297"/>
      <c r="O262" s="239"/>
      <c r="P262" s="192"/>
      <c r="Q262" s="207">
        <f>H262</f>
        <v>26</v>
      </c>
      <c r="R262" s="197" t="str">
        <f>CONCATENATE("II-",TEXT(Q262,"0000"))</f>
        <v>II-0026</v>
      </c>
      <c r="S262" s="208" t="str">
        <f>K262</f>
        <v xml:space="preserve">DEMOLICION </v>
      </c>
    </row>
    <row r="263" spans="1:19" x14ac:dyDescent="0.2">
      <c r="A263" s="198"/>
      <c r="B263" s="188"/>
      <c r="C263" s="188"/>
      <c r="D263" s="215" t="s">
        <v>1193</v>
      </c>
      <c r="G263" s="192"/>
      <c r="H263" s="209"/>
      <c r="I263" s="210" t="s">
        <v>999</v>
      </c>
      <c r="J263" s="257"/>
      <c r="K263" s="278" t="s">
        <v>1241</v>
      </c>
      <c r="L263" s="257"/>
      <c r="M263" s="257"/>
      <c r="N263" s="257"/>
      <c r="O263" s="292" t="s">
        <v>1193</v>
      </c>
      <c r="P263" s="192"/>
      <c r="Q263" s="192"/>
      <c r="R263" s="192"/>
      <c r="S263" s="192"/>
    </row>
    <row r="264" spans="1:19" ht="15.75" thickBot="1" x14ac:dyDescent="0.25">
      <c r="A264" s="198"/>
      <c r="B264" s="188"/>
      <c r="C264" s="188"/>
      <c r="D264" s="215" t="s">
        <v>5</v>
      </c>
      <c r="G264" s="192"/>
      <c r="H264" s="229"/>
      <c r="I264" s="241" t="s">
        <v>1026</v>
      </c>
      <c r="J264" s="244"/>
      <c r="K264" s="280" t="s">
        <v>1317</v>
      </c>
      <c r="L264" s="244"/>
      <c r="M264" s="244"/>
      <c r="N264" s="244"/>
      <c r="O264" s="318" t="s">
        <v>5</v>
      </c>
      <c r="P264" s="192"/>
      <c r="Q264" s="192"/>
      <c r="R264" s="192"/>
      <c r="S264" s="192"/>
    </row>
    <row r="265" spans="1:19" ht="15.75" thickTop="1" x14ac:dyDescent="0.2">
      <c r="A265" s="198">
        <v>27</v>
      </c>
      <c r="B265" s="188" t="s">
        <v>1318</v>
      </c>
      <c r="C265" s="188" t="s">
        <v>1319</v>
      </c>
      <c r="D265" s="215"/>
      <c r="G265" s="192"/>
      <c r="H265" s="236">
        <v>27</v>
      </c>
      <c r="I265" s="238"/>
      <c r="J265" s="249"/>
      <c r="K265" s="306" t="s">
        <v>1319</v>
      </c>
      <c r="L265" s="249"/>
      <c r="M265" s="249"/>
      <c r="N265" s="249"/>
      <c r="O265" s="260"/>
      <c r="P265" s="192"/>
      <c r="Q265" s="207">
        <f>H265</f>
        <v>27</v>
      </c>
      <c r="R265" s="197" t="str">
        <f>CONCATENATE("II-",TEXT(Q265,"0000"))</f>
        <v>II-0027</v>
      </c>
      <c r="S265" s="208" t="str">
        <f>K265</f>
        <v>DESAGUES</v>
      </c>
    </row>
    <row r="266" spans="1:19" x14ac:dyDescent="0.2">
      <c r="A266" s="198"/>
      <c r="B266" s="188"/>
      <c r="C266" s="188"/>
      <c r="D266" s="215" t="s">
        <v>1227</v>
      </c>
      <c r="G266" s="192"/>
      <c r="H266" s="209"/>
      <c r="I266" s="210" t="s">
        <v>999</v>
      </c>
      <c r="J266" s="257"/>
      <c r="K266" s="278" t="s">
        <v>1320</v>
      </c>
      <c r="L266" s="257"/>
      <c r="M266" s="257"/>
      <c r="N266" s="257"/>
      <c r="O266" s="292" t="s">
        <v>1227</v>
      </c>
      <c r="P266" s="192"/>
      <c r="Q266" s="192"/>
      <c r="R266" s="192"/>
      <c r="S266" s="192"/>
    </row>
    <row r="267" spans="1:19" x14ac:dyDescent="0.2">
      <c r="A267" s="198"/>
      <c r="B267" s="188"/>
      <c r="C267" s="188"/>
      <c r="D267" s="215" t="s">
        <v>1227</v>
      </c>
      <c r="G267" s="192"/>
      <c r="H267" s="209"/>
      <c r="I267" s="210" t="s">
        <v>1026</v>
      </c>
      <c r="J267" s="257"/>
      <c r="K267" s="278" t="s">
        <v>1321</v>
      </c>
      <c r="L267" s="257"/>
      <c r="M267" s="257"/>
      <c r="N267" s="257"/>
      <c r="O267" s="292" t="s">
        <v>1227</v>
      </c>
      <c r="P267" s="192"/>
      <c r="Q267" s="192"/>
      <c r="R267" s="192"/>
      <c r="S267" s="192"/>
    </row>
    <row r="268" spans="1:19" x14ac:dyDescent="0.2">
      <c r="A268" s="198"/>
      <c r="B268" s="188"/>
      <c r="C268" s="188"/>
      <c r="D268" s="215"/>
      <c r="G268" s="192"/>
      <c r="H268" s="209"/>
      <c r="I268" s="210" t="s">
        <v>1036</v>
      </c>
      <c r="J268" s="218"/>
      <c r="K268" s="219" t="s">
        <v>1322</v>
      </c>
      <c r="L268" s="218"/>
      <c r="M268" s="218"/>
      <c r="N268" s="218"/>
      <c r="O268" s="251"/>
      <c r="P268" s="192"/>
      <c r="Q268" s="192"/>
      <c r="R268" s="192"/>
      <c r="S268" s="192"/>
    </row>
    <row r="269" spans="1:19" x14ac:dyDescent="0.2">
      <c r="A269" s="198"/>
      <c r="B269" s="188"/>
      <c r="C269" s="188"/>
      <c r="D269" s="215" t="s">
        <v>1227</v>
      </c>
      <c r="G269" s="192"/>
      <c r="H269" s="209"/>
      <c r="I269" s="216"/>
      <c r="J269" s="217">
        <v>1</v>
      </c>
      <c r="K269" s="218"/>
      <c r="L269" s="219" t="s">
        <v>1228</v>
      </c>
      <c r="M269" s="218"/>
      <c r="N269" s="218"/>
      <c r="O269" s="251" t="s">
        <v>1227</v>
      </c>
      <c r="P269" s="192"/>
      <c r="Q269" s="192"/>
      <c r="R269" s="192"/>
      <c r="S269" s="192"/>
    </row>
    <row r="270" spans="1:19" x14ac:dyDescent="0.2">
      <c r="A270" s="198"/>
      <c r="B270" s="188"/>
      <c r="C270" s="188"/>
      <c r="D270" s="215" t="s">
        <v>1227</v>
      </c>
      <c r="G270" s="192"/>
      <c r="H270" s="209"/>
      <c r="I270" s="216"/>
      <c r="J270" s="223">
        <v>2</v>
      </c>
      <c r="K270" s="218"/>
      <c r="L270" s="219" t="s">
        <v>1231</v>
      </c>
      <c r="M270" s="218"/>
      <c r="N270" s="218"/>
      <c r="O270" s="251" t="s">
        <v>1227</v>
      </c>
      <c r="P270" s="192"/>
      <c r="Q270" s="192"/>
      <c r="R270" s="192"/>
      <c r="S270" s="192"/>
    </row>
    <row r="271" spans="1:19" x14ac:dyDescent="0.2">
      <c r="A271" s="198"/>
      <c r="B271" s="188"/>
      <c r="C271" s="188"/>
      <c r="D271" s="215" t="s">
        <v>1227</v>
      </c>
      <c r="G271" s="192"/>
      <c r="H271" s="209"/>
      <c r="I271" s="210" t="s">
        <v>1062</v>
      </c>
      <c r="J271" s="257"/>
      <c r="K271" s="278" t="s">
        <v>1118</v>
      </c>
      <c r="L271" s="257"/>
      <c r="M271" s="257"/>
      <c r="N271" s="257"/>
      <c r="O271" s="292" t="s">
        <v>1227</v>
      </c>
      <c r="P271" s="192"/>
      <c r="Q271" s="192"/>
      <c r="R271" s="192"/>
      <c r="S271" s="192"/>
    </row>
    <row r="272" spans="1:19" x14ac:dyDescent="0.2">
      <c r="A272" s="198"/>
      <c r="B272" s="188"/>
      <c r="C272" s="188"/>
      <c r="D272" s="215" t="s">
        <v>1227</v>
      </c>
      <c r="G272" s="192"/>
      <c r="H272" s="209"/>
      <c r="I272" s="223" t="s">
        <v>1104</v>
      </c>
      <c r="J272" s="224"/>
      <c r="K272" s="225" t="s">
        <v>1116</v>
      </c>
      <c r="L272" s="224"/>
      <c r="M272" s="224"/>
      <c r="N272" s="224"/>
      <c r="O272" s="270" t="s">
        <v>1227</v>
      </c>
      <c r="P272" s="192"/>
      <c r="Q272" s="192"/>
      <c r="R272" s="192"/>
      <c r="S272" s="192"/>
    </row>
    <row r="273" spans="1:19" ht="15.75" thickBot="1" x14ac:dyDescent="0.25">
      <c r="A273" s="198"/>
      <c r="B273" s="188"/>
      <c r="C273" s="188"/>
      <c r="D273" s="215" t="s">
        <v>1227</v>
      </c>
      <c r="G273" s="192"/>
      <c r="H273" s="209"/>
      <c r="I273" s="210" t="s">
        <v>1107</v>
      </c>
      <c r="J273" s="257"/>
      <c r="K273" s="278" t="s">
        <v>1113</v>
      </c>
      <c r="L273" s="257"/>
      <c r="M273" s="257"/>
      <c r="N273" s="257"/>
      <c r="O273" s="292" t="s">
        <v>1227</v>
      </c>
      <c r="P273" s="192"/>
      <c r="Q273" s="192"/>
      <c r="R273" s="192"/>
      <c r="S273" s="192"/>
    </row>
    <row r="274" spans="1:19" ht="16.5" thickTop="1" thickBot="1" x14ac:dyDescent="0.25">
      <c r="A274" s="198">
        <v>28</v>
      </c>
      <c r="B274" s="188" t="s">
        <v>1323</v>
      </c>
      <c r="C274" s="188" t="s">
        <v>1324</v>
      </c>
      <c r="D274" s="215" t="s">
        <v>976</v>
      </c>
      <c r="G274" s="192"/>
      <c r="H274" s="287">
        <v>28</v>
      </c>
      <c r="I274" s="237"/>
      <c r="J274" s="297"/>
      <c r="K274" s="298" t="s">
        <v>1324</v>
      </c>
      <c r="L274" s="297"/>
      <c r="M274" s="297"/>
      <c r="N274" s="297"/>
      <c r="O274" s="239" t="s">
        <v>976</v>
      </c>
      <c r="P274" s="192"/>
      <c r="Q274" s="207">
        <f t="shared" ref="Q274:Q279" si="39">H274</f>
        <v>28</v>
      </c>
      <c r="R274" s="197" t="str">
        <f t="shared" ref="R274:R279" si="40">CONCATENATE("II-",TEXT(Q274,"0000"))</f>
        <v>II-0028</v>
      </c>
      <c r="S274" s="208" t="str">
        <f t="shared" ref="S274:S279" si="41">K274</f>
        <v>DESBOSQUE / DESTRONQUE LIMPIEZA</v>
      </c>
    </row>
    <row r="275" spans="1:19" ht="16.5" thickTop="1" thickBot="1" x14ac:dyDescent="0.25">
      <c r="A275" s="198">
        <v>29</v>
      </c>
      <c r="B275" s="188" t="s">
        <v>1325</v>
      </c>
      <c r="C275" s="188" t="s">
        <v>1326</v>
      </c>
      <c r="D275" s="215" t="s">
        <v>1110</v>
      </c>
      <c r="G275" s="192"/>
      <c r="H275" s="287">
        <v>29</v>
      </c>
      <c r="I275" s="237"/>
      <c r="J275" s="297"/>
      <c r="K275" s="298" t="s">
        <v>1326</v>
      </c>
      <c r="L275" s="297"/>
      <c r="M275" s="297"/>
      <c r="N275" s="297"/>
      <c r="O275" s="239" t="s">
        <v>1110</v>
      </c>
      <c r="P275" s="192"/>
      <c r="Q275" s="207">
        <f t="shared" si="39"/>
        <v>29</v>
      </c>
      <c r="R275" s="197" t="str">
        <f t="shared" si="40"/>
        <v>II-0029</v>
      </c>
      <c r="S275" s="208" t="str">
        <f t="shared" si="41"/>
        <v>DESCARGA</v>
      </c>
    </row>
    <row r="276" spans="1:19" ht="16.5" thickTop="1" thickBot="1" x14ac:dyDescent="0.25">
      <c r="A276" s="198">
        <v>30</v>
      </c>
      <c r="B276" s="188" t="s">
        <v>1327</v>
      </c>
      <c r="C276" s="188" t="s">
        <v>1328</v>
      </c>
      <c r="D276" s="215" t="s">
        <v>1110</v>
      </c>
      <c r="G276" s="192"/>
      <c r="H276" s="333">
        <v>30</v>
      </c>
      <c r="I276" s="334"/>
      <c r="J276" s="335"/>
      <c r="K276" s="336" t="s">
        <v>1328</v>
      </c>
      <c r="L276" s="335"/>
      <c r="M276" s="335"/>
      <c r="N276" s="335"/>
      <c r="O276" s="337" t="s">
        <v>1110</v>
      </c>
      <c r="P276" s="192"/>
      <c r="Q276" s="207">
        <f t="shared" si="39"/>
        <v>30</v>
      </c>
      <c r="R276" s="197" t="str">
        <f t="shared" si="40"/>
        <v>II-0030</v>
      </c>
      <c r="S276" s="208" t="str">
        <f t="shared" si="41"/>
        <v>DESEMBARRO P/ SANEAMIENTO</v>
      </c>
    </row>
    <row r="277" spans="1:19" ht="16.5" thickTop="1" thickBot="1" x14ac:dyDescent="0.25">
      <c r="A277" s="198">
        <v>31</v>
      </c>
      <c r="B277" s="188" t="s">
        <v>1329</v>
      </c>
      <c r="C277" s="188" t="s">
        <v>1330</v>
      </c>
      <c r="D277" s="215" t="s">
        <v>976</v>
      </c>
      <c r="G277" s="192"/>
      <c r="H277" s="333">
        <v>31</v>
      </c>
      <c r="I277" s="334"/>
      <c r="J277" s="335"/>
      <c r="K277" s="336" t="s">
        <v>1330</v>
      </c>
      <c r="L277" s="335"/>
      <c r="M277" s="335"/>
      <c r="N277" s="335"/>
      <c r="O277" s="337" t="s">
        <v>976</v>
      </c>
      <c r="P277" s="192"/>
      <c r="Q277" s="207">
        <f t="shared" si="39"/>
        <v>31</v>
      </c>
      <c r="R277" s="197" t="str">
        <f t="shared" si="40"/>
        <v>II-0031</v>
      </c>
      <c r="S277" s="208" t="str">
        <f t="shared" si="41"/>
        <v>DESPEDRADO DE LADERAS</v>
      </c>
    </row>
    <row r="278" spans="1:19" ht="16.5" thickTop="1" thickBot="1" x14ac:dyDescent="0.25">
      <c r="A278" s="198">
        <v>32</v>
      </c>
      <c r="B278" s="188" t="s">
        <v>1331</v>
      </c>
      <c r="C278" s="188" t="s">
        <v>1332</v>
      </c>
      <c r="D278" s="215" t="s">
        <v>5</v>
      </c>
      <c r="G278" s="192"/>
      <c r="H278" s="333">
        <v>32</v>
      </c>
      <c r="I278" s="334"/>
      <c r="J278" s="335"/>
      <c r="K278" s="336" t="s">
        <v>1332</v>
      </c>
      <c r="L278" s="335"/>
      <c r="M278" s="335"/>
      <c r="N278" s="335"/>
      <c r="O278" s="337" t="s">
        <v>5</v>
      </c>
      <c r="P278" s="192"/>
      <c r="Q278" s="207">
        <f t="shared" si="39"/>
        <v>32</v>
      </c>
      <c r="R278" s="197" t="str">
        <f t="shared" si="40"/>
        <v>II-0032</v>
      </c>
      <c r="S278" s="208" t="str">
        <f t="shared" si="41"/>
        <v>DESVIO</v>
      </c>
    </row>
    <row r="279" spans="1:19" ht="15.75" thickTop="1" x14ac:dyDescent="0.2">
      <c r="A279" s="198">
        <v>33</v>
      </c>
      <c r="B279" s="188" t="s">
        <v>1333</v>
      </c>
      <c r="C279" s="188" t="s">
        <v>1334</v>
      </c>
      <c r="D279" s="215"/>
      <c r="G279" s="192"/>
      <c r="H279" s="236">
        <v>33</v>
      </c>
      <c r="I279" s="238"/>
      <c r="J279" s="249"/>
      <c r="K279" s="306" t="s">
        <v>1334</v>
      </c>
      <c r="L279" s="249"/>
      <c r="M279" s="249"/>
      <c r="N279" s="249"/>
      <c r="O279" s="260"/>
      <c r="P279" s="192"/>
      <c r="Q279" s="207">
        <f t="shared" si="39"/>
        <v>33</v>
      </c>
      <c r="R279" s="197" t="str">
        <f t="shared" si="40"/>
        <v>II-0033</v>
      </c>
      <c r="S279" s="208" t="str">
        <f t="shared" si="41"/>
        <v>DRENES</v>
      </c>
    </row>
    <row r="280" spans="1:19" x14ac:dyDescent="0.2">
      <c r="A280" s="198"/>
      <c r="B280" s="188"/>
      <c r="C280" s="188"/>
      <c r="D280" s="215"/>
      <c r="G280" s="192"/>
      <c r="H280" s="209"/>
      <c r="I280" s="210" t="s">
        <v>999</v>
      </c>
      <c r="J280" s="216"/>
      <c r="K280" s="219" t="s">
        <v>1335</v>
      </c>
      <c r="L280" s="218"/>
      <c r="M280" s="218"/>
      <c r="N280" s="218"/>
      <c r="O280" s="251"/>
      <c r="P280" s="192"/>
      <c r="Q280" s="192"/>
      <c r="R280" s="192"/>
      <c r="S280" s="192"/>
    </row>
    <row r="281" spans="1:19" x14ac:dyDescent="0.2">
      <c r="A281" s="198"/>
      <c r="B281" s="188"/>
      <c r="C281" s="188"/>
      <c r="D281" s="215" t="s">
        <v>1193</v>
      </c>
      <c r="G281" s="192"/>
      <c r="H281" s="209"/>
      <c r="I281" s="216"/>
      <c r="J281" s="217">
        <v>1</v>
      </c>
      <c r="K281" s="218"/>
      <c r="L281" s="219" t="s">
        <v>1336</v>
      </c>
      <c r="M281" s="218"/>
      <c r="N281" s="218"/>
      <c r="O281" s="251" t="s">
        <v>1193</v>
      </c>
      <c r="P281" s="192"/>
      <c r="Q281" s="192"/>
      <c r="R281" s="192"/>
      <c r="S281" s="192"/>
    </row>
    <row r="282" spans="1:19" x14ac:dyDescent="0.2">
      <c r="A282" s="198"/>
      <c r="B282" s="188"/>
      <c r="C282" s="188"/>
      <c r="D282" s="215" t="s">
        <v>1110</v>
      </c>
      <c r="G282" s="192"/>
      <c r="H282" s="209"/>
      <c r="I282" s="216"/>
      <c r="J282" s="217">
        <v>2</v>
      </c>
      <c r="K282" s="218"/>
      <c r="L282" s="219" t="s">
        <v>1337</v>
      </c>
      <c r="M282" s="218"/>
      <c r="N282" s="218"/>
      <c r="O282" s="251" t="s">
        <v>1110</v>
      </c>
      <c r="P282" s="192"/>
      <c r="Q282" s="192"/>
      <c r="R282" s="192"/>
      <c r="S282" s="192"/>
    </row>
    <row r="283" spans="1:19" x14ac:dyDescent="0.2">
      <c r="A283" s="198"/>
      <c r="B283" s="188"/>
      <c r="C283" s="188"/>
      <c r="D283" s="215" t="s">
        <v>975</v>
      </c>
      <c r="G283" s="192"/>
      <c r="H283" s="209"/>
      <c r="I283" s="228"/>
      <c r="J283" s="223">
        <v>3</v>
      </c>
      <c r="K283" s="224"/>
      <c r="L283" s="225" t="s">
        <v>1338</v>
      </c>
      <c r="M283" s="224"/>
      <c r="N283" s="224"/>
      <c r="O283" s="270" t="s">
        <v>975</v>
      </c>
      <c r="P283" s="192"/>
      <c r="Q283" s="192"/>
      <c r="R283" s="192"/>
      <c r="S283" s="192"/>
    </row>
    <row r="284" spans="1:19" x14ac:dyDescent="0.2">
      <c r="A284" s="198"/>
      <c r="B284" s="188"/>
      <c r="C284" s="188"/>
      <c r="D284" s="215"/>
      <c r="G284" s="192"/>
      <c r="H284" s="209"/>
      <c r="I284" s="223" t="s">
        <v>1026</v>
      </c>
      <c r="J284" s="216"/>
      <c r="K284" s="219" t="s">
        <v>1339</v>
      </c>
      <c r="L284" s="218"/>
      <c r="M284" s="218"/>
      <c r="N284" s="218"/>
      <c r="O284" s="251"/>
      <c r="P284" s="192"/>
      <c r="Q284" s="192"/>
      <c r="R284" s="192"/>
      <c r="S284" s="192"/>
    </row>
    <row r="285" spans="1:19" x14ac:dyDescent="0.2">
      <c r="A285" s="198"/>
      <c r="B285" s="188"/>
      <c r="C285" s="188"/>
      <c r="D285" s="215" t="s">
        <v>1193</v>
      </c>
      <c r="G285" s="192"/>
      <c r="H285" s="209"/>
      <c r="I285" s="216"/>
      <c r="J285" s="217">
        <v>1</v>
      </c>
      <c r="K285" s="218"/>
      <c r="L285" s="219" t="s">
        <v>1336</v>
      </c>
      <c r="M285" s="218"/>
      <c r="N285" s="218"/>
      <c r="O285" s="251" t="s">
        <v>1193</v>
      </c>
      <c r="P285" s="192"/>
      <c r="Q285" s="192"/>
      <c r="R285" s="192"/>
      <c r="S285" s="192"/>
    </row>
    <row r="286" spans="1:19" x14ac:dyDescent="0.2">
      <c r="A286" s="198"/>
      <c r="B286" s="188"/>
      <c r="C286" s="188"/>
      <c r="D286" s="215" t="s">
        <v>1110</v>
      </c>
      <c r="G286" s="192"/>
      <c r="H286" s="209"/>
      <c r="I286" s="216"/>
      <c r="J286" s="217">
        <v>2</v>
      </c>
      <c r="K286" s="218"/>
      <c r="L286" s="219" t="s">
        <v>1337</v>
      </c>
      <c r="M286" s="218"/>
      <c r="N286" s="218"/>
      <c r="O286" s="251" t="s">
        <v>1110</v>
      </c>
      <c r="P286" s="192"/>
      <c r="Q286" s="192"/>
      <c r="R286" s="192"/>
      <c r="S286" s="192"/>
    </row>
    <row r="287" spans="1:19" x14ac:dyDescent="0.2">
      <c r="A287" s="198"/>
      <c r="B287" s="188"/>
      <c r="C287" s="188"/>
      <c r="D287" s="215" t="s">
        <v>975</v>
      </c>
      <c r="G287" s="192"/>
      <c r="H287" s="209"/>
      <c r="I287" s="228"/>
      <c r="J287" s="223">
        <v>3</v>
      </c>
      <c r="K287" s="224"/>
      <c r="L287" s="225" t="s">
        <v>1338</v>
      </c>
      <c r="M287" s="224"/>
      <c r="N287" s="224"/>
      <c r="O287" s="270" t="s">
        <v>975</v>
      </c>
      <c r="P287" s="192"/>
      <c r="Q287" s="192"/>
      <c r="R287" s="192"/>
      <c r="S287" s="192"/>
    </row>
    <row r="288" spans="1:19" x14ac:dyDescent="0.2">
      <c r="A288" s="198"/>
      <c r="B288" s="188"/>
      <c r="C288" s="188"/>
      <c r="D288" s="215"/>
      <c r="G288" s="192"/>
      <c r="H288" s="209"/>
      <c r="I288" s="223" t="s">
        <v>1036</v>
      </c>
      <c r="J288" s="216"/>
      <c r="K288" s="219" t="s">
        <v>1340</v>
      </c>
      <c r="L288" s="218"/>
      <c r="M288" s="218"/>
      <c r="N288" s="218"/>
      <c r="O288" s="251"/>
      <c r="P288" s="192"/>
      <c r="Q288" s="192"/>
      <c r="R288" s="192"/>
      <c r="S288" s="192"/>
    </row>
    <row r="289" spans="1:19" x14ac:dyDescent="0.2">
      <c r="A289" s="198"/>
      <c r="B289" s="188"/>
      <c r="C289" s="188"/>
      <c r="D289" s="215" t="s">
        <v>1235</v>
      </c>
      <c r="G289" s="192"/>
      <c r="H289" s="209"/>
      <c r="I289" s="216"/>
      <c r="J289" s="217">
        <v>1</v>
      </c>
      <c r="K289" s="218"/>
      <c r="L289" s="219" t="s">
        <v>1341</v>
      </c>
      <c r="M289" s="218"/>
      <c r="N289" s="218"/>
      <c r="O289" s="251" t="s">
        <v>1235</v>
      </c>
      <c r="P289" s="192"/>
      <c r="Q289" s="192"/>
      <c r="R289" s="192"/>
      <c r="S289" s="192"/>
    </row>
    <row r="290" spans="1:19" x14ac:dyDescent="0.2">
      <c r="A290" s="198"/>
      <c r="B290" s="188"/>
      <c r="C290" s="188"/>
      <c r="D290" s="215" t="s">
        <v>1235</v>
      </c>
      <c r="G290" s="192"/>
      <c r="H290" s="209"/>
      <c r="I290" s="210" t="s">
        <v>1062</v>
      </c>
      <c r="J290" s="257"/>
      <c r="K290" s="278" t="s">
        <v>1068</v>
      </c>
      <c r="L290" s="257"/>
      <c r="M290" s="257"/>
      <c r="N290" s="257"/>
      <c r="O290" s="292" t="s">
        <v>1235</v>
      </c>
      <c r="P290" s="192"/>
      <c r="Q290" s="192"/>
      <c r="R290" s="192"/>
      <c r="S290" s="192"/>
    </row>
    <row r="291" spans="1:19" ht="15.75" thickBot="1" x14ac:dyDescent="0.25">
      <c r="A291" s="198"/>
      <c r="B291" s="188"/>
      <c r="C291" s="188"/>
      <c r="D291" s="215" t="s">
        <v>1235</v>
      </c>
      <c r="G291" s="192"/>
      <c r="H291" s="209"/>
      <c r="I291" s="241" t="s">
        <v>1104</v>
      </c>
      <c r="J291" s="218"/>
      <c r="K291" s="219" t="s">
        <v>1116</v>
      </c>
      <c r="L291" s="218"/>
      <c r="M291" s="218"/>
      <c r="N291" s="218"/>
      <c r="O291" s="251" t="s">
        <v>1235</v>
      </c>
      <c r="P291" s="192"/>
      <c r="Q291" s="192"/>
      <c r="R291" s="192"/>
      <c r="S291" s="192"/>
    </row>
    <row r="292" spans="1:19" ht="15.75" thickTop="1" x14ac:dyDescent="0.2">
      <c r="A292" s="198">
        <v>34</v>
      </c>
      <c r="B292" s="188" t="s">
        <v>1342</v>
      </c>
      <c r="C292" s="188" t="s">
        <v>1343</v>
      </c>
      <c r="D292" s="215"/>
      <c r="G292" s="192"/>
      <c r="H292" s="287">
        <v>34</v>
      </c>
      <c r="I292" s="237"/>
      <c r="J292" s="297"/>
      <c r="K292" s="298" t="s">
        <v>1343</v>
      </c>
      <c r="L292" s="297"/>
      <c r="M292" s="297"/>
      <c r="N292" s="297"/>
      <c r="O292" s="239"/>
      <c r="P292" s="192"/>
      <c r="Q292" s="207">
        <f>H292</f>
        <v>34</v>
      </c>
      <c r="R292" s="197" t="str">
        <f>CONCATENATE("II-",TEXT(Q292,"0000"))</f>
        <v>II-0034</v>
      </c>
      <c r="S292" s="208" t="str">
        <f>K292</f>
        <v>ELEVACION DE GUARDARUEDAS</v>
      </c>
    </row>
    <row r="293" spans="1:19" ht="15.75" thickBot="1" x14ac:dyDescent="0.25">
      <c r="A293" s="198"/>
      <c r="B293" s="188"/>
      <c r="C293" s="188"/>
      <c r="D293" s="215" t="s">
        <v>1193</v>
      </c>
      <c r="G293" s="192"/>
      <c r="H293" s="341"/>
      <c r="I293" s="319" t="s">
        <v>999</v>
      </c>
      <c r="J293" s="338"/>
      <c r="K293" s="339" t="s">
        <v>1344</v>
      </c>
      <c r="L293" s="338"/>
      <c r="M293" s="338"/>
      <c r="N293" s="338"/>
      <c r="O293" s="340" t="s">
        <v>1193</v>
      </c>
      <c r="P293" s="192"/>
      <c r="Q293" s="192"/>
      <c r="R293" s="192"/>
      <c r="S293" s="192"/>
    </row>
    <row r="294" spans="1:19" x14ac:dyDescent="0.2">
      <c r="A294" s="198">
        <v>35</v>
      </c>
      <c r="B294" s="188" t="s">
        <v>1345</v>
      </c>
      <c r="C294" s="188" t="s">
        <v>1346</v>
      </c>
      <c r="D294" s="215"/>
      <c r="G294" s="192"/>
      <c r="H294" s="236">
        <v>35</v>
      </c>
      <c r="I294" s="238"/>
      <c r="J294" s="249"/>
      <c r="K294" s="306" t="s">
        <v>1346</v>
      </c>
      <c r="L294" s="249"/>
      <c r="M294" s="249"/>
      <c r="N294" s="249"/>
      <c r="O294" s="260"/>
      <c r="P294" s="192"/>
      <c r="Q294" s="207">
        <f>H294</f>
        <v>35</v>
      </c>
      <c r="R294" s="197" t="str">
        <f>CONCATENATE("II-",TEXT(Q294,"0000"))</f>
        <v>II-0035</v>
      </c>
      <c r="S294" s="208" t="str">
        <f>K294</f>
        <v>ENCAUZAMIENTO</v>
      </c>
    </row>
    <row r="295" spans="1:19" x14ac:dyDescent="0.2">
      <c r="A295" s="198"/>
      <c r="B295" s="188"/>
      <c r="C295" s="188"/>
      <c r="D295" s="215" t="s">
        <v>1110</v>
      </c>
      <c r="G295" s="192"/>
      <c r="H295" s="209"/>
      <c r="I295" s="210" t="s">
        <v>999</v>
      </c>
      <c r="J295" s="257"/>
      <c r="K295" s="278" t="s">
        <v>1292</v>
      </c>
      <c r="L295" s="257"/>
      <c r="M295" s="257"/>
      <c r="N295" s="257"/>
      <c r="O295" s="292" t="s">
        <v>1110</v>
      </c>
      <c r="P295" s="192"/>
      <c r="Q295" s="192"/>
      <c r="R295" s="192"/>
      <c r="S295" s="192"/>
    </row>
    <row r="296" spans="1:19" x14ac:dyDescent="0.2">
      <c r="A296" s="198"/>
      <c r="B296" s="188"/>
      <c r="C296" s="188"/>
      <c r="D296" s="215"/>
      <c r="G296" s="192"/>
      <c r="H296" s="209"/>
      <c r="I296" s="210" t="s">
        <v>1026</v>
      </c>
      <c r="J296" s="216"/>
      <c r="K296" s="219" t="s">
        <v>1347</v>
      </c>
      <c r="L296" s="218"/>
      <c r="M296" s="218"/>
      <c r="N296" s="218"/>
      <c r="O296" s="251"/>
      <c r="P296" s="192"/>
      <c r="Q296" s="192"/>
      <c r="R296" s="192"/>
      <c r="S296" s="192"/>
    </row>
    <row r="297" spans="1:19" x14ac:dyDescent="0.2">
      <c r="A297" s="198"/>
      <c r="B297" s="188"/>
      <c r="C297" s="188"/>
      <c r="D297" s="215" t="s">
        <v>1110</v>
      </c>
      <c r="G297" s="192"/>
      <c r="H297" s="209"/>
      <c r="I297" s="216"/>
      <c r="J297" s="217">
        <v>1</v>
      </c>
      <c r="K297" s="218"/>
      <c r="L297" s="219" t="s">
        <v>1348</v>
      </c>
      <c r="M297" s="218"/>
      <c r="N297" s="218"/>
      <c r="O297" s="251" t="s">
        <v>1110</v>
      </c>
      <c r="P297" s="192"/>
      <c r="Q297" s="192"/>
      <c r="R297" s="192"/>
      <c r="S297" s="192"/>
    </row>
    <row r="298" spans="1:19" ht="15.75" thickBot="1" x14ac:dyDescent="0.25">
      <c r="A298" s="198"/>
      <c r="B298" s="188"/>
      <c r="C298" s="188"/>
      <c r="D298" s="215" t="s">
        <v>1110</v>
      </c>
      <c r="G298" s="192"/>
      <c r="H298" s="262"/>
      <c r="I298" s="263"/>
      <c r="J298" s="264">
        <v>2</v>
      </c>
      <c r="K298" s="265"/>
      <c r="L298" s="266" t="s">
        <v>1224</v>
      </c>
      <c r="M298" s="265"/>
      <c r="N298" s="265"/>
      <c r="O298" s="320" t="s">
        <v>1110</v>
      </c>
      <c r="P298" s="192"/>
      <c r="Q298" s="192"/>
      <c r="R298" s="192"/>
      <c r="S298" s="192"/>
    </row>
    <row r="299" spans="1:19" x14ac:dyDescent="0.2">
      <c r="A299" s="198"/>
      <c r="B299" s="188"/>
      <c r="C299" s="188"/>
      <c r="D299" s="215"/>
      <c r="G299" s="218"/>
      <c r="H299" s="268"/>
      <c r="I299" s="216"/>
      <c r="J299" s="216"/>
      <c r="K299" s="218"/>
      <c r="L299" s="219"/>
      <c r="M299" s="218"/>
      <c r="N299" s="218"/>
      <c r="O299" s="326"/>
      <c r="P299" s="218"/>
      <c r="Q299" s="218"/>
      <c r="R299" s="218"/>
      <c r="S299" s="218"/>
    </row>
    <row r="300" spans="1:19" ht="15.75" thickBot="1" x14ac:dyDescent="0.25">
      <c r="A300" s="198">
        <v>36</v>
      </c>
      <c r="B300" s="188" t="s">
        <v>1349</v>
      </c>
      <c r="C300" s="188" t="s">
        <v>1350</v>
      </c>
      <c r="D300" s="215" t="s">
        <v>1110</v>
      </c>
      <c r="G300" s="192"/>
      <c r="H300" s="236">
        <v>36</v>
      </c>
      <c r="I300" s="238"/>
      <c r="J300" s="249"/>
      <c r="K300" s="306" t="s">
        <v>1350</v>
      </c>
      <c r="L300" s="249"/>
      <c r="M300" s="249"/>
      <c r="N300" s="249"/>
      <c r="O300" s="260" t="s">
        <v>1110</v>
      </c>
      <c r="P300" s="192"/>
      <c r="Q300" s="207">
        <f t="shared" ref="Q300:Q303" si="42">H300</f>
        <v>36</v>
      </c>
      <c r="R300" s="197" t="str">
        <f t="shared" ref="R300:R303" si="43">CONCATENATE("II-",TEXT(Q300,"0000"))</f>
        <v>II-0036</v>
      </c>
      <c r="S300" s="208" t="str">
        <f t="shared" ref="S300:S303" si="44">K300</f>
        <v>ENROCADOS</v>
      </c>
    </row>
    <row r="301" spans="1:19" ht="16.5" thickTop="1" thickBot="1" x14ac:dyDescent="0.25">
      <c r="A301" s="198">
        <v>37</v>
      </c>
      <c r="B301" s="188" t="s">
        <v>1351</v>
      </c>
      <c r="C301" s="188" t="s">
        <v>1352</v>
      </c>
      <c r="D301" s="215" t="s">
        <v>1193</v>
      </c>
      <c r="G301" s="192"/>
      <c r="H301" s="287">
        <v>37</v>
      </c>
      <c r="I301" s="237"/>
      <c r="J301" s="297"/>
      <c r="K301" s="298" t="s">
        <v>1352</v>
      </c>
      <c r="L301" s="297"/>
      <c r="M301" s="297"/>
      <c r="N301" s="297"/>
      <c r="O301" s="239" t="s">
        <v>1193</v>
      </c>
      <c r="P301" s="192"/>
      <c r="Q301" s="207">
        <f t="shared" si="42"/>
        <v>37</v>
      </c>
      <c r="R301" s="197" t="str">
        <f t="shared" si="43"/>
        <v>II-0037</v>
      </c>
      <c r="S301" s="208" t="str">
        <f t="shared" si="44"/>
        <v>ENRIPIADO</v>
      </c>
    </row>
    <row r="302" spans="1:19" ht="16.5" thickTop="1" thickBot="1" x14ac:dyDescent="0.25">
      <c r="A302" s="198">
        <v>38</v>
      </c>
      <c r="B302" s="188" t="s">
        <v>1353</v>
      </c>
      <c r="C302" s="188" t="s">
        <v>1354</v>
      </c>
      <c r="D302" s="215" t="s">
        <v>1193</v>
      </c>
      <c r="G302" s="192"/>
      <c r="H302" s="287">
        <v>38</v>
      </c>
      <c r="I302" s="237"/>
      <c r="J302" s="297"/>
      <c r="K302" s="298" t="s">
        <v>1354</v>
      </c>
      <c r="L302" s="297"/>
      <c r="M302" s="297"/>
      <c r="N302" s="297"/>
      <c r="O302" s="239" t="s">
        <v>1193</v>
      </c>
      <c r="P302" s="192"/>
      <c r="Q302" s="207">
        <f t="shared" si="42"/>
        <v>38</v>
      </c>
      <c r="R302" s="197" t="str">
        <f t="shared" si="43"/>
        <v>II-0038</v>
      </c>
      <c r="S302" s="208" t="str">
        <f t="shared" si="44"/>
        <v>ESCARIFICADO</v>
      </c>
    </row>
    <row r="303" spans="1:19" ht="15.75" thickTop="1" x14ac:dyDescent="0.2">
      <c r="A303" s="198">
        <v>39</v>
      </c>
      <c r="B303" s="188" t="s">
        <v>1355</v>
      </c>
      <c r="C303" s="188" t="s">
        <v>1356</v>
      </c>
      <c r="D303" s="215"/>
      <c r="G303" s="192"/>
      <c r="H303" s="287">
        <v>39</v>
      </c>
      <c r="I303" s="237"/>
      <c r="J303" s="297"/>
      <c r="K303" s="298" t="s">
        <v>1356</v>
      </c>
      <c r="L303" s="297"/>
      <c r="M303" s="297"/>
      <c r="N303" s="297"/>
      <c r="O303" s="239"/>
      <c r="P303" s="192"/>
      <c r="Q303" s="207">
        <f t="shared" si="42"/>
        <v>39</v>
      </c>
      <c r="R303" s="197" t="str">
        <f t="shared" si="43"/>
        <v>II-0039</v>
      </c>
      <c r="S303" s="208" t="str">
        <f t="shared" si="44"/>
        <v>EXCAVACIONES</v>
      </c>
    </row>
    <row r="304" spans="1:19" x14ac:dyDescent="0.2">
      <c r="A304" s="198"/>
      <c r="B304" s="188"/>
      <c r="C304" s="188"/>
      <c r="D304" s="215" t="s">
        <v>1110</v>
      </c>
      <c r="G304" s="192"/>
      <c r="H304" s="209"/>
      <c r="I304" s="210" t="s">
        <v>999</v>
      </c>
      <c r="J304" s="257"/>
      <c r="K304" s="278" t="s">
        <v>1357</v>
      </c>
      <c r="L304" s="278"/>
      <c r="M304" s="278"/>
      <c r="N304" s="278"/>
      <c r="O304" s="292" t="s">
        <v>1110</v>
      </c>
      <c r="P304" s="192"/>
      <c r="Q304" s="192"/>
      <c r="R304" s="192"/>
      <c r="S304" s="192"/>
    </row>
    <row r="305" spans="1:19" x14ac:dyDescent="0.2">
      <c r="A305" s="198"/>
      <c r="B305" s="188"/>
      <c r="C305" s="188"/>
      <c r="D305" s="215" t="s">
        <v>1110</v>
      </c>
      <c r="G305" s="192"/>
      <c r="H305" s="209"/>
      <c r="I305" s="210" t="s">
        <v>1026</v>
      </c>
      <c r="J305" s="257"/>
      <c r="K305" s="278" t="s">
        <v>1358</v>
      </c>
      <c r="L305" s="278"/>
      <c r="M305" s="278"/>
      <c r="N305" s="278"/>
      <c r="O305" s="292" t="s">
        <v>1110</v>
      </c>
      <c r="P305" s="192"/>
      <c r="Q305" s="192"/>
      <c r="R305" s="192"/>
      <c r="S305" s="192"/>
    </row>
    <row r="306" spans="1:19" x14ac:dyDescent="0.2">
      <c r="A306" s="198"/>
      <c r="B306" s="188"/>
      <c r="C306" s="188"/>
      <c r="D306" s="215" t="s">
        <v>1110</v>
      </c>
      <c r="G306" s="192"/>
      <c r="H306" s="209"/>
      <c r="I306" s="210" t="s">
        <v>1036</v>
      </c>
      <c r="J306" s="257"/>
      <c r="K306" s="278" t="s">
        <v>1359</v>
      </c>
      <c r="L306" s="278"/>
      <c r="M306" s="278"/>
      <c r="N306" s="278"/>
      <c r="O306" s="292" t="s">
        <v>1110</v>
      </c>
      <c r="P306" s="192"/>
      <c r="Q306" s="192"/>
      <c r="R306" s="192"/>
      <c r="S306" s="192"/>
    </row>
    <row r="307" spans="1:19" x14ac:dyDescent="0.2">
      <c r="A307" s="198"/>
      <c r="B307" s="188"/>
      <c r="C307" s="188"/>
      <c r="D307" s="215" t="s">
        <v>1110</v>
      </c>
      <c r="G307" s="192"/>
      <c r="H307" s="209"/>
      <c r="I307" s="210" t="s">
        <v>1062</v>
      </c>
      <c r="J307" s="257"/>
      <c r="K307" s="278" t="s">
        <v>1360</v>
      </c>
      <c r="L307" s="278"/>
      <c r="M307" s="278"/>
      <c r="N307" s="278"/>
      <c r="O307" s="292" t="s">
        <v>1110</v>
      </c>
      <c r="P307" s="192"/>
      <c r="Q307" s="192"/>
      <c r="R307" s="192"/>
      <c r="S307" s="192"/>
    </row>
    <row r="308" spans="1:19" x14ac:dyDescent="0.2">
      <c r="A308" s="198"/>
      <c r="B308" s="188"/>
      <c r="C308" s="188"/>
      <c r="D308" s="215" t="s">
        <v>1110</v>
      </c>
      <c r="G308" s="192"/>
      <c r="H308" s="209"/>
      <c r="I308" s="210" t="s">
        <v>1104</v>
      </c>
      <c r="J308" s="257"/>
      <c r="K308" s="278" t="s">
        <v>1361</v>
      </c>
      <c r="L308" s="278"/>
      <c r="M308" s="278"/>
      <c r="N308" s="278"/>
      <c r="O308" s="292" t="s">
        <v>1110</v>
      </c>
      <c r="P308" s="192"/>
      <c r="Q308" s="192"/>
      <c r="R308" s="192"/>
      <c r="S308" s="192"/>
    </row>
    <row r="309" spans="1:19" x14ac:dyDescent="0.2">
      <c r="A309" s="198"/>
      <c r="B309" s="188"/>
      <c r="C309" s="188"/>
      <c r="D309" s="215" t="s">
        <v>1110</v>
      </c>
      <c r="G309" s="192"/>
      <c r="H309" s="209"/>
      <c r="I309" s="210" t="s">
        <v>1107</v>
      </c>
      <c r="J309" s="257"/>
      <c r="K309" s="278" t="s">
        <v>1362</v>
      </c>
      <c r="L309" s="278"/>
      <c r="M309" s="278"/>
      <c r="N309" s="278"/>
      <c r="O309" s="292" t="s">
        <v>1110</v>
      </c>
      <c r="P309" s="192"/>
      <c r="Q309" s="192"/>
      <c r="R309" s="192"/>
      <c r="S309" s="192"/>
    </row>
    <row r="310" spans="1:19" x14ac:dyDescent="0.2">
      <c r="A310" s="198"/>
      <c r="B310" s="188"/>
      <c r="C310" s="188"/>
      <c r="D310" s="215" t="s">
        <v>1110</v>
      </c>
      <c r="G310" s="192"/>
      <c r="H310" s="209"/>
      <c r="I310" s="210" t="s">
        <v>1111</v>
      </c>
      <c r="J310" s="257"/>
      <c r="K310" s="278" t="s">
        <v>1363</v>
      </c>
      <c r="L310" s="278"/>
      <c r="M310" s="278"/>
      <c r="N310" s="278"/>
      <c r="O310" s="292" t="s">
        <v>1110</v>
      </c>
      <c r="P310" s="192"/>
      <c r="Q310" s="192"/>
      <c r="R310" s="192"/>
      <c r="S310" s="192"/>
    </row>
    <row r="311" spans="1:19" x14ac:dyDescent="0.2">
      <c r="A311" s="198"/>
      <c r="B311" s="188"/>
      <c r="C311" s="188"/>
      <c r="D311" s="215" t="s">
        <v>1110</v>
      </c>
      <c r="G311" s="192"/>
      <c r="H311" s="209"/>
      <c r="I311" s="210" t="s">
        <v>1114</v>
      </c>
      <c r="J311" s="257"/>
      <c r="K311" s="278" t="s">
        <v>1364</v>
      </c>
      <c r="L311" s="278"/>
      <c r="M311" s="278"/>
      <c r="N311" s="278"/>
      <c r="O311" s="292" t="s">
        <v>1110</v>
      </c>
      <c r="P311" s="192"/>
      <c r="Q311" s="192"/>
      <c r="R311" s="192"/>
      <c r="S311" s="192"/>
    </row>
    <row r="312" spans="1:19" x14ac:dyDescent="0.2">
      <c r="A312" s="198"/>
      <c r="B312" s="188"/>
      <c r="C312" s="188"/>
      <c r="D312" s="215" t="s">
        <v>1110</v>
      </c>
      <c r="G312" s="192"/>
      <c r="H312" s="209"/>
      <c r="I312" s="210" t="s">
        <v>889</v>
      </c>
      <c r="J312" s="257"/>
      <c r="K312" s="278" t="s">
        <v>1365</v>
      </c>
      <c r="L312" s="278"/>
      <c r="M312" s="278"/>
      <c r="N312" s="278"/>
      <c r="O312" s="292" t="s">
        <v>1110</v>
      </c>
      <c r="P312" s="192"/>
      <c r="Q312" s="192"/>
      <c r="R312" s="192"/>
      <c r="S312" s="192"/>
    </row>
    <row r="313" spans="1:19" ht="15.75" thickBot="1" x14ac:dyDescent="0.25">
      <c r="A313" s="198"/>
      <c r="B313" s="188"/>
      <c r="C313" s="188"/>
      <c r="D313" s="215" t="s">
        <v>1110</v>
      </c>
      <c r="G313" s="192"/>
      <c r="H313" s="229"/>
      <c r="I313" s="241" t="s">
        <v>1119</v>
      </c>
      <c r="J313" s="244"/>
      <c r="K313" s="280" t="s">
        <v>1366</v>
      </c>
      <c r="L313" s="280"/>
      <c r="M313" s="280"/>
      <c r="N313" s="280"/>
      <c r="O313" s="318" t="s">
        <v>1110</v>
      </c>
      <c r="P313" s="192"/>
      <c r="Q313" s="192"/>
      <c r="R313" s="192"/>
      <c r="S313" s="192"/>
    </row>
    <row r="314" spans="1:19" ht="15.75" thickTop="1" x14ac:dyDescent="0.2">
      <c r="A314" s="198">
        <v>40</v>
      </c>
      <c r="B314" s="188" t="s">
        <v>1367</v>
      </c>
      <c r="C314" s="188" t="s">
        <v>1263</v>
      </c>
      <c r="D314" s="215"/>
      <c r="G314" s="192"/>
      <c r="H314" s="236">
        <v>40</v>
      </c>
      <c r="I314" s="238"/>
      <c r="J314" s="249"/>
      <c r="K314" s="306" t="s">
        <v>1263</v>
      </c>
      <c r="L314" s="249"/>
      <c r="M314" s="249"/>
      <c r="N314" s="249"/>
      <c r="O314" s="260"/>
      <c r="P314" s="192"/>
      <c r="Q314" s="207">
        <f>H314</f>
        <v>40</v>
      </c>
      <c r="R314" s="197" t="str">
        <f>CONCATENATE("II-",TEXT(Q314,"0000"))</f>
        <v>II-0040</v>
      </c>
      <c r="S314" s="208" t="str">
        <f>K314</f>
        <v>FRESADO</v>
      </c>
    </row>
    <row r="315" spans="1:19" ht="15.75" thickBot="1" x14ac:dyDescent="0.25">
      <c r="A315" s="198"/>
      <c r="B315" s="188"/>
      <c r="C315" s="188"/>
      <c r="D315" s="215" t="s">
        <v>1193</v>
      </c>
      <c r="G315" s="192"/>
      <c r="H315" s="293"/>
      <c r="I315" s="294" t="s">
        <v>999</v>
      </c>
      <c r="J315" s="295"/>
      <c r="K315" s="296" t="s">
        <v>1368</v>
      </c>
      <c r="L315" s="295"/>
      <c r="M315" s="295"/>
      <c r="N315" s="295"/>
      <c r="O315" s="282" t="s">
        <v>1193</v>
      </c>
      <c r="P315" s="192"/>
      <c r="Q315" s="192"/>
      <c r="R315" s="192"/>
      <c r="S315" s="192"/>
    </row>
    <row r="316" spans="1:19" ht="15.75" thickTop="1" x14ac:dyDescent="0.2">
      <c r="A316" s="198">
        <v>41</v>
      </c>
      <c r="B316" s="188" t="s">
        <v>1369</v>
      </c>
      <c r="C316" s="188" t="s">
        <v>1370</v>
      </c>
      <c r="D316" s="215"/>
      <c r="G316" s="192"/>
      <c r="H316" s="287">
        <v>41</v>
      </c>
      <c r="I316" s="237"/>
      <c r="J316" s="297"/>
      <c r="K316" s="298" t="s">
        <v>1370</v>
      </c>
      <c r="L316" s="298"/>
      <c r="M316" s="297"/>
      <c r="N316" s="297"/>
      <c r="O316" s="239"/>
      <c r="P316" s="192"/>
      <c r="Q316" s="207">
        <f>H316</f>
        <v>41</v>
      </c>
      <c r="R316" s="197" t="str">
        <f>CONCATENATE("II-",TEXT(Q316,"0000"))</f>
        <v>II-0041</v>
      </c>
      <c r="S316" s="208" t="str">
        <f>K316</f>
        <v>GAVIONES (PIEDRA EMBOLSADA)</v>
      </c>
    </row>
    <row r="317" spans="1:19" x14ac:dyDescent="0.2">
      <c r="A317" s="198"/>
      <c r="B317" s="188"/>
      <c r="C317" s="188"/>
      <c r="D317" s="215"/>
      <c r="G317" s="192"/>
      <c r="H317" s="293"/>
      <c r="I317" s="210" t="s">
        <v>999</v>
      </c>
      <c r="J317" s="216"/>
      <c r="K317" s="219" t="s">
        <v>1279</v>
      </c>
      <c r="L317" s="218"/>
      <c r="M317" s="218"/>
      <c r="N317" s="218"/>
      <c r="O317" s="251"/>
      <c r="P317" s="192"/>
      <c r="Q317" s="192"/>
      <c r="R317" s="192"/>
      <c r="S317" s="192"/>
    </row>
    <row r="318" spans="1:19" x14ac:dyDescent="0.2">
      <c r="A318" s="198"/>
      <c r="B318" s="188"/>
      <c r="C318" s="188"/>
      <c r="D318" s="215" t="s">
        <v>1110</v>
      </c>
      <c r="G318" s="192"/>
      <c r="H318" s="293"/>
      <c r="I318" s="216"/>
      <c r="J318" s="217">
        <v>1</v>
      </c>
      <c r="K318" s="218"/>
      <c r="L318" s="219" t="s">
        <v>1371</v>
      </c>
      <c r="M318" s="218"/>
      <c r="N318" s="218"/>
      <c r="O318" s="251" t="s">
        <v>1110</v>
      </c>
      <c r="P318" s="192"/>
      <c r="Q318" s="192"/>
      <c r="R318" s="192"/>
      <c r="S318" s="192"/>
    </row>
    <row r="319" spans="1:19" x14ac:dyDescent="0.2">
      <c r="A319" s="198"/>
      <c r="B319" s="188"/>
      <c r="C319" s="188"/>
      <c r="D319" s="215" t="s">
        <v>1110</v>
      </c>
      <c r="G319" s="192"/>
      <c r="H319" s="293"/>
      <c r="I319" s="269"/>
      <c r="J319" s="223">
        <v>2</v>
      </c>
      <c r="K319" s="224"/>
      <c r="L319" s="225" t="s">
        <v>1372</v>
      </c>
      <c r="M319" s="224"/>
      <c r="N319" s="224"/>
      <c r="O319" s="270" t="s">
        <v>1110</v>
      </c>
      <c r="P319" s="192"/>
      <c r="Q319" s="192"/>
      <c r="R319" s="192"/>
      <c r="S319" s="192"/>
    </row>
    <row r="320" spans="1:19" x14ac:dyDescent="0.2">
      <c r="A320" s="198"/>
      <c r="B320" s="188"/>
      <c r="C320" s="188"/>
      <c r="D320" s="215"/>
      <c r="G320" s="192"/>
      <c r="H320" s="293"/>
      <c r="I320" s="223" t="s">
        <v>1026</v>
      </c>
      <c r="J320" s="216"/>
      <c r="K320" s="219" t="s">
        <v>1278</v>
      </c>
      <c r="L320" s="218"/>
      <c r="M320" s="218"/>
      <c r="N320" s="218"/>
      <c r="O320" s="251"/>
      <c r="P320" s="192"/>
      <c r="Q320" s="192"/>
      <c r="R320" s="192"/>
      <c r="S320" s="192"/>
    </row>
    <row r="321" spans="1:19" x14ac:dyDescent="0.2">
      <c r="A321" s="198"/>
      <c r="B321" s="188"/>
      <c r="C321" s="188"/>
      <c r="D321" s="215" t="s">
        <v>1110</v>
      </c>
      <c r="G321" s="192"/>
      <c r="H321" s="293"/>
      <c r="I321" s="216"/>
      <c r="J321" s="217">
        <v>1</v>
      </c>
      <c r="K321" s="218"/>
      <c r="L321" s="219" t="s">
        <v>1371</v>
      </c>
      <c r="M321" s="218"/>
      <c r="N321" s="218"/>
      <c r="O321" s="251" t="s">
        <v>1110</v>
      </c>
      <c r="P321" s="192"/>
      <c r="Q321" s="192"/>
      <c r="R321" s="192"/>
      <c r="S321" s="192"/>
    </row>
    <row r="322" spans="1:19" x14ac:dyDescent="0.2">
      <c r="A322" s="198"/>
      <c r="B322" s="188"/>
      <c r="C322" s="188"/>
      <c r="D322" s="215" t="s">
        <v>1110</v>
      </c>
      <c r="G322" s="192"/>
      <c r="H322" s="293"/>
      <c r="I322" s="228"/>
      <c r="J322" s="223">
        <v>2</v>
      </c>
      <c r="K322" s="224"/>
      <c r="L322" s="225" t="s">
        <v>1372</v>
      </c>
      <c r="M322" s="224"/>
      <c r="N322" s="224"/>
      <c r="O322" s="270" t="s">
        <v>1110</v>
      </c>
      <c r="P322" s="192"/>
      <c r="Q322" s="192"/>
      <c r="R322" s="192"/>
      <c r="S322" s="192"/>
    </row>
    <row r="323" spans="1:19" x14ac:dyDescent="0.2">
      <c r="A323" s="198"/>
      <c r="B323" s="188"/>
      <c r="C323" s="188"/>
      <c r="D323" s="215" t="s">
        <v>1110</v>
      </c>
      <c r="G323" s="218"/>
      <c r="H323" s="293"/>
      <c r="I323" s="311" t="s">
        <v>1036</v>
      </c>
      <c r="J323" s="342"/>
      <c r="K323" s="324" t="s">
        <v>1068</v>
      </c>
      <c r="L323" s="324"/>
      <c r="M323" s="342"/>
      <c r="N323" s="342"/>
      <c r="O323" s="277" t="s">
        <v>1110</v>
      </c>
      <c r="P323" s="218"/>
      <c r="Q323" s="218"/>
      <c r="R323" s="218"/>
      <c r="S323" s="218"/>
    </row>
    <row r="324" spans="1:19" ht="15.75" thickBot="1" x14ac:dyDescent="0.25">
      <c r="A324" s="198"/>
      <c r="B324" s="188"/>
      <c r="C324" s="188"/>
      <c r="D324" s="215" t="s">
        <v>1110</v>
      </c>
      <c r="G324" s="192"/>
      <c r="H324" s="293"/>
      <c r="I324" s="307" t="s">
        <v>1062</v>
      </c>
      <c r="J324" s="295"/>
      <c r="K324" s="296" t="s">
        <v>1116</v>
      </c>
      <c r="L324" s="296"/>
      <c r="M324" s="295"/>
      <c r="N324" s="295"/>
      <c r="O324" s="282" t="s">
        <v>1110</v>
      </c>
      <c r="P324" s="192"/>
      <c r="Q324" s="192"/>
      <c r="R324" s="192"/>
      <c r="S324" s="192"/>
    </row>
    <row r="325" spans="1:19" ht="16.5" thickTop="1" thickBot="1" x14ac:dyDescent="0.25">
      <c r="A325" s="198">
        <v>42</v>
      </c>
      <c r="B325" s="188" t="s">
        <v>1373</v>
      </c>
      <c r="C325" s="188" t="s">
        <v>1374</v>
      </c>
      <c r="D325" s="215" t="s">
        <v>5</v>
      </c>
      <c r="G325" s="218"/>
      <c r="H325" s="333">
        <v>42</v>
      </c>
      <c r="I325" s="334"/>
      <c r="J325" s="335"/>
      <c r="K325" s="336" t="s">
        <v>1374</v>
      </c>
      <c r="L325" s="336"/>
      <c r="M325" s="335"/>
      <c r="N325" s="335"/>
      <c r="O325" s="337" t="s">
        <v>5</v>
      </c>
      <c r="P325" s="218"/>
      <c r="Q325" s="207">
        <f t="shared" ref="Q325:Q326" si="45">H325</f>
        <v>42</v>
      </c>
      <c r="R325" s="197" t="str">
        <f t="shared" ref="R325:R326" si="46">CONCATENATE("II-",TEXT(Q325,"0000"))</f>
        <v>II-0042</v>
      </c>
      <c r="S325" s="208" t="str">
        <f t="shared" ref="S325:S326" si="47">K325</f>
        <v>GUARDAGANADO</v>
      </c>
    </row>
    <row r="326" spans="1:19" ht="15.75" thickTop="1" x14ac:dyDescent="0.2">
      <c r="A326" s="198">
        <v>43</v>
      </c>
      <c r="B326" s="188" t="s">
        <v>1375</v>
      </c>
      <c r="C326" s="188" t="s">
        <v>1376</v>
      </c>
      <c r="D326" s="215"/>
      <c r="G326" s="192"/>
      <c r="H326" s="236">
        <v>43</v>
      </c>
      <c r="I326" s="238"/>
      <c r="J326" s="249"/>
      <c r="K326" s="306" t="s">
        <v>1376</v>
      </c>
      <c r="L326" s="249"/>
      <c r="M326" s="249"/>
      <c r="N326" s="249"/>
      <c r="O326" s="260"/>
      <c r="P326" s="192"/>
      <c r="Q326" s="207">
        <f t="shared" si="45"/>
        <v>43</v>
      </c>
      <c r="R326" s="197" t="str">
        <f t="shared" si="46"/>
        <v>II-0043</v>
      </c>
      <c r="S326" s="208" t="str">
        <f t="shared" si="47"/>
        <v>HORMIGON CEMENTO PORTLAND EXCLUIDA LA ARAMDURA</v>
      </c>
    </row>
    <row r="327" spans="1:19" x14ac:dyDescent="0.2">
      <c r="A327" s="198"/>
      <c r="B327" s="188"/>
      <c r="C327" s="188"/>
      <c r="D327" s="215"/>
      <c r="G327" s="192"/>
      <c r="H327" s="209"/>
      <c r="I327" s="210" t="s">
        <v>999</v>
      </c>
      <c r="J327" s="216"/>
      <c r="K327" s="219" t="s">
        <v>1377</v>
      </c>
      <c r="L327" s="218"/>
      <c r="M327" s="218"/>
      <c r="N327" s="218"/>
      <c r="O327" s="251"/>
      <c r="P327" s="192"/>
      <c r="Q327" s="192"/>
      <c r="R327" s="192"/>
      <c r="S327" s="192"/>
    </row>
    <row r="328" spans="1:19" x14ac:dyDescent="0.2">
      <c r="A328" s="198"/>
      <c r="B328" s="188"/>
      <c r="C328" s="188"/>
      <c r="D328" s="215" t="s">
        <v>1110</v>
      </c>
      <c r="G328" s="192"/>
      <c r="H328" s="209"/>
      <c r="I328" s="216"/>
      <c r="J328" s="217">
        <v>1</v>
      </c>
      <c r="K328" s="218"/>
      <c r="L328" s="219" t="s">
        <v>1378</v>
      </c>
      <c r="M328" s="218"/>
      <c r="N328" s="218"/>
      <c r="O328" s="251" t="s">
        <v>1110</v>
      </c>
      <c r="P328" s="192"/>
      <c r="Q328" s="192"/>
      <c r="R328" s="192"/>
      <c r="S328" s="192"/>
    </row>
    <row r="329" spans="1:19" x14ac:dyDescent="0.2">
      <c r="A329" s="198"/>
      <c r="B329" s="188"/>
      <c r="C329" s="188"/>
      <c r="D329" s="215" t="s">
        <v>1110</v>
      </c>
      <c r="G329" s="192"/>
      <c r="H329" s="209"/>
      <c r="I329" s="216"/>
      <c r="J329" s="217">
        <v>2</v>
      </c>
      <c r="K329" s="218"/>
      <c r="L329" s="219" t="s">
        <v>1208</v>
      </c>
      <c r="M329" s="218"/>
      <c r="N329" s="218"/>
      <c r="O329" s="251" t="s">
        <v>1110</v>
      </c>
      <c r="P329" s="192"/>
      <c r="Q329" s="192"/>
      <c r="R329" s="192"/>
      <c r="S329" s="192"/>
    </row>
    <row r="330" spans="1:19" x14ac:dyDescent="0.2">
      <c r="A330" s="198"/>
      <c r="B330" s="188"/>
      <c r="C330" s="188"/>
      <c r="D330" s="215" t="s">
        <v>1110</v>
      </c>
      <c r="G330" s="192"/>
      <c r="H330" s="209"/>
      <c r="I330" s="216"/>
      <c r="J330" s="217">
        <v>3</v>
      </c>
      <c r="K330" s="218"/>
      <c r="L330" s="219" t="s">
        <v>1379</v>
      </c>
      <c r="M330" s="218"/>
      <c r="N330" s="218"/>
      <c r="O330" s="251" t="s">
        <v>1110</v>
      </c>
      <c r="P330" s="192"/>
      <c r="Q330" s="192"/>
      <c r="R330" s="192"/>
      <c r="S330" s="192"/>
    </row>
    <row r="331" spans="1:19" x14ac:dyDescent="0.2">
      <c r="A331" s="198"/>
      <c r="B331" s="188"/>
      <c r="C331" s="188"/>
      <c r="D331" s="215" t="s">
        <v>1110</v>
      </c>
      <c r="G331" s="192"/>
      <c r="H331" s="209"/>
      <c r="I331" s="216"/>
      <c r="J331" s="217">
        <v>4</v>
      </c>
      <c r="K331" s="218"/>
      <c r="L331" s="219" t="s">
        <v>1359</v>
      </c>
      <c r="M331" s="218"/>
      <c r="N331" s="218"/>
      <c r="O331" s="251" t="s">
        <v>1110</v>
      </c>
      <c r="P331" s="192"/>
      <c r="Q331" s="192"/>
      <c r="R331" s="192"/>
      <c r="S331" s="192"/>
    </row>
    <row r="332" spans="1:19" x14ac:dyDescent="0.2">
      <c r="A332" s="198"/>
      <c r="B332" s="188"/>
      <c r="C332" s="188"/>
      <c r="D332" s="215" t="s">
        <v>1110</v>
      </c>
      <c r="G332" s="192"/>
      <c r="H332" s="209"/>
      <c r="I332" s="228"/>
      <c r="J332" s="223">
        <v>5</v>
      </c>
      <c r="K332" s="224"/>
      <c r="L332" s="225" t="s">
        <v>1380</v>
      </c>
      <c r="M332" s="224"/>
      <c r="N332" s="224"/>
      <c r="O332" s="270" t="s">
        <v>1110</v>
      </c>
      <c r="P332" s="192"/>
      <c r="Q332" s="192"/>
      <c r="R332" s="192"/>
      <c r="S332" s="192"/>
    </row>
    <row r="333" spans="1:19" x14ac:dyDescent="0.2">
      <c r="A333" s="198"/>
      <c r="B333" s="188"/>
      <c r="C333" s="188"/>
      <c r="D333" s="215"/>
      <c r="G333" s="192"/>
      <c r="H333" s="209"/>
      <c r="I333" s="210" t="s">
        <v>1026</v>
      </c>
      <c r="J333" s="216"/>
      <c r="K333" s="219" t="s">
        <v>1381</v>
      </c>
      <c r="L333" s="218"/>
      <c r="M333" s="218"/>
      <c r="N333" s="218"/>
      <c r="O333" s="251"/>
      <c r="P333" s="192"/>
      <c r="Q333" s="192"/>
      <c r="R333" s="192"/>
      <c r="S333" s="192"/>
    </row>
    <row r="334" spans="1:19" x14ac:dyDescent="0.2">
      <c r="A334" s="198"/>
      <c r="B334" s="188"/>
      <c r="C334" s="188"/>
      <c r="D334" s="215" t="s">
        <v>1110</v>
      </c>
      <c r="G334" s="192"/>
      <c r="H334" s="209"/>
      <c r="I334" s="216"/>
      <c r="J334" s="217">
        <v>1</v>
      </c>
      <c r="K334" s="218"/>
      <c r="L334" s="219" t="s">
        <v>1208</v>
      </c>
      <c r="M334" s="218"/>
      <c r="N334" s="218"/>
      <c r="O334" s="251" t="s">
        <v>1110</v>
      </c>
      <c r="P334" s="192"/>
      <c r="Q334" s="192"/>
      <c r="R334" s="192"/>
      <c r="S334" s="192"/>
    </row>
    <row r="335" spans="1:19" x14ac:dyDescent="0.2">
      <c r="A335" s="198"/>
      <c r="B335" s="188"/>
      <c r="C335" s="188"/>
      <c r="D335" s="215" t="s">
        <v>1110</v>
      </c>
      <c r="G335" s="192"/>
      <c r="H335" s="209"/>
      <c r="I335" s="216"/>
      <c r="J335" s="217">
        <v>2</v>
      </c>
      <c r="K335" s="218"/>
      <c r="L335" s="219" t="s">
        <v>1382</v>
      </c>
      <c r="M335" s="218"/>
      <c r="N335" s="218"/>
      <c r="O335" s="251" t="s">
        <v>1110</v>
      </c>
      <c r="P335" s="192"/>
      <c r="Q335" s="192"/>
      <c r="R335" s="192"/>
      <c r="S335" s="192"/>
    </row>
    <row r="336" spans="1:19" x14ac:dyDescent="0.2">
      <c r="A336" s="198"/>
      <c r="B336" s="188"/>
      <c r="C336" s="188"/>
      <c r="D336" s="215" t="s">
        <v>1110</v>
      </c>
      <c r="G336" s="192"/>
      <c r="H336" s="209"/>
      <c r="I336" s="216"/>
      <c r="J336" s="217">
        <v>3</v>
      </c>
      <c r="K336" s="218"/>
      <c r="L336" s="219" t="s">
        <v>1383</v>
      </c>
      <c r="M336" s="218"/>
      <c r="N336" s="218"/>
      <c r="O336" s="251" t="s">
        <v>1110</v>
      </c>
      <c r="P336" s="192"/>
      <c r="Q336" s="192"/>
      <c r="R336" s="192"/>
      <c r="S336" s="192"/>
    </row>
    <row r="337" spans="1:19" x14ac:dyDescent="0.2">
      <c r="A337" s="198"/>
      <c r="B337" s="188"/>
      <c r="C337" s="188"/>
      <c r="D337" s="215" t="s">
        <v>1110</v>
      </c>
      <c r="G337" s="192"/>
      <c r="H337" s="209"/>
      <c r="I337" s="216"/>
      <c r="J337" s="217">
        <v>4</v>
      </c>
      <c r="K337" s="218"/>
      <c r="L337" s="219" t="s">
        <v>1384</v>
      </c>
      <c r="M337" s="218"/>
      <c r="N337" s="218"/>
      <c r="O337" s="251" t="s">
        <v>1110</v>
      </c>
      <c r="P337" s="192"/>
      <c r="Q337" s="192"/>
      <c r="R337" s="192"/>
      <c r="S337" s="192"/>
    </row>
    <row r="338" spans="1:19" x14ac:dyDescent="0.2">
      <c r="A338" s="198"/>
      <c r="B338" s="188"/>
      <c r="C338" s="188"/>
      <c r="D338" s="215" t="s">
        <v>1110</v>
      </c>
      <c r="G338" s="192"/>
      <c r="H338" s="209"/>
      <c r="I338" s="216"/>
      <c r="J338" s="217">
        <v>5</v>
      </c>
      <c r="K338" s="218"/>
      <c r="L338" s="219" t="s">
        <v>1385</v>
      </c>
      <c r="M338" s="218"/>
      <c r="N338" s="218"/>
      <c r="O338" s="251" t="s">
        <v>1110</v>
      </c>
      <c r="P338" s="192"/>
      <c r="Q338" s="192"/>
      <c r="R338" s="192"/>
      <c r="S338" s="192"/>
    </row>
    <row r="339" spans="1:19" x14ac:dyDescent="0.2">
      <c r="A339" s="198"/>
      <c r="B339" s="188"/>
      <c r="C339" s="188"/>
      <c r="D339" s="215" t="s">
        <v>1110</v>
      </c>
      <c r="G339" s="192"/>
      <c r="H339" s="209"/>
      <c r="I339" s="269"/>
      <c r="J339" s="216">
        <v>6</v>
      </c>
      <c r="K339" s="219"/>
      <c r="L339" s="218" t="s">
        <v>1380</v>
      </c>
      <c r="M339" s="218"/>
      <c r="N339" s="218"/>
      <c r="O339" s="251" t="s">
        <v>1110</v>
      </c>
      <c r="P339" s="192"/>
      <c r="Q339" s="192"/>
      <c r="R339" s="192"/>
      <c r="S339" s="192"/>
    </row>
    <row r="340" spans="1:19" x14ac:dyDescent="0.2">
      <c r="A340" s="198"/>
      <c r="B340" s="188"/>
      <c r="C340" s="188"/>
      <c r="D340" s="215"/>
      <c r="G340" s="192"/>
      <c r="H340" s="209"/>
      <c r="I340" s="223" t="s">
        <v>1036</v>
      </c>
      <c r="J340" s="216"/>
      <c r="K340" s="219" t="s">
        <v>1386</v>
      </c>
      <c r="L340" s="218"/>
      <c r="M340" s="218"/>
      <c r="N340" s="218"/>
      <c r="O340" s="251"/>
      <c r="P340" s="192"/>
      <c r="Q340" s="192"/>
      <c r="R340" s="192"/>
      <c r="S340" s="192"/>
    </row>
    <row r="341" spans="1:19" x14ac:dyDescent="0.2">
      <c r="A341" s="198"/>
      <c r="B341" s="188"/>
      <c r="C341" s="188"/>
      <c r="D341" s="215" t="s">
        <v>1110</v>
      </c>
      <c r="G341" s="192"/>
      <c r="H341" s="209"/>
      <c r="I341" s="216"/>
      <c r="J341" s="217">
        <v>1</v>
      </c>
      <c r="K341" s="218"/>
      <c r="L341" s="219" t="s">
        <v>1387</v>
      </c>
      <c r="M341" s="218"/>
      <c r="N341" s="218"/>
      <c r="O341" s="251" t="s">
        <v>1110</v>
      </c>
      <c r="P341" s="192"/>
      <c r="Q341" s="192"/>
      <c r="R341" s="192"/>
      <c r="S341" s="192"/>
    </row>
    <row r="342" spans="1:19" x14ac:dyDescent="0.2">
      <c r="A342" s="198"/>
      <c r="B342" s="188"/>
      <c r="C342" s="188"/>
      <c r="D342" s="215" t="s">
        <v>1110</v>
      </c>
      <c r="G342" s="192"/>
      <c r="H342" s="209"/>
      <c r="I342" s="216"/>
      <c r="J342" s="217">
        <v>2</v>
      </c>
      <c r="K342" s="218"/>
      <c r="L342" s="219" t="s">
        <v>1208</v>
      </c>
      <c r="M342" s="218"/>
      <c r="N342" s="218"/>
      <c r="O342" s="251" t="s">
        <v>1110</v>
      </c>
      <c r="P342" s="192"/>
      <c r="Q342" s="192"/>
      <c r="R342" s="192"/>
      <c r="S342" s="192"/>
    </row>
    <row r="343" spans="1:19" x14ac:dyDescent="0.2">
      <c r="A343" s="198"/>
      <c r="B343" s="188"/>
      <c r="C343" s="188"/>
      <c r="D343" s="215" t="s">
        <v>1110</v>
      </c>
      <c r="G343" s="192"/>
      <c r="H343" s="209"/>
      <c r="I343" s="216"/>
      <c r="J343" s="217">
        <v>3</v>
      </c>
      <c r="K343" s="218"/>
      <c r="L343" s="219" t="s">
        <v>1388</v>
      </c>
      <c r="M343" s="218"/>
      <c r="N343" s="218"/>
      <c r="O343" s="251" t="s">
        <v>1110</v>
      </c>
      <c r="P343" s="192"/>
      <c r="Q343" s="192"/>
      <c r="R343" s="192"/>
      <c r="S343" s="192"/>
    </row>
    <row r="344" spans="1:19" x14ac:dyDescent="0.2">
      <c r="A344" s="198"/>
      <c r="B344" s="188"/>
      <c r="C344" s="188"/>
      <c r="D344" s="215" t="s">
        <v>1110</v>
      </c>
      <c r="G344" s="192"/>
      <c r="H344" s="209"/>
      <c r="I344" s="216"/>
      <c r="J344" s="217">
        <v>4</v>
      </c>
      <c r="K344" s="218"/>
      <c r="L344" s="219" t="s">
        <v>1382</v>
      </c>
      <c r="M344" s="218"/>
      <c r="N344" s="218"/>
      <c r="O344" s="251" t="s">
        <v>1110</v>
      </c>
      <c r="P344" s="192"/>
      <c r="Q344" s="192"/>
      <c r="R344" s="192"/>
      <c r="S344" s="192"/>
    </row>
    <row r="345" spans="1:19" x14ac:dyDescent="0.2">
      <c r="A345" s="198"/>
      <c r="B345" s="188"/>
      <c r="C345" s="188"/>
      <c r="D345" s="215" t="s">
        <v>1110</v>
      </c>
      <c r="G345" s="192"/>
      <c r="H345" s="209"/>
      <c r="I345" s="216"/>
      <c r="J345" s="217">
        <v>5</v>
      </c>
      <c r="K345" s="218"/>
      <c r="L345" s="219" t="s">
        <v>1319</v>
      </c>
      <c r="M345" s="218"/>
      <c r="N345" s="218"/>
      <c r="O345" s="251" t="s">
        <v>1110</v>
      </c>
      <c r="P345" s="192"/>
      <c r="Q345" s="192"/>
      <c r="R345" s="192"/>
      <c r="S345" s="192"/>
    </row>
    <row r="346" spans="1:19" x14ac:dyDescent="0.2">
      <c r="A346" s="198"/>
      <c r="B346" s="188"/>
      <c r="C346" s="188"/>
      <c r="D346" s="215" t="s">
        <v>1110</v>
      </c>
      <c r="G346" s="192"/>
      <c r="H346" s="209"/>
      <c r="I346" s="216"/>
      <c r="J346" s="217">
        <v>6</v>
      </c>
      <c r="K346" s="218"/>
      <c r="L346" s="219" t="s">
        <v>1384</v>
      </c>
      <c r="M346" s="218"/>
      <c r="N346" s="218"/>
      <c r="O346" s="251" t="s">
        <v>1110</v>
      </c>
      <c r="P346" s="192"/>
      <c r="Q346" s="192"/>
      <c r="R346" s="192"/>
      <c r="S346" s="192"/>
    </row>
    <row r="347" spans="1:19" x14ac:dyDescent="0.2">
      <c r="A347" s="198"/>
      <c r="B347" s="188"/>
      <c r="C347" s="188"/>
      <c r="D347" s="215" t="s">
        <v>1110</v>
      </c>
      <c r="G347" s="192"/>
      <c r="H347" s="209"/>
      <c r="I347" s="216"/>
      <c r="J347" s="217">
        <v>7</v>
      </c>
      <c r="K347" s="218"/>
      <c r="L347" s="219" t="s">
        <v>1385</v>
      </c>
      <c r="M347" s="218"/>
      <c r="N347" s="218"/>
      <c r="O347" s="251" t="s">
        <v>1110</v>
      </c>
      <c r="P347" s="192"/>
      <c r="Q347" s="192"/>
      <c r="R347" s="192"/>
      <c r="S347" s="192"/>
    </row>
    <row r="348" spans="1:19" x14ac:dyDescent="0.2">
      <c r="A348" s="198"/>
      <c r="B348" s="188"/>
      <c r="C348" s="188"/>
      <c r="D348" s="215" t="s">
        <v>1110</v>
      </c>
      <c r="G348" s="192"/>
      <c r="H348" s="209"/>
      <c r="I348" s="269"/>
      <c r="J348" s="223">
        <v>8</v>
      </c>
      <c r="K348" s="224"/>
      <c r="L348" s="225" t="s">
        <v>1380</v>
      </c>
      <c r="M348" s="224"/>
      <c r="N348" s="224"/>
      <c r="O348" s="270" t="s">
        <v>1110</v>
      </c>
      <c r="P348" s="192"/>
      <c r="Q348" s="192"/>
      <c r="R348" s="192"/>
      <c r="S348" s="192"/>
    </row>
    <row r="349" spans="1:19" x14ac:dyDescent="0.2">
      <c r="A349" s="198"/>
      <c r="B349" s="188"/>
      <c r="C349" s="188"/>
      <c r="D349" s="215"/>
      <c r="G349" s="192"/>
      <c r="H349" s="209"/>
      <c r="I349" s="223" t="s">
        <v>1062</v>
      </c>
      <c r="J349" s="216"/>
      <c r="K349" s="219" t="s">
        <v>1389</v>
      </c>
      <c r="L349" s="218"/>
      <c r="M349" s="218"/>
      <c r="N349" s="218"/>
      <c r="O349" s="251"/>
      <c r="P349" s="192"/>
      <c r="Q349" s="192"/>
      <c r="R349" s="192"/>
      <c r="S349" s="192"/>
    </row>
    <row r="350" spans="1:19" x14ac:dyDescent="0.2">
      <c r="A350" s="198"/>
      <c r="B350" s="188"/>
      <c r="C350" s="188"/>
      <c r="D350" s="215" t="s">
        <v>1110</v>
      </c>
      <c r="G350" s="192"/>
      <c r="H350" s="209"/>
      <c r="I350" s="216"/>
      <c r="J350" s="217">
        <v>1</v>
      </c>
      <c r="K350" s="218"/>
      <c r="L350" s="219" t="s">
        <v>1387</v>
      </c>
      <c r="M350" s="218"/>
      <c r="N350" s="218"/>
      <c r="O350" s="251" t="s">
        <v>1110</v>
      </c>
      <c r="P350" s="192"/>
      <c r="Q350" s="192"/>
      <c r="R350" s="192"/>
      <c r="S350" s="192"/>
    </row>
    <row r="351" spans="1:19" x14ac:dyDescent="0.2">
      <c r="A351" s="198"/>
      <c r="B351" s="188"/>
      <c r="C351" s="188"/>
      <c r="D351" s="215" t="s">
        <v>1110</v>
      </c>
      <c r="G351" s="192"/>
      <c r="H351" s="209"/>
      <c r="I351" s="216"/>
      <c r="J351" s="217">
        <v>2</v>
      </c>
      <c r="K351" s="218"/>
      <c r="L351" s="219" t="s">
        <v>1208</v>
      </c>
      <c r="M351" s="218"/>
      <c r="N351" s="218"/>
      <c r="O351" s="251" t="s">
        <v>1110</v>
      </c>
      <c r="P351" s="192"/>
      <c r="Q351" s="192"/>
      <c r="R351" s="192"/>
      <c r="S351" s="192"/>
    </row>
    <row r="352" spans="1:19" x14ac:dyDescent="0.2">
      <c r="A352" s="198"/>
      <c r="B352" s="188"/>
      <c r="C352" s="188"/>
      <c r="D352" s="215" t="s">
        <v>1110</v>
      </c>
      <c r="G352" s="192"/>
      <c r="H352" s="209"/>
      <c r="I352" s="216"/>
      <c r="J352" s="217">
        <v>3</v>
      </c>
      <c r="K352" s="218"/>
      <c r="L352" s="219" t="s">
        <v>1390</v>
      </c>
      <c r="M352" s="218"/>
      <c r="N352" s="218"/>
      <c r="O352" s="251" t="s">
        <v>1110</v>
      </c>
      <c r="P352" s="192"/>
      <c r="Q352" s="192"/>
      <c r="R352" s="192"/>
      <c r="S352" s="192"/>
    </row>
    <row r="353" spans="1:19" x14ac:dyDescent="0.2">
      <c r="A353" s="198"/>
      <c r="B353" s="188"/>
      <c r="C353" s="188"/>
      <c r="D353" s="215" t="s">
        <v>1110</v>
      </c>
      <c r="G353" s="192"/>
      <c r="H353" s="209"/>
      <c r="I353" s="216"/>
      <c r="J353" s="217">
        <v>4</v>
      </c>
      <c r="K353" s="218"/>
      <c r="L353" s="219" t="s">
        <v>1388</v>
      </c>
      <c r="M353" s="218"/>
      <c r="N353" s="218"/>
      <c r="O353" s="251" t="s">
        <v>1110</v>
      </c>
      <c r="P353" s="192"/>
      <c r="Q353" s="192"/>
      <c r="R353" s="192"/>
      <c r="S353" s="192"/>
    </row>
    <row r="354" spans="1:19" x14ac:dyDescent="0.2">
      <c r="A354" s="198"/>
      <c r="B354" s="188"/>
      <c r="C354" s="188"/>
      <c r="D354" s="215" t="s">
        <v>1110</v>
      </c>
      <c r="G354" s="192"/>
      <c r="H354" s="209"/>
      <c r="I354" s="216"/>
      <c r="J354" s="217">
        <v>5</v>
      </c>
      <c r="K354" s="218"/>
      <c r="L354" s="219" t="s">
        <v>1319</v>
      </c>
      <c r="M354" s="218"/>
      <c r="N354" s="218"/>
      <c r="O354" s="251" t="s">
        <v>1110</v>
      </c>
      <c r="P354" s="192"/>
      <c r="Q354" s="192"/>
      <c r="R354" s="192"/>
      <c r="S354" s="192"/>
    </row>
    <row r="355" spans="1:19" x14ac:dyDescent="0.2">
      <c r="A355" s="198"/>
      <c r="B355" s="188"/>
      <c r="C355" s="188"/>
      <c r="D355" s="215" t="s">
        <v>1110</v>
      </c>
      <c r="G355" s="192"/>
      <c r="H355" s="209"/>
      <c r="I355" s="216"/>
      <c r="J355" s="217">
        <v>6</v>
      </c>
      <c r="K355" s="218"/>
      <c r="L355" s="219" t="s">
        <v>1391</v>
      </c>
      <c r="M355" s="218"/>
      <c r="N355" s="218"/>
      <c r="O355" s="251" t="s">
        <v>1110</v>
      </c>
      <c r="P355" s="192"/>
      <c r="Q355" s="192"/>
      <c r="R355" s="192"/>
      <c r="S355" s="192"/>
    </row>
    <row r="356" spans="1:19" x14ac:dyDescent="0.2">
      <c r="A356" s="198"/>
      <c r="B356" s="188"/>
      <c r="C356" s="188"/>
      <c r="D356" s="215" t="s">
        <v>1110</v>
      </c>
      <c r="G356" s="192"/>
      <c r="H356" s="209"/>
      <c r="I356" s="216"/>
      <c r="J356" s="217">
        <v>7</v>
      </c>
      <c r="K356" s="218"/>
      <c r="L356" s="219" t="s">
        <v>1392</v>
      </c>
      <c r="M356" s="218"/>
      <c r="N356" s="218"/>
      <c r="O356" s="251" t="s">
        <v>1110</v>
      </c>
      <c r="P356" s="192"/>
      <c r="Q356" s="192"/>
      <c r="R356" s="192"/>
      <c r="S356" s="192"/>
    </row>
    <row r="357" spans="1:19" x14ac:dyDescent="0.2">
      <c r="A357" s="198"/>
      <c r="B357" s="188"/>
      <c r="C357" s="188"/>
      <c r="D357" s="215" t="s">
        <v>1110</v>
      </c>
      <c r="G357" s="192"/>
      <c r="H357" s="209"/>
      <c r="I357" s="216"/>
      <c r="J357" s="217">
        <v>8</v>
      </c>
      <c r="K357" s="218"/>
      <c r="L357" s="219" t="s">
        <v>1393</v>
      </c>
      <c r="M357" s="218"/>
      <c r="N357" s="218"/>
      <c r="O357" s="251" t="s">
        <v>1110</v>
      </c>
      <c r="P357" s="192"/>
      <c r="Q357" s="192"/>
      <c r="R357" s="192"/>
      <c r="S357" s="192"/>
    </row>
    <row r="358" spans="1:19" x14ac:dyDescent="0.2">
      <c r="A358" s="198"/>
      <c r="B358" s="188"/>
      <c r="C358" s="188"/>
      <c r="D358" s="215" t="s">
        <v>1110</v>
      </c>
      <c r="G358" s="192"/>
      <c r="H358" s="209"/>
      <c r="I358" s="228"/>
      <c r="J358" s="223">
        <v>9</v>
      </c>
      <c r="K358" s="224"/>
      <c r="L358" s="225" t="s">
        <v>1380</v>
      </c>
      <c r="M358" s="224"/>
      <c r="N358" s="224"/>
      <c r="O358" s="270" t="s">
        <v>1110</v>
      </c>
      <c r="P358" s="192"/>
      <c r="Q358" s="192"/>
      <c r="R358" s="192"/>
      <c r="S358" s="192"/>
    </row>
    <row r="359" spans="1:19" x14ac:dyDescent="0.2">
      <c r="A359" s="198"/>
      <c r="B359" s="188"/>
      <c r="C359" s="188"/>
      <c r="D359" s="215"/>
      <c r="G359" s="192"/>
      <c r="H359" s="209"/>
      <c r="I359" s="223" t="s">
        <v>1104</v>
      </c>
      <c r="J359" s="216"/>
      <c r="K359" s="219" t="s">
        <v>1394</v>
      </c>
      <c r="L359" s="218"/>
      <c r="M359" s="218"/>
      <c r="N359" s="218"/>
      <c r="O359" s="251"/>
      <c r="P359" s="192"/>
      <c r="Q359" s="192"/>
      <c r="R359" s="192"/>
      <c r="S359" s="192"/>
    </row>
    <row r="360" spans="1:19" x14ac:dyDescent="0.2">
      <c r="A360" s="198"/>
      <c r="B360" s="188"/>
      <c r="C360" s="188"/>
      <c r="D360" s="215" t="s">
        <v>1110</v>
      </c>
      <c r="G360" s="192"/>
      <c r="H360" s="209"/>
      <c r="I360" s="216"/>
      <c r="J360" s="217">
        <v>1</v>
      </c>
      <c r="K360" s="218"/>
      <c r="L360" s="219" t="s">
        <v>1208</v>
      </c>
      <c r="M360" s="218"/>
      <c r="N360" s="218"/>
      <c r="O360" s="251" t="s">
        <v>1110</v>
      </c>
      <c r="P360" s="192"/>
      <c r="Q360" s="192"/>
      <c r="R360" s="192"/>
      <c r="S360" s="192"/>
    </row>
    <row r="361" spans="1:19" x14ac:dyDescent="0.2">
      <c r="A361" s="198"/>
      <c r="B361" s="188"/>
      <c r="C361" s="188"/>
      <c r="D361" s="215" t="s">
        <v>1110</v>
      </c>
      <c r="G361" s="192"/>
      <c r="H361" s="209"/>
      <c r="I361" s="216"/>
      <c r="J361" s="217">
        <v>2</v>
      </c>
      <c r="K361" s="218"/>
      <c r="L361" s="219" t="s">
        <v>1395</v>
      </c>
      <c r="M361" s="218"/>
      <c r="N361" s="218"/>
      <c r="O361" s="251" t="s">
        <v>1110</v>
      </c>
      <c r="P361" s="192"/>
      <c r="Q361" s="192"/>
      <c r="R361" s="192"/>
      <c r="S361" s="192"/>
    </row>
    <row r="362" spans="1:19" x14ac:dyDescent="0.2">
      <c r="A362" s="198"/>
      <c r="B362" s="188"/>
      <c r="C362" s="188"/>
      <c r="D362" s="215" t="s">
        <v>1110</v>
      </c>
      <c r="G362" s="192"/>
      <c r="H362" s="209"/>
      <c r="I362" s="216"/>
      <c r="J362" s="217">
        <v>3</v>
      </c>
      <c r="K362" s="218"/>
      <c r="L362" s="219" t="s">
        <v>1396</v>
      </c>
      <c r="M362" s="218"/>
      <c r="N362" s="218"/>
      <c r="O362" s="251" t="s">
        <v>1110</v>
      </c>
      <c r="P362" s="192"/>
      <c r="Q362" s="192"/>
      <c r="R362" s="192"/>
      <c r="S362" s="192"/>
    </row>
    <row r="363" spans="1:19" x14ac:dyDescent="0.2">
      <c r="A363" s="198"/>
      <c r="B363" s="188"/>
      <c r="C363" s="188"/>
      <c r="D363" s="215" t="s">
        <v>1110</v>
      </c>
      <c r="G363" s="192"/>
      <c r="H363" s="209"/>
      <c r="I363" s="216"/>
      <c r="J363" s="217">
        <v>4</v>
      </c>
      <c r="K363" s="218"/>
      <c r="L363" s="219" t="s">
        <v>1397</v>
      </c>
      <c r="M363" s="218"/>
      <c r="N363" s="218"/>
      <c r="O363" s="251" t="s">
        <v>1110</v>
      </c>
      <c r="P363" s="192"/>
      <c r="Q363" s="192"/>
      <c r="R363" s="192"/>
      <c r="S363" s="192"/>
    </row>
    <row r="364" spans="1:19" x14ac:dyDescent="0.2">
      <c r="A364" s="198"/>
      <c r="B364" s="188"/>
      <c r="C364" s="188"/>
      <c r="D364" s="215" t="s">
        <v>1110</v>
      </c>
      <c r="G364" s="192"/>
      <c r="H364" s="209"/>
      <c r="I364" s="216"/>
      <c r="J364" s="217">
        <v>5</v>
      </c>
      <c r="K364" s="218"/>
      <c r="L364" s="219" t="s">
        <v>1261</v>
      </c>
      <c r="M364" s="218"/>
      <c r="N364" s="218"/>
      <c r="O364" s="251" t="s">
        <v>1110</v>
      </c>
      <c r="P364" s="192"/>
      <c r="Q364" s="192"/>
      <c r="R364" s="192"/>
      <c r="S364" s="192"/>
    </row>
    <row r="365" spans="1:19" x14ac:dyDescent="0.2">
      <c r="A365" s="198"/>
      <c r="B365" s="188"/>
      <c r="C365" s="188"/>
      <c r="D365" s="215" t="s">
        <v>1110</v>
      </c>
      <c r="G365" s="192"/>
      <c r="H365" s="209"/>
      <c r="I365" s="216"/>
      <c r="J365" s="217">
        <v>6</v>
      </c>
      <c r="K365" s="218"/>
      <c r="L365" s="219" t="s">
        <v>1398</v>
      </c>
      <c r="M365" s="218"/>
      <c r="N365" s="218"/>
      <c r="O365" s="251" t="s">
        <v>1110</v>
      </c>
      <c r="P365" s="192"/>
      <c r="Q365" s="192"/>
      <c r="R365" s="192"/>
      <c r="S365" s="192"/>
    </row>
    <row r="366" spans="1:19" x14ac:dyDescent="0.2">
      <c r="A366" s="198"/>
      <c r="B366" s="188"/>
      <c r="C366" s="188"/>
      <c r="D366" s="215" t="s">
        <v>1110</v>
      </c>
      <c r="G366" s="192"/>
      <c r="H366" s="209"/>
      <c r="I366" s="216"/>
      <c r="J366" s="217">
        <v>7</v>
      </c>
      <c r="K366" s="218"/>
      <c r="L366" s="219" t="s">
        <v>1399</v>
      </c>
      <c r="M366" s="218"/>
      <c r="N366" s="218"/>
      <c r="O366" s="251" t="s">
        <v>1110</v>
      </c>
      <c r="P366" s="192"/>
      <c r="Q366" s="192"/>
      <c r="R366" s="192"/>
      <c r="S366" s="192"/>
    </row>
    <row r="367" spans="1:19" x14ac:dyDescent="0.2">
      <c r="A367" s="198"/>
      <c r="B367" s="188"/>
      <c r="C367" s="188"/>
      <c r="D367" s="215" t="s">
        <v>1110</v>
      </c>
      <c r="G367" s="192"/>
      <c r="H367" s="209"/>
      <c r="I367" s="228"/>
      <c r="J367" s="223">
        <v>8</v>
      </c>
      <c r="K367" s="224"/>
      <c r="L367" s="225" t="s">
        <v>1391</v>
      </c>
      <c r="M367" s="224"/>
      <c r="N367" s="224"/>
      <c r="O367" s="270" t="s">
        <v>1110</v>
      </c>
      <c r="P367" s="192"/>
      <c r="Q367" s="192"/>
      <c r="R367" s="192"/>
      <c r="S367" s="192"/>
    </row>
    <row r="368" spans="1:19" x14ac:dyDescent="0.2">
      <c r="A368" s="198"/>
      <c r="B368" s="188"/>
      <c r="C368" s="188"/>
      <c r="D368" s="215"/>
      <c r="G368" s="271"/>
      <c r="H368" s="209"/>
      <c r="I368" s="223" t="s">
        <v>1107</v>
      </c>
      <c r="J368" s="216"/>
      <c r="K368" s="219" t="s">
        <v>1394</v>
      </c>
      <c r="L368" s="218"/>
      <c r="M368" s="218"/>
      <c r="N368" s="218"/>
      <c r="O368" s="251"/>
      <c r="P368" s="271"/>
      <c r="Q368" s="271"/>
      <c r="R368" s="271"/>
      <c r="S368" s="271"/>
    </row>
    <row r="369" spans="1:19" x14ac:dyDescent="0.2">
      <c r="A369" s="198"/>
      <c r="B369" s="188"/>
      <c r="C369" s="188"/>
      <c r="D369" s="215" t="s">
        <v>1110</v>
      </c>
      <c r="G369" s="192"/>
      <c r="H369" s="209"/>
      <c r="I369" s="216"/>
      <c r="J369" s="217">
        <v>9</v>
      </c>
      <c r="K369" s="218"/>
      <c r="L369" s="219" t="s">
        <v>1383</v>
      </c>
      <c r="M369" s="218"/>
      <c r="N369" s="218"/>
      <c r="O369" s="251" t="s">
        <v>1110</v>
      </c>
      <c r="P369" s="192"/>
      <c r="Q369" s="192"/>
      <c r="R369" s="192"/>
      <c r="S369" s="192"/>
    </row>
    <row r="370" spans="1:19" x14ac:dyDescent="0.2">
      <c r="A370" s="198"/>
      <c r="B370" s="188"/>
      <c r="C370" s="188"/>
      <c r="D370" s="215" t="s">
        <v>1110</v>
      </c>
      <c r="G370" s="192"/>
      <c r="H370" s="209"/>
      <c r="I370" s="216"/>
      <c r="J370" s="217">
        <v>10</v>
      </c>
      <c r="K370" s="218"/>
      <c r="L370" s="219" t="s">
        <v>1400</v>
      </c>
      <c r="M370" s="218"/>
      <c r="N370" s="218"/>
      <c r="O370" s="251" t="s">
        <v>1110</v>
      </c>
      <c r="P370" s="192"/>
      <c r="Q370" s="192"/>
      <c r="R370" s="192"/>
      <c r="S370" s="192"/>
    </row>
    <row r="371" spans="1:19" x14ac:dyDescent="0.2">
      <c r="A371" s="198"/>
      <c r="B371" s="188"/>
      <c r="C371" s="188"/>
      <c r="D371" s="215" t="s">
        <v>1110</v>
      </c>
      <c r="G371" s="192"/>
      <c r="H371" s="209"/>
      <c r="I371" s="216"/>
      <c r="J371" s="217">
        <v>11</v>
      </c>
      <c r="K371" s="218"/>
      <c r="L371" s="219" t="s">
        <v>1392</v>
      </c>
      <c r="M371" s="218"/>
      <c r="N371" s="218"/>
      <c r="O371" s="251" t="s">
        <v>1110</v>
      </c>
      <c r="P371" s="192"/>
      <c r="Q371" s="192"/>
      <c r="R371" s="192"/>
      <c r="S371" s="192"/>
    </row>
    <row r="372" spans="1:19" x14ac:dyDescent="0.2">
      <c r="A372" s="198"/>
      <c r="B372" s="188"/>
      <c r="C372" s="188"/>
      <c r="D372" s="215" t="s">
        <v>1110</v>
      </c>
      <c r="G372" s="192"/>
      <c r="H372" s="209"/>
      <c r="I372" s="216"/>
      <c r="J372" s="217">
        <v>12</v>
      </c>
      <c r="K372" s="218"/>
      <c r="L372" s="219" t="s">
        <v>1401</v>
      </c>
      <c r="M372" s="218"/>
      <c r="N372" s="218"/>
      <c r="O372" s="251" t="s">
        <v>1110</v>
      </c>
      <c r="P372" s="192"/>
      <c r="Q372" s="192"/>
      <c r="R372" s="192"/>
      <c r="S372" s="192"/>
    </row>
    <row r="373" spans="1:19" x14ac:dyDescent="0.2">
      <c r="A373" s="198"/>
      <c r="B373" s="188"/>
      <c r="C373" s="188"/>
      <c r="D373" s="215" t="s">
        <v>1110</v>
      </c>
      <c r="G373" s="192"/>
      <c r="H373" s="209"/>
      <c r="I373" s="216"/>
      <c r="J373" s="217">
        <v>13</v>
      </c>
      <c r="K373" s="218"/>
      <c r="L373" s="219" t="s">
        <v>1393</v>
      </c>
      <c r="M373" s="218"/>
      <c r="N373" s="218"/>
      <c r="O373" s="251" t="s">
        <v>1110</v>
      </c>
      <c r="P373" s="192"/>
      <c r="Q373" s="192"/>
      <c r="R373" s="192"/>
      <c r="S373" s="192"/>
    </row>
    <row r="374" spans="1:19" x14ac:dyDescent="0.2">
      <c r="A374" s="198"/>
      <c r="B374" s="188"/>
      <c r="C374" s="188"/>
      <c r="D374" s="215" t="s">
        <v>1110</v>
      </c>
      <c r="G374" s="192"/>
      <c r="H374" s="209"/>
      <c r="I374" s="228"/>
      <c r="J374" s="223">
        <v>14</v>
      </c>
      <c r="K374" s="224"/>
      <c r="L374" s="225" t="s">
        <v>1402</v>
      </c>
      <c r="M374" s="224"/>
      <c r="N374" s="224"/>
      <c r="O374" s="270" t="s">
        <v>1110</v>
      </c>
      <c r="P374" s="192"/>
      <c r="Q374" s="192"/>
      <c r="R374" s="192"/>
      <c r="S374" s="192"/>
    </row>
    <row r="375" spans="1:19" x14ac:dyDescent="0.2">
      <c r="A375" s="198"/>
      <c r="B375" s="188"/>
      <c r="C375" s="188"/>
      <c r="D375" s="215"/>
      <c r="G375" s="192"/>
      <c r="H375" s="209"/>
      <c r="I375" s="223" t="s">
        <v>1111</v>
      </c>
      <c r="J375" s="216"/>
      <c r="K375" s="219" t="s">
        <v>1403</v>
      </c>
      <c r="L375" s="218"/>
      <c r="M375" s="218"/>
      <c r="N375" s="218"/>
      <c r="O375" s="251"/>
      <c r="P375" s="192"/>
      <c r="Q375" s="192"/>
      <c r="R375" s="192"/>
      <c r="S375" s="192"/>
    </row>
    <row r="376" spans="1:19" x14ac:dyDescent="0.2">
      <c r="A376" s="198"/>
      <c r="B376" s="188"/>
      <c r="C376" s="188"/>
      <c r="D376" s="215" t="s">
        <v>1110</v>
      </c>
      <c r="G376" s="192"/>
      <c r="H376" s="209"/>
      <c r="I376" s="216"/>
      <c r="J376" s="217">
        <v>1</v>
      </c>
      <c r="K376" s="218"/>
      <c r="L376" s="219" t="s">
        <v>1208</v>
      </c>
      <c r="M376" s="218"/>
      <c r="N376" s="218"/>
      <c r="O376" s="251" t="s">
        <v>1110</v>
      </c>
      <c r="P376" s="192"/>
      <c r="Q376" s="192"/>
      <c r="R376" s="192"/>
      <c r="S376" s="192"/>
    </row>
    <row r="377" spans="1:19" x14ac:dyDescent="0.2">
      <c r="A377" s="198"/>
      <c r="B377" s="188"/>
      <c r="C377" s="188"/>
      <c r="D377" s="215" t="s">
        <v>1110</v>
      </c>
      <c r="G377" s="192"/>
      <c r="H377" s="209"/>
      <c r="I377" s="216"/>
      <c r="J377" s="217">
        <v>2</v>
      </c>
      <c r="K377" s="218"/>
      <c r="L377" s="219" t="s">
        <v>1395</v>
      </c>
      <c r="M377" s="218"/>
      <c r="N377" s="218"/>
      <c r="O377" s="251" t="s">
        <v>1110</v>
      </c>
      <c r="P377" s="192"/>
      <c r="Q377" s="192"/>
      <c r="R377" s="192"/>
      <c r="S377" s="192"/>
    </row>
    <row r="378" spans="1:19" x14ac:dyDescent="0.2">
      <c r="A378" s="198"/>
      <c r="B378" s="188"/>
      <c r="C378" s="188"/>
      <c r="D378" s="215" t="s">
        <v>1110</v>
      </c>
      <c r="G378" s="192"/>
      <c r="H378" s="209"/>
      <c r="I378" s="216"/>
      <c r="J378" s="217">
        <v>3</v>
      </c>
      <c r="K378" s="218"/>
      <c r="L378" s="219" t="s">
        <v>1396</v>
      </c>
      <c r="M378" s="218"/>
      <c r="N378" s="218"/>
      <c r="O378" s="251" t="s">
        <v>1110</v>
      </c>
      <c r="P378" s="192"/>
      <c r="Q378" s="192"/>
      <c r="R378" s="192"/>
      <c r="S378" s="192"/>
    </row>
    <row r="379" spans="1:19" x14ac:dyDescent="0.2">
      <c r="A379" s="198"/>
      <c r="B379" s="188"/>
      <c r="C379" s="188"/>
      <c r="D379" s="215" t="s">
        <v>1110</v>
      </c>
      <c r="G379" s="192"/>
      <c r="H379" s="209"/>
      <c r="I379" s="216"/>
      <c r="J379" s="217">
        <v>4</v>
      </c>
      <c r="K379" s="218"/>
      <c r="L379" s="219" t="s">
        <v>1397</v>
      </c>
      <c r="M379" s="218"/>
      <c r="N379" s="218"/>
      <c r="O379" s="251" t="s">
        <v>1110</v>
      </c>
      <c r="P379" s="192"/>
      <c r="Q379" s="192"/>
      <c r="R379" s="192"/>
      <c r="S379" s="192"/>
    </row>
    <row r="380" spans="1:19" x14ac:dyDescent="0.2">
      <c r="A380" s="198"/>
      <c r="B380" s="188"/>
      <c r="C380" s="188"/>
      <c r="D380" s="215" t="s">
        <v>1110</v>
      </c>
      <c r="G380" s="192"/>
      <c r="H380" s="209"/>
      <c r="I380" s="216"/>
      <c r="J380" s="217">
        <v>5</v>
      </c>
      <c r="K380" s="218"/>
      <c r="L380" s="219" t="s">
        <v>1261</v>
      </c>
      <c r="M380" s="218"/>
      <c r="N380" s="218"/>
      <c r="O380" s="251" t="s">
        <v>1110</v>
      </c>
      <c r="P380" s="192"/>
      <c r="Q380" s="192"/>
      <c r="R380" s="192"/>
      <c r="S380" s="192"/>
    </row>
    <row r="381" spans="1:19" x14ac:dyDescent="0.2">
      <c r="A381" s="198"/>
      <c r="B381" s="188"/>
      <c r="C381" s="188"/>
      <c r="D381" s="215" t="s">
        <v>1110</v>
      </c>
      <c r="G381" s="192"/>
      <c r="H381" s="209"/>
      <c r="I381" s="216"/>
      <c r="J381" s="217">
        <v>6</v>
      </c>
      <c r="K381" s="218"/>
      <c r="L381" s="219" t="s">
        <v>1398</v>
      </c>
      <c r="M381" s="218"/>
      <c r="N381" s="218"/>
      <c r="O381" s="251" t="s">
        <v>1110</v>
      </c>
      <c r="P381" s="192"/>
      <c r="Q381" s="192"/>
      <c r="R381" s="192"/>
      <c r="S381" s="192"/>
    </row>
    <row r="382" spans="1:19" x14ac:dyDescent="0.2">
      <c r="A382" s="198"/>
      <c r="B382" s="188"/>
      <c r="C382" s="188"/>
      <c r="D382" s="215" t="s">
        <v>1110</v>
      </c>
      <c r="G382" s="192"/>
      <c r="H382" s="209"/>
      <c r="I382" s="216"/>
      <c r="J382" s="217">
        <v>7</v>
      </c>
      <c r="K382" s="218"/>
      <c r="L382" s="219" t="s">
        <v>1404</v>
      </c>
      <c r="M382" s="218"/>
      <c r="N382" s="218"/>
      <c r="O382" s="251" t="s">
        <v>1110</v>
      </c>
      <c r="P382" s="192"/>
      <c r="Q382" s="192"/>
      <c r="R382" s="192"/>
      <c r="S382" s="192"/>
    </row>
    <row r="383" spans="1:19" x14ac:dyDescent="0.2">
      <c r="A383" s="198"/>
      <c r="B383" s="188"/>
      <c r="C383" s="188"/>
      <c r="D383" s="215" t="s">
        <v>1110</v>
      </c>
      <c r="G383" s="192"/>
      <c r="H383" s="209"/>
      <c r="I383" s="216"/>
      <c r="J383" s="217">
        <v>8</v>
      </c>
      <c r="K383" s="218"/>
      <c r="L383" s="219" t="s">
        <v>1391</v>
      </c>
      <c r="M383" s="218"/>
      <c r="N383" s="218"/>
      <c r="O383" s="251" t="s">
        <v>1110</v>
      </c>
      <c r="P383" s="192"/>
      <c r="Q383" s="192"/>
      <c r="R383" s="192"/>
      <c r="S383" s="192"/>
    </row>
    <row r="384" spans="1:19" ht="15.75" thickBot="1" x14ac:dyDescent="0.25">
      <c r="A384" s="198"/>
      <c r="B384" s="188"/>
      <c r="C384" s="188"/>
      <c r="D384" s="215" t="s">
        <v>1110</v>
      </c>
      <c r="G384" s="192"/>
      <c r="H384" s="262"/>
      <c r="I384" s="263"/>
      <c r="J384" s="264">
        <v>9</v>
      </c>
      <c r="K384" s="265"/>
      <c r="L384" s="266" t="s">
        <v>1383</v>
      </c>
      <c r="M384" s="265"/>
      <c r="N384" s="265"/>
      <c r="O384" s="320" t="s">
        <v>1110</v>
      </c>
      <c r="P384" s="192"/>
      <c r="Q384" s="192"/>
      <c r="R384" s="192"/>
      <c r="S384" s="192"/>
    </row>
    <row r="385" spans="1:19" x14ac:dyDescent="0.2">
      <c r="A385" s="198"/>
      <c r="B385" s="188"/>
      <c r="C385" s="188"/>
      <c r="D385" s="215"/>
      <c r="G385" s="218"/>
      <c r="H385" s="268"/>
      <c r="I385" s="216"/>
      <c r="J385" s="216"/>
      <c r="K385" s="218"/>
      <c r="L385" s="219"/>
      <c r="M385" s="218"/>
      <c r="N385" s="218"/>
      <c r="O385" s="326"/>
      <c r="P385" s="218"/>
      <c r="Q385" s="218"/>
      <c r="R385" s="218"/>
      <c r="S385" s="218"/>
    </row>
    <row r="386" spans="1:19" x14ac:dyDescent="0.2">
      <c r="A386" s="198"/>
      <c r="B386" s="188"/>
      <c r="C386" s="188"/>
      <c r="D386" s="215"/>
      <c r="G386" s="218"/>
      <c r="H386" s="268"/>
      <c r="I386" s="216"/>
      <c r="J386" s="216"/>
      <c r="K386" s="218"/>
      <c r="L386" s="219"/>
      <c r="M386" s="218"/>
      <c r="N386" s="218"/>
      <c r="O386" s="326"/>
      <c r="P386" s="218"/>
      <c r="Q386" s="218"/>
      <c r="R386" s="218"/>
      <c r="S386" s="218"/>
    </row>
    <row r="387" spans="1:19" x14ac:dyDescent="0.2">
      <c r="A387" s="198">
        <v>43</v>
      </c>
      <c r="B387" s="188" t="s">
        <v>1375</v>
      </c>
      <c r="C387" s="188" t="s">
        <v>1376</v>
      </c>
      <c r="D387" s="215"/>
      <c r="G387" s="192"/>
      <c r="H387" s="236">
        <v>43</v>
      </c>
      <c r="I387" s="238"/>
      <c r="J387" s="249"/>
      <c r="K387" s="306" t="s">
        <v>1376</v>
      </c>
      <c r="L387" s="249"/>
      <c r="M387" s="249"/>
      <c r="N387" s="249"/>
      <c r="O387" s="260"/>
      <c r="P387" s="192"/>
      <c r="Q387" s="207">
        <f>H387</f>
        <v>43</v>
      </c>
      <c r="R387" s="197" t="str">
        <f>CONCATENATE("II-",TEXT(Q387,"0000"))</f>
        <v>II-0043</v>
      </c>
      <c r="S387" s="208" t="str">
        <f>K387</f>
        <v>HORMIGON CEMENTO PORTLAND EXCLUIDA LA ARAMDURA</v>
      </c>
    </row>
    <row r="388" spans="1:19" x14ac:dyDescent="0.2">
      <c r="A388" s="198"/>
      <c r="B388" s="188"/>
      <c r="C388" s="188"/>
      <c r="D388" s="215"/>
      <c r="G388" s="271"/>
      <c r="H388" s="293"/>
      <c r="I388" s="223" t="s">
        <v>1111</v>
      </c>
      <c r="J388" s="216"/>
      <c r="K388" s="219" t="s">
        <v>1403</v>
      </c>
      <c r="L388" s="295"/>
      <c r="M388" s="295"/>
      <c r="N388" s="295"/>
      <c r="O388" s="282"/>
      <c r="P388" s="271"/>
      <c r="Q388" s="271"/>
      <c r="R388" s="271"/>
      <c r="S388" s="271"/>
    </row>
    <row r="389" spans="1:19" x14ac:dyDescent="0.2">
      <c r="A389" s="198"/>
      <c r="B389" s="188"/>
      <c r="C389" s="188"/>
      <c r="D389" s="215" t="s">
        <v>1110</v>
      </c>
      <c r="G389" s="192"/>
      <c r="H389" s="209"/>
      <c r="I389" s="216"/>
      <c r="J389" s="217">
        <v>10</v>
      </c>
      <c r="K389" s="218"/>
      <c r="L389" s="219" t="s">
        <v>1400</v>
      </c>
      <c r="M389" s="218"/>
      <c r="N389" s="218"/>
      <c r="O389" s="251" t="s">
        <v>1110</v>
      </c>
      <c r="P389" s="192"/>
      <c r="Q389" s="192"/>
      <c r="R389" s="192"/>
      <c r="S389" s="192"/>
    </row>
    <row r="390" spans="1:19" x14ac:dyDescent="0.2">
      <c r="A390" s="198"/>
      <c r="B390" s="188"/>
      <c r="C390" s="188"/>
      <c r="D390" s="215" t="s">
        <v>1110</v>
      </c>
      <c r="G390" s="192"/>
      <c r="H390" s="209"/>
      <c r="I390" s="216"/>
      <c r="J390" s="217">
        <v>11</v>
      </c>
      <c r="K390" s="218"/>
      <c r="L390" s="219" t="s">
        <v>1392</v>
      </c>
      <c r="M390" s="218"/>
      <c r="N390" s="218"/>
      <c r="O390" s="251" t="s">
        <v>1110</v>
      </c>
      <c r="P390" s="192"/>
      <c r="Q390" s="192"/>
      <c r="R390" s="192"/>
      <c r="S390" s="192"/>
    </row>
    <row r="391" spans="1:19" x14ac:dyDescent="0.2">
      <c r="A391" s="198"/>
      <c r="B391" s="188"/>
      <c r="C391" s="188"/>
      <c r="D391" s="215" t="s">
        <v>1110</v>
      </c>
      <c r="G391" s="192"/>
      <c r="H391" s="209"/>
      <c r="I391" s="216"/>
      <c r="J391" s="217">
        <v>12</v>
      </c>
      <c r="K391" s="218"/>
      <c r="L391" s="219" t="s">
        <v>1401</v>
      </c>
      <c r="M391" s="218"/>
      <c r="N391" s="218"/>
      <c r="O391" s="251" t="s">
        <v>1110</v>
      </c>
      <c r="P391" s="192"/>
      <c r="Q391" s="192"/>
      <c r="R391" s="192"/>
      <c r="S391" s="192"/>
    </row>
    <row r="392" spans="1:19" x14ac:dyDescent="0.2">
      <c r="A392" s="198"/>
      <c r="B392" s="188"/>
      <c r="C392" s="188"/>
      <c r="D392" s="215" t="s">
        <v>1110</v>
      </c>
      <c r="G392" s="192"/>
      <c r="H392" s="209"/>
      <c r="I392" s="216"/>
      <c r="J392" s="217">
        <v>13</v>
      </c>
      <c r="K392" s="218"/>
      <c r="L392" s="219" t="s">
        <v>1393</v>
      </c>
      <c r="M392" s="218"/>
      <c r="N392" s="218"/>
      <c r="O392" s="251" t="s">
        <v>1110</v>
      </c>
      <c r="P392" s="192"/>
      <c r="Q392" s="192"/>
      <c r="R392" s="192"/>
      <c r="S392" s="192"/>
    </row>
    <row r="393" spans="1:19" x14ac:dyDescent="0.2">
      <c r="A393" s="198"/>
      <c r="B393" s="188"/>
      <c r="C393" s="188"/>
      <c r="D393" s="215" t="s">
        <v>1110</v>
      </c>
      <c r="G393" s="192"/>
      <c r="H393" s="209"/>
      <c r="I393" s="228"/>
      <c r="J393" s="223">
        <v>14</v>
      </c>
      <c r="K393" s="224"/>
      <c r="L393" s="225" t="s">
        <v>1402</v>
      </c>
      <c r="M393" s="224"/>
      <c r="N393" s="224"/>
      <c r="O393" s="270" t="s">
        <v>1110</v>
      </c>
      <c r="P393" s="192"/>
      <c r="Q393" s="192"/>
      <c r="R393" s="192"/>
      <c r="S393" s="192"/>
    </row>
    <row r="394" spans="1:19" x14ac:dyDescent="0.2">
      <c r="A394" s="198"/>
      <c r="B394" s="188"/>
      <c r="C394" s="188"/>
      <c r="D394" s="215"/>
      <c r="G394" s="192"/>
      <c r="H394" s="209"/>
      <c r="I394" s="223" t="s">
        <v>1114</v>
      </c>
      <c r="J394" s="216"/>
      <c r="K394" s="219" t="s">
        <v>1405</v>
      </c>
      <c r="L394" s="218"/>
      <c r="M394" s="218"/>
      <c r="N394" s="218"/>
      <c r="O394" s="251"/>
      <c r="P394" s="192"/>
      <c r="Q394" s="192"/>
      <c r="R394" s="192"/>
      <c r="S394" s="192"/>
    </row>
    <row r="395" spans="1:19" x14ac:dyDescent="0.2">
      <c r="A395" s="198"/>
      <c r="B395" s="188"/>
      <c r="C395" s="188"/>
      <c r="D395" s="215" t="s">
        <v>1110</v>
      </c>
      <c r="G395" s="192"/>
      <c r="H395" s="209"/>
      <c r="I395" s="216"/>
      <c r="J395" s="217">
        <v>1</v>
      </c>
      <c r="K395" s="218"/>
      <c r="L395" s="219" t="s">
        <v>1396</v>
      </c>
      <c r="M395" s="218"/>
      <c r="N395" s="218"/>
      <c r="O395" s="251" t="s">
        <v>1110</v>
      </c>
      <c r="P395" s="192"/>
      <c r="Q395" s="192"/>
      <c r="R395" s="192"/>
      <c r="S395" s="192"/>
    </row>
    <row r="396" spans="1:19" x14ac:dyDescent="0.2">
      <c r="A396" s="198"/>
      <c r="B396" s="188"/>
      <c r="C396" s="188"/>
      <c r="D396" s="215" t="s">
        <v>1110</v>
      </c>
      <c r="G396" s="192"/>
      <c r="H396" s="209"/>
      <c r="I396" s="216"/>
      <c r="J396" s="217">
        <v>2</v>
      </c>
      <c r="K396" s="218"/>
      <c r="L396" s="219" t="s">
        <v>1397</v>
      </c>
      <c r="M396" s="218"/>
      <c r="N396" s="218"/>
      <c r="O396" s="251" t="s">
        <v>1110</v>
      </c>
      <c r="P396" s="192"/>
      <c r="Q396" s="192"/>
      <c r="R396" s="192"/>
      <c r="S396" s="192"/>
    </row>
    <row r="397" spans="1:19" x14ac:dyDescent="0.2">
      <c r="A397" s="198"/>
      <c r="B397" s="188"/>
      <c r="C397" s="188"/>
      <c r="D397" s="215" t="s">
        <v>1110</v>
      </c>
      <c r="G397" s="192"/>
      <c r="H397" s="209"/>
      <c r="I397" s="216"/>
      <c r="J397" s="217">
        <v>3</v>
      </c>
      <c r="K397" s="218"/>
      <c r="L397" s="219" t="s">
        <v>1261</v>
      </c>
      <c r="M397" s="218"/>
      <c r="N397" s="218"/>
      <c r="O397" s="251" t="s">
        <v>1110</v>
      </c>
      <c r="P397" s="192"/>
      <c r="Q397" s="192"/>
      <c r="R397" s="192"/>
      <c r="S397" s="192"/>
    </row>
    <row r="398" spans="1:19" x14ac:dyDescent="0.2">
      <c r="A398" s="198"/>
      <c r="B398" s="188"/>
      <c r="C398" s="188"/>
      <c r="D398" s="215" t="s">
        <v>1110</v>
      </c>
      <c r="G398" s="192"/>
      <c r="H398" s="209"/>
      <c r="I398" s="216"/>
      <c r="J398" s="217">
        <v>4</v>
      </c>
      <c r="K398" s="218"/>
      <c r="L398" s="219" t="s">
        <v>1398</v>
      </c>
      <c r="M398" s="218"/>
      <c r="N398" s="218"/>
      <c r="O398" s="251" t="s">
        <v>1110</v>
      </c>
      <c r="P398" s="192"/>
      <c r="Q398" s="192"/>
      <c r="R398" s="192"/>
      <c r="S398" s="192"/>
    </row>
    <row r="399" spans="1:19" x14ac:dyDescent="0.2">
      <c r="A399" s="198"/>
      <c r="B399" s="188"/>
      <c r="C399" s="188"/>
      <c r="D399" s="215" t="s">
        <v>1110</v>
      </c>
      <c r="G399" s="192"/>
      <c r="H399" s="209"/>
      <c r="I399" s="216"/>
      <c r="J399" s="217">
        <v>5</v>
      </c>
      <c r="K399" s="218"/>
      <c r="L399" s="219" t="s">
        <v>1404</v>
      </c>
      <c r="M399" s="218"/>
      <c r="N399" s="218"/>
      <c r="O399" s="251" t="s">
        <v>1110</v>
      </c>
      <c r="P399" s="192"/>
      <c r="Q399" s="192"/>
      <c r="R399" s="192"/>
      <c r="S399" s="192"/>
    </row>
    <row r="400" spans="1:19" x14ac:dyDescent="0.2">
      <c r="A400" s="198"/>
      <c r="B400" s="188"/>
      <c r="C400" s="188"/>
      <c r="D400" s="215" t="s">
        <v>1110</v>
      </c>
      <c r="G400" s="192"/>
      <c r="H400" s="209"/>
      <c r="I400" s="216"/>
      <c r="J400" s="217">
        <v>6</v>
      </c>
      <c r="K400" s="218"/>
      <c r="L400" s="219" t="s">
        <v>1383</v>
      </c>
      <c r="M400" s="218"/>
      <c r="N400" s="218"/>
      <c r="O400" s="251" t="s">
        <v>1110</v>
      </c>
      <c r="P400" s="192"/>
      <c r="Q400" s="192"/>
      <c r="R400" s="192"/>
      <c r="S400" s="192"/>
    </row>
    <row r="401" spans="1:19" x14ac:dyDescent="0.2">
      <c r="A401" s="198"/>
      <c r="B401" s="188"/>
      <c r="C401" s="188"/>
      <c r="D401" s="215" t="s">
        <v>1110</v>
      </c>
      <c r="G401" s="192"/>
      <c r="H401" s="209"/>
      <c r="I401" s="216"/>
      <c r="J401" s="217">
        <v>7</v>
      </c>
      <c r="K401" s="218"/>
      <c r="L401" s="219" t="s">
        <v>1400</v>
      </c>
      <c r="M401" s="218"/>
      <c r="N401" s="218"/>
      <c r="O401" s="251" t="s">
        <v>1110</v>
      </c>
      <c r="P401" s="192"/>
      <c r="Q401" s="192"/>
      <c r="R401" s="192"/>
      <c r="S401" s="192"/>
    </row>
    <row r="402" spans="1:19" x14ac:dyDescent="0.2">
      <c r="A402" s="198"/>
      <c r="B402" s="188"/>
      <c r="C402" s="188"/>
      <c r="D402" s="215" t="s">
        <v>1110</v>
      </c>
      <c r="G402" s="192"/>
      <c r="H402" s="209"/>
      <c r="I402" s="216"/>
      <c r="J402" s="217">
        <v>8</v>
      </c>
      <c r="K402" s="218"/>
      <c r="L402" s="219" t="s">
        <v>1392</v>
      </c>
      <c r="M402" s="218"/>
      <c r="N402" s="218"/>
      <c r="O402" s="251" t="s">
        <v>1110</v>
      </c>
      <c r="P402" s="192"/>
      <c r="Q402" s="192"/>
      <c r="R402" s="192"/>
      <c r="S402" s="192"/>
    </row>
    <row r="403" spans="1:19" x14ac:dyDescent="0.2">
      <c r="A403" s="198"/>
      <c r="B403" s="188"/>
      <c r="C403" s="188"/>
      <c r="D403" s="215" t="s">
        <v>1110</v>
      </c>
      <c r="G403" s="192"/>
      <c r="H403" s="209"/>
      <c r="I403" s="216"/>
      <c r="J403" s="217">
        <v>9</v>
      </c>
      <c r="K403" s="218"/>
      <c r="L403" s="219" t="s">
        <v>1401</v>
      </c>
      <c r="M403" s="218"/>
      <c r="N403" s="218"/>
      <c r="O403" s="251" t="s">
        <v>1110</v>
      </c>
      <c r="P403" s="192"/>
      <c r="Q403" s="192"/>
      <c r="R403" s="192"/>
      <c r="S403" s="192"/>
    </row>
    <row r="404" spans="1:19" ht="15.75" thickBot="1" x14ac:dyDescent="0.25">
      <c r="A404" s="198"/>
      <c r="B404" s="188"/>
      <c r="C404" s="188"/>
      <c r="D404" s="215" t="s">
        <v>1110</v>
      </c>
      <c r="G404" s="192"/>
      <c r="H404" s="229"/>
      <c r="I404" s="230"/>
      <c r="J404" s="231">
        <v>10</v>
      </c>
      <c r="K404" s="232"/>
      <c r="L404" s="233" t="s">
        <v>1402</v>
      </c>
      <c r="M404" s="232"/>
      <c r="N404" s="232"/>
      <c r="O404" s="317" t="s">
        <v>1110</v>
      </c>
      <c r="P404" s="192"/>
      <c r="Q404" s="192"/>
      <c r="R404" s="192"/>
      <c r="S404" s="192"/>
    </row>
    <row r="405" spans="1:19" ht="15.75" thickTop="1" x14ac:dyDescent="0.2">
      <c r="A405" s="198">
        <v>44</v>
      </c>
      <c r="B405" s="188" t="s">
        <v>1406</v>
      </c>
      <c r="C405" s="188" t="s">
        <v>1407</v>
      </c>
      <c r="D405" s="215"/>
      <c r="G405" s="192"/>
      <c r="H405" s="236">
        <v>44</v>
      </c>
      <c r="I405" s="238"/>
      <c r="J405" s="249"/>
      <c r="K405" s="306" t="s">
        <v>1407</v>
      </c>
      <c r="L405" s="249"/>
      <c r="M405" s="249"/>
      <c r="N405" s="249"/>
      <c r="O405" s="260"/>
      <c r="P405" s="192"/>
      <c r="Q405" s="207">
        <f>H405</f>
        <v>44</v>
      </c>
      <c r="R405" s="197" t="str">
        <f>CONCATENATE("II-",TEXT(Q405,"0000"))</f>
        <v>II-0044</v>
      </c>
      <c r="S405" s="208" t="str">
        <f>K405</f>
        <v>HORMIGON  ARS EXCLUIDA LA ARAMDURA</v>
      </c>
    </row>
    <row r="406" spans="1:19" x14ac:dyDescent="0.2">
      <c r="A406" s="198"/>
      <c r="B406" s="188"/>
      <c r="C406" s="188"/>
      <c r="D406" s="215"/>
      <c r="G406" s="192"/>
      <c r="H406" s="209"/>
      <c r="I406" s="223" t="s">
        <v>999</v>
      </c>
      <c r="J406" s="216"/>
      <c r="K406" s="219" t="s">
        <v>1377</v>
      </c>
      <c r="L406" s="218"/>
      <c r="M406" s="218"/>
      <c r="N406" s="218"/>
      <c r="O406" s="251"/>
      <c r="P406" s="192"/>
      <c r="Q406" s="192"/>
      <c r="R406" s="192"/>
      <c r="S406" s="192"/>
    </row>
    <row r="407" spans="1:19" x14ac:dyDescent="0.2">
      <c r="A407" s="198"/>
      <c r="B407" s="188"/>
      <c r="C407" s="188"/>
      <c r="D407" s="215" t="s">
        <v>1110</v>
      </c>
      <c r="G407" s="192"/>
      <c r="H407" s="209"/>
      <c r="I407" s="216"/>
      <c r="J407" s="217">
        <v>1</v>
      </c>
      <c r="K407" s="218"/>
      <c r="L407" s="219" t="s">
        <v>1208</v>
      </c>
      <c r="M407" s="218"/>
      <c r="N407" s="218"/>
      <c r="O407" s="251" t="s">
        <v>1110</v>
      </c>
      <c r="P407" s="192"/>
      <c r="Q407" s="192"/>
      <c r="R407" s="192"/>
      <c r="S407" s="192"/>
    </row>
    <row r="408" spans="1:19" x14ac:dyDescent="0.2">
      <c r="A408" s="198"/>
      <c r="B408" s="188"/>
      <c r="C408" s="188"/>
      <c r="D408" s="215" t="s">
        <v>1110</v>
      </c>
      <c r="G408" s="192"/>
      <c r="H408" s="209"/>
      <c r="I408" s="216"/>
      <c r="J408" s="217">
        <v>2</v>
      </c>
      <c r="K408" s="218"/>
      <c r="L408" s="219" t="s">
        <v>1379</v>
      </c>
      <c r="M408" s="218"/>
      <c r="N408" s="218"/>
      <c r="O408" s="251" t="s">
        <v>1110</v>
      </c>
      <c r="P408" s="192"/>
      <c r="Q408" s="192"/>
      <c r="R408" s="192"/>
      <c r="S408" s="192"/>
    </row>
    <row r="409" spans="1:19" x14ac:dyDescent="0.2">
      <c r="A409" s="198"/>
      <c r="B409" s="188"/>
      <c r="C409" s="188"/>
      <c r="D409" s="215" t="s">
        <v>1110</v>
      </c>
      <c r="G409" s="192"/>
      <c r="H409" s="209"/>
      <c r="I409" s="216"/>
      <c r="J409" s="217">
        <v>3</v>
      </c>
      <c r="K409" s="218"/>
      <c r="L409" s="219" t="s">
        <v>1408</v>
      </c>
      <c r="M409" s="218"/>
      <c r="N409" s="218"/>
      <c r="O409" s="251" t="s">
        <v>1110</v>
      </c>
      <c r="P409" s="192"/>
      <c r="Q409" s="192"/>
      <c r="R409" s="192"/>
      <c r="S409" s="192"/>
    </row>
    <row r="410" spans="1:19" x14ac:dyDescent="0.2">
      <c r="A410" s="198"/>
      <c r="B410" s="188"/>
      <c r="C410" s="188"/>
      <c r="D410" s="215" t="s">
        <v>1110</v>
      </c>
      <c r="G410" s="192"/>
      <c r="H410" s="209"/>
      <c r="I410" s="216"/>
      <c r="J410" s="217">
        <v>4</v>
      </c>
      <c r="K410" s="218"/>
      <c r="L410" s="219" t="s">
        <v>1359</v>
      </c>
      <c r="M410" s="218"/>
      <c r="N410" s="218"/>
      <c r="O410" s="251" t="s">
        <v>1110</v>
      </c>
      <c r="P410" s="192"/>
      <c r="Q410" s="192"/>
      <c r="R410" s="192"/>
      <c r="S410" s="192"/>
    </row>
    <row r="411" spans="1:19" x14ac:dyDescent="0.2">
      <c r="A411" s="198"/>
      <c r="B411" s="188"/>
      <c r="C411" s="188"/>
      <c r="D411" s="215" t="s">
        <v>1110</v>
      </c>
      <c r="G411" s="192"/>
      <c r="H411" s="209"/>
      <c r="I411" s="228"/>
      <c r="J411" s="223">
        <v>5</v>
      </c>
      <c r="K411" s="224"/>
      <c r="L411" s="225" t="s">
        <v>1380</v>
      </c>
      <c r="M411" s="224"/>
      <c r="N411" s="224"/>
      <c r="O411" s="270" t="s">
        <v>1110</v>
      </c>
      <c r="P411" s="192"/>
      <c r="Q411" s="192"/>
      <c r="R411" s="192"/>
      <c r="S411" s="192"/>
    </row>
    <row r="412" spans="1:19" x14ac:dyDescent="0.2">
      <c r="A412" s="198"/>
      <c r="B412" s="188"/>
      <c r="C412" s="188"/>
      <c r="D412" s="215"/>
      <c r="G412" s="192"/>
      <c r="H412" s="209"/>
      <c r="I412" s="223" t="s">
        <v>1026</v>
      </c>
      <c r="J412" s="216"/>
      <c r="K412" s="219" t="s">
        <v>1381</v>
      </c>
      <c r="L412" s="218"/>
      <c r="M412" s="218"/>
      <c r="N412" s="218"/>
      <c r="O412" s="251"/>
      <c r="P412" s="192"/>
      <c r="Q412" s="192"/>
      <c r="R412" s="192"/>
      <c r="S412" s="192"/>
    </row>
    <row r="413" spans="1:19" x14ac:dyDescent="0.2">
      <c r="A413" s="198"/>
      <c r="B413" s="188"/>
      <c r="C413" s="188"/>
      <c r="D413" s="215" t="s">
        <v>1110</v>
      </c>
      <c r="G413" s="192"/>
      <c r="H413" s="209"/>
      <c r="I413" s="216"/>
      <c r="J413" s="217">
        <v>1</v>
      </c>
      <c r="K413" s="218"/>
      <c r="L413" s="219" t="s">
        <v>1208</v>
      </c>
      <c r="M413" s="218"/>
      <c r="N413" s="218"/>
      <c r="O413" s="251" t="s">
        <v>1110</v>
      </c>
      <c r="P413" s="192"/>
      <c r="Q413" s="192"/>
      <c r="R413" s="192"/>
      <c r="S413" s="192"/>
    </row>
    <row r="414" spans="1:19" x14ac:dyDescent="0.2">
      <c r="A414" s="198"/>
      <c r="B414" s="188"/>
      <c r="C414" s="188"/>
      <c r="D414" s="215" t="s">
        <v>1110</v>
      </c>
      <c r="G414" s="192"/>
      <c r="H414" s="209"/>
      <c r="I414" s="216"/>
      <c r="J414" s="217">
        <v>2</v>
      </c>
      <c r="K414" s="218"/>
      <c r="L414" s="219" t="s">
        <v>1382</v>
      </c>
      <c r="M414" s="218"/>
      <c r="N414" s="218"/>
      <c r="O414" s="251" t="s">
        <v>1110</v>
      </c>
      <c r="P414" s="192"/>
      <c r="Q414" s="192"/>
      <c r="R414" s="192"/>
      <c r="S414" s="192"/>
    </row>
    <row r="415" spans="1:19" x14ac:dyDescent="0.2">
      <c r="A415" s="198"/>
      <c r="B415" s="188"/>
      <c r="C415" s="188"/>
      <c r="D415" s="215" t="s">
        <v>1110</v>
      </c>
      <c r="G415" s="192"/>
      <c r="H415" s="209"/>
      <c r="I415" s="216"/>
      <c r="J415" s="217">
        <v>3</v>
      </c>
      <c r="K415" s="218"/>
      <c r="L415" s="219" t="s">
        <v>1383</v>
      </c>
      <c r="M415" s="218"/>
      <c r="N415" s="218"/>
      <c r="O415" s="251" t="s">
        <v>1110</v>
      </c>
      <c r="P415" s="192"/>
      <c r="Q415" s="192"/>
      <c r="R415" s="192"/>
      <c r="S415" s="192"/>
    </row>
    <row r="416" spans="1:19" x14ac:dyDescent="0.2">
      <c r="A416" s="198"/>
      <c r="B416" s="188"/>
      <c r="C416" s="188"/>
      <c r="D416" s="215" t="s">
        <v>1110</v>
      </c>
      <c r="G416" s="192"/>
      <c r="H416" s="209"/>
      <c r="I416" s="343"/>
      <c r="J416" s="217">
        <v>4</v>
      </c>
      <c r="K416" s="218"/>
      <c r="L416" s="219" t="s">
        <v>1384</v>
      </c>
      <c r="M416" s="218"/>
      <c r="N416" s="218"/>
      <c r="O416" s="251" t="s">
        <v>1110</v>
      </c>
      <c r="P416" s="192"/>
      <c r="Q416" s="192"/>
      <c r="R416" s="192"/>
      <c r="S416" s="192"/>
    </row>
    <row r="417" spans="1:19" x14ac:dyDescent="0.2">
      <c r="A417" s="198"/>
      <c r="B417" s="188"/>
      <c r="C417" s="188"/>
      <c r="D417" s="215" t="s">
        <v>1110</v>
      </c>
      <c r="G417" s="192"/>
      <c r="H417" s="209"/>
      <c r="I417" s="216"/>
      <c r="J417" s="217">
        <v>5</v>
      </c>
      <c r="K417" s="218"/>
      <c r="L417" s="219" t="s">
        <v>1385</v>
      </c>
      <c r="M417" s="218"/>
      <c r="N417" s="218"/>
      <c r="O417" s="251" t="s">
        <v>1110</v>
      </c>
      <c r="P417" s="192"/>
      <c r="Q417" s="192"/>
      <c r="R417" s="192"/>
      <c r="S417" s="192"/>
    </row>
    <row r="418" spans="1:19" x14ac:dyDescent="0.2">
      <c r="A418" s="198"/>
      <c r="B418" s="188"/>
      <c r="C418" s="188"/>
      <c r="D418" s="215" t="s">
        <v>1110</v>
      </c>
      <c r="G418" s="192"/>
      <c r="H418" s="209"/>
      <c r="I418" s="228"/>
      <c r="J418" s="223">
        <v>6</v>
      </c>
      <c r="K418" s="224"/>
      <c r="L418" s="225" t="s">
        <v>1380</v>
      </c>
      <c r="M418" s="224"/>
      <c r="N418" s="224"/>
      <c r="O418" s="270" t="s">
        <v>1110</v>
      </c>
      <c r="P418" s="192"/>
      <c r="Q418" s="192"/>
      <c r="R418" s="192"/>
      <c r="S418" s="192"/>
    </row>
    <row r="419" spans="1:19" x14ac:dyDescent="0.2">
      <c r="A419" s="198"/>
      <c r="B419" s="188"/>
      <c r="C419" s="188"/>
      <c r="D419" s="215"/>
      <c r="G419" s="192"/>
      <c r="H419" s="209"/>
      <c r="I419" s="223" t="s">
        <v>1036</v>
      </c>
      <c r="J419" s="216"/>
      <c r="K419" s="219" t="s">
        <v>1386</v>
      </c>
      <c r="L419" s="218"/>
      <c r="M419" s="218"/>
      <c r="N419" s="218"/>
      <c r="O419" s="251"/>
      <c r="P419" s="192"/>
      <c r="Q419" s="192"/>
      <c r="R419" s="192"/>
      <c r="S419" s="192"/>
    </row>
    <row r="420" spans="1:19" x14ac:dyDescent="0.2">
      <c r="A420" s="198"/>
      <c r="B420" s="188"/>
      <c r="C420" s="188"/>
      <c r="D420" s="215" t="s">
        <v>1110</v>
      </c>
      <c r="G420" s="192"/>
      <c r="H420" s="209"/>
      <c r="I420" s="216"/>
      <c r="J420" s="217">
        <v>1</v>
      </c>
      <c r="K420" s="218"/>
      <c r="L420" s="219" t="s">
        <v>1387</v>
      </c>
      <c r="M420" s="218"/>
      <c r="N420" s="218"/>
      <c r="O420" s="251" t="s">
        <v>1110</v>
      </c>
      <c r="P420" s="192"/>
      <c r="Q420" s="192"/>
      <c r="R420" s="192"/>
      <c r="S420" s="192"/>
    </row>
    <row r="421" spans="1:19" x14ac:dyDescent="0.2">
      <c r="A421" s="198"/>
      <c r="B421" s="188"/>
      <c r="C421" s="188"/>
      <c r="D421" s="215" t="s">
        <v>1110</v>
      </c>
      <c r="G421" s="192"/>
      <c r="H421" s="209"/>
      <c r="I421" s="216"/>
      <c r="J421" s="217">
        <v>2</v>
      </c>
      <c r="K421" s="218"/>
      <c r="L421" s="219" t="s">
        <v>1208</v>
      </c>
      <c r="M421" s="218"/>
      <c r="N421" s="218"/>
      <c r="O421" s="251" t="s">
        <v>1110</v>
      </c>
      <c r="P421" s="192"/>
      <c r="Q421" s="192"/>
      <c r="R421" s="192"/>
      <c r="S421" s="192"/>
    </row>
    <row r="422" spans="1:19" x14ac:dyDescent="0.2">
      <c r="A422" s="198"/>
      <c r="B422" s="188"/>
      <c r="C422" s="188"/>
      <c r="D422" s="215" t="s">
        <v>1110</v>
      </c>
      <c r="G422" s="192"/>
      <c r="H422" s="209"/>
      <c r="I422" s="216"/>
      <c r="J422" s="217">
        <v>3</v>
      </c>
      <c r="K422" s="218"/>
      <c r="L422" s="219" t="s">
        <v>1388</v>
      </c>
      <c r="M422" s="218"/>
      <c r="N422" s="218"/>
      <c r="O422" s="251" t="s">
        <v>1110</v>
      </c>
      <c r="P422" s="192"/>
      <c r="Q422" s="192"/>
      <c r="R422" s="192"/>
      <c r="S422" s="192"/>
    </row>
    <row r="423" spans="1:19" x14ac:dyDescent="0.2">
      <c r="A423" s="198"/>
      <c r="B423" s="188"/>
      <c r="C423" s="188"/>
      <c r="D423" s="215" t="s">
        <v>1110</v>
      </c>
      <c r="G423" s="192"/>
      <c r="H423" s="209"/>
      <c r="I423" s="216"/>
      <c r="J423" s="217">
        <v>4</v>
      </c>
      <c r="K423" s="218"/>
      <c r="L423" s="219" t="s">
        <v>1319</v>
      </c>
      <c r="M423" s="218"/>
      <c r="N423" s="218"/>
      <c r="O423" s="251" t="s">
        <v>1110</v>
      </c>
      <c r="P423" s="192"/>
      <c r="Q423" s="192"/>
      <c r="R423" s="192"/>
      <c r="S423" s="192"/>
    </row>
    <row r="424" spans="1:19" x14ac:dyDescent="0.2">
      <c r="A424" s="198"/>
      <c r="B424" s="188"/>
      <c r="C424" s="188"/>
      <c r="D424" s="215" t="s">
        <v>1110</v>
      </c>
      <c r="G424" s="192"/>
      <c r="H424" s="209"/>
      <c r="I424" s="228"/>
      <c r="J424" s="223">
        <v>5</v>
      </c>
      <c r="K424" s="224"/>
      <c r="L424" s="225" t="s">
        <v>1380</v>
      </c>
      <c r="M424" s="224"/>
      <c r="N424" s="224"/>
      <c r="O424" s="270" t="s">
        <v>1110</v>
      </c>
      <c r="P424" s="192"/>
      <c r="Q424" s="192"/>
      <c r="R424" s="192"/>
      <c r="S424" s="192"/>
    </row>
    <row r="425" spans="1:19" x14ac:dyDescent="0.2">
      <c r="A425" s="198"/>
      <c r="B425" s="188"/>
      <c r="C425" s="188"/>
      <c r="D425" s="215"/>
      <c r="G425" s="192"/>
      <c r="H425" s="209"/>
      <c r="I425" s="223" t="s">
        <v>1062</v>
      </c>
      <c r="J425" s="216"/>
      <c r="K425" s="219" t="s">
        <v>1389</v>
      </c>
      <c r="L425" s="218"/>
      <c r="M425" s="218"/>
      <c r="N425" s="218"/>
      <c r="O425" s="251"/>
      <c r="P425" s="192"/>
      <c r="Q425" s="192"/>
      <c r="R425" s="192"/>
      <c r="S425" s="192"/>
    </row>
    <row r="426" spans="1:19" x14ac:dyDescent="0.2">
      <c r="A426" s="198"/>
      <c r="B426" s="188"/>
      <c r="C426" s="188"/>
      <c r="D426" s="215" t="s">
        <v>1110</v>
      </c>
      <c r="G426" s="192"/>
      <c r="H426" s="209"/>
      <c r="I426" s="216"/>
      <c r="J426" s="217">
        <v>1</v>
      </c>
      <c r="K426" s="218"/>
      <c r="L426" s="219" t="s">
        <v>1387</v>
      </c>
      <c r="M426" s="218"/>
      <c r="N426" s="218"/>
      <c r="O426" s="251" t="s">
        <v>1110</v>
      </c>
      <c r="P426" s="192"/>
      <c r="Q426" s="192"/>
      <c r="R426" s="192"/>
      <c r="S426" s="192"/>
    </row>
    <row r="427" spans="1:19" x14ac:dyDescent="0.2">
      <c r="A427" s="198"/>
      <c r="B427" s="188"/>
      <c r="C427" s="188"/>
      <c r="D427" s="215" t="s">
        <v>1110</v>
      </c>
      <c r="G427" s="192"/>
      <c r="H427" s="209"/>
      <c r="I427" s="216"/>
      <c r="J427" s="217">
        <v>2</v>
      </c>
      <c r="K427" s="218"/>
      <c r="L427" s="219" t="s">
        <v>1208</v>
      </c>
      <c r="M427" s="218"/>
      <c r="N427" s="218"/>
      <c r="O427" s="251" t="s">
        <v>1110</v>
      </c>
      <c r="P427" s="192"/>
      <c r="Q427" s="192"/>
      <c r="R427" s="192"/>
      <c r="S427" s="192"/>
    </row>
    <row r="428" spans="1:19" x14ac:dyDescent="0.2">
      <c r="A428" s="198"/>
      <c r="B428" s="188"/>
      <c r="C428" s="188"/>
      <c r="D428" s="215" t="s">
        <v>1110</v>
      </c>
      <c r="G428" s="192"/>
      <c r="H428" s="209"/>
      <c r="I428" s="216"/>
      <c r="J428" s="217">
        <v>3</v>
      </c>
      <c r="K428" s="218"/>
      <c r="L428" s="219" t="s">
        <v>1390</v>
      </c>
      <c r="M428" s="218"/>
      <c r="N428" s="218"/>
      <c r="O428" s="251" t="s">
        <v>1110</v>
      </c>
      <c r="P428" s="192"/>
      <c r="Q428" s="192"/>
      <c r="R428" s="192"/>
      <c r="S428" s="192"/>
    </row>
    <row r="429" spans="1:19" x14ac:dyDescent="0.2">
      <c r="A429" s="198"/>
      <c r="B429" s="188"/>
      <c r="C429" s="188"/>
      <c r="D429" s="215" t="s">
        <v>1110</v>
      </c>
      <c r="G429" s="192"/>
      <c r="H429" s="209"/>
      <c r="I429" s="216"/>
      <c r="J429" s="217">
        <v>4</v>
      </c>
      <c r="K429" s="218"/>
      <c r="L429" s="219" t="s">
        <v>1388</v>
      </c>
      <c r="M429" s="218"/>
      <c r="N429" s="218"/>
      <c r="O429" s="251" t="s">
        <v>1110</v>
      </c>
      <c r="P429" s="192"/>
      <c r="Q429" s="192"/>
      <c r="R429" s="192"/>
      <c r="S429" s="192"/>
    </row>
    <row r="430" spans="1:19" x14ac:dyDescent="0.2">
      <c r="A430" s="198"/>
      <c r="B430" s="188"/>
      <c r="C430" s="188"/>
      <c r="D430" s="215" t="s">
        <v>1110</v>
      </c>
      <c r="G430" s="192"/>
      <c r="H430" s="209"/>
      <c r="I430" s="216"/>
      <c r="J430" s="217">
        <v>5</v>
      </c>
      <c r="K430" s="218"/>
      <c r="L430" s="219" t="s">
        <v>1319</v>
      </c>
      <c r="M430" s="218"/>
      <c r="N430" s="218"/>
      <c r="O430" s="251" t="s">
        <v>1110</v>
      </c>
      <c r="P430" s="192"/>
      <c r="Q430" s="192"/>
      <c r="R430" s="192"/>
      <c r="S430" s="192"/>
    </row>
    <row r="431" spans="1:19" x14ac:dyDescent="0.2">
      <c r="A431" s="198"/>
      <c r="B431" s="188"/>
      <c r="C431" s="188"/>
      <c r="D431" s="215" t="s">
        <v>1110</v>
      </c>
      <c r="G431" s="192"/>
      <c r="H431" s="209"/>
      <c r="I431" s="216"/>
      <c r="J431" s="217">
        <v>6</v>
      </c>
      <c r="K431" s="218"/>
      <c r="L431" s="219" t="s">
        <v>1391</v>
      </c>
      <c r="M431" s="218"/>
      <c r="N431" s="218"/>
      <c r="O431" s="251" t="s">
        <v>1110</v>
      </c>
      <c r="P431" s="192"/>
      <c r="Q431" s="192"/>
      <c r="R431" s="192"/>
      <c r="S431" s="192"/>
    </row>
    <row r="432" spans="1:19" ht="15.75" thickBot="1" x14ac:dyDescent="0.25">
      <c r="A432" s="198"/>
      <c r="B432" s="188"/>
      <c r="C432" s="188"/>
      <c r="D432" s="215" t="s">
        <v>1110</v>
      </c>
      <c r="G432" s="192"/>
      <c r="H432" s="262"/>
      <c r="I432" s="263"/>
      <c r="J432" s="264">
        <v>7</v>
      </c>
      <c r="K432" s="265"/>
      <c r="L432" s="266" t="s">
        <v>1392</v>
      </c>
      <c r="M432" s="265"/>
      <c r="N432" s="265"/>
      <c r="O432" s="320" t="s">
        <v>1110</v>
      </c>
      <c r="P432" s="192"/>
      <c r="Q432" s="192"/>
      <c r="R432" s="192"/>
      <c r="S432" s="192"/>
    </row>
    <row r="433" spans="1:19" x14ac:dyDescent="0.2">
      <c r="A433" s="198"/>
      <c r="B433" s="188"/>
      <c r="C433" s="188"/>
      <c r="D433" s="215"/>
      <c r="G433" s="218"/>
      <c r="H433" s="268"/>
      <c r="I433" s="216"/>
      <c r="J433" s="216"/>
      <c r="K433" s="218"/>
      <c r="L433" s="219"/>
      <c r="M433" s="218"/>
      <c r="N433" s="218"/>
      <c r="O433" s="326"/>
      <c r="P433" s="218"/>
      <c r="Q433" s="218"/>
      <c r="R433" s="218"/>
      <c r="S433" s="218"/>
    </row>
    <row r="434" spans="1:19" x14ac:dyDescent="0.2">
      <c r="A434" s="198"/>
      <c r="B434" s="188"/>
      <c r="C434" s="188"/>
      <c r="D434" s="215"/>
      <c r="G434" s="218"/>
      <c r="H434" s="268"/>
      <c r="I434" s="216"/>
      <c r="J434" s="216"/>
      <c r="K434" s="218"/>
      <c r="L434" s="219"/>
      <c r="M434" s="218"/>
      <c r="N434" s="218"/>
      <c r="O434" s="326"/>
      <c r="P434" s="218"/>
      <c r="Q434" s="218"/>
      <c r="R434" s="218"/>
      <c r="S434" s="218"/>
    </row>
    <row r="435" spans="1:19" x14ac:dyDescent="0.2">
      <c r="A435" s="198">
        <v>44</v>
      </c>
      <c r="B435" s="188" t="s">
        <v>1406</v>
      </c>
      <c r="C435" s="188" t="s">
        <v>1407</v>
      </c>
      <c r="D435" s="215"/>
      <c r="G435" s="192"/>
      <c r="H435" s="236">
        <v>44</v>
      </c>
      <c r="I435" s="238"/>
      <c r="J435" s="249"/>
      <c r="K435" s="306" t="s">
        <v>1407</v>
      </c>
      <c r="L435" s="249"/>
      <c r="M435" s="249"/>
      <c r="N435" s="249"/>
      <c r="O435" s="260"/>
      <c r="P435" s="192"/>
      <c r="Q435" s="207">
        <f>H435</f>
        <v>44</v>
      </c>
      <c r="R435" s="197" t="str">
        <f>CONCATENATE("II-",TEXT(Q435,"0000"))</f>
        <v>II-0044</v>
      </c>
      <c r="S435" s="208" t="str">
        <f>K435</f>
        <v>HORMIGON  ARS EXCLUIDA LA ARAMDURA</v>
      </c>
    </row>
    <row r="436" spans="1:19" x14ac:dyDescent="0.2">
      <c r="A436" s="198"/>
      <c r="B436" s="188"/>
      <c r="C436" s="188"/>
      <c r="D436" s="215"/>
      <c r="G436" s="218"/>
      <c r="H436" s="209"/>
      <c r="I436" s="223" t="s">
        <v>1062</v>
      </c>
      <c r="J436" s="216"/>
      <c r="K436" s="219" t="s">
        <v>1389</v>
      </c>
      <c r="L436" s="219"/>
      <c r="M436" s="218"/>
      <c r="N436" s="218"/>
      <c r="O436" s="326"/>
      <c r="P436" s="218"/>
      <c r="Q436" s="218"/>
      <c r="R436" s="218"/>
      <c r="S436" s="218"/>
    </row>
    <row r="437" spans="1:19" x14ac:dyDescent="0.2">
      <c r="A437" s="198"/>
      <c r="B437" s="188"/>
      <c r="C437" s="188"/>
      <c r="D437" s="215" t="s">
        <v>1110</v>
      </c>
      <c r="G437" s="192"/>
      <c r="H437" s="209"/>
      <c r="I437" s="216"/>
      <c r="J437" s="217">
        <v>8</v>
      </c>
      <c r="K437" s="218"/>
      <c r="L437" s="219" t="s">
        <v>1393</v>
      </c>
      <c r="M437" s="218"/>
      <c r="N437" s="218"/>
      <c r="O437" s="251" t="s">
        <v>1110</v>
      </c>
      <c r="P437" s="192"/>
      <c r="Q437" s="192"/>
      <c r="R437" s="192"/>
      <c r="S437" s="192"/>
    </row>
    <row r="438" spans="1:19" x14ac:dyDescent="0.2">
      <c r="A438" s="198"/>
      <c r="B438" s="188"/>
      <c r="C438" s="188"/>
      <c r="D438" s="215" t="s">
        <v>1110</v>
      </c>
      <c r="G438" s="192"/>
      <c r="H438" s="209"/>
      <c r="I438" s="228"/>
      <c r="J438" s="223">
        <v>9</v>
      </c>
      <c r="K438" s="224"/>
      <c r="L438" s="225" t="s">
        <v>1380</v>
      </c>
      <c r="M438" s="224"/>
      <c r="N438" s="224"/>
      <c r="O438" s="270" t="s">
        <v>1110</v>
      </c>
      <c r="P438" s="192"/>
      <c r="Q438" s="192"/>
      <c r="R438" s="192"/>
      <c r="S438" s="192"/>
    </row>
    <row r="439" spans="1:19" x14ac:dyDescent="0.2">
      <c r="A439" s="198"/>
      <c r="B439" s="188"/>
      <c r="C439" s="188"/>
      <c r="D439" s="215"/>
      <c r="G439" s="192"/>
      <c r="H439" s="209"/>
      <c r="I439" s="223" t="s">
        <v>1104</v>
      </c>
      <c r="J439" s="216"/>
      <c r="K439" s="219" t="s">
        <v>1394</v>
      </c>
      <c r="L439" s="218"/>
      <c r="M439" s="218"/>
      <c r="N439" s="218"/>
      <c r="O439" s="251"/>
      <c r="P439" s="192"/>
      <c r="Q439" s="192"/>
      <c r="R439" s="192"/>
      <c r="S439" s="192"/>
    </row>
    <row r="440" spans="1:19" x14ac:dyDescent="0.2">
      <c r="A440" s="198"/>
      <c r="B440" s="188"/>
      <c r="C440" s="188"/>
      <c r="D440" s="215" t="s">
        <v>1110</v>
      </c>
      <c r="G440" s="192"/>
      <c r="H440" s="209"/>
      <c r="I440" s="216"/>
      <c r="J440" s="217">
        <v>1</v>
      </c>
      <c r="K440" s="218"/>
      <c r="L440" s="219" t="s">
        <v>1208</v>
      </c>
      <c r="M440" s="218"/>
      <c r="N440" s="218"/>
      <c r="O440" s="251" t="s">
        <v>1110</v>
      </c>
      <c r="P440" s="192"/>
      <c r="Q440" s="192"/>
      <c r="R440" s="192"/>
      <c r="S440" s="192"/>
    </row>
    <row r="441" spans="1:19" x14ac:dyDescent="0.2">
      <c r="A441" s="198"/>
      <c r="B441" s="188"/>
      <c r="C441" s="188"/>
      <c r="D441" s="215" t="s">
        <v>1110</v>
      </c>
      <c r="G441" s="192"/>
      <c r="H441" s="209"/>
      <c r="I441" s="216"/>
      <c r="J441" s="217">
        <v>2</v>
      </c>
      <c r="K441" s="218"/>
      <c r="L441" s="219" t="s">
        <v>1395</v>
      </c>
      <c r="M441" s="218"/>
      <c r="N441" s="218"/>
      <c r="O441" s="251" t="s">
        <v>1110</v>
      </c>
      <c r="P441" s="192"/>
      <c r="Q441" s="192"/>
      <c r="R441" s="192"/>
      <c r="S441" s="192"/>
    </row>
    <row r="442" spans="1:19" x14ac:dyDescent="0.2">
      <c r="A442" s="198"/>
      <c r="B442" s="188"/>
      <c r="C442" s="188"/>
      <c r="D442" s="215" t="s">
        <v>1110</v>
      </c>
      <c r="G442" s="192"/>
      <c r="H442" s="209"/>
      <c r="I442" s="216"/>
      <c r="J442" s="217">
        <v>3</v>
      </c>
      <c r="K442" s="218"/>
      <c r="L442" s="219" t="s">
        <v>1396</v>
      </c>
      <c r="M442" s="218"/>
      <c r="N442" s="218"/>
      <c r="O442" s="251" t="s">
        <v>1110</v>
      </c>
      <c r="P442" s="192"/>
      <c r="Q442" s="192"/>
      <c r="R442" s="192"/>
      <c r="S442" s="192"/>
    </row>
    <row r="443" spans="1:19" x14ac:dyDescent="0.2">
      <c r="A443" s="198"/>
      <c r="B443" s="188"/>
      <c r="C443" s="188"/>
      <c r="D443" s="215" t="s">
        <v>1110</v>
      </c>
      <c r="G443" s="192"/>
      <c r="H443" s="209"/>
      <c r="I443" s="216"/>
      <c r="J443" s="217">
        <v>4</v>
      </c>
      <c r="K443" s="218"/>
      <c r="L443" s="219" t="s">
        <v>1397</v>
      </c>
      <c r="M443" s="218"/>
      <c r="N443" s="218"/>
      <c r="O443" s="251" t="s">
        <v>1110</v>
      </c>
      <c r="P443" s="192"/>
      <c r="Q443" s="192"/>
      <c r="R443" s="192"/>
      <c r="S443" s="192"/>
    </row>
    <row r="444" spans="1:19" x14ac:dyDescent="0.2">
      <c r="A444" s="198"/>
      <c r="B444" s="188"/>
      <c r="C444" s="188"/>
      <c r="D444" s="215" t="s">
        <v>1110</v>
      </c>
      <c r="G444" s="192"/>
      <c r="H444" s="209"/>
      <c r="I444" s="216"/>
      <c r="J444" s="217">
        <v>5</v>
      </c>
      <c r="K444" s="218"/>
      <c r="L444" s="219" t="s">
        <v>1261</v>
      </c>
      <c r="M444" s="218"/>
      <c r="N444" s="218"/>
      <c r="O444" s="251" t="s">
        <v>1110</v>
      </c>
      <c r="P444" s="192"/>
      <c r="Q444" s="192"/>
      <c r="R444" s="192"/>
      <c r="S444" s="192"/>
    </row>
    <row r="445" spans="1:19" x14ac:dyDescent="0.2">
      <c r="A445" s="198"/>
      <c r="B445" s="188"/>
      <c r="C445" s="188"/>
      <c r="D445" s="215" t="s">
        <v>1110</v>
      </c>
      <c r="G445" s="192"/>
      <c r="H445" s="209"/>
      <c r="I445" s="216"/>
      <c r="J445" s="217">
        <v>6</v>
      </c>
      <c r="K445" s="218"/>
      <c r="L445" s="219" t="s">
        <v>1398</v>
      </c>
      <c r="M445" s="218"/>
      <c r="N445" s="218"/>
      <c r="O445" s="251" t="s">
        <v>1110</v>
      </c>
      <c r="P445" s="192"/>
      <c r="Q445" s="192"/>
      <c r="R445" s="192"/>
      <c r="S445" s="192"/>
    </row>
    <row r="446" spans="1:19" x14ac:dyDescent="0.2">
      <c r="A446" s="198"/>
      <c r="B446" s="188"/>
      <c r="C446" s="188"/>
      <c r="D446" s="215" t="s">
        <v>1110</v>
      </c>
      <c r="G446" s="192"/>
      <c r="H446" s="209"/>
      <c r="I446" s="216"/>
      <c r="J446" s="217">
        <v>7</v>
      </c>
      <c r="K446" s="218"/>
      <c r="L446" s="219" t="s">
        <v>1399</v>
      </c>
      <c r="M446" s="218"/>
      <c r="N446" s="218"/>
      <c r="O446" s="251" t="s">
        <v>1110</v>
      </c>
      <c r="P446" s="192"/>
      <c r="Q446" s="192"/>
      <c r="R446" s="192"/>
      <c r="S446" s="192"/>
    </row>
    <row r="447" spans="1:19" x14ac:dyDescent="0.2">
      <c r="A447" s="198"/>
      <c r="B447" s="188"/>
      <c r="C447" s="188"/>
      <c r="D447" s="215" t="s">
        <v>1110</v>
      </c>
      <c r="G447" s="192"/>
      <c r="H447" s="209"/>
      <c r="I447" s="216"/>
      <c r="J447" s="217">
        <v>8</v>
      </c>
      <c r="K447" s="218"/>
      <c r="L447" s="219" t="s">
        <v>1391</v>
      </c>
      <c r="M447" s="218"/>
      <c r="N447" s="218"/>
      <c r="O447" s="251" t="s">
        <v>1110</v>
      </c>
      <c r="P447" s="192"/>
      <c r="Q447" s="192"/>
      <c r="R447" s="192"/>
      <c r="S447" s="192"/>
    </row>
    <row r="448" spans="1:19" x14ac:dyDescent="0.2">
      <c r="A448" s="198"/>
      <c r="B448" s="188"/>
      <c r="C448" s="188"/>
      <c r="D448" s="215" t="s">
        <v>1110</v>
      </c>
      <c r="G448" s="192"/>
      <c r="H448" s="209"/>
      <c r="I448" s="216"/>
      <c r="J448" s="217">
        <v>9</v>
      </c>
      <c r="K448" s="218"/>
      <c r="L448" s="219" t="s">
        <v>1383</v>
      </c>
      <c r="M448" s="218"/>
      <c r="N448" s="218"/>
      <c r="O448" s="251" t="s">
        <v>1110</v>
      </c>
      <c r="P448" s="192"/>
      <c r="Q448" s="192"/>
      <c r="R448" s="192"/>
      <c r="S448" s="192"/>
    </row>
    <row r="449" spans="1:19" x14ac:dyDescent="0.2">
      <c r="A449" s="198"/>
      <c r="B449" s="188"/>
      <c r="C449" s="188"/>
      <c r="D449" s="215" t="s">
        <v>1110</v>
      </c>
      <c r="G449" s="192"/>
      <c r="H449" s="209"/>
      <c r="I449" s="216"/>
      <c r="J449" s="217">
        <v>10</v>
      </c>
      <c r="K449" s="218"/>
      <c r="L449" s="219" t="s">
        <v>1400</v>
      </c>
      <c r="M449" s="218"/>
      <c r="N449" s="218"/>
      <c r="O449" s="251" t="s">
        <v>1110</v>
      </c>
      <c r="P449" s="192"/>
      <c r="Q449" s="192"/>
      <c r="R449" s="192"/>
      <c r="S449" s="192"/>
    </row>
    <row r="450" spans="1:19" x14ac:dyDescent="0.2">
      <c r="A450" s="198"/>
      <c r="B450" s="188"/>
      <c r="C450" s="188"/>
      <c r="D450" s="215" t="s">
        <v>1110</v>
      </c>
      <c r="G450" s="192"/>
      <c r="H450" s="209"/>
      <c r="I450" s="216"/>
      <c r="J450" s="217">
        <v>11</v>
      </c>
      <c r="K450" s="218"/>
      <c r="L450" s="219" t="s">
        <v>1392</v>
      </c>
      <c r="M450" s="218"/>
      <c r="N450" s="218"/>
      <c r="O450" s="251" t="s">
        <v>1110</v>
      </c>
      <c r="P450" s="192"/>
      <c r="Q450" s="192"/>
      <c r="R450" s="192"/>
      <c r="S450" s="192"/>
    </row>
    <row r="451" spans="1:19" x14ac:dyDescent="0.2">
      <c r="A451" s="198"/>
      <c r="B451" s="188"/>
      <c r="C451" s="188"/>
      <c r="D451" s="215" t="s">
        <v>1110</v>
      </c>
      <c r="G451" s="192"/>
      <c r="H451" s="209"/>
      <c r="I451" s="216"/>
      <c r="J451" s="217">
        <v>12</v>
      </c>
      <c r="K451" s="218"/>
      <c r="L451" s="219" t="s">
        <v>1401</v>
      </c>
      <c r="M451" s="218"/>
      <c r="N451" s="218"/>
      <c r="O451" s="251" t="s">
        <v>1110</v>
      </c>
      <c r="P451" s="192"/>
      <c r="Q451" s="192"/>
      <c r="R451" s="192"/>
      <c r="S451" s="192"/>
    </row>
    <row r="452" spans="1:19" x14ac:dyDescent="0.2">
      <c r="A452" s="198"/>
      <c r="B452" s="188"/>
      <c r="C452" s="188"/>
      <c r="D452" s="215" t="s">
        <v>1110</v>
      </c>
      <c r="G452" s="192"/>
      <c r="H452" s="209"/>
      <c r="I452" s="216"/>
      <c r="J452" s="217">
        <v>13</v>
      </c>
      <c r="K452" s="218"/>
      <c r="L452" s="219" t="s">
        <v>1393</v>
      </c>
      <c r="M452" s="218"/>
      <c r="N452" s="218"/>
      <c r="O452" s="251" t="s">
        <v>1110</v>
      </c>
      <c r="P452" s="192"/>
      <c r="Q452" s="192"/>
      <c r="R452" s="192"/>
      <c r="S452" s="192"/>
    </row>
    <row r="453" spans="1:19" x14ac:dyDescent="0.2">
      <c r="A453" s="198"/>
      <c r="B453" s="188"/>
      <c r="C453" s="188"/>
      <c r="D453" s="215" t="s">
        <v>1110</v>
      </c>
      <c r="G453" s="192"/>
      <c r="H453" s="209"/>
      <c r="I453" s="228"/>
      <c r="J453" s="223">
        <v>14</v>
      </c>
      <c r="K453" s="224"/>
      <c r="L453" s="225" t="s">
        <v>1402</v>
      </c>
      <c r="M453" s="224"/>
      <c r="N453" s="224"/>
      <c r="O453" s="270" t="s">
        <v>1110</v>
      </c>
      <c r="P453" s="192"/>
      <c r="Q453" s="192"/>
      <c r="R453" s="192"/>
      <c r="S453" s="192"/>
    </row>
    <row r="454" spans="1:19" x14ac:dyDescent="0.2">
      <c r="A454" s="198"/>
      <c r="B454" s="188"/>
      <c r="C454" s="188"/>
      <c r="D454" s="215"/>
      <c r="G454" s="192"/>
      <c r="H454" s="209"/>
      <c r="I454" s="223" t="s">
        <v>1107</v>
      </c>
      <c r="J454" s="216"/>
      <c r="K454" s="219" t="s">
        <v>1403</v>
      </c>
      <c r="L454" s="218"/>
      <c r="M454" s="218"/>
      <c r="N454" s="218"/>
      <c r="O454" s="251"/>
      <c r="P454" s="192"/>
      <c r="Q454" s="192"/>
      <c r="R454" s="192"/>
      <c r="S454" s="192"/>
    </row>
    <row r="455" spans="1:19" x14ac:dyDescent="0.2">
      <c r="A455" s="198"/>
      <c r="B455" s="188"/>
      <c r="C455" s="188"/>
      <c r="D455" s="215" t="s">
        <v>1110</v>
      </c>
      <c r="G455" s="192"/>
      <c r="H455" s="209"/>
      <c r="I455" s="216"/>
      <c r="J455" s="217">
        <v>1</v>
      </c>
      <c r="K455" s="218"/>
      <c r="L455" s="219" t="s">
        <v>1208</v>
      </c>
      <c r="M455" s="218"/>
      <c r="N455" s="218"/>
      <c r="O455" s="251" t="s">
        <v>1110</v>
      </c>
      <c r="P455" s="192"/>
      <c r="Q455" s="192"/>
      <c r="R455" s="192"/>
      <c r="S455" s="192"/>
    </row>
    <row r="456" spans="1:19" x14ac:dyDescent="0.2">
      <c r="A456" s="198"/>
      <c r="B456" s="188"/>
      <c r="C456" s="188"/>
      <c r="D456" s="215" t="s">
        <v>1110</v>
      </c>
      <c r="G456" s="192"/>
      <c r="H456" s="209"/>
      <c r="I456" s="216"/>
      <c r="J456" s="217">
        <v>2</v>
      </c>
      <c r="K456" s="218"/>
      <c r="L456" s="219" t="s">
        <v>1395</v>
      </c>
      <c r="M456" s="218"/>
      <c r="N456" s="218"/>
      <c r="O456" s="251" t="s">
        <v>1110</v>
      </c>
      <c r="P456" s="192"/>
      <c r="Q456" s="192"/>
      <c r="R456" s="192"/>
      <c r="S456" s="192"/>
    </row>
    <row r="457" spans="1:19" x14ac:dyDescent="0.2">
      <c r="A457" s="198"/>
      <c r="B457" s="188"/>
      <c r="C457" s="188"/>
      <c r="D457" s="215" t="s">
        <v>1110</v>
      </c>
      <c r="G457" s="192"/>
      <c r="H457" s="209"/>
      <c r="I457" s="216"/>
      <c r="J457" s="217">
        <v>3</v>
      </c>
      <c r="K457" s="218"/>
      <c r="L457" s="219" t="s">
        <v>1396</v>
      </c>
      <c r="M457" s="218"/>
      <c r="N457" s="218"/>
      <c r="O457" s="251" t="s">
        <v>1110</v>
      </c>
      <c r="P457" s="192"/>
      <c r="Q457" s="192"/>
      <c r="R457" s="192"/>
      <c r="S457" s="192"/>
    </row>
    <row r="458" spans="1:19" x14ac:dyDescent="0.2">
      <c r="A458" s="198"/>
      <c r="B458" s="188"/>
      <c r="C458" s="188"/>
      <c r="D458" s="215" t="s">
        <v>1110</v>
      </c>
      <c r="G458" s="192"/>
      <c r="H458" s="209"/>
      <c r="I458" s="216"/>
      <c r="J458" s="217">
        <v>4</v>
      </c>
      <c r="K458" s="218"/>
      <c r="L458" s="219" t="s">
        <v>1397</v>
      </c>
      <c r="M458" s="218"/>
      <c r="N458" s="218"/>
      <c r="O458" s="251" t="s">
        <v>1110</v>
      </c>
      <c r="P458" s="192"/>
      <c r="Q458" s="192"/>
      <c r="R458" s="192"/>
      <c r="S458" s="192"/>
    </row>
    <row r="459" spans="1:19" x14ac:dyDescent="0.2">
      <c r="A459" s="198"/>
      <c r="B459" s="188"/>
      <c r="C459" s="188"/>
      <c r="D459" s="215" t="s">
        <v>1110</v>
      </c>
      <c r="G459" s="192"/>
      <c r="H459" s="209"/>
      <c r="I459" s="216"/>
      <c r="J459" s="217">
        <v>5</v>
      </c>
      <c r="K459" s="218"/>
      <c r="L459" s="219" t="s">
        <v>1261</v>
      </c>
      <c r="M459" s="218"/>
      <c r="N459" s="218"/>
      <c r="O459" s="251" t="s">
        <v>1110</v>
      </c>
      <c r="P459" s="192"/>
      <c r="Q459" s="192"/>
      <c r="R459" s="192"/>
      <c r="S459" s="192"/>
    </row>
    <row r="460" spans="1:19" x14ac:dyDescent="0.2">
      <c r="A460" s="198"/>
      <c r="B460" s="188"/>
      <c r="C460" s="188"/>
      <c r="D460" s="215" t="s">
        <v>1110</v>
      </c>
      <c r="G460" s="192"/>
      <c r="H460" s="209"/>
      <c r="I460" s="216"/>
      <c r="J460" s="217">
        <v>6</v>
      </c>
      <c r="K460" s="218"/>
      <c r="L460" s="219" t="s">
        <v>1409</v>
      </c>
      <c r="M460" s="218"/>
      <c r="N460" s="218"/>
      <c r="O460" s="251" t="s">
        <v>1110</v>
      </c>
      <c r="P460" s="192"/>
      <c r="Q460" s="192"/>
      <c r="R460" s="192"/>
      <c r="S460" s="192"/>
    </row>
    <row r="461" spans="1:19" x14ac:dyDescent="0.2">
      <c r="A461" s="198"/>
      <c r="B461" s="188"/>
      <c r="C461" s="188"/>
      <c r="D461" s="215" t="s">
        <v>1110</v>
      </c>
      <c r="G461" s="192"/>
      <c r="H461" s="209"/>
      <c r="I461" s="216"/>
      <c r="J461" s="217">
        <v>7</v>
      </c>
      <c r="K461" s="218"/>
      <c r="L461" s="219" t="s">
        <v>1398</v>
      </c>
      <c r="M461" s="218"/>
      <c r="N461" s="218"/>
      <c r="O461" s="251" t="s">
        <v>1110</v>
      </c>
      <c r="P461" s="271"/>
      <c r="Q461" s="271"/>
      <c r="R461" s="271"/>
      <c r="S461" s="271"/>
    </row>
    <row r="462" spans="1:19" x14ac:dyDescent="0.2">
      <c r="A462" s="198"/>
      <c r="B462" s="188"/>
      <c r="C462" s="188"/>
      <c r="D462" s="215" t="s">
        <v>1110</v>
      </c>
      <c r="G462" s="192"/>
      <c r="H462" s="209"/>
      <c r="I462" s="216"/>
      <c r="J462" s="217">
        <v>8</v>
      </c>
      <c r="K462" s="218"/>
      <c r="L462" s="219" t="s">
        <v>1399</v>
      </c>
      <c r="M462" s="218"/>
      <c r="N462" s="218"/>
      <c r="O462" s="251" t="s">
        <v>1110</v>
      </c>
      <c r="P462" s="192"/>
      <c r="Q462" s="192"/>
      <c r="R462" s="192"/>
      <c r="S462" s="192"/>
    </row>
    <row r="463" spans="1:19" x14ac:dyDescent="0.2">
      <c r="A463" s="198"/>
      <c r="B463" s="188"/>
      <c r="C463" s="188"/>
      <c r="D463" s="215" t="s">
        <v>1110</v>
      </c>
      <c r="G463" s="192"/>
      <c r="H463" s="209"/>
      <c r="I463" s="216"/>
      <c r="J463" s="217">
        <v>9</v>
      </c>
      <c r="K463" s="218"/>
      <c r="L463" s="219" t="s">
        <v>1391</v>
      </c>
      <c r="M463" s="218"/>
      <c r="N463" s="218"/>
      <c r="O463" s="251" t="s">
        <v>1110</v>
      </c>
      <c r="P463" s="192"/>
      <c r="Q463" s="192"/>
      <c r="R463" s="192"/>
      <c r="S463" s="192"/>
    </row>
    <row r="464" spans="1:19" x14ac:dyDescent="0.2">
      <c r="A464" s="198"/>
      <c r="B464" s="188"/>
      <c r="C464" s="188"/>
      <c r="D464" s="215" t="s">
        <v>1110</v>
      </c>
      <c r="G464" s="192"/>
      <c r="H464" s="209"/>
      <c r="I464" s="216"/>
      <c r="J464" s="217">
        <v>10</v>
      </c>
      <c r="K464" s="218"/>
      <c r="L464" s="219" t="s">
        <v>1383</v>
      </c>
      <c r="M464" s="218"/>
      <c r="N464" s="218"/>
      <c r="O464" s="251" t="s">
        <v>1110</v>
      </c>
      <c r="P464" s="192"/>
      <c r="Q464" s="192"/>
      <c r="R464" s="192"/>
      <c r="S464" s="192"/>
    </row>
    <row r="465" spans="1:19" x14ac:dyDescent="0.2">
      <c r="A465" s="198"/>
      <c r="B465" s="188"/>
      <c r="C465" s="188"/>
      <c r="D465" s="215" t="s">
        <v>1110</v>
      </c>
      <c r="G465" s="192"/>
      <c r="H465" s="209"/>
      <c r="I465" s="216"/>
      <c r="J465" s="217">
        <v>11</v>
      </c>
      <c r="K465" s="218"/>
      <c r="L465" s="219" t="s">
        <v>1400</v>
      </c>
      <c r="M465" s="218"/>
      <c r="N465" s="218"/>
      <c r="O465" s="251" t="s">
        <v>1110</v>
      </c>
      <c r="P465" s="192"/>
      <c r="Q465" s="192"/>
      <c r="R465" s="192"/>
      <c r="S465" s="192"/>
    </row>
    <row r="466" spans="1:19" x14ac:dyDescent="0.2">
      <c r="A466" s="198"/>
      <c r="B466" s="188"/>
      <c r="C466" s="188"/>
      <c r="D466" s="215" t="s">
        <v>1110</v>
      </c>
      <c r="G466" s="192"/>
      <c r="H466" s="209"/>
      <c r="I466" s="216"/>
      <c r="J466" s="217">
        <v>12</v>
      </c>
      <c r="K466" s="218"/>
      <c r="L466" s="219" t="s">
        <v>1392</v>
      </c>
      <c r="M466" s="218"/>
      <c r="N466" s="218"/>
      <c r="O466" s="251" t="s">
        <v>1110</v>
      </c>
      <c r="P466" s="192"/>
      <c r="Q466" s="192"/>
      <c r="R466" s="192"/>
      <c r="S466" s="192"/>
    </row>
    <row r="467" spans="1:19" x14ac:dyDescent="0.2">
      <c r="A467" s="198"/>
      <c r="B467" s="188"/>
      <c r="C467" s="188"/>
      <c r="D467" s="215" t="s">
        <v>1110</v>
      </c>
      <c r="G467" s="218"/>
      <c r="H467" s="209"/>
      <c r="I467" s="216"/>
      <c r="J467" s="217">
        <v>13</v>
      </c>
      <c r="K467" s="219"/>
      <c r="L467" s="219" t="s">
        <v>1401</v>
      </c>
      <c r="M467" s="218"/>
      <c r="N467" s="218"/>
      <c r="O467" s="251" t="s">
        <v>1110</v>
      </c>
      <c r="P467" s="218"/>
      <c r="Q467" s="218"/>
      <c r="R467" s="218"/>
      <c r="S467" s="218"/>
    </row>
    <row r="468" spans="1:19" x14ac:dyDescent="0.2">
      <c r="A468" s="198"/>
      <c r="B468" s="188"/>
      <c r="C468" s="188"/>
      <c r="D468" s="215" t="s">
        <v>1110</v>
      </c>
      <c r="G468" s="192"/>
      <c r="H468" s="209"/>
      <c r="I468" s="216"/>
      <c r="J468" s="217">
        <v>14</v>
      </c>
      <c r="K468" s="218"/>
      <c r="L468" s="219" t="s">
        <v>1393</v>
      </c>
      <c r="M468" s="218"/>
      <c r="N468" s="218"/>
      <c r="O468" s="251" t="s">
        <v>1110</v>
      </c>
      <c r="P468" s="192"/>
      <c r="Q468" s="192"/>
      <c r="R468" s="192"/>
      <c r="S468" s="192"/>
    </row>
    <row r="469" spans="1:19" x14ac:dyDescent="0.2">
      <c r="A469" s="198"/>
      <c r="B469" s="188"/>
      <c r="C469" s="188"/>
      <c r="D469" s="215" t="s">
        <v>1110</v>
      </c>
      <c r="G469" s="192"/>
      <c r="H469" s="209"/>
      <c r="I469" s="216"/>
      <c r="J469" s="217">
        <v>15</v>
      </c>
      <c r="K469" s="218"/>
      <c r="L469" s="219" t="s">
        <v>1385</v>
      </c>
      <c r="M469" s="218"/>
      <c r="N469" s="218"/>
      <c r="O469" s="251" t="s">
        <v>1110</v>
      </c>
      <c r="P469" s="192"/>
      <c r="Q469" s="192"/>
      <c r="R469" s="192"/>
      <c r="S469" s="192"/>
    </row>
    <row r="470" spans="1:19" x14ac:dyDescent="0.2">
      <c r="A470" s="198"/>
      <c r="B470" s="188"/>
      <c r="C470" s="188"/>
      <c r="D470" s="215" t="s">
        <v>1110</v>
      </c>
      <c r="G470" s="192"/>
      <c r="H470" s="209"/>
      <c r="I470" s="216"/>
      <c r="J470" s="217">
        <v>16</v>
      </c>
      <c r="K470" s="218"/>
      <c r="L470" s="219" t="s">
        <v>1402</v>
      </c>
      <c r="M470" s="218"/>
      <c r="N470" s="218"/>
      <c r="O470" s="251" t="s">
        <v>1110</v>
      </c>
      <c r="P470" s="192"/>
      <c r="Q470" s="192"/>
      <c r="R470" s="192"/>
      <c r="S470" s="192"/>
    </row>
    <row r="471" spans="1:19" x14ac:dyDescent="0.2">
      <c r="A471" s="198"/>
      <c r="B471" s="188"/>
      <c r="C471" s="188"/>
      <c r="D471" s="215"/>
      <c r="G471" s="192"/>
      <c r="H471" s="209"/>
      <c r="I471" s="210" t="s">
        <v>1111</v>
      </c>
      <c r="J471" s="211"/>
      <c r="K471" s="227" t="s">
        <v>1405</v>
      </c>
      <c r="L471" s="213"/>
      <c r="M471" s="213"/>
      <c r="N471" s="213"/>
      <c r="O471" s="261"/>
      <c r="P471" s="192"/>
      <c r="Q471" s="192"/>
      <c r="R471" s="192"/>
      <c r="S471" s="192"/>
    </row>
    <row r="472" spans="1:19" x14ac:dyDescent="0.2">
      <c r="A472" s="198"/>
      <c r="B472" s="188"/>
      <c r="C472" s="188"/>
      <c r="D472" s="215" t="s">
        <v>1110</v>
      </c>
      <c r="G472" s="192"/>
      <c r="H472" s="209"/>
      <c r="I472" s="216"/>
      <c r="J472" s="217">
        <v>1</v>
      </c>
      <c r="K472" s="218"/>
      <c r="L472" s="219" t="s">
        <v>1396</v>
      </c>
      <c r="M472" s="218"/>
      <c r="N472" s="218"/>
      <c r="O472" s="251" t="s">
        <v>1110</v>
      </c>
      <c r="P472" s="192"/>
      <c r="Q472" s="192"/>
      <c r="R472" s="192"/>
      <c r="S472" s="192"/>
    </row>
    <row r="473" spans="1:19" x14ac:dyDescent="0.2">
      <c r="A473" s="198"/>
      <c r="B473" s="188"/>
      <c r="C473" s="188"/>
      <c r="D473" s="215" t="s">
        <v>1110</v>
      </c>
      <c r="G473" s="192"/>
      <c r="H473" s="209"/>
      <c r="I473" s="216"/>
      <c r="J473" s="217">
        <v>2</v>
      </c>
      <c r="K473" s="218"/>
      <c r="L473" s="219" t="s">
        <v>1397</v>
      </c>
      <c r="M473" s="218"/>
      <c r="N473" s="218"/>
      <c r="O473" s="251" t="s">
        <v>1110</v>
      </c>
      <c r="P473" s="192"/>
      <c r="Q473" s="192"/>
      <c r="R473" s="192"/>
      <c r="S473" s="192"/>
    </row>
    <row r="474" spans="1:19" x14ac:dyDescent="0.2">
      <c r="A474" s="198"/>
      <c r="B474" s="188"/>
      <c r="C474" s="188"/>
      <c r="D474" s="215" t="s">
        <v>1110</v>
      </c>
      <c r="G474" s="192"/>
      <c r="H474" s="209"/>
      <c r="I474" s="216"/>
      <c r="J474" s="217">
        <v>3</v>
      </c>
      <c r="K474" s="218"/>
      <c r="L474" s="219" t="s">
        <v>1261</v>
      </c>
      <c r="M474" s="218"/>
      <c r="N474" s="218"/>
      <c r="O474" s="251" t="s">
        <v>1110</v>
      </c>
      <c r="P474" s="192"/>
      <c r="Q474" s="192"/>
      <c r="R474" s="192"/>
      <c r="S474" s="192"/>
    </row>
    <row r="475" spans="1:19" x14ac:dyDescent="0.2">
      <c r="A475" s="198"/>
      <c r="B475" s="188"/>
      <c r="C475" s="188"/>
      <c r="D475" s="215" t="s">
        <v>1110</v>
      </c>
      <c r="G475" s="192"/>
      <c r="H475" s="209"/>
      <c r="I475" s="216"/>
      <c r="J475" s="217">
        <v>4</v>
      </c>
      <c r="K475" s="218"/>
      <c r="L475" s="219" t="s">
        <v>1398</v>
      </c>
      <c r="M475" s="218"/>
      <c r="N475" s="218"/>
      <c r="O475" s="251" t="s">
        <v>1110</v>
      </c>
      <c r="P475" s="192"/>
      <c r="Q475" s="192"/>
      <c r="R475" s="192"/>
      <c r="S475" s="192"/>
    </row>
    <row r="476" spans="1:19" x14ac:dyDescent="0.2">
      <c r="A476" s="198"/>
      <c r="B476" s="188"/>
      <c r="C476" s="188"/>
      <c r="D476" s="215" t="s">
        <v>1110</v>
      </c>
      <c r="G476" s="192"/>
      <c r="H476" s="209"/>
      <c r="I476" s="216"/>
      <c r="J476" s="217">
        <v>5</v>
      </c>
      <c r="K476" s="218"/>
      <c r="L476" s="219" t="s">
        <v>1399</v>
      </c>
      <c r="M476" s="218"/>
      <c r="N476" s="218"/>
      <c r="O476" s="251" t="s">
        <v>1110</v>
      </c>
      <c r="P476" s="192"/>
      <c r="Q476" s="192"/>
      <c r="R476" s="192"/>
      <c r="S476" s="192"/>
    </row>
    <row r="477" spans="1:19" x14ac:dyDescent="0.2">
      <c r="A477" s="198"/>
      <c r="B477" s="188"/>
      <c r="C477" s="188"/>
      <c r="D477" s="215" t="s">
        <v>1110</v>
      </c>
      <c r="G477" s="192"/>
      <c r="H477" s="209"/>
      <c r="I477" s="216"/>
      <c r="J477" s="217">
        <v>6</v>
      </c>
      <c r="K477" s="218"/>
      <c r="L477" s="219" t="s">
        <v>1383</v>
      </c>
      <c r="M477" s="218"/>
      <c r="N477" s="218"/>
      <c r="O477" s="251" t="s">
        <v>1110</v>
      </c>
      <c r="P477" s="192"/>
      <c r="Q477" s="192"/>
      <c r="R477" s="192"/>
      <c r="S477" s="192"/>
    </row>
    <row r="478" spans="1:19" x14ac:dyDescent="0.2">
      <c r="A478" s="198"/>
      <c r="B478" s="188"/>
      <c r="C478" s="188"/>
      <c r="D478" s="215" t="s">
        <v>1110</v>
      </c>
      <c r="G478" s="192"/>
      <c r="H478" s="209"/>
      <c r="I478" s="216"/>
      <c r="J478" s="217">
        <v>7</v>
      </c>
      <c r="K478" s="218"/>
      <c r="L478" s="219" t="s">
        <v>1400</v>
      </c>
      <c r="M478" s="218"/>
      <c r="N478" s="218"/>
      <c r="O478" s="251" t="s">
        <v>1110</v>
      </c>
      <c r="P478" s="192"/>
      <c r="Q478" s="192"/>
      <c r="R478" s="192"/>
      <c r="S478" s="192"/>
    </row>
    <row r="479" spans="1:19" x14ac:dyDescent="0.2">
      <c r="A479" s="198"/>
      <c r="B479" s="188"/>
      <c r="C479" s="188"/>
      <c r="D479" s="215" t="s">
        <v>1110</v>
      </c>
      <c r="G479" s="192"/>
      <c r="H479" s="209"/>
      <c r="I479" s="216"/>
      <c r="J479" s="217">
        <v>8</v>
      </c>
      <c r="K479" s="218"/>
      <c r="L479" s="219" t="s">
        <v>1392</v>
      </c>
      <c r="M479" s="218"/>
      <c r="N479" s="218"/>
      <c r="O479" s="251" t="s">
        <v>1110</v>
      </c>
      <c r="P479" s="192"/>
      <c r="Q479" s="192"/>
      <c r="R479" s="192"/>
      <c r="S479" s="192"/>
    </row>
    <row r="480" spans="1:19" x14ac:dyDescent="0.2">
      <c r="A480" s="198"/>
      <c r="B480" s="188"/>
      <c r="C480" s="188"/>
      <c r="D480" s="215" t="s">
        <v>1110</v>
      </c>
      <c r="G480" s="192"/>
      <c r="H480" s="209"/>
      <c r="I480" s="216"/>
      <c r="J480" s="217">
        <v>9</v>
      </c>
      <c r="K480" s="218"/>
      <c r="L480" s="219" t="s">
        <v>1401</v>
      </c>
      <c r="M480" s="218"/>
      <c r="N480" s="218"/>
      <c r="O480" s="251" t="s">
        <v>1110</v>
      </c>
      <c r="P480" s="192"/>
      <c r="Q480" s="192"/>
      <c r="R480" s="192"/>
      <c r="S480" s="192"/>
    </row>
    <row r="481" spans="1:19" ht="15.75" thickBot="1" x14ac:dyDescent="0.25">
      <c r="A481" s="198"/>
      <c r="B481" s="188"/>
      <c r="C481" s="188"/>
      <c r="D481" s="215" t="s">
        <v>1110</v>
      </c>
      <c r="G481" s="192"/>
      <c r="H481" s="262"/>
      <c r="I481" s="263"/>
      <c r="J481" s="264">
        <v>10</v>
      </c>
      <c r="K481" s="265"/>
      <c r="L481" s="266" t="s">
        <v>1402</v>
      </c>
      <c r="M481" s="265"/>
      <c r="N481" s="265"/>
      <c r="O481" s="320" t="s">
        <v>1110</v>
      </c>
      <c r="P481" s="192"/>
      <c r="Q481" s="192"/>
      <c r="R481" s="192"/>
      <c r="S481" s="192"/>
    </row>
    <row r="482" spans="1:19" x14ac:dyDescent="0.2">
      <c r="A482" s="198"/>
      <c r="B482" s="188"/>
      <c r="C482" s="188"/>
      <c r="D482" s="215"/>
      <c r="G482" s="218"/>
      <c r="H482" s="268"/>
      <c r="I482" s="216"/>
      <c r="J482" s="216"/>
      <c r="K482" s="218"/>
      <c r="L482" s="219"/>
      <c r="M482" s="218"/>
      <c r="N482" s="218"/>
      <c r="O482" s="326"/>
      <c r="P482" s="218"/>
      <c r="Q482" s="218"/>
      <c r="R482" s="218"/>
      <c r="S482" s="218"/>
    </row>
    <row r="483" spans="1:19" x14ac:dyDescent="0.2">
      <c r="A483" s="198">
        <v>45</v>
      </c>
      <c r="B483" s="188" t="s">
        <v>1410</v>
      </c>
      <c r="C483" s="188" t="s">
        <v>1411</v>
      </c>
      <c r="D483" s="215"/>
      <c r="G483" s="192"/>
      <c r="H483" s="236">
        <v>45</v>
      </c>
      <c r="I483" s="238"/>
      <c r="J483" s="249"/>
      <c r="K483" s="306" t="s">
        <v>1411</v>
      </c>
      <c r="L483" s="249"/>
      <c r="M483" s="249"/>
      <c r="N483" s="249"/>
      <c r="O483" s="260"/>
      <c r="P483" s="192"/>
      <c r="Q483" s="207">
        <f>H483</f>
        <v>45</v>
      </c>
      <c r="R483" s="197" t="str">
        <f>CONCATENATE("II-",TEXT(Q483,"0000"))</f>
        <v>II-0045</v>
      </c>
      <c r="S483" s="208" t="str">
        <f>K483</f>
        <v>HORMIGON  PUZOLANICO EXCLUIDA LA ARAMDURA</v>
      </c>
    </row>
    <row r="484" spans="1:19" x14ac:dyDescent="0.2">
      <c r="A484" s="198"/>
      <c r="B484" s="188"/>
      <c r="C484" s="188"/>
      <c r="D484" s="215"/>
      <c r="G484" s="192"/>
      <c r="H484" s="209"/>
      <c r="I484" s="210" t="s">
        <v>999</v>
      </c>
      <c r="J484" s="211"/>
      <c r="K484" s="227" t="s">
        <v>1377</v>
      </c>
      <c r="L484" s="213"/>
      <c r="M484" s="213"/>
      <c r="N484" s="213"/>
      <c r="O484" s="261"/>
      <c r="P484" s="192"/>
      <c r="Q484" s="192"/>
      <c r="R484" s="192"/>
      <c r="S484" s="192"/>
    </row>
    <row r="485" spans="1:19" x14ac:dyDescent="0.2">
      <c r="A485" s="198"/>
      <c r="B485" s="188"/>
      <c r="C485" s="188"/>
      <c r="D485" s="215" t="s">
        <v>1110</v>
      </c>
      <c r="G485" s="192"/>
      <c r="H485" s="209"/>
      <c r="I485" s="216"/>
      <c r="J485" s="217">
        <v>1</v>
      </c>
      <c r="K485" s="218"/>
      <c r="L485" s="219" t="s">
        <v>1382</v>
      </c>
      <c r="M485" s="218"/>
      <c r="N485" s="218"/>
      <c r="O485" s="251" t="s">
        <v>1110</v>
      </c>
      <c r="P485" s="192"/>
      <c r="Q485" s="192"/>
      <c r="R485" s="192"/>
      <c r="S485" s="192"/>
    </row>
    <row r="486" spans="1:19" x14ac:dyDescent="0.2">
      <c r="A486" s="198"/>
      <c r="B486" s="188"/>
      <c r="C486" s="188"/>
      <c r="D486" s="215" t="s">
        <v>1110</v>
      </c>
      <c r="G486" s="192"/>
      <c r="H486" s="209"/>
      <c r="I486" s="216"/>
      <c r="J486" s="217">
        <v>2</v>
      </c>
      <c r="K486" s="218"/>
      <c r="L486" s="219" t="s">
        <v>1384</v>
      </c>
      <c r="M486" s="218"/>
      <c r="N486" s="218"/>
      <c r="O486" s="251" t="s">
        <v>1110</v>
      </c>
      <c r="P486" s="192"/>
      <c r="Q486" s="192"/>
      <c r="R486" s="192"/>
      <c r="S486" s="192"/>
    </row>
    <row r="487" spans="1:19" x14ac:dyDescent="0.2">
      <c r="A487" s="198"/>
      <c r="B487" s="188"/>
      <c r="C487" s="188"/>
      <c r="D487" s="215"/>
      <c r="G487" s="192"/>
      <c r="H487" s="209"/>
      <c r="I487" s="210" t="s">
        <v>1026</v>
      </c>
      <c r="J487" s="211"/>
      <c r="K487" s="227" t="s">
        <v>1381</v>
      </c>
      <c r="L487" s="213"/>
      <c r="M487" s="213"/>
      <c r="N487" s="213"/>
      <c r="O487" s="261"/>
      <c r="P487" s="192"/>
      <c r="Q487" s="192"/>
      <c r="R487" s="192"/>
      <c r="S487" s="192"/>
    </row>
    <row r="488" spans="1:19" x14ac:dyDescent="0.2">
      <c r="A488" s="198"/>
      <c r="B488" s="188"/>
      <c r="C488" s="188"/>
      <c r="D488" s="215" t="s">
        <v>1110</v>
      </c>
      <c r="G488" s="192"/>
      <c r="H488" s="209"/>
      <c r="I488" s="216"/>
      <c r="J488" s="217">
        <v>1</v>
      </c>
      <c r="K488" s="218"/>
      <c r="L488" s="219" t="s">
        <v>1382</v>
      </c>
      <c r="M488" s="218"/>
      <c r="N488" s="218"/>
      <c r="O488" s="251" t="s">
        <v>1110</v>
      </c>
      <c r="P488" s="192"/>
      <c r="Q488" s="192"/>
      <c r="R488" s="192"/>
      <c r="S488" s="192"/>
    </row>
    <row r="489" spans="1:19" x14ac:dyDescent="0.2">
      <c r="A489" s="198"/>
      <c r="B489" s="188"/>
      <c r="C489" s="188"/>
      <c r="D489" s="215" t="s">
        <v>1110</v>
      </c>
      <c r="G489" s="192"/>
      <c r="H489" s="209"/>
      <c r="I489" s="216"/>
      <c r="J489" s="217">
        <v>2</v>
      </c>
      <c r="K489" s="218"/>
      <c r="L489" s="219" t="s">
        <v>1384</v>
      </c>
      <c r="M489" s="218"/>
      <c r="N489" s="218"/>
      <c r="O489" s="251" t="s">
        <v>1110</v>
      </c>
      <c r="P489" s="192"/>
      <c r="Q489" s="192"/>
      <c r="R489" s="192"/>
      <c r="S489" s="192"/>
    </row>
    <row r="490" spans="1:19" x14ac:dyDescent="0.2">
      <c r="A490" s="198"/>
      <c r="B490" s="188"/>
      <c r="C490" s="188"/>
      <c r="D490" s="215" t="s">
        <v>1110</v>
      </c>
      <c r="G490" s="192"/>
      <c r="H490" s="209"/>
      <c r="I490" s="216"/>
      <c r="J490" s="217">
        <v>3</v>
      </c>
      <c r="K490" s="218"/>
      <c r="L490" s="219" t="s">
        <v>1393</v>
      </c>
      <c r="M490" s="218"/>
      <c r="N490" s="218"/>
      <c r="O490" s="251" t="s">
        <v>1110</v>
      </c>
      <c r="P490" s="192"/>
      <c r="Q490" s="192"/>
      <c r="R490" s="192"/>
      <c r="S490" s="192"/>
    </row>
    <row r="491" spans="1:19" x14ac:dyDescent="0.2">
      <c r="A491" s="198"/>
      <c r="B491" s="188"/>
      <c r="C491" s="188"/>
      <c r="D491" s="215"/>
      <c r="G491" s="192"/>
      <c r="H491" s="209"/>
      <c r="I491" s="210" t="s">
        <v>1036</v>
      </c>
      <c r="J491" s="211"/>
      <c r="K491" s="227" t="s">
        <v>1386</v>
      </c>
      <c r="L491" s="213"/>
      <c r="M491" s="213"/>
      <c r="N491" s="213"/>
      <c r="O491" s="261"/>
      <c r="P491" s="192"/>
      <c r="Q491" s="192"/>
      <c r="R491" s="192"/>
      <c r="S491" s="192"/>
    </row>
    <row r="492" spans="1:19" x14ac:dyDescent="0.2">
      <c r="A492" s="198"/>
      <c r="B492" s="188"/>
      <c r="C492" s="188"/>
      <c r="D492" s="215" t="s">
        <v>1110</v>
      </c>
      <c r="G492" s="192"/>
      <c r="H492" s="209"/>
      <c r="I492" s="216"/>
      <c r="J492" s="217">
        <v>1</v>
      </c>
      <c r="K492" s="218"/>
      <c r="L492" s="219" t="s">
        <v>1382</v>
      </c>
      <c r="M492" s="218"/>
      <c r="N492" s="218"/>
      <c r="O492" s="251" t="s">
        <v>1110</v>
      </c>
      <c r="P492" s="192"/>
      <c r="Q492" s="192"/>
      <c r="R492" s="192"/>
      <c r="S492" s="192"/>
    </row>
    <row r="493" spans="1:19" x14ac:dyDescent="0.2">
      <c r="A493" s="198"/>
      <c r="B493" s="188"/>
      <c r="C493" s="188"/>
      <c r="D493" s="215" t="s">
        <v>1110</v>
      </c>
      <c r="G493" s="192"/>
      <c r="H493" s="209"/>
      <c r="I493" s="216"/>
      <c r="J493" s="217">
        <v>2</v>
      </c>
      <c r="K493" s="218"/>
      <c r="L493" s="219" t="s">
        <v>1319</v>
      </c>
      <c r="M493" s="218"/>
      <c r="N493" s="218"/>
      <c r="O493" s="251" t="s">
        <v>1110</v>
      </c>
      <c r="P493" s="192"/>
      <c r="Q493" s="192"/>
      <c r="R493" s="192"/>
      <c r="S493" s="192"/>
    </row>
    <row r="494" spans="1:19" x14ac:dyDescent="0.2">
      <c r="A494" s="198"/>
      <c r="B494" s="188"/>
      <c r="C494" s="188"/>
      <c r="D494" s="215" t="s">
        <v>1110</v>
      </c>
      <c r="G494" s="192"/>
      <c r="H494" s="209"/>
      <c r="I494" s="216"/>
      <c r="J494" s="217">
        <v>3</v>
      </c>
      <c r="K494" s="218"/>
      <c r="L494" s="219" t="s">
        <v>1384</v>
      </c>
      <c r="M494" s="218"/>
      <c r="N494" s="218"/>
      <c r="O494" s="251" t="s">
        <v>1110</v>
      </c>
      <c r="P494" s="192"/>
      <c r="Q494" s="192"/>
      <c r="R494" s="192"/>
      <c r="S494" s="192"/>
    </row>
    <row r="495" spans="1:19" x14ac:dyDescent="0.2">
      <c r="A495" s="198"/>
      <c r="B495" s="188"/>
      <c r="C495" s="188"/>
      <c r="D495" s="215" t="s">
        <v>1110</v>
      </c>
      <c r="G495" s="192"/>
      <c r="H495" s="209"/>
      <c r="I495" s="216"/>
      <c r="J495" s="217">
        <v>4</v>
      </c>
      <c r="K495" s="218"/>
      <c r="L495" s="219" t="s">
        <v>1393</v>
      </c>
      <c r="M495" s="218"/>
      <c r="N495" s="218"/>
      <c r="O495" s="251" t="s">
        <v>1110</v>
      </c>
      <c r="P495" s="192"/>
      <c r="Q495" s="192"/>
      <c r="R495" s="192"/>
      <c r="S495" s="192"/>
    </row>
    <row r="496" spans="1:19" x14ac:dyDescent="0.2">
      <c r="A496" s="198"/>
      <c r="B496" s="188"/>
      <c r="C496" s="188"/>
      <c r="D496" s="215" t="s">
        <v>1110</v>
      </c>
      <c r="G496" s="192"/>
      <c r="H496" s="209"/>
      <c r="I496" s="216"/>
      <c r="J496" s="217">
        <v>5</v>
      </c>
      <c r="K496" s="218"/>
      <c r="L496" s="219" t="s">
        <v>1385</v>
      </c>
      <c r="M496" s="218"/>
      <c r="N496" s="218"/>
      <c r="O496" s="251" t="s">
        <v>1110</v>
      </c>
      <c r="P496" s="192"/>
      <c r="Q496" s="192"/>
      <c r="R496" s="192"/>
      <c r="S496" s="192"/>
    </row>
    <row r="497" spans="1:19" x14ac:dyDescent="0.2">
      <c r="A497" s="198"/>
      <c r="B497" s="188"/>
      <c r="C497" s="188"/>
      <c r="D497" s="215"/>
      <c r="G497" s="192"/>
      <c r="H497" s="209"/>
      <c r="I497" s="210" t="s">
        <v>1062</v>
      </c>
      <c r="J497" s="211"/>
      <c r="K497" s="227" t="s">
        <v>1389</v>
      </c>
      <c r="L497" s="213"/>
      <c r="M497" s="213"/>
      <c r="N497" s="213"/>
      <c r="O497" s="261"/>
      <c r="P497" s="192"/>
      <c r="Q497" s="192"/>
      <c r="R497" s="192"/>
      <c r="S497" s="192"/>
    </row>
    <row r="498" spans="1:19" x14ac:dyDescent="0.2">
      <c r="A498" s="198"/>
      <c r="B498" s="188"/>
      <c r="C498" s="188"/>
      <c r="D498" s="215" t="s">
        <v>1110</v>
      </c>
      <c r="G498" s="192"/>
      <c r="H498" s="209"/>
      <c r="I498" s="216"/>
      <c r="J498" s="217">
        <v>1</v>
      </c>
      <c r="K498" s="218"/>
      <c r="L498" s="219" t="s">
        <v>1387</v>
      </c>
      <c r="M498" s="218"/>
      <c r="N498" s="218"/>
      <c r="O498" s="251" t="s">
        <v>1110</v>
      </c>
      <c r="P498" s="192"/>
      <c r="Q498" s="192"/>
      <c r="R498" s="192"/>
      <c r="S498" s="192"/>
    </row>
    <row r="499" spans="1:19" x14ac:dyDescent="0.2">
      <c r="A499" s="198"/>
      <c r="B499" s="188"/>
      <c r="C499" s="188"/>
      <c r="D499" s="215" t="s">
        <v>1110</v>
      </c>
      <c r="G499" s="192"/>
      <c r="H499" s="209"/>
      <c r="I499" s="216"/>
      <c r="J499" s="217">
        <v>2</v>
      </c>
      <c r="K499" s="218"/>
      <c r="L499" s="219" t="s">
        <v>1208</v>
      </c>
      <c r="M499" s="218"/>
      <c r="N499" s="218"/>
      <c r="O499" s="251" t="s">
        <v>1110</v>
      </c>
      <c r="P499" s="192"/>
      <c r="Q499" s="192"/>
      <c r="R499" s="192"/>
      <c r="S499" s="192"/>
    </row>
    <row r="500" spans="1:19" x14ac:dyDescent="0.2">
      <c r="A500" s="198"/>
      <c r="B500" s="188"/>
      <c r="C500" s="188"/>
      <c r="D500" s="215" t="s">
        <v>1110</v>
      </c>
      <c r="G500" s="192"/>
      <c r="H500" s="209"/>
      <c r="I500" s="216"/>
      <c r="J500" s="217">
        <v>3</v>
      </c>
      <c r="K500" s="218"/>
      <c r="L500" s="219" t="s">
        <v>1382</v>
      </c>
      <c r="M500" s="218"/>
      <c r="N500" s="218"/>
      <c r="O500" s="251" t="s">
        <v>1110</v>
      </c>
      <c r="P500" s="192"/>
      <c r="Q500" s="192"/>
      <c r="R500" s="192"/>
      <c r="S500" s="192"/>
    </row>
    <row r="501" spans="1:19" x14ac:dyDescent="0.2">
      <c r="A501" s="198"/>
      <c r="B501" s="188"/>
      <c r="C501" s="188"/>
      <c r="D501" s="215" t="s">
        <v>1110</v>
      </c>
      <c r="G501" s="192"/>
      <c r="H501" s="209"/>
      <c r="I501" s="216"/>
      <c r="J501" s="217">
        <v>4</v>
      </c>
      <c r="K501" s="218"/>
      <c r="L501" s="219" t="s">
        <v>1319</v>
      </c>
      <c r="M501" s="218"/>
      <c r="N501" s="218"/>
      <c r="O501" s="251" t="s">
        <v>1110</v>
      </c>
      <c r="P501" s="192"/>
      <c r="Q501" s="192"/>
      <c r="R501" s="192"/>
      <c r="S501" s="192"/>
    </row>
    <row r="502" spans="1:19" x14ac:dyDescent="0.2">
      <c r="A502" s="198"/>
      <c r="B502" s="188"/>
      <c r="C502" s="188"/>
      <c r="D502" s="215" t="s">
        <v>1110</v>
      </c>
      <c r="G502" s="192"/>
      <c r="H502" s="209"/>
      <c r="I502" s="216"/>
      <c r="J502" s="217">
        <v>5</v>
      </c>
      <c r="K502" s="218"/>
      <c r="L502" s="219" t="s">
        <v>1384</v>
      </c>
      <c r="M502" s="218"/>
      <c r="N502" s="218"/>
      <c r="O502" s="251" t="s">
        <v>1110</v>
      </c>
      <c r="P502" s="192"/>
      <c r="Q502" s="192"/>
      <c r="R502" s="192"/>
      <c r="S502" s="192"/>
    </row>
    <row r="503" spans="1:19" x14ac:dyDescent="0.2">
      <c r="A503" s="198"/>
      <c r="B503" s="188"/>
      <c r="C503" s="188"/>
      <c r="D503" s="215" t="s">
        <v>1110</v>
      </c>
      <c r="G503" s="192"/>
      <c r="H503" s="209"/>
      <c r="I503" s="216"/>
      <c r="J503" s="217">
        <v>6</v>
      </c>
      <c r="K503" s="218"/>
      <c r="L503" s="219" t="s">
        <v>1393</v>
      </c>
      <c r="M503" s="218"/>
      <c r="N503" s="218"/>
      <c r="O503" s="251" t="s">
        <v>1110</v>
      </c>
      <c r="P503" s="192"/>
      <c r="Q503" s="192"/>
      <c r="R503" s="192"/>
      <c r="S503" s="192"/>
    </row>
    <row r="504" spans="1:19" x14ac:dyDescent="0.2">
      <c r="A504" s="198"/>
      <c r="B504" s="188"/>
      <c r="C504" s="188"/>
      <c r="D504" s="215" t="s">
        <v>1110</v>
      </c>
      <c r="G504" s="192"/>
      <c r="H504" s="209"/>
      <c r="I504" s="216"/>
      <c r="J504" s="217">
        <v>7</v>
      </c>
      <c r="K504" s="218"/>
      <c r="L504" s="219" t="s">
        <v>1385</v>
      </c>
      <c r="M504" s="218"/>
      <c r="N504" s="218"/>
      <c r="O504" s="251" t="s">
        <v>1110</v>
      </c>
      <c r="P504" s="192"/>
      <c r="Q504" s="192"/>
      <c r="R504" s="192"/>
      <c r="S504" s="192"/>
    </row>
    <row r="505" spans="1:19" x14ac:dyDescent="0.2">
      <c r="A505" s="198"/>
      <c r="B505" s="188"/>
      <c r="C505" s="188"/>
      <c r="D505" s="215"/>
      <c r="G505" s="192"/>
      <c r="H505" s="209"/>
      <c r="I505" s="210" t="s">
        <v>1104</v>
      </c>
      <c r="J505" s="211"/>
      <c r="K505" s="227" t="s">
        <v>1394</v>
      </c>
      <c r="L505" s="213"/>
      <c r="M505" s="213"/>
      <c r="N505" s="213"/>
      <c r="O505" s="261"/>
      <c r="P505" s="192"/>
      <c r="Q505" s="192"/>
      <c r="R505" s="192"/>
      <c r="S505" s="192"/>
    </row>
    <row r="506" spans="1:19" x14ac:dyDescent="0.2">
      <c r="A506" s="198"/>
      <c r="B506" s="188"/>
      <c r="C506" s="188"/>
      <c r="D506" s="215" t="s">
        <v>1110</v>
      </c>
      <c r="G506" s="192"/>
      <c r="H506" s="209"/>
      <c r="I506" s="216"/>
      <c r="J506" s="217">
        <v>1</v>
      </c>
      <c r="K506" s="218"/>
      <c r="L506" s="219" t="s">
        <v>1387</v>
      </c>
      <c r="M506" s="218"/>
      <c r="N506" s="218"/>
      <c r="O506" s="251" t="s">
        <v>1110</v>
      </c>
      <c r="P506" s="192"/>
      <c r="Q506" s="192"/>
      <c r="R506" s="192"/>
      <c r="S506" s="192"/>
    </row>
    <row r="507" spans="1:19" x14ac:dyDescent="0.2">
      <c r="A507" s="198"/>
      <c r="B507" s="188"/>
      <c r="C507" s="188"/>
      <c r="D507" s="215" t="s">
        <v>1110</v>
      </c>
      <c r="G507" s="192"/>
      <c r="H507" s="209"/>
      <c r="I507" s="216"/>
      <c r="J507" s="217">
        <v>2</v>
      </c>
      <c r="K507" s="218"/>
      <c r="L507" s="219" t="s">
        <v>1208</v>
      </c>
      <c r="M507" s="218"/>
      <c r="N507" s="218"/>
      <c r="O507" s="251" t="s">
        <v>1110</v>
      </c>
      <c r="P507" s="192"/>
      <c r="Q507" s="192"/>
      <c r="R507" s="192"/>
      <c r="S507" s="192"/>
    </row>
    <row r="508" spans="1:19" x14ac:dyDescent="0.2">
      <c r="A508" s="198"/>
      <c r="B508" s="188"/>
      <c r="C508" s="188"/>
      <c r="D508" s="215" t="s">
        <v>1110</v>
      </c>
      <c r="G508" s="192"/>
      <c r="H508" s="209"/>
      <c r="I508" s="216"/>
      <c r="J508" s="217">
        <v>3</v>
      </c>
      <c r="K508" s="218"/>
      <c r="L508" s="219" t="s">
        <v>1397</v>
      </c>
      <c r="M508" s="218"/>
      <c r="N508" s="218"/>
      <c r="O508" s="251" t="s">
        <v>1110</v>
      </c>
      <c r="P508" s="192"/>
      <c r="Q508" s="192"/>
      <c r="R508" s="192"/>
      <c r="S508" s="192"/>
    </row>
    <row r="509" spans="1:19" x14ac:dyDescent="0.2">
      <c r="A509" s="198"/>
      <c r="B509" s="188"/>
      <c r="C509" s="188"/>
      <c r="D509" s="215" t="s">
        <v>1110</v>
      </c>
      <c r="G509" s="192"/>
      <c r="H509" s="209"/>
      <c r="I509" s="216"/>
      <c r="J509" s="217">
        <v>4</v>
      </c>
      <c r="K509" s="218"/>
      <c r="L509" s="219" t="s">
        <v>1382</v>
      </c>
      <c r="M509" s="218"/>
      <c r="N509" s="218"/>
      <c r="O509" s="251" t="s">
        <v>1110</v>
      </c>
      <c r="P509" s="192"/>
      <c r="Q509" s="192"/>
      <c r="R509" s="192"/>
      <c r="S509" s="192"/>
    </row>
    <row r="510" spans="1:19" x14ac:dyDescent="0.2">
      <c r="A510" s="198"/>
      <c r="B510" s="188"/>
      <c r="C510" s="188"/>
      <c r="D510" s="215" t="s">
        <v>1110</v>
      </c>
      <c r="G510" s="192"/>
      <c r="H510" s="209"/>
      <c r="I510" s="216"/>
      <c r="J510" s="217">
        <v>5</v>
      </c>
      <c r="K510" s="218"/>
      <c r="L510" s="219" t="s">
        <v>1319</v>
      </c>
      <c r="M510" s="218"/>
      <c r="N510" s="218"/>
      <c r="O510" s="251" t="s">
        <v>1110</v>
      </c>
      <c r="P510" s="192"/>
      <c r="Q510" s="192"/>
      <c r="R510" s="192"/>
      <c r="S510" s="192"/>
    </row>
    <row r="511" spans="1:19" x14ac:dyDescent="0.2">
      <c r="A511" s="198"/>
      <c r="B511" s="188"/>
      <c r="C511" s="188"/>
      <c r="D511" s="215" t="s">
        <v>1110</v>
      </c>
      <c r="G511" s="192"/>
      <c r="H511" s="209"/>
      <c r="I511" s="216"/>
      <c r="J511" s="217">
        <v>6</v>
      </c>
      <c r="K511" s="218"/>
      <c r="L511" s="219" t="s">
        <v>1401</v>
      </c>
      <c r="M511" s="218"/>
      <c r="N511" s="218"/>
      <c r="O511" s="251" t="s">
        <v>1110</v>
      </c>
      <c r="P511" s="192"/>
      <c r="Q511" s="192"/>
      <c r="R511" s="192"/>
      <c r="S511" s="192"/>
    </row>
    <row r="512" spans="1:19" x14ac:dyDescent="0.2">
      <c r="A512" s="198"/>
      <c r="B512" s="188"/>
      <c r="C512" s="188"/>
      <c r="D512" s="215" t="s">
        <v>1110</v>
      </c>
      <c r="G512" s="192"/>
      <c r="H512" s="209"/>
      <c r="I512" s="216"/>
      <c r="J512" s="217">
        <v>7</v>
      </c>
      <c r="K512" s="218"/>
      <c r="L512" s="219" t="s">
        <v>1393</v>
      </c>
      <c r="M512" s="218"/>
      <c r="N512" s="218"/>
      <c r="O512" s="251" t="s">
        <v>1110</v>
      </c>
      <c r="P512" s="192"/>
      <c r="Q512" s="192"/>
      <c r="R512" s="192"/>
      <c r="S512" s="192"/>
    </row>
    <row r="513" spans="1:19" x14ac:dyDescent="0.2">
      <c r="A513" s="198"/>
      <c r="B513" s="188"/>
      <c r="C513" s="188"/>
      <c r="D513" s="215" t="s">
        <v>1110</v>
      </c>
      <c r="G513" s="218"/>
      <c r="H513" s="209"/>
      <c r="I513" s="216"/>
      <c r="J513" s="217">
        <v>8</v>
      </c>
      <c r="K513" s="218"/>
      <c r="L513" s="225" t="s">
        <v>1412</v>
      </c>
      <c r="M513" s="224"/>
      <c r="N513" s="224"/>
      <c r="O513" s="270" t="s">
        <v>1110</v>
      </c>
      <c r="P513" s="192"/>
      <c r="Q513" s="192"/>
      <c r="R513" s="192"/>
      <c r="S513" s="192"/>
    </row>
    <row r="514" spans="1:19" x14ac:dyDescent="0.2">
      <c r="A514" s="198"/>
      <c r="B514" s="188"/>
      <c r="C514" s="188"/>
      <c r="D514" s="215"/>
      <c r="G514" s="192"/>
      <c r="H514" s="209"/>
      <c r="I514" s="210" t="s">
        <v>1107</v>
      </c>
      <c r="J514" s="211"/>
      <c r="K514" s="227" t="s">
        <v>1403</v>
      </c>
      <c r="L514" s="213"/>
      <c r="M514" s="213"/>
      <c r="N514" s="213"/>
      <c r="O514" s="261"/>
      <c r="P514" s="192"/>
      <c r="Q514" s="192"/>
      <c r="R514" s="192"/>
      <c r="S514" s="192"/>
    </row>
    <row r="515" spans="1:19" x14ac:dyDescent="0.2">
      <c r="A515" s="198"/>
      <c r="B515" s="188"/>
      <c r="C515" s="188"/>
      <c r="D515" s="215" t="s">
        <v>1110</v>
      </c>
      <c r="G515" s="192"/>
      <c r="H515" s="209"/>
      <c r="I515" s="216"/>
      <c r="J515" s="217">
        <v>1</v>
      </c>
      <c r="K515" s="218"/>
      <c r="L515" s="219" t="s">
        <v>1387</v>
      </c>
      <c r="M515" s="218"/>
      <c r="N515" s="218"/>
      <c r="O515" s="251" t="s">
        <v>1110</v>
      </c>
      <c r="P515" s="192"/>
      <c r="Q515" s="192"/>
      <c r="R515" s="192"/>
      <c r="S515" s="192"/>
    </row>
    <row r="516" spans="1:19" x14ac:dyDescent="0.2">
      <c r="A516" s="198"/>
      <c r="B516" s="188"/>
      <c r="C516" s="188"/>
      <c r="D516" s="215" t="s">
        <v>1110</v>
      </c>
      <c r="G516" s="192"/>
      <c r="H516" s="209"/>
      <c r="I516" s="216"/>
      <c r="J516" s="217">
        <v>2</v>
      </c>
      <c r="K516" s="218"/>
      <c r="L516" s="219" t="s">
        <v>1208</v>
      </c>
      <c r="M516" s="218"/>
      <c r="N516" s="218"/>
      <c r="O516" s="251" t="s">
        <v>1110</v>
      </c>
      <c r="P516" s="192"/>
      <c r="Q516" s="192"/>
      <c r="R516" s="192"/>
      <c r="S516" s="192"/>
    </row>
    <row r="517" spans="1:19" x14ac:dyDescent="0.2">
      <c r="A517" s="198"/>
      <c r="B517" s="188"/>
      <c r="C517" s="188"/>
      <c r="D517" s="215" t="s">
        <v>1110</v>
      </c>
      <c r="G517" s="192"/>
      <c r="H517" s="209"/>
      <c r="I517" s="216"/>
      <c r="J517" s="217">
        <v>3</v>
      </c>
      <c r="K517" s="218"/>
      <c r="L517" s="219" t="s">
        <v>1397</v>
      </c>
      <c r="M517" s="218"/>
      <c r="N517" s="218"/>
      <c r="O517" s="251" t="s">
        <v>1110</v>
      </c>
      <c r="P517" s="192"/>
      <c r="Q517" s="192"/>
      <c r="R517" s="192"/>
      <c r="S517" s="192"/>
    </row>
    <row r="518" spans="1:19" x14ac:dyDescent="0.2">
      <c r="A518" s="198"/>
      <c r="B518" s="188"/>
      <c r="C518" s="188"/>
      <c r="D518" s="215" t="s">
        <v>1110</v>
      </c>
      <c r="G518" s="192"/>
      <c r="H518" s="209"/>
      <c r="I518" s="216"/>
      <c r="J518" s="217">
        <v>4</v>
      </c>
      <c r="K518" s="218"/>
      <c r="L518" s="219" t="s">
        <v>1401</v>
      </c>
      <c r="M518" s="218"/>
      <c r="N518" s="218"/>
      <c r="O518" s="251" t="s">
        <v>1110</v>
      </c>
      <c r="P518" s="192"/>
      <c r="Q518" s="192"/>
      <c r="R518" s="192"/>
      <c r="S518" s="192"/>
    </row>
    <row r="519" spans="1:19" x14ac:dyDescent="0.2">
      <c r="A519" s="198"/>
      <c r="B519" s="188"/>
      <c r="C519" s="188"/>
      <c r="D519" s="215" t="s">
        <v>1110</v>
      </c>
      <c r="G519" s="192"/>
      <c r="H519" s="209"/>
      <c r="I519" s="216"/>
      <c r="J519" s="217">
        <v>5</v>
      </c>
      <c r="K519" s="218"/>
      <c r="L519" s="219" t="s">
        <v>1393</v>
      </c>
      <c r="M519" s="218"/>
      <c r="N519" s="218"/>
      <c r="O519" s="251" t="s">
        <v>1110</v>
      </c>
      <c r="P519" s="192"/>
      <c r="Q519" s="192"/>
      <c r="R519" s="192"/>
      <c r="S519" s="192"/>
    </row>
    <row r="520" spans="1:19" ht="15.75" thickBot="1" x14ac:dyDescent="0.25">
      <c r="A520" s="198"/>
      <c r="B520" s="188"/>
      <c r="C520" s="188"/>
      <c r="D520" s="215" t="s">
        <v>1110</v>
      </c>
      <c r="G520" s="192"/>
      <c r="H520" s="229"/>
      <c r="I520" s="230"/>
      <c r="J520" s="231">
        <v>6</v>
      </c>
      <c r="K520" s="232"/>
      <c r="L520" s="233" t="s">
        <v>1385</v>
      </c>
      <c r="M520" s="232"/>
      <c r="N520" s="232"/>
      <c r="O520" s="317" t="s">
        <v>1110</v>
      </c>
      <c r="P520" s="192"/>
      <c r="Q520" s="192"/>
      <c r="R520" s="192"/>
      <c r="S520" s="192"/>
    </row>
    <row r="521" spans="1:19" ht="15.75" thickTop="1" x14ac:dyDescent="0.2">
      <c r="A521" s="198">
        <v>46</v>
      </c>
      <c r="B521" s="188" t="s">
        <v>1413</v>
      </c>
      <c r="C521" s="188" t="s">
        <v>1414</v>
      </c>
      <c r="D521" s="215"/>
      <c r="G521" s="192"/>
      <c r="H521" s="236">
        <v>46</v>
      </c>
      <c r="I521" s="238"/>
      <c r="J521" s="249"/>
      <c r="K521" s="306" t="s">
        <v>1414</v>
      </c>
      <c r="L521" s="249"/>
      <c r="M521" s="249"/>
      <c r="N521" s="249"/>
      <c r="O521" s="260"/>
      <c r="P521" s="192"/>
      <c r="Q521" s="207">
        <f>H521</f>
        <v>46</v>
      </c>
      <c r="R521" s="197" t="str">
        <f>CONCATENATE("II-",TEXT(Q521,"0000"))</f>
        <v>II-0046</v>
      </c>
      <c r="S521" s="208" t="str">
        <f>K521</f>
        <v>IMPERMEABILIZACION</v>
      </c>
    </row>
    <row r="522" spans="1:19" x14ac:dyDescent="0.2">
      <c r="A522" s="198"/>
      <c r="B522" s="188"/>
      <c r="C522" s="188"/>
      <c r="D522" s="215" t="s">
        <v>1193</v>
      </c>
      <c r="G522" s="192"/>
      <c r="H522" s="209"/>
      <c r="I522" s="210" t="s">
        <v>999</v>
      </c>
      <c r="J522" s="218"/>
      <c r="K522" s="219" t="s">
        <v>1415</v>
      </c>
      <c r="L522" s="218"/>
      <c r="M522" s="218"/>
      <c r="N522" s="218"/>
      <c r="O522" s="251" t="s">
        <v>1193</v>
      </c>
      <c r="P522" s="192"/>
      <c r="Q522" s="192"/>
      <c r="R522" s="192"/>
      <c r="S522" s="192"/>
    </row>
    <row r="523" spans="1:19" x14ac:dyDescent="0.2">
      <c r="A523" s="198"/>
      <c r="B523" s="188"/>
      <c r="C523" s="188"/>
      <c r="D523" s="215"/>
      <c r="G523" s="192"/>
      <c r="H523" s="209"/>
      <c r="I523" s="210" t="s">
        <v>1026</v>
      </c>
      <c r="J523" s="211"/>
      <c r="K523" s="227" t="s">
        <v>1416</v>
      </c>
      <c r="L523" s="213"/>
      <c r="M523" s="213"/>
      <c r="N523" s="213"/>
      <c r="O523" s="261"/>
      <c r="P523" s="192"/>
      <c r="Q523" s="192"/>
      <c r="R523" s="192"/>
      <c r="S523" s="192"/>
    </row>
    <row r="524" spans="1:19" x14ac:dyDescent="0.2">
      <c r="A524" s="198"/>
      <c r="B524" s="188"/>
      <c r="C524" s="188"/>
      <c r="D524" s="215" t="s">
        <v>1193</v>
      </c>
      <c r="G524" s="192"/>
      <c r="H524" s="209"/>
      <c r="I524" s="216"/>
      <c r="J524" s="217">
        <v>1</v>
      </c>
      <c r="K524" s="218"/>
      <c r="L524" s="219" t="s">
        <v>1417</v>
      </c>
      <c r="M524" s="218"/>
      <c r="N524" s="218"/>
      <c r="O524" s="251" t="s">
        <v>1193</v>
      </c>
      <c r="P524" s="192"/>
      <c r="Q524" s="192"/>
      <c r="R524" s="192"/>
      <c r="S524" s="192"/>
    </row>
    <row r="525" spans="1:19" ht="15.75" thickBot="1" x14ac:dyDescent="0.25">
      <c r="A525" s="198"/>
      <c r="B525" s="188"/>
      <c r="C525" s="188"/>
      <c r="D525" s="215" t="s">
        <v>1193</v>
      </c>
      <c r="G525" s="192"/>
      <c r="H525" s="229"/>
      <c r="I525" s="230"/>
      <c r="J525" s="231">
        <v>2</v>
      </c>
      <c r="K525" s="232"/>
      <c r="L525" s="233" t="s">
        <v>1418</v>
      </c>
      <c r="M525" s="232"/>
      <c r="N525" s="232"/>
      <c r="O525" s="317" t="s">
        <v>1193</v>
      </c>
      <c r="P525" s="192"/>
      <c r="Q525" s="192"/>
      <c r="R525" s="192"/>
      <c r="S525" s="192"/>
    </row>
    <row r="526" spans="1:19" ht="15.75" thickTop="1" x14ac:dyDescent="0.2">
      <c r="A526" s="198">
        <v>47</v>
      </c>
      <c r="B526" s="188" t="s">
        <v>1419</v>
      </c>
      <c r="C526" s="188" t="s">
        <v>1420</v>
      </c>
      <c r="D526" s="215"/>
      <c r="G526" s="192"/>
      <c r="H526" s="236">
        <v>47</v>
      </c>
      <c r="I526" s="238"/>
      <c r="J526" s="249"/>
      <c r="K526" s="306" t="s">
        <v>1420</v>
      </c>
      <c r="L526" s="249"/>
      <c r="M526" s="249"/>
      <c r="N526" s="249"/>
      <c r="O526" s="260"/>
      <c r="P526" s="192"/>
      <c r="Q526" s="207">
        <f>H526</f>
        <v>47</v>
      </c>
      <c r="R526" s="197" t="str">
        <f>CONCATENATE("II-",TEXT(Q526,"0000"))</f>
        <v>II-0047</v>
      </c>
      <c r="S526" s="208" t="str">
        <f>K526</f>
        <v>IMPRIMACIÒN CON MATERIAL BITUMINOSO</v>
      </c>
    </row>
    <row r="527" spans="1:19" x14ac:dyDescent="0.2">
      <c r="A527" s="198"/>
      <c r="B527" s="188"/>
      <c r="C527" s="188"/>
      <c r="D527" s="215" t="s">
        <v>1193</v>
      </c>
      <c r="G527" s="192"/>
      <c r="H527" s="209"/>
      <c r="I527" s="210" t="s">
        <v>999</v>
      </c>
      <c r="J527" s="257"/>
      <c r="K527" s="278" t="s">
        <v>1417</v>
      </c>
      <c r="L527" s="278"/>
      <c r="M527" s="278"/>
      <c r="N527" s="257"/>
      <c r="O527" s="292" t="s">
        <v>1193</v>
      </c>
      <c r="P527" s="192"/>
      <c r="Q527" s="192"/>
      <c r="R527" s="192"/>
      <c r="S527" s="192"/>
    </row>
    <row r="528" spans="1:19" ht="15.75" thickBot="1" x14ac:dyDescent="0.25">
      <c r="A528" s="198"/>
      <c r="B528" s="188"/>
      <c r="C528" s="188"/>
      <c r="D528" s="215" t="s">
        <v>1193</v>
      </c>
      <c r="G528" s="192"/>
      <c r="H528" s="262"/>
      <c r="I528" s="264" t="s">
        <v>1026</v>
      </c>
      <c r="J528" s="265"/>
      <c r="K528" s="266" t="s">
        <v>1418</v>
      </c>
      <c r="L528" s="266"/>
      <c r="M528" s="266"/>
      <c r="N528" s="265"/>
      <c r="O528" s="320" t="s">
        <v>1193</v>
      </c>
      <c r="P528" s="192"/>
      <c r="Q528" s="192"/>
      <c r="R528" s="192"/>
      <c r="S528" s="192"/>
    </row>
    <row r="529" spans="1:19" x14ac:dyDescent="0.2">
      <c r="A529" s="198"/>
      <c r="B529" s="188"/>
      <c r="C529" s="188"/>
      <c r="D529" s="215"/>
      <c r="G529" s="192"/>
      <c r="H529" s="268"/>
      <c r="I529" s="216"/>
      <c r="J529" s="218"/>
      <c r="K529" s="219"/>
      <c r="L529" s="219"/>
      <c r="M529" s="219"/>
      <c r="N529" s="218"/>
      <c r="O529" s="326"/>
      <c r="P529" s="192"/>
      <c r="Q529" s="192"/>
      <c r="R529" s="192"/>
      <c r="S529" s="192"/>
    </row>
    <row r="530" spans="1:19" x14ac:dyDescent="0.2">
      <c r="A530" s="198"/>
      <c r="B530" s="188"/>
      <c r="C530" s="188"/>
      <c r="D530" s="215"/>
      <c r="G530" s="218"/>
      <c r="H530" s="268"/>
      <c r="I530" s="216"/>
      <c r="J530" s="218"/>
      <c r="K530" s="219"/>
      <c r="L530" s="219"/>
      <c r="M530" s="219"/>
      <c r="N530" s="218"/>
      <c r="O530" s="326"/>
      <c r="P530" s="218"/>
      <c r="Q530" s="218"/>
      <c r="R530" s="218"/>
      <c r="S530" s="218"/>
    </row>
    <row r="531" spans="1:19" x14ac:dyDescent="0.2">
      <c r="A531" s="198">
        <v>48</v>
      </c>
      <c r="B531" s="188" t="s">
        <v>1421</v>
      </c>
      <c r="C531" s="188" t="s">
        <v>1422</v>
      </c>
      <c r="D531" s="215"/>
      <c r="G531" s="192"/>
      <c r="H531" s="236">
        <v>48</v>
      </c>
      <c r="I531" s="238"/>
      <c r="J531" s="249"/>
      <c r="K531" s="306" t="s">
        <v>1422</v>
      </c>
      <c r="L531" s="249"/>
      <c r="M531" s="249"/>
      <c r="N531" s="249"/>
      <c r="O531" s="260"/>
      <c r="P531" s="192"/>
      <c r="Q531" s="207">
        <f>H531</f>
        <v>48</v>
      </c>
      <c r="R531" s="197" t="str">
        <f>CONCATENATE("II-",TEXT(Q531,"0000"))</f>
        <v>II-0048</v>
      </c>
      <c r="S531" s="208" t="str">
        <f>K531</f>
        <v>LIMPIEZA</v>
      </c>
    </row>
    <row r="532" spans="1:19" x14ac:dyDescent="0.2">
      <c r="A532" s="198"/>
      <c r="B532" s="188"/>
      <c r="C532" s="188"/>
      <c r="D532" s="215" t="s">
        <v>1423</v>
      </c>
      <c r="G532" s="192"/>
      <c r="H532" s="209"/>
      <c r="I532" s="344" t="s">
        <v>999</v>
      </c>
      <c r="J532" s="218"/>
      <c r="K532" s="219" t="s">
        <v>1424</v>
      </c>
      <c r="L532" s="219"/>
      <c r="M532" s="219"/>
      <c r="N532" s="218"/>
      <c r="O532" s="251" t="s">
        <v>1423</v>
      </c>
      <c r="P532" s="192"/>
      <c r="Q532" s="192"/>
      <c r="R532" s="192"/>
      <c r="S532" s="192"/>
    </row>
    <row r="533" spans="1:19" x14ac:dyDescent="0.2">
      <c r="A533" s="198"/>
      <c r="B533" s="188"/>
      <c r="C533" s="188"/>
      <c r="D533" s="215" t="s">
        <v>1110</v>
      </c>
      <c r="G533" s="192"/>
      <c r="H533" s="209"/>
      <c r="I533" s="210" t="s">
        <v>1026</v>
      </c>
      <c r="J533" s="257"/>
      <c r="K533" s="278" t="s">
        <v>1425</v>
      </c>
      <c r="L533" s="278"/>
      <c r="M533" s="278"/>
      <c r="N533" s="257"/>
      <c r="O533" s="292" t="s">
        <v>1110</v>
      </c>
      <c r="P533" s="192"/>
      <c r="Q533" s="192"/>
      <c r="R533" s="192"/>
      <c r="S533" s="192"/>
    </row>
    <row r="534" spans="1:19" x14ac:dyDescent="0.2">
      <c r="A534" s="198"/>
      <c r="B534" s="188"/>
      <c r="C534" s="188"/>
      <c r="D534" s="215" t="s">
        <v>1110</v>
      </c>
      <c r="G534" s="192"/>
      <c r="H534" s="209"/>
      <c r="I534" s="217" t="s">
        <v>1036</v>
      </c>
      <c r="J534" s="218"/>
      <c r="K534" s="219" t="s">
        <v>1426</v>
      </c>
      <c r="L534" s="219"/>
      <c r="M534" s="219"/>
      <c r="N534" s="218"/>
      <c r="O534" s="251" t="s">
        <v>1110</v>
      </c>
      <c r="P534" s="192"/>
      <c r="Q534" s="192"/>
      <c r="R534" s="192"/>
      <c r="S534" s="192"/>
    </row>
    <row r="535" spans="1:19" x14ac:dyDescent="0.2">
      <c r="A535" s="198"/>
      <c r="B535" s="188"/>
      <c r="C535" s="188"/>
      <c r="D535" s="215" t="s">
        <v>1110</v>
      </c>
      <c r="G535" s="192"/>
      <c r="H535" s="209"/>
      <c r="I535" s="344" t="s">
        <v>1062</v>
      </c>
      <c r="J535" s="213"/>
      <c r="K535" s="227" t="s">
        <v>1427</v>
      </c>
      <c r="L535" s="227"/>
      <c r="M535" s="227"/>
      <c r="N535" s="213"/>
      <c r="O535" s="261" t="s">
        <v>1110</v>
      </c>
      <c r="P535" s="192"/>
      <c r="Q535" s="192"/>
      <c r="R535" s="192"/>
      <c r="S535" s="192"/>
    </row>
    <row r="536" spans="1:19" x14ac:dyDescent="0.2">
      <c r="A536" s="198"/>
      <c r="B536" s="188"/>
      <c r="C536" s="188"/>
      <c r="D536" s="215" t="s">
        <v>1110</v>
      </c>
      <c r="G536" s="192"/>
      <c r="H536" s="209"/>
      <c r="I536" s="210" t="s">
        <v>1104</v>
      </c>
      <c r="J536" s="257"/>
      <c r="K536" s="278" t="s">
        <v>1428</v>
      </c>
      <c r="L536" s="278"/>
      <c r="M536" s="278"/>
      <c r="N536" s="257"/>
      <c r="O536" s="292" t="s">
        <v>1110</v>
      </c>
      <c r="P536" s="192"/>
      <c r="Q536" s="192"/>
      <c r="R536" s="192"/>
      <c r="S536" s="192"/>
    </row>
    <row r="537" spans="1:19" x14ac:dyDescent="0.2">
      <c r="A537" s="198"/>
      <c r="B537" s="188"/>
      <c r="C537" s="188"/>
      <c r="D537" s="215" t="s">
        <v>1227</v>
      </c>
      <c r="G537" s="192"/>
      <c r="H537" s="209"/>
      <c r="I537" s="217" t="s">
        <v>1107</v>
      </c>
      <c r="J537" s="218"/>
      <c r="K537" s="219" t="s">
        <v>1429</v>
      </c>
      <c r="L537" s="219"/>
      <c r="M537" s="219"/>
      <c r="N537" s="218"/>
      <c r="O537" s="251" t="s">
        <v>1227</v>
      </c>
      <c r="P537" s="192"/>
      <c r="Q537" s="192"/>
      <c r="R537" s="192"/>
      <c r="S537" s="192"/>
    </row>
    <row r="538" spans="1:19" x14ac:dyDescent="0.2">
      <c r="A538" s="198"/>
      <c r="B538" s="188"/>
      <c r="C538" s="188"/>
      <c r="D538" s="215" t="s">
        <v>976</v>
      </c>
      <c r="G538" s="192"/>
      <c r="H538" s="209"/>
      <c r="I538" s="210" t="s">
        <v>1111</v>
      </c>
      <c r="J538" s="257"/>
      <c r="K538" s="278" t="s">
        <v>1430</v>
      </c>
      <c r="L538" s="278"/>
      <c r="M538" s="278"/>
      <c r="N538" s="257"/>
      <c r="O538" s="292" t="s">
        <v>976</v>
      </c>
      <c r="P538" s="192"/>
      <c r="Q538" s="192"/>
      <c r="R538" s="192"/>
      <c r="S538" s="192"/>
    </row>
    <row r="539" spans="1:19" ht="15.75" thickBot="1" x14ac:dyDescent="0.25">
      <c r="A539" s="198"/>
      <c r="B539" s="188"/>
      <c r="C539" s="188"/>
      <c r="D539" s="215" t="s">
        <v>976</v>
      </c>
      <c r="G539" s="192"/>
      <c r="H539" s="229"/>
      <c r="I539" s="231" t="s">
        <v>1114</v>
      </c>
      <c r="J539" s="232"/>
      <c r="K539" s="233" t="s">
        <v>1431</v>
      </c>
      <c r="L539" s="233"/>
      <c r="M539" s="233"/>
      <c r="N539" s="232"/>
      <c r="O539" s="317" t="s">
        <v>976</v>
      </c>
      <c r="P539" s="192"/>
      <c r="Q539" s="192"/>
      <c r="R539" s="192"/>
      <c r="S539" s="192"/>
    </row>
    <row r="540" spans="1:19" ht="15.75" thickTop="1" x14ac:dyDescent="0.2">
      <c r="A540" s="198">
        <v>49</v>
      </c>
      <c r="B540" s="188" t="s">
        <v>1432</v>
      </c>
      <c r="C540" s="188" t="s">
        <v>1433</v>
      </c>
      <c r="D540" s="215"/>
      <c r="G540" s="192"/>
      <c r="H540" s="236">
        <v>49</v>
      </c>
      <c r="I540" s="238"/>
      <c r="J540" s="249"/>
      <c r="K540" s="306" t="s">
        <v>1433</v>
      </c>
      <c r="L540" s="249"/>
      <c r="M540" s="249"/>
      <c r="N540" s="249"/>
      <c r="O540" s="260"/>
      <c r="P540" s="192"/>
      <c r="Q540" s="207">
        <f>H540</f>
        <v>49</v>
      </c>
      <c r="R540" s="197" t="str">
        <f>CONCATENATE("II-",TEXT(Q540,"0000"))</f>
        <v>II-0049</v>
      </c>
      <c r="S540" s="208" t="str">
        <f>K540</f>
        <v>LOSA DE HORMIGON</v>
      </c>
    </row>
    <row r="541" spans="1:19" ht="15.75" thickBot="1" x14ac:dyDescent="0.25">
      <c r="A541" s="198"/>
      <c r="B541" s="188"/>
      <c r="C541" s="188"/>
      <c r="D541" s="215" t="s">
        <v>1193</v>
      </c>
      <c r="G541" s="192"/>
      <c r="H541" s="240"/>
      <c r="I541" s="241" t="s">
        <v>999</v>
      </c>
      <c r="J541" s="242"/>
      <c r="K541" s="280" t="s">
        <v>1113</v>
      </c>
      <c r="L541" s="244"/>
      <c r="M541" s="244"/>
      <c r="N541" s="244"/>
      <c r="O541" s="318" t="s">
        <v>1193</v>
      </c>
      <c r="P541" s="192"/>
      <c r="Q541" s="192"/>
      <c r="R541" s="192"/>
      <c r="S541" s="192"/>
    </row>
    <row r="542" spans="1:19" ht="15.75" thickTop="1" x14ac:dyDescent="0.2">
      <c r="A542" s="198">
        <v>50</v>
      </c>
      <c r="B542" s="188" t="s">
        <v>1434</v>
      </c>
      <c r="C542" s="188" t="s">
        <v>1435</v>
      </c>
      <c r="D542" s="215"/>
      <c r="G542" s="192"/>
      <c r="H542" s="236">
        <v>50</v>
      </c>
      <c r="I542" s="238"/>
      <c r="J542" s="249"/>
      <c r="K542" s="306" t="s">
        <v>1435</v>
      </c>
      <c r="L542" s="249"/>
      <c r="M542" s="249"/>
      <c r="N542" s="249"/>
      <c r="O542" s="260"/>
      <c r="P542" s="192"/>
      <c r="Q542" s="207">
        <f>H542</f>
        <v>50</v>
      </c>
      <c r="R542" s="197" t="str">
        <f>CONCATENATE("II-",TEXT(Q542,"0000"))</f>
        <v>II-0050</v>
      </c>
      <c r="S542" s="208" t="str">
        <f>K542</f>
        <v>LOSETAS DE HORMIGON</v>
      </c>
    </row>
    <row r="543" spans="1:19" x14ac:dyDescent="0.2">
      <c r="A543" s="198"/>
      <c r="B543" s="188"/>
      <c r="C543" s="188"/>
      <c r="D543" s="215"/>
      <c r="G543" s="192"/>
      <c r="H543" s="209"/>
      <c r="I543" s="210" t="s">
        <v>999</v>
      </c>
      <c r="J543" s="211"/>
      <c r="K543" s="227" t="s">
        <v>1436</v>
      </c>
      <c r="L543" s="213"/>
      <c r="M543" s="213"/>
      <c r="N543" s="213"/>
      <c r="O543" s="261"/>
      <c r="P543" s="192"/>
      <c r="Q543" s="192"/>
      <c r="R543" s="192"/>
      <c r="S543" s="192"/>
    </row>
    <row r="544" spans="1:19" x14ac:dyDescent="0.2">
      <c r="A544" s="198"/>
      <c r="B544" s="188"/>
      <c r="C544" s="188"/>
      <c r="D544" s="215" t="s">
        <v>1193</v>
      </c>
      <c r="G544" s="192"/>
      <c r="H544" s="209"/>
      <c r="I544" s="216"/>
      <c r="J544" s="217">
        <v>1</v>
      </c>
      <c r="K544" s="218"/>
      <c r="L544" s="219" t="s">
        <v>1437</v>
      </c>
      <c r="M544" s="218"/>
      <c r="N544" s="218"/>
      <c r="O544" s="251" t="s">
        <v>1193</v>
      </c>
      <c r="P544" s="192"/>
      <c r="Q544" s="192"/>
      <c r="R544" s="192"/>
      <c r="S544" s="192"/>
    </row>
    <row r="545" spans="1:19" x14ac:dyDescent="0.2">
      <c r="A545" s="198"/>
      <c r="B545" s="188"/>
      <c r="C545" s="188"/>
      <c r="D545" s="215" t="s">
        <v>1193</v>
      </c>
      <c r="G545" s="192"/>
      <c r="H545" s="209"/>
      <c r="I545" s="216"/>
      <c r="J545" s="217">
        <v>2</v>
      </c>
      <c r="K545" s="218"/>
      <c r="L545" s="219" t="s">
        <v>1299</v>
      </c>
      <c r="M545" s="218"/>
      <c r="N545" s="218"/>
      <c r="O545" s="251" t="s">
        <v>1193</v>
      </c>
      <c r="P545" s="192"/>
      <c r="Q545" s="192"/>
      <c r="R545" s="192"/>
      <c r="S545" s="192"/>
    </row>
    <row r="546" spans="1:19" x14ac:dyDescent="0.2">
      <c r="A546" s="198"/>
      <c r="B546" s="188"/>
      <c r="C546" s="188"/>
      <c r="D546" s="215" t="s">
        <v>1193</v>
      </c>
      <c r="G546" s="192"/>
      <c r="H546" s="209"/>
      <c r="I546" s="216"/>
      <c r="J546" s="217">
        <v>3</v>
      </c>
      <c r="K546" s="218"/>
      <c r="L546" s="219" t="s">
        <v>1319</v>
      </c>
      <c r="M546" s="218"/>
      <c r="N546" s="218"/>
      <c r="O546" s="251" t="s">
        <v>1193</v>
      </c>
      <c r="P546" s="192"/>
      <c r="Q546" s="192"/>
      <c r="R546" s="192"/>
      <c r="S546" s="192"/>
    </row>
    <row r="547" spans="1:19" x14ac:dyDescent="0.2">
      <c r="A547" s="198"/>
      <c r="B547" s="188"/>
      <c r="C547" s="188"/>
      <c r="D547" s="215" t="s">
        <v>1193</v>
      </c>
      <c r="G547" s="192"/>
      <c r="H547" s="209"/>
      <c r="I547" s="216"/>
      <c r="J547" s="217">
        <v>4</v>
      </c>
      <c r="K547" s="218"/>
      <c r="L547" s="219" t="s">
        <v>1438</v>
      </c>
      <c r="M547" s="218"/>
      <c r="N547" s="218"/>
      <c r="O547" s="251" t="s">
        <v>1193</v>
      </c>
      <c r="P547" s="192"/>
      <c r="Q547" s="192"/>
      <c r="R547" s="192"/>
      <c r="S547" s="192"/>
    </row>
    <row r="548" spans="1:19" x14ac:dyDescent="0.2">
      <c r="A548" s="198"/>
      <c r="B548" s="188"/>
      <c r="C548" s="188"/>
      <c r="D548" s="215" t="s">
        <v>1193</v>
      </c>
      <c r="G548" s="192"/>
      <c r="H548" s="209"/>
      <c r="I548" s="216"/>
      <c r="J548" s="217">
        <v>5</v>
      </c>
      <c r="K548" s="218"/>
      <c r="L548" s="219" t="s">
        <v>1439</v>
      </c>
      <c r="M548" s="218"/>
      <c r="N548" s="218"/>
      <c r="O548" s="251" t="s">
        <v>1193</v>
      </c>
      <c r="P548" s="192"/>
      <c r="Q548" s="192"/>
      <c r="R548" s="192"/>
      <c r="S548" s="192"/>
    </row>
    <row r="549" spans="1:19" x14ac:dyDescent="0.2">
      <c r="A549" s="198"/>
      <c r="B549" s="188"/>
      <c r="C549" s="188"/>
      <c r="D549" s="215" t="s">
        <v>1193</v>
      </c>
      <c r="G549" s="192"/>
      <c r="H549" s="209"/>
      <c r="I549" s="210" t="s">
        <v>1026</v>
      </c>
      <c r="J549" s="345"/>
      <c r="K549" s="278" t="s">
        <v>1068</v>
      </c>
      <c r="L549" s="278"/>
      <c r="M549" s="257"/>
      <c r="N549" s="257"/>
      <c r="O549" s="292" t="s">
        <v>1193</v>
      </c>
      <c r="P549" s="192"/>
      <c r="Q549" s="192"/>
      <c r="R549" s="192"/>
      <c r="S549" s="192"/>
    </row>
    <row r="550" spans="1:19" ht="15.75" thickBot="1" x14ac:dyDescent="0.25">
      <c r="A550" s="198"/>
      <c r="B550" s="188"/>
      <c r="C550" s="188"/>
      <c r="D550" s="215" t="s">
        <v>1193</v>
      </c>
      <c r="G550" s="192"/>
      <c r="H550" s="209"/>
      <c r="I550" s="231" t="s">
        <v>1036</v>
      </c>
      <c r="J550" s="216"/>
      <c r="K550" s="219" t="s">
        <v>1174</v>
      </c>
      <c r="L550" s="219"/>
      <c r="M550" s="218"/>
      <c r="N550" s="218"/>
      <c r="O550" s="251" t="s">
        <v>1193</v>
      </c>
      <c r="P550" s="192"/>
      <c r="Q550" s="192"/>
      <c r="R550" s="192"/>
      <c r="S550" s="192"/>
    </row>
    <row r="551" spans="1:19" ht="16.5" thickTop="1" thickBot="1" x14ac:dyDescent="0.25">
      <c r="A551" s="198">
        <v>51</v>
      </c>
      <c r="B551" s="188" t="s">
        <v>1440</v>
      </c>
      <c r="C551" s="188" t="s">
        <v>1441</v>
      </c>
      <c r="D551" s="215" t="s">
        <v>1193</v>
      </c>
      <c r="G551" s="192"/>
      <c r="H551" s="287">
        <v>51</v>
      </c>
      <c r="I551" s="237"/>
      <c r="J551" s="297"/>
      <c r="K551" s="298" t="s">
        <v>1441</v>
      </c>
      <c r="L551" s="297"/>
      <c r="M551" s="297"/>
      <c r="N551" s="297"/>
      <c r="O551" s="239" t="s">
        <v>1193</v>
      </c>
      <c r="P551" s="192"/>
      <c r="Q551" s="207">
        <f t="shared" ref="Q551:Q552" si="48">H551</f>
        <v>51</v>
      </c>
      <c r="R551" s="197" t="str">
        <f t="shared" ref="R551:R552" si="49">CONCATENATE("II-",TEXT(Q551,"0000"))</f>
        <v>II-0051</v>
      </c>
      <c r="S551" s="208" t="str">
        <f t="shared" ref="S551:S552" si="50">K551</f>
        <v>MAMPOSTERIA DE PIEDRA</v>
      </c>
    </row>
    <row r="552" spans="1:19" ht="16.5" thickTop="1" thickBot="1" x14ac:dyDescent="0.25">
      <c r="A552" s="198">
        <v>52</v>
      </c>
      <c r="B552" s="188" t="s">
        <v>1442</v>
      </c>
      <c r="C552" s="188" t="s">
        <v>1443</v>
      </c>
      <c r="D552" s="215"/>
      <c r="G552" s="192"/>
      <c r="H552" s="287">
        <v>52</v>
      </c>
      <c r="I552" s="237"/>
      <c r="J552" s="297"/>
      <c r="K552" s="298" t="s">
        <v>1443</v>
      </c>
      <c r="L552" s="297"/>
      <c r="M552" s="297"/>
      <c r="N552" s="297"/>
      <c r="O552" s="239"/>
      <c r="P552" s="192"/>
      <c r="Q552" s="207">
        <f t="shared" si="48"/>
        <v>52</v>
      </c>
      <c r="R552" s="197" t="str">
        <f t="shared" si="49"/>
        <v>II-0052</v>
      </c>
      <c r="S552" s="208" t="str">
        <f t="shared" si="50"/>
        <v>MANTENIMIENTO INVERNAL</v>
      </c>
    </row>
    <row r="553" spans="1:19" ht="15.75" thickTop="1" x14ac:dyDescent="0.2">
      <c r="A553" s="198"/>
      <c r="B553" s="188"/>
      <c r="C553" s="188"/>
      <c r="D553" s="215" t="s">
        <v>976</v>
      </c>
      <c r="G553" s="271"/>
      <c r="H553" s="346"/>
      <c r="I553" s="347" t="s">
        <v>999</v>
      </c>
      <c r="J553" s="348"/>
      <c r="K553" s="349" t="s">
        <v>1444</v>
      </c>
      <c r="L553" s="348"/>
      <c r="M553" s="348"/>
      <c r="N553" s="348"/>
      <c r="O553" s="350" t="s">
        <v>976</v>
      </c>
      <c r="P553" s="271"/>
      <c r="Q553" s="271"/>
      <c r="R553" s="271"/>
      <c r="S553" s="271"/>
    </row>
    <row r="554" spans="1:19" ht="15.75" thickBot="1" x14ac:dyDescent="0.25">
      <c r="A554" s="198"/>
      <c r="B554" s="188"/>
      <c r="C554" s="188"/>
      <c r="D554" s="215" t="s">
        <v>1445</v>
      </c>
      <c r="G554" s="271"/>
      <c r="H554" s="351"/>
      <c r="I554" s="311" t="s">
        <v>1026</v>
      </c>
      <c r="J554" s="310"/>
      <c r="K554" s="309" t="s">
        <v>1446</v>
      </c>
      <c r="L554" s="310"/>
      <c r="M554" s="310"/>
      <c r="N554" s="310"/>
      <c r="O554" s="276" t="s">
        <v>1445</v>
      </c>
      <c r="P554" s="271"/>
      <c r="Q554" s="271"/>
      <c r="R554" s="271"/>
      <c r="S554" s="271"/>
    </row>
    <row r="555" spans="1:19" ht="15.75" thickTop="1" x14ac:dyDescent="0.2">
      <c r="A555" s="198">
        <v>53</v>
      </c>
      <c r="B555" s="188" t="s">
        <v>1447</v>
      </c>
      <c r="C555" s="188" t="s">
        <v>1448</v>
      </c>
      <c r="D555" s="215"/>
      <c r="G555" s="192"/>
      <c r="H555" s="287">
        <v>53</v>
      </c>
      <c r="I555" s="237"/>
      <c r="J555" s="297"/>
      <c r="K555" s="352" t="s">
        <v>1448</v>
      </c>
      <c r="L555" s="297"/>
      <c r="M555" s="297"/>
      <c r="N555" s="297"/>
      <c r="O555" s="239"/>
      <c r="P555" s="192"/>
      <c r="Q555" s="207">
        <f>H555</f>
        <v>53</v>
      </c>
      <c r="R555" s="197" t="str">
        <f>CONCATENATE("II-",TEXT(Q555,"0000"))</f>
        <v>II-0053</v>
      </c>
      <c r="S555" s="208" t="str">
        <f>K555</f>
        <v>MEMBRANA PVC</v>
      </c>
    </row>
    <row r="556" spans="1:19" x14ac:dyDescent="0.2">
      <c r="A556" s="198"/>
      <c r="B556" s="188"/>
      <c r="C556" s="188"/>
      <c r="D556" s="215" t="s">
        <v>1193</v>
      </c>
      <c r="G556" s="192"/>
      <c r="H556" s="209"/>
      <c r="I556" s="344" t="s">
        <v>999</v>
      </c>
      <c r="J556" s="218"/>
      <c r="K556" s="324" t="s">
        <v>1449</v>
      </c>
      <c r="L556" s="218"/>
      <c r="M556" s="218"/>
      <c r="N556" s="218"/>
      <c r="O556" s="251" t="s">
        <v>1193</v>
      </c>
      <c r="P556" s="192"/>
      <c r="Q556" s="192"/>
      <c r="R556" s="192"/>
      <c r="S556" s="192"/>
    </row>
    <row r="557" spans="1:19" x14ac:dyDescent="0.2">
      <c r="A557" s="198"/>
      <c r="B557" s="188"/>
      <c r="C557" s="188"/>
      <c r="D557" s="215" t="s">
        <v>1193</v>
      </c>
      <c r="G557" s="192"/>
      <c r="H557" s="209"/>
      <c r="I557" s="210" t="s">
        <v>1026</v>
      </c>
      <c r="J557" s="345"/>
      <c r="K557" s="219" t="s">
        <v>1450</v>
      </c>
      <c r="L557" s="278"/>
      <c r="M557" s="257"/>
      <c r="N557" s="257"/>
      <c r="O557" s="292" t="s">
        <v>1193</v>
      </c>
      <c r="P557" s="192"/>
      <c r="Q557" s="192"/>
      <c r="R557" s="192"/>
      <c r="S557" s="192"/>
    </row>
    <row r="558" spans="1:19" x14ac:dyDescent="0.2">
      <c r="A558" s="198"/>
      <c r="B558" s="188"/>
      <c r="C558" s="188"/>
      <c r="D558" s="215" t="s">
        <v>1193</v>
      </c>
      <c r="G558" s="192"/>
      <c r="H558" s="209"/>
      <c r="I558" s="210" t="s">
        <v>1036</v>
      </c>
      <c r="J558" s="345"/>
      <c r="K558" s="278" t="s">
        <v>1118</v>
      </c>
      <c r="L558" s="278"/>
      <c r="M558" s="278"/>
      <c r="N558" s="257"/>
      <c r="O558" s="292" t="s">
        <v>1193</v>
      </c>
      <c r="P558" s="192"/>
      <c r="Q558" s="192"/>
      <c r="R558" s="192"/>
      <c r="S558" s="192"/>
    </row>
    <row r="559" spans="1:19" ht="15.75" thickBot="1" x14ac:dyDescent="0.25">
      <c r="A559" s="198"/>
      <c r="B559" s="188"/>
      <c r="C559" s="188"/>
      <c r="D559" s="215" t="s">
        <v>1193</v>
      </c>
      <c r="G559" s="192"/>
      <c r="H559" s="209"/>
      <c r="I559" s="231" t="s">
        <v>1062</v>
      </c>
      <c r="J559" s="216"/>
      <c r="K559" s="280" t="s">
        <v>1116</v>
      </c>
      <c r="L559" s="219"/>
      <c r="M559" s="219"/>
      <c r="N559" s="218"/>
      <c r="O559" s="251" t="s">
        <v>1193</v>
      </c>
      <c r="P559" s="192"/>
      <c r="Q559" s="192"/>
      <c r="R559" s="192"/>
      <c r="S559" s="192"/>
    </row>
    <row r="560" spans="1:19" ht="15.75" thickTop="1" x14ac:dyDescent="0.2">
      <c r="A560" s="198">
        <v>54</v>
      </c>
      <c r="B560" s="188" t="s">
        <v>1451</v>
      </c>
      <c r="C560" s="188" t="s">
        <v>1452</v>
      </c>
      <c r="D560" s="215"/>
      <c r="G560" s="192"/>
      <c r="H560" s="287">
        <v>54</v>
      </c>
      <c r="I560" s="237"/>
      <c r="J560" s="297"/>
      <c r="K560" s="306" t="s">
        <v>1452</v>
      </c>
      <c r="L560" s="297"/>
      <c r="M560" s="297"/>
      <c r="N560" s="297"/>
      <c r="O560" s="239"/>
      <c r="P560" s="192"/>
      <c r="Q560" s="207">
        <f>H560</f>
        <v>54</v>
      </c>
      <c r="R560" s="197" t="str">
        <f>CONCATENATE("II-",TEXT(Q560,"0000"))</f>
        <v>II-0054</v>
      </c>
      <c r="S560" s="208" t="str">
        <f>K560</f>
        <v>MOVILIDAD PARA EL PERSONAL AUXILIAR DE SUPERVISION</v>
      </c>
    </row>
    <row r="561" spans="1:19" x14ac:dyDescent="0.2">
      <c r="A561" s="198">
        <v>1</v>
      </c>
      <c r="B561" s="199" t="str">
        <f>CONCATENATE($B$560,".",TEXT(A561,"0000"))</f>
        <v>II-0054.0001</v>
      </c>
      <c r="C561" s="188" t="str">
        <f>K561</f>
        <v xml:space="preserve">CUOTA FIJA </v>
      </c>
      <c r="D561" s="215" t="s">
        <v>1453</v>
      </c>
      <c r="G561" s="192"/>
      <c r="H561" s="209"/>
      <c r="I561" s="210" t="s">
        <v>999</v>
      </c>
      <c r="J561" s="257"/>
      <c r="K561" s="278" t="s">
        <v>1454</v>
      </c>
      <c r="L561" s="278"/>
      <c r="M561" s="278"/>
      <c r="N561" s="257"/>
      <c r="O561" s="292" t="s">
        <v>1453</v>
      </c>
      <c r="P561" s="192"/>
      <c r="Q561" s="192"/>
      <c r="R561" s="192"/>
      <c r="S561" s="192"/>
    </row>
    <row r="562" spans="1:19" ht="15.75" thickBot="1" x14ac:dyDescent="0.25">
      <c r="A562" s="198">
        <v>2</v>
      </c>
      <c r="B562" s="199" t="str">
        <f>CONCATENATE($B$560,".",TEXT(A562,"0000"))</f>
        <v>II-0054.0002</v>
      </c>
      <c r="C562" s="188" t="str">
        <f>K562</f>
        <v>ADICIONAL POR KM</v>
      </c>
      <c r="D562" s="215" t="s">
        <v>1455</v>
      </c>
      <c r="G562" s="192"/>
      <c r="H562" s="229"/>
      <c r="I562" s="231" t="s">
        <v>1026</v>
      </c>
      <c r="J562" s="232"/>
      <c r="K562" s="233" t="s">
        <v>1456</v>
      </c>
      <c r="L562" s="233"/>
      <c r="M562" s="233"/>
      <c r="N562" s="232"/>
      <c r="O562" s="317" t="s">
        <v>1455</v>
      </c>
      <c r="P562" s="192"/>
      <c r="Q562" s="192"/>
      <c r="R562" s="192"/>
      <c r="S562" s="192"/>
    </row>
    <row r="563" spans="1:19" ht="16.5" thickTop="1" thickBot="1" x14ac:dyDescent="0.25">
      <c r="A563" s="198">
        <v>55</v>
      </c>
      <c r="B563" s="188" t="s">
        <v>1457</v>
      </c>
      <c r="C563" s="188" t="s">
        <v>1458</v>
      </c>
      <c r="D563" s="215" t="s">
        <v>5</v>
      </c>
      <c r="G563" s="192"/>
      <c r="H563" s="236">
        <v>55</v>
      </c>
      <c r="I563" s="238"/>
      <c r="J563" s="249"/>
      <c r="K563" s="306" t="s">
        <v>1458</v>
      </c>
      <c r="L563" s="249"/>
      <c r="M563" s="249"/>
      <c r="N563" s="249"/>
      <c r="O563" s="260" t="s">
        <v>5</v>
      </c>
      <c r="P563" s="192"/>
      <c r="Q563" s="207">
        <f t="shared" ref="Q563:Q564" si="51">H563</f>
        <v>55</v>
      </c>
      <c r="R563" s="197" t="str">
        <f t="shared" ref="R563:R564" si="52">CONCATENATE("II-",TEXT(Q563,"0000"))</f>
        <v>II-0055</v>
      </c>
      <c r="S563" s="208" t="str">
        <f t="shared" ref="S563:S564" si="53">K563</f>
        <v>MOVILIZACION DE OBRA</v>
      </c>
    </row>
    <row r="564" spans="1:19" ht="15.75" thickTop="1" x14ac:dyDescent="0.2">
      <c r="A564" s="198">
        <v>56</v>
      </c>
      <c r="B564" s="188" t="s">
        <v>1459</v>
      </c>
      <c r="C564" s="188" t="s">
        <v>1460</v>
      </c>
      <c r="D564" s="215"/>
      <c r="G564" s="192"/>
      <c r="H564" s="287">
        <v>56</v>
      </c>
      <c r="I564" s="237"/>
      <c r="J564" s="297"/>
      <c r="K564" s="298" t="s">
        <v>1460</v>
      </c>
      <c r="L564" s="297"/>
      <c r="M564" s="297"/>
      <c r="N564" s="297"/>
      <c r="O564" s="239"/>
      <c r="P564" s="192"/>
      <c r="Q564" s="207">
        <f t="shared" si="51"/>
        <v>56</v>
      </c>
      <c r="R564" s="197" t="str">
        <f t="shared" si="52"/>
        <v>II-0056</v>
      </c>
      <c r="S564" s="208" t="str">
        <f t="shared" si="53"/>
        <v xml:space="preserve">PASARELA </v>
      </c>
    </row>
    <row r="565" spans="1:19" x14ac:dyDescent="0.2">
      <c r="A565" s="198"/>
      <c r="B565" s="188"/>
      <c r="C565" s="188"/>
      <c r="D565" s="215" t="s">
        <v>975</v>
      </c>
      <c r="G565" s="192"/>
      <c r="H565" s="209"/>
      <c r="I565" s="344" t="s">
        <v>999</v>
      </c>
      <c r="J565" s="218"/>
      <c r="K565" s="219" t="s">
        <v>1223</v>
      </c>
      <c r="L565" s="218"/>
      <c r="M565" s="218"/>
      <c r="N565" s="218"/>
      <c r="O565" s="251" t="s">
        <v>975</v>
      </c>
      <c r="P565" s="192"/>
      <c r="Q565" s="192"/>
      <c r="R565" s="192"/>
      <c r="S565" s="192"/>
    </row>
    <row r="566" spans="1:19" x14ac:dyDescent="0.2">
      <c r="A566" s="198"/>
      <c r="B566" s="188"/>
      <c r="C566" s="188"/>
      <c r="D566" s="215"/>
      <c r="G566" s="192"/>
      <c r="H566" s="209"/>
      <c r="I566" s="210" t="s">
        <v>1026</v>
      </c>
      <c r="J566" s="213"/>
      <c r="K566" s="227" t="s">
        <v>1224</v>
      </c>
      <c r="L566" s="213"/>
      <c r="M566" s="213"/>
      <c r="N566" s="213"/>
      <c r="O566" s="261"/>
      <c r="P566" s="192"/>
      <c r="Q566" s="192"/>
      <c r="R566" s="192"/>
      <c r="S566" s="192"/>
    </row>
    <row r="567" spans="1:19" x14ac:dyDescent="0.2">
      <c r="A567" s="198"/>
      <c r="B567" s="188"/>
      <c r="C567" s="188"/>
      <c r="D567" s="215" t="s">
        <v>1235</v>
      </c>
      <c r="G567" s="192"/>
      <c r="H567" s="209"/>
      <c r="I567" s="216"/>
      <c r="J567" s="217">
        <v>1</v>
      </c>
      <c r="K567" s="218"/>
      <c r="L567" s="219" t="s">
        <v>1461</v>
      </c>
      <c r="M567" s="218"/>
      <c r="N567" s="218"/>
      <c r="O567" s="251" t="s">
        <v>1235</v>
      </c>
      <c r="P567" s="192"/>
      <c r="Q567" s="192"/>
      <c r="R567" s="192"/>
      <c r="S567" s="192"/>
    </row>
    <row r="568" spans="1:19" x14ac:dyDescent="0.2">
      <c r="A568" s="198"/>
      <c r="B568" s="188"/>
      <c r="C568" s="188"/>
      <c r="D568" s="215" t="s">
        <v>1235</v>
      </c>
      <c r="G568" s="192"/>
      <c r="H568" s="209"/>
      <c r="I568" s="216"/>
      <c r="J568" s="217">
        <v>2</v>
      </c>
      <c r="K568" s="218"/>
      <c r="L568" s="219" t="s">
        <v>1462</v>
      </c>
      <c r="M568" s="218"/>
      <c r="N568" s="218"/>
      <c r="O568" s="251" t="s">
        <v>1235</v>
      </c>
      <c r="P568" s="192"/>
      <c r="Q568" s="192"/>
      <c r="R568" s="192"/>
      <c r="S568" s="192"/>
    </row>
    <row r="569" spans="1:19" x14ac:dyDescent="0.2">
      <c r="A569" s="198"/>
      <c r="B569" s="188"/>
      <c r="C569" s="188"/>
      <c r="D569" s="215" t="s">
        <v>975</v>
      </c>
      <c r="G569" s="192"/>
      <c r="H569" s="209"/>
      <c r="I569" s="228"/>
      <c r="J569" s="223">
        <v>3</v>
      </c>
      <c r="K569" s="224"/>
      <c r="L569" s="225" t="s">
        <v>1463</v>
      </c>
      <c r="M569" s="224"/>
      <c r="N569" s="224"/>
      <c r="O569" s="270" t="s">
        <v>975</v>
      </c>
      <c r="P569" s="192"/>
      <c r="Q569" s="192"/>
      <c r="R569" s="192"/>
      <c r="S569" s="192"/>
    </row>
    <row r="570" spans="1:19" ht="15.75" thickBot="1" x14ac:dyDescent="0.25">
      <c r="A570" s="198"/>
      <c r="B570" s="188"/>
      <c r="C570" s="188"/>
      <c r="D570" s="215" t="s">
        <v>975</v>
      </c>
      <c r="G570" s="192"/>
      <c r="H570" s="209"/>
      <c r="I570" s="231" t="s">
        <v>1036</v>
      </c>
      <c r="J570" s="218"/>
      <c r="K570" s="219" t="s">
        <v>1464</v>
      </c>
      <c r="L570" s="218"/>
      <c r="M570" s="218"/>
      <c r="N570" s="218"/>
      <c r="O570" s="251" t="s">
        <v>975</v>
      </c>
      <c r="P570" s="192"/>
      <c r="Q570" s="192"/>
      <c r="R570" s="192"/>
      <c r="S570" s="192"/>
    </row>
    <row r="571" spans="1:19" ht="15.75" thickTop="1" x14ac:dyDescent="0.2">
      <c r="A571" s="198">
        <v>57</v>
      </c>
      <c r="B571" s="188" t="s">
        <v>1465</v>
      </c>
      <c r="C571" s="188" t="s">
        <v>1466</v>
      </c>
      <c r="D571" s="215"/>
      <c r="G571" s="192"/>
      <c r="H571" s="287">
        <v>57</v>
      </c>
      <c r="I571" s="237"/>
      <c r="J571" s="297"/>
      <c r="K571" s="298" t="s">
        <v>1466</v>
      </c>
      <c r="L571" s="297"/>
      <c r="M571" s="297"/>
      <c r="N571" s="297"/>
      <c r="O571" s="239"/>
      <c r="P571" s="192"/>
      <c r="Q571" s="207">
        <f>H571</f>
        <v>57</v>
      </c>
      <c r="R571" s="197" t="str">
        <f>CONCATENATE("II-",TEXT(Q571,"0000"))</f>
        <v>II-0057</v>
      </c>
      <c r="S571" s="208" t="str">
        <f>K571</f>
        <v>PASO A NIVEL</v>
      </c>
    </row>
    <row r="572" spans="1:19" ht="15.75" thickBot="1" x14ac:dyDescent="0.25">
      <c r="A572" s="198"/>
      <c r="B572" s="188"/>
      <c r="C572" s="188"/>
      <c r="D572" s="215" t="s">
        <v>5</v>
      </c>
      <c r="G572" s="192"/>
      <c r="H572" s="240"/>
      <c r="I572" s="242" t="s">
        <v>999</v>
      </c>
      <c r="J572" s="244"/>
      <c r="K572" s="280" t="s">
        <v>1467</v>
      </c>
      <c r="L572" s="280"/>
      <c r="M572" s="280"/>
      <c r="N572" s="280"/>
      <c r="O572" s="318" t="s">
        <v>5</v>
      </c>
      <c r="P572" s="192"/>
      <c r="Q572" s="192"/>
      <c r="R572" s="192"/>
      <c r="S572" s="192"/>
    </row>
    <row r="573" spans="1:19" ht="15.75" thickTop="1" x14ac:dyDescent="0.2">
      <c r="A573" s="198">
        <v>58</v>
      </c>
      <c r="B573" s="188" t="s">
        <v>1468</v>
      </c>
      <c r="C573" s="188" t="s">
        <v>1469</v>
      </c>
      <c r="D573" s="215"/>
      <c r="G573" s="192"/>
      <c r="H573" s="287">
        <v>58</v>
      </c>
      <c r="I573" s="237"/>
      <c r="J573" s="297"/>
      <c r="K573" s="298" t="s">
        <v>1469</v>
      </c>
      <c r="L573" s="298"/>
      <c r="M573" s="298"/>
      <c r="N573" s="298"/>
      <c r="O573" s="239"/>
      <c r="P573" s="192"/>
      <c r="Q573" s="207">
        <f>H573</f>
        <v>58</v>
      </c>
      <c r="R573" s="197" t="str">
        <f>CONCATENATE("II-",TEXT(Q573,"0000"))</f>
        <v>II-0058</v>
      </c>
      <c r="S573" s="208" t="str">
        <f>K573</f>
        <v>PAVIMENTO DE HORMIGON</v>
      </c>
    </row>
    <row r="574" spans="1:19" x14ac:dyDescent="0.2">
      <c r="A574" s="198"/>
      <c r="B574" s="188"/>
      <c r="C574" s="188"/>
      <c r="D574" s="215" t="s">
        <v>1193</v>
      </c>
      <c r="G574" s="192"/>
      <c r="H574" s="209"/>
      <c r="I574" s="344" t="s">
        <v>999</v>
      </c>
      <c r="J574" s="218"/>
      <c r="K574" s="219" t="s">
        <v>1470</v>
      </c>
      <c r="L574" s="219"/>
      <c r="M574" s="219"/>
      <c r="N574" s="219"/>
      <c r="O574" s="251" t="s">
        <v>1193</v>
      </c>
      <c r="P574" s="192"/>
      <c r="Q574" s="192"/>
      <c r="R574" s="192"/>
      <c r="S574" s="192"/>
    </row>
    <row r="575" spans="1:19" x14ac:dyDescent="0.2">
      <c r="A575" s="198"/>
      <c r="B575" s="188"/>
      <c r="C575" s="188"/>
      <c r="D575" s="215" t="s">
        <v>1193</v>
      </c>
      <c r="G575" s="192"/>
      <c r="H575" s="209"/>
      <c r="I575" s="210" t="s">
        <v>1026</v>
      </c>
      <c r="J575" s="257"/>
      <c r="K575" s="278" t="s">
        <v>1469</v>
      </c>
      <c r="L575" s="278"/>
      <c r="M575" s="278"/>
      <c r="N575" s="278"/>
      <c r="O575" s="292" t="s">
        <v>1193</v>
      </c>
      <c r="P575" s="192"/>
      <c r="Q575" s="192"/>
      <c r="R575" s="192"/>
      <c r="S575" s="192"/>
    </row>
    <row r="576" spans="1:19" x14ac:dyDescent="0.2">
      <c r="A576" s="198"/>
      <c r="B576" s="188"/>
      <c r="C576" s="188"/>
      <c r="D576" s="215" t="s">
        <v>1193</v>
      </c>
      <c r="G576" s="192"/>
      <c r="H576" s="209"/>
      <c r="I576" s="223" t="s">
        <v>1036</v>
      </c>
      <c r="J576" s="224"/>
      <c r="K576" s="278" t="s">
        <v>1471</v>
      </c>
      <c r="L576" s="225"/>
      <c r="M576" s="225"/>
      <c r="N576" s="225"/>
      <c r="O576" s="270" t="s">
        <v>1193</v>
      </c>
      <c r="P576" s="192"/>
      <c r="Q576" s="192"/>
      <c r="R576" s="192"/>
      <c r="S576" s="192"/>
    </row>
    <row r="577" spans="1:19" x14ac:dyDescent="0.2">
      <c r="A577" s="198"/>
      <c r="B577" s="188"/>
      <c r="C577" s="188"/>
      <c r="D577" s="215" t="s">
        <v>1193</v>
      </c>
      <c r="G577" s="192"/>
      <c r="H577" s="209"/>
      <c r="I577" s="217" t="s">
        <v>1062</v>
      </c>
      <c r="J577" s="218"/>
      <c r="K577" s="227" t="s">
        <v>1113</v>
      </c>
      <c r="L577" s="219"/>
      <c r="M577" s="219"/>
      <c r="N577" s="219"/>
      <c r="O577" s="251" t="s">
        <v>1193</v>
      </c>
      <c r="P577" s="192"/>
      <c r="Q577" s="192"/>
      <c r="R577" s="192"/>
      <c r="S577" s="192"/>
    </row>
    <row r="578" spans="1:19" ht="15.75" thickBot="1" x14ac:dyDescent="0.25">
      <c r="A578" s="198">
        <v>59</v>
      </c>
      <c r="B578" s="188" t="s">
        <v>1472</v>
      </c>
      <c r="C578" s="188" t="s">
        <v>1473</v>
      </c>
      <c r="D578" s="215" t="s">
        <v>1110</v>
      </c>
      <c r="G578" s="192"/>
      <c r="H578" s="328">
        <v>59</v>
      </c>
      <c r="I578" s="329"/>
      <c r="J578" s="330"/>
      <c r="K578" s="353" t="s">
        <v>1473</v>
      </c>
      <c r="L578" s="330"/>
      <c r="M578" s="330"/>
      <c r="N578" s="330"/>
      <c r="O578" s="332" t="s">
        <v>1110</v>
      </c>
      <c r="P578" s="192"/>
      <c r="Q578" s="207">
        <f t="shared" ref="Q578:Q579" si="54">H578</f>
        <v>59</v>
      </c>
      <c r="R578" s="197" t="str">
        <f t="shared" ref="R578:R579" si="55">CONCATENATE("II-",TEXT(Q578,"0000"))</f>
        <v>II-0059</v>
      </c>
      <c r="S578" s="208" t="str">
        <f t="shared" ref="S578:S579" si="56">K578</f>
        <v>PEDRAPLEN</v>
      </c>
    </row>
    <row r="579" spans="1:19" ht="15.75" thickTop="1" x14ac:dyDescent="0.2">
      <c r="A579" s="198">
        <v>60</v>
      </c>
      <c r="B579" s="188" t="s">
        <v>1474</v>
      </c>
      <c r="C579" s="188" t="s">
        <v>1475</v>
      </c>
      <c r="D579" s="215"/>
      <c r="G579" s="192"/>
      <c r="H579" s="236">
        <v>60</v>
      </c>
      <c r="I579" s="238"/>
      <c r="J579" s="249"/>
      <c r="K579" s="306" t="s">
        <v>1475</v>
      </c>
      <c r="L579" s="249"/>
      <c r="M579" s="249"/>
      <c r="N579" s="249"/>
      <c r="O579" s="260"/>
      <c r="P579" s="192"/>
      <c r="Q579" s="207">
        <f t="shared" si="54"/>
        <v>60</v>
      </c>
      <c r="R579" s="197" t="str">
        <f t="shared" si="55"/>
        <v>II-0060</v>
      </c>
      <c r="S579" s="208" t="str">
        <f t="shared" si="56"/>
        <v>PERFILADO</v>
      </c>
    </row>
    <row r="580" spans="1:19" x14ac:dyDescent="0.2">
      <c r="A580" s="198"/>
      <c r="B580" s="188"/>
      <c r="C580" s="188"/>
      <c r="D580" s="215" t="s">
        <v>1193</v>
      </c>
      <c r="G580" s="192"/>
      <c r="H580" s="209"/>
      <c r="I580" s="344" t="s">
        <v>999</v>
      </c>
      <c r="J580" s="218"/>
      <c r="K580" s="219" t="s">
        <v>1476</v>
      </c>
      <c r="L580" s="218"/>
      <c r="M580" s="218"/>
      <c r="N580" s="218"/>
      <c r="O580" s="251" t="s">
        <v>1193</v>
      </c>
      <c r="P580" s="192"/>
      <c r="Q580" s="192"/>
      <c r="R580" s="192"/>
      <c r="S580" s="192"/>
    </row>
    <row r="581" spans="1:19" x14ac:dyDescent="0.2">
      <c r="A581" s="198"/>
      <c r="B581" s="188"/>
      <c r="C581" s="188"/>
      <c r="D581" s="215" t="s">
        <v>1193</v>
      </c>
      <c r="G581" s="192"/>
      <c r="H581" s="209"/>
      <c r="I581" s="210" t="s">
        <v>1026</v>
      </c>
      <c r="J581" s="257"/>
      <c r="K581" s="278" t="s">
        <v>1319</v>
      </c>
      <c r="L581" s="257"/>
      <c r="M581" s="257"/>
      <c r="N581" s="257"/>
      <c r="O581" s="292" t="s">
        <v>1193</v>
      </c>
      <c r="P581" s="192"/>
      <c r="Q581" s="192"/>
      <c r="R581" s="192"/>
      <c r="S581" s="192"/>
    </row>
    <row r="582" spans="1:19" ht="15.75" thickBot="1" x14ac:dyDescent="0.25">
      <c r="A582" s="198"/>
      <c r="B582" s="188"/>
      <c r="C582" s="188"/>
      <c r="D582" s="215" t="s">
        <v>1193</v>
      </c>
      <c r="G582" s="192"/>
      <c r="H582" s="209"/>
      <c r="I582" s="231" t="s">
        <v>1036</v>
      </c>
      <c r="J582" s="218"/>
      <c r="K582" s="219" t="s">
        <v>1438</v>
      </c>
      <c r="L582" s="218"/>
      <c r="M582" s="218"/>
      <c r="N582" s="218"/>
      <c r="O582" s="251" t="s">
        <v>1193</v>
      </c>
      <c r="P582" s="192"/>
      <c r="Q582" s="192"/>
      <c r="R582" s="192"/>
      <c r="S582" s="192"/>
    </row>
    <row r="583" spans="1:19" ht="16.5" thickTop="1" thickBot="1" x14ac:dyDescent="0.25">
      <c r="A583" s="198">
        <v>61</v>
      </c>
      <c r="B583" s="188" t="s">
        <v>1477</v>
      </c>
      <c r="C583" s="188" t="s">
        <v>1478</v>
      </c>
      <c r="D583" s="215" t="s">
        <v>1193</v>
      </c>
      <c r="G583" s="192"/>
      <c r="H583" s="333">
        <v>61</v>
      </c>
      <c r="I583" s="334"/>
      <c r="J583" s="335"/>
      <c r="K583" s="336" t="s">
        <v>1478</v>
      </c>
      <c r="L583" s="335"/>
      <c r="M583" s="335"/>
      <c r="N583" s="335"/>
      <c r="O583" s="337" t="s">
        <v>1193</v>
      </c>
      <c r="P583" s="192"/>
      <c r="Q583" s="207">
        <f t="shared" ref="Q583:Q584" si="57">H583</f>
        <v>61</v>
      </c>
      <c r="R583" s="197" t="str">
        <f t="shared" ref="R583:R584" si="58">CONCATENATE("II-",TEXT(Q583,"0000"))</f>
        <v>II-0061</v>
      </c>
      <c r="S583" s="208" t="str">
        <f t="shared" ref="S583:S584" si="59">K583</f>
        <v>PIEDRA COLOCADA</v>
      </c>
    </row>
    <row r="584" spans="1:19" ht="15.75" thickTop="1" x14ac:dyDescent="0.2">
      <c r="A584" s="198">
        <v>62</v>
      </c>
      <c r="B584" s="188" t="s">
        <v>1479</v>
      </c>
      <c r="C584" s="188" t="s">
        <v>1480</v>
      </c>
      <c r="D584" s="215"/>
      <c r="G584" s="192"/>
      <c r="H584" s="236">
        <v>62</v>
      </c>
      <c r="I584" s="238"/>
      <c r="J584" s="249"/>
      <c r="K584" s="306" t="s">
        <v>1480</v>
      </c>
      <c r="L584" s="249"/>
      <c r="M584" s="249"/>
      <c r="N584" s="249"/>
      <c r="O584" s="260"/>
      <c r="P584" s="192"/>
      <c r="Q584" s="207">
        <f t="shared" si="57"/>
        <v>62</v>
      </c>
      <c r="R584" s="197" t="str">
        <f t="shared" si="58"/>
        <v>II-0062</v>
      </c>
      <c r="S584" s="208" t="str">
        <f t="shared" si="59"/>
        <v>PRADERIZACION</v>
      </c>
    </row>
    <row r="585" spans="1:19" x14ac:dyDescent="0.2">
      <c r="A585" s="198"/>
      <c r="B585" s="188"/>
      <c r="C585" s="188"/>
      <c r="D585" s="215" t="s">
        <v>1193</v>
      </c>
      <c r="G585" s="192"/>
      <c r="H585" s="209"/>
      <c r="I585" s="344" t="s">
        <v>999</v>
      </c>
      <c r="J585" s="218"/>
      <c r="K585" s="219" t="s">
        <v>1481</v>
      </c>
      <c r="L585" s="218"/>
      <c r="M585" s="218"/>
      <c r="N585" s="218"/>
      <c r="O585" s="251" t="s">
        <v>1193</v>
      </c>
      <c r="P585" s="192"/>
      <c r="Q585" s="192"/>
      <c r="R585" s="192"/>
      <c r="S585" s="192"/>
    </row>
    <row r="586" spans="1:19" x14ac:dyDescent="0.2">
      <c r="A586" s="198"/>
      <c r="B586" s="188"/>
      <c r="C586" s="188"/>
      <c r="D586" s="215" t="s">
        <v>1193</v>
      </c>
      <c r="G586" s="192"/>
      <c r="H586" s="209"/>
      <c r="I586" s="210" t="s">
        <v>1026</v>
      </c>
      <c r="J586" s="257"/>
      <c r="K586" s="278" t="s">
        <v>1482</v>
      </c>
      <c r="L586" s="257"/>
      <c r="M586" s="257"/>
      <c r="N586" s="257"/>
      <c r="O586" s="292" t="s">
        <v>1193</v>
      </c>
      <c r="P586" s="192"/>
      <c r="Q586" s="192"/>
      <c r="R586" s="192"/>
      <c r="S586" s="192"/>
    </row>
    <row r="587" spans="1:19" ht="15.75" thickBot="1" x14ac:dyDescent="0.25">
      <c r="A587" s="198"/>
      <c r="B587" s="188"/>
      <c r="C587" s="188"/>
      <c r="D587" s="215" t="s">
        <v>1483</v>
      </c>
      <c r="G587" s="192"/>
      <c r="H587" s="209"/>
      <c r="I587" s="231" t="s">
        <v>1036</v>
      </c>
      <c r="J587" s="218"/>
      <c r="K587" s="219" t="s">
        <v>1484</v>
      </c>
      <c r="L587" s="218"/>
      <c r="M587" s="218"/>
      <c r="N587" s="218"/>
      <c r="O587" s="251" t="s">
        <v>1483</v>
      </c>
      <c r="P587" s="192"/>
      <c r="Q587" s="192"/>
      <c r="R587" s="192"/>
      <c r="S587" s="192"/>
    </row>
    <row r="588" spans="1:19" ht="15.75" thickTop="1" x14ac:dyDescent="0.2">
      <c r="A588" s="198">
        <v>63</v>
      </c>
      <c r="B588" s="188" t="s">
        <v>1485</v>
      </c>
      <c r="C588" s="188" t="s">
        <v>1486</v>
      </c>
      <c r="D588" s="215"/>
      <c r="G588" s="192"/>
      <c r="H588" s="287">
        <v>63</v>
      </c>
      <c r="I588" s="237"/>
      <c r="J588" s="297"/>
      <c r="K588" s="298" t="s">
        <v>1486</v>
      </c>
      <c r="L588" s="297"/>
      <c r="M588" s="297"/>
      <c r="N588" s="297"/>
      <c r="O588" s="239"/>
      <c r="P588" s="192"/>
      <c r="Q588" s="207">
        <f>H588</f>
        <v>63</v>
      </c>
      <c r="R588" s="197" t="str">
        <f>CONCATENATE("II-",TEXT(Q588,"0000"))</f>
        <v>II-0063</v>
      </c>
      <c r="S588" s="208" t="str">
        <f>K588</f>
        <v>PRETILES</v>
      </c>
    </row>
    <row r="589" spans="1:19" x14ac:dyDescent="0.2">
      <c r="A589" s="198"/>
      <c r="B589" s="188"/>
      <c r="C589" s="188"/>
      <c r="D589" s="215" t="s">
        <v>1227</v>
      </c>
      <c r="G589" s="192"/>
      <c r="H589" s="209"/>
      <c r="I589" s="210" t="s">
        <v>999</v>
      </c>
      <c r="J589" s="257"/>
      <c r="K589" s="354" t="s">
        <v>1487</v>
      </c>
      <c r="L589" s="355"/>
      <c r="M589" s="355"/>
      <c r="N589" s="257"/>
      <c r="O589" s="292" t="s">
        <v>1227</v>
      </c>
      <c r="P589" s="192"/>
      <c r="Q589" s="192"/>
      <c r="R589" s="192"/>
      <c r="S589" s="192"/>
    </row>
    <row r="590" spans="1:19" ht="15.75" thickBot="1" x14ac:dyDescent="0.25">
      <c r="A590" s="198"/>
      <c r="B590" s="188"/>
      <c r="C590" s="188"/>
      <c r="D590" s="215" t="s">
        <v>1227</v>
      </c>
      <c r="G590" s="192"/>
      <c r="H590" s="229"/>
      <c r="I590" s="231" t="s">
        <v>1026</v>
      </c>
      <c r="J590" s="232"/>
      <c r="K590" s="356" t="s">
        <v>1488</v>
      </c>
      <c r="L590" s="357"/>
      <c r="M590" s="357"/>
      <c r="N590" s="232"/>
      <c r="O590" s="317" t="s">
        <v>1227</v>
      </c>
      <c r="P590" s="192"/>
      <c r="Q590" s="192"/>
      <c r="R590" s="192"/>
      <c r="S590" s="192"/>
    </row>
    <row r="591" spans="1:19" ht="15.75" thickTop="1" x14ac:dyDescent="0.2">
      <c r="A591" s="198">
        <v>64</v>
      </c>
      <c r="B591" s="188" t="s">
        <v>1489</v>
      </c>
      <c r="C591" s="188" t="s">
        <v>1490</v>
      </c>
      <c r="D591" s="215"/>
      <c r="G591" s="192"/>
      <c r="H591" s="236">
        <v>64</v>
      </c>
      <c r="I591" s="238"/>
      <c r="J591" s="249"/>
      <c r="K591" s="306" t="s">
        <v>1490</v>
      </c>
      <c r="L591" s="249"/>
      <c r="M591" s="249"/>
      <c r="N591" s="249"/>
      <c r="O591" s="260"/>
      <c r="P591" s="192"/>
      <c r="Q591" s="207">
        <f>H591</f>
        <v>64</v>
      </c>
      <c r="R591" s="197" t="str">
        <f>CONCATENATE("II-",TEXT(Q591,"0000"))</f>
        <v>II-0064</v>
      </c>
      <c r="S591" s="208" t="str">
        <f>K591</f>
        <v>PROTECCION DE DUCTOS</v>
      </c>
    </row>
    <row r="592" spans="1:19" ht="15.75" thickBot="1" x14ac:dyDescent="0.25">
      <c r="A592" s="198"/>
      <c r="B592" s="188"/>
      <c r="C592" s="188"/>
      <c r="D592" s="215" t="s">
        <v>1235</v>
      </c>
      <c r="G592" s="192"/>
      <c r="H592" s="209"/>
      <c r="I592" s="241" t="s">
        <v>999</v>
      </c>
      <c r="J592" s="218"/>
      <c r="K592" s="219" t="s">
        <v>1491</v>
      </c>
      <c r="L592" s="219"/>
      <c r="M592" s="219"/>
      <c r="N592" s="218"/>
      <c r="O592" s="251" t="s">
        <v>1235</v>
      </c>
      <c r="P592" s="192"/>
      <c r="Q592" s="192"/>
      <c r="R592" s="192"/>
      <c r="S592" s="192"/>
    </row>
    <row r="593" spans="1:19" ht="15.75" thickTop="1" x14ac:dyDescent="0.2">
      <c r="A593" s="198">
        <v>65</v>
      </c>
      <c r="B593" s="188" t="s">
        <v>1492</v>
      </c>
      <c r="C593" s="188" t="s">
        <v>1493</v>
      </c>
      <c r="D593" s="215"/>
      <c r="G593" s="192"/>
      <c r="H593" s="287">
        <v>65</v>
      </c>
      <c r="I593" s="237"/>
      <c r="J593" s="297"/>
      <c r="K593" s="298" t="s">
        <v>1493</v>
      </c>
      <c r="L593" s="297"/>
      <c r="M593" s="297"/>
      <c r="N593" s="297"/>
      <c r="O593" s="239"/>
      <c r="P593" s="192"/>
      <c r="Q593" s="207">
        <f>H593</f>
        <v>65</v>
      </c>
      <c r="R593" s="197" t="str">
        <f>CONCATENATE("II-",TEXT(Q593,"0000"))</f>
        <v>II-0065</v>
      </c>
      <c r="S593" s="208" t="str">
        <f>K593</f>
        <v xml:space="preserve">PUENTE </v>
      </c>
    </row>
    <row r="594" spans="1:19" x14ac:dyDescent="0.2">
      <c r="A594" s="198"/>
      <c r="B594" s="188"/>
      <c r="C594" s="188"/>
      <c r="D594" s="215" t="s">
        <v>1110</v>
      </c>
      <c r="G594" s="192"/>
      <c r="H594" s="358"/>
      <c r="I594" s="344" t="s">
        <v>999</v>
      </c>
      <c r="J594" s="218"/>
      <c r="K594" s="219" t="s">
        <v>1494</v>
      </c>
      <c r="L594" s="219"/>
      <c r="M594" s="219"/>
      <c r="N594" s="218"/>
      <c r="O594" s="251" t="s">
        <v>1110</v>
      </c>
      <c r="P594" s="192"/>
      <c r="Q594" s="192"/>
      <c r="R594" s="192"/>
      <c r="S594" s="192"/>
    </row>
    <row r="595" spans="1:19" x14ac:dyDescent="0.2">
      <c r="A595" s="198"/>
      <c r="B595" s="188"/>
      <c r="C595" s="188"/>
      <c r="D595" s="215" t="s">
        <v>1110</v>
      </c>
      <c r="G595" s="192"/>
      <c r="H595" s="358"/>
      <c r="I595" s="210" t="s">
        <v>1026</v>
      </c>
      <c r="J595" s="257"/>
      <c r="K595" s="278" t="s">
        <v>1109</v>
      </c>
      <c r="L595" s="278"/>
      <c r="M595" s="278"/>
      <c r="N595" s="257"/>
      <c r="O595" s="292" t="s">
        <v>1110</v>
      </c>
      <c r="P595" s="192"/>
      <c r="Q595" s="192"/>
      <c r="R595" s="192"/>
      <c r="S595" s="192"/>
    </row>
    <row r="596" spans="1:19" x14ac:dyDescent="0.2">
      <c r="A596" s="198"/>
      <c r="B596" s="188"/>
      <c r="C596" s="188"/>
      <c r="D596" s="215" t="s">
        <v>1003</v>
      </c>
      <c r="G596" s="192"/>
      <c r="H596" s="358"/>
      <c r="I596" s="210" t="s">
        <v>1036</v>
      </c>
      <c r="J596" s="257"/>
      <c r="K596" s="278" t="s">
        <v>1113</v>
      </c>
      <c r="L596" s="278"/>
      <c r="M596" s="278"/>
      <c r="N596" s="257"/>
      <c r="O596" s="292" t="s">
        <v>1003</v>
      </c>
      <c r="P596" s="192"/>
      <c r="Q596" s="192"/>
      <c r="R596" s="192"/>
      <c r="S596" s="192"/>
    </row>
    <row r="597" spans="1:19" x14ac:dyDescent="0.2">
      <c r="A597" s="198"/>
      <c r="B597" s="188"/>
      <c r="C597" s="188"/>
      <c r="D597" s="215"/>
      <c r="G597" s="192"/>
      <c r="H597" s="358"/>
      <c r="I597" s="210" t="s">
        <v>1062</v>
      </c>
      <c r="J597" s="213"/>
      <c r="K597" s="219" t="s">
        <v>1495</v>
      </c>
      <c r="L597" s="219"/>
      <c r="M597" s="219"/>
      <c r="N597" s="218"/>
      <c r="O597" s="251"/>
      <c r="P597" s="192"/>
      <c r="Q597" s="192"/>
      <c r="R597" s="192"/>
      <c r="S597" s="192"/>
    </row>
    <row r="598" spans="1:19" x14ac:dyDescent="0.2">
      <c r="A598" s="198"/>
      <c r="B598" s="188"/>
      <c r="C598" s="188"/>
      <c r="D598" s="215" t="s">
        <v>1193</v>
      </c>
      <c r="G598" s="192"/>
      <c r="H598" s="358"/>
      <c r="I598" s="216"/>
      <c r="J598" s="359">
        <v>1</v>
      </c>
      <c r="K598" s="219"/>
      <c r="L598" s="219" t="s">
        <v>1103</v>
      </c>
      <c r="M598" s="219"/>
      <c r="N598" s="218"/>
      <c r="O598" s="251" t="s">
        <v>1193</v>
      </c>
      <c r="P598" s="192"/>
      <c r="Q598" s="192"/>
      <c r="R598" s="192"/>
      <c r="S598" s="192"/>
    </row>
    <row r="599" spans="1:19" ht="15.75" thickBot="1" x14ac:dyDescent="0.25">
      <c r="A599" s="198"/>
      <c r="B599" s="188"/>
      <c r="C599" s="188"/>
      <c r="D599" s="215" t="s">
        <v>1496</v>
      </c>
      <c r="G599" s="192"/>
      <c r="H599" s="360"/>
      <c r="I599" s="230"/>
      <c r="J599" s="361">
        <v>2</v>
      </c>
      <c r="K599" s="233"/>
      <c r="L599" s="233" t="s">
        <v>1497</v>
      </c>
      <c r="M599" s="233"/>
      <c r="N599" s="232"/>
      <c r="O599" s="317" t="s">
        <v>1496</v>
      </c>
      <c r="P599" s="192"/>
      <c r="Q599" s="192"/>
      <c r="R599" s="192"/>
      <c r="S599" s="192"/>
    </row>
    <row r="600" spans="1:19" ht="15.75" thickTop="1" x14ac:dyDescent="0.2">
      <c r="A600" s="198">
        <v>66</v>
      </c>
      <c r="B600" s="188" t="s">
        <v>1498</v>
      </c>
      <c r="C600" s="188" t="s">
        <v>1499</v>
      </c>
      <c r="D600" s="215"/>
      <c r="G600" s="192"/>
      <c r="H600" s="236">
        <v>66</v>
      </c>
      <c r="I600" s="238"/>
      <c r="J600" s="249"/>
      <c r="K600" s="306" t="s">
        <v>1499</v>
      </c>
      <c r="L600" s="249"/>
      <c r="M600" s="249"/>
      <c r="N600" s="249"/>
      <c r="O600" s="260"/>
      <c r="P600" s="192"/>
      <c r="Q600" s="207">
        <f>H600</f>
        <v>66</v>
      </c>
      <c r="R600" s="197" t="str">
        <f>CONCATENATE("II-",TEXT(Q600,"0000"))</f>
        <v>II-0066</v>
      </c>
      <c r="S600" s="208" t="str">
        <f>K600</f>
        <v>PUENTE BAYLEY / FM</v>
      </c>
    </row>
    <row r="601" spans="1:19" x14ac:dyDescent="0.2">
      <c r="A601" s="198"/>
      <c r="B601" s="188"/>
      <c r="C601" s="188"/>
      <c r="D601" s="215" t="s">
        <v>1235</v>
      </c>
      <c r="G601" s="192"/>
      <c r="H601" s="209"/>
      <c r="I601" s="344" t="s">
        <v>999</v>
      </c>
      <c r="J601" s="218"/>
      <c r="K601" s="219" t="s">
        <v>1500</v>
      </c>
      <c r="L601" s="218"/>
      <c r="M601" s="218"/>
      <c r="N601" s="218"/>
      <c r="O601" s="251" t="s">
        <v>1235</v>
      </c>
      <c r="P601" s="192"/>
      <c r="Q601" s="192"/>
      <c r="R601" s="192"/>
      <c r="S601" s="192"/>
    </row>
    <row r="602" spans="1:19" x14ac:dyDescent="0.2">
      <c r="A602" s="198"/>
      <c r="B602" s="188"/>
      <c r="C602" s="188"/>
      <c r="D602" s="215" t="s">
        <v>1235</v>
      </c>
      <c r="G602" s="192"/>
      <c r="H602" s="209"/>
      <c r="I602" s="210" t="s">
        <v>1026</v>
      </c>
      <c r="J602" s="257"/>
      <c r="K602" s="278" t="s">
        <v>1501</v>
      </c>
      <c r="L602" s="257"/>
      <c r="M602" s="257"/>
      <c r="N602" s="257"/>
      <c r="O602" s="292" t="s">
        <v>1235</v>
      </c>
      <c r="P602" s="192"/>
      <c r="Q602" s="192"/>
      <c r="R602" s="192"/>
      <c r="S602" s="192"/>
    </row>
    <row r="603" spans="1:19" x14ac:dyDescent="0.2">
      <c r="A603" s="198"/>
      <c r="B603" s="188"/>
      <c r="C603" s="188"/>
      <c r="D603" s="215" t="s">
        <v>1235</v>
      </c>
      <c r="G603" s="192"/>
      <c r="H603" s="209"/>
      <c r="I603" s="210" t="s">
        <v>1036</v>
      </c>
      <c r="J603" s="218"/>
      <c r="K603" s="278" t="s">
        <v>1113</v>
      </c>
      <c r="L603" s="257"/>
      <c r="M603" s="257"/>
      <c r="N603" s="257"/>
      <c r="O603" s="292" t="s">
        <v>1235</v>
      </c>
      <c r="P603" s="192"/>
      <c r="Q603" s="192"/>
      <c r="R603" s="192"/>
      <c r="S603" s="192"/>
    </row>
    <row r="604" spans="1:19" x14ac:dyDescent="0.2">
      <c r="A604" s="198"/>
      <c r="B604" s="188"/>
      <c r="C604" s="188"/>
      <c r="D604" s="215"/>
      <c r="G604" s="192"/>
      <c r="H604" s="209"/>
      <c r="I604" s="223" t="s">
        <v>1062</v>
      </c>
      <c r="J604" s="213"/>
      <c r="K604" s="219" t="s">
        <v>1495</v>
      </c>
      <c r="L604" s="219"/>
      <c r="M604" s="219"/>
      <c r="N604" s="218"/>
      <c r="O604" s="251"/>
      <c r="P604" s="192"/>
      <c r="Q604" s="192"/>
      <c r="R604" s="192"/>
      <c r="S604" s="192"/>
    </row>
    <row r="605" spans="1:19" ht="15.75" thickBot="1" x14ac:dyDescent="0.25">
      <c r="A605" s="198"/>
      <c r="B605" s="188"/>
      <c r="C605" s="188"/>
      <c r="D605" s="215" t="s">
        <v>975</v>
      </c>
      <c r="G605" s="192"/>
      <c r="H605" s="209"/>
      <c r="I605" s="216"/>
      <c r="J605" s="359">
        <v>1</v>
      </c>
      <c r="K605" s="219"/>
      <c r="L605" s="219" t="s">
        <v>1103</v>
      </c>
      <c r="M605" s="219"/>
      <c r="N605" s="218"/>
      <c r="O605" s="251" t="s">
        <v>975</v>
      </c>
      <c r="P605" s="192"/>
      <c r="Q605" s="192"/>
      <c r="R605" s="192"/>
      <c r="S605" s="192"/>
    </row>
    <row r="606" spans="1:19" ht="15.75" thickTop="1" x14ac:dyDescent="0.2">
      <c r="A606" s="198">
        <v>67</v>
      </c>
      <c r="B606" s="188" t="s">
        <v>1502</v>
      </c>
      <c r="C606" s="188" t="s">
        <v>1503</v>
      </c>
      <c r="D606" s="215"/>
      <c r="G606" s="192"/>
      <c r="H606" s="287">
        <v>67</v>
      </c>
      <c r="I606" s="237"/>
      <c r="J606" s="297"/>
      <c r="K606" s="298" t="s">
        <v>1503</v>
      </c>
      <c r="L606" s="297"/>
      <c r="M606" s="297"/>
      <c r="N606" s="297"/>
      <c r="O606" s="239"/>
      <c r="P606" s="192"/>
      <c r="Q606" s="207">
        <f>H606</f>
        <v>67</v>
      </c>
      <c r="R606" s="197" t="str">
        <f>CONCATENATE("II-",TEXT(Q606,"0000"))</f>
        <v>II-0067</v>
      </c>
      <c r="S606" s="208" t="str">
        <f>K606</f>
        <v>PUENTE CANAL</v>
      </c>
    </row>
    <row r="607" spans="1:19" ht="15.75" thickBot="1" x14ac:dyDescent="0.25">
      <c r="A607" s="198"/>
      <c r="B607" s="188"/>
      <c r="C607" s="188"/>
      <c r="D607" s="215" t="s">
        <v>1235</v>
      </c>
      <c r="G607" s="192"/>
      <c r="H607" s="240"/>
      <c r="I607" s="241" t="s">
        <v>999</v>
      </c>
      <c r="J607" s="244"/>
      <c r="K607" s="280" t="s">
        <v>1504</v>
      </c>
      <c r="L607" s="244"/>
      <c r="M607" s="244"/>
      <c r="N607" s="244"/>
      <c r="O607" s="318" t="s">
        <v>1235</v>
      </c>
      <c r="P607" s="192"/>
      <c r="Q607" s="192"/>
      <c r="R607" s="192"/>
      <c r="S607" s="192"/>
    </row>
    <row r="608" spans="1:19" ht="15.75" thickTop="1" x14ac:dyDescent="0.2">
      <c r="A608" s="198">
        <v>68</v>
      </c>
      <c r="B608" s="188" t="s">
        <v>1505</v>
      </c>
      <c r="C608" s="188" t="s">
        <v>1506</v>
      </c>
      <c r="D608" s="215"/>
      <c r="G608" s="192"/>
      <c r="H608" s="236">
        <v>68</v>
      </c>
      <c r="I608" s="238"/>
      <c r="J608" s="249"/>
      <c r="K608" s="306" t="s">
        <v>1506</v>
      </c>
      <c r="L608" s="249"/>
      <c r="M608" s="249"/>
      <c r="N608" s="249"/>
      <c r="O608" s="260"/>
      <c r="P608" s="192"/>
      <c r="Q608" s="207">
        <f>H608</f>
        <v>68</v>
      </c>
      <c r="R608" s="197" t="str">
        <f>CONCATENATE("II-",TEXT(Q608,"0000"))</f>
        <v>II-0068</v>
      </c>
      <c r="S608" s="208" t="str">
        <f>K608</f>
        <v>REACONDICIONAMIENTO</v>
      </c>
    </row>
    <row r="609" spans="1:19" x14ac:dyDescent="0.2">
      <c r="A609" s="198"/>
      <c r="B609" s="188"/>
      <c r="C609" s="188"/>
      <c r="D609" s="215" t="s">
        <v>1235</v>
      </c>
      <c r="G609" s="192"/>
      <c r="H609" s="209"/>
      <c r="I609" s="344" t="s">
        <v>999</v>
      </c>
      <c r="J609" s="218"/>
      <c r="K609" s="219" t="s">
        <v>1052</v>
      </c>
      <c r="L609" s="218"/>
      <c r="M609" s="218"/>
      <c r="N609" s="218"/>
      <c r="O609" s="251" t="s">
        <v>1235</v>
      </c>
      <c r="P609" s="192"/>
      <c r="Q609" s="192"/>
      <c r="R609" s="192"/>
      <c r="S609" s="192"/>
    </row>
    <row r="610" spans="1:19" x14ac:dyDescent="0.2">
      <c r="A610" s="198"/>
      <c r="B610" s="188"/>
      <c r="C610" s="188"/>
      <c r="D610" s="215" t="s">
        <v>1110</v>
      </c>
      <c r="G610" s="192"/>
      <c r="H610" s="209"/>
      <c r="I610" s="210" t="s">
        <v>1026</v>
      </c>
      <c r="J610" s="257"/>
      <c r="K610" s="278" t="s">
        <v>1507</v>
      </c>
      <c r="L610" s="257"/>
      <c r="M610" s="257"/>
      <c r="N610" s="257"/>
      <c r="O610" s="292" t="s">
        <v>1110</v>
      </c>
      <c r="P610" s="192"/>
      <c r="Q610" s="192"/>
      <c r="R610" s="192"/>
      <c r="S610" s="192"/>
    </row>
    <row r="611" spans="1:19" ht="15.75" thickBot="1" x14ac:dyDescent="0.25">
      <c r="A611" s="198"/>
      <c r="B611" s="188"/>
      <c r="C611" s="188"/>
      <c r="D611" s="215" t="s">
        <v>1235</v>
      </c>
      <c r="G611" s="192"/>
      <c r="H611" s="209"/>
      <c r="I611" s="231" t="s">
        <v>1036</v>
      </c>
      <c r="J611" s="218"/>
      <c r="K611" s="296" t="s">
        <v>1508</v>
      </c>
      <c r="L611" s="218"/>
      <c r="M611" s="218"/>
      <c r="N611" s="218"/>
      <c r="O611" s="251" t="s">
        <v>1235</v>
      </c>
      <c r="P611" s="192"/>
      <c r="Q611" s="192"/>
      <c r="R611" s="192"/>
      <c r="S611" s="192"/>
    </row>
    <row r="612" spans="1:19" ht="15.75" thickTop="1" x14ac:dyDescent="0.2">
      <c r="A612" s="198">
        <v>69</v>
      </c>
      <c r="B612" s="188" t="s">
        <v>1509</v>
      </c>
      <c r="C612" s="188" t="s">
        <v>1510</v>
      </c>
      <c r="D612" s="215"/>
      <c r="G612" s="192"/>
      <c r="H612" s="287">
        <v>69</v>
      </c>
      <c r="I612" s="237"/>
      <c r="J612" s="297"/>
      <c r="K612" s="298" t="s">
        <v>1510</v>
      </c>
      <c r="L612" s="297"/>
      <c r="M612" s="297"/>
      <c r="N612" s="297"/>
      <c r="O612" s="239"/>
      <c r="P612" s="192"/>
      <c r="Q612" s="207">
        <f>H612</f>
        <v>69</v>
      </c>
      <c r="R612" s="197" t="str">
        <f>CONCATENATE("II-",TEXT(Q612,"0000"))</f>
        <v>II-0069</v>
      </c>
      <c r="S612" s="208" t="str">
        <f>K612</f>
        <v>RECICLADO DE PAVIMENTO</v>
      </c>
    </row>
    <row r="613" spans="1:19" x14ac:dyDescent="0.2">
      <c r="A613" s="198"/>
      <c r="B613" s="188"/>
      <c r="C613" s="188"/>
      <c r="D613" s="215" t="s">
        <v>1110</v>
      </c>
      <c r="G613" s="295"/>
      <c r="H613" s="362"/>
      <c r="I613" s="223" t="s">
        <v>999</v>
      </c>
      <c r="J613" s="257"/>
      <c r="K613" s="278" t="s">
        <v>1511</v>
      </c>
      <c r="L613" s="278"/>
      <c r="M613" s="278"/>
      <c r="N613" s="257"/>
      <c r="O613" s="292" t="s">
        <v>1110</v>
      </c>
      <c r="P613" s="295"/>
      <c r="Q613" s="295"/>
      <c r="R613" s="295"/>
      <c r="S613" s="295"/>
    </row>
    <row r="614" spans="1:19" x14ac:dyDescent="0.2">
      <c r="A614" s="198"/>
      <c r="B614" s="188"/>
      <c r="C614" s="188"/>
      <c r="D614" s="215"/>
      <c r="G614" s="295"/>
      <c r="H614" s="362"/>
      <c r="I614" s="210" t="s">
        <v>1026</v>
      </c>
      <c r="J614" s="216"/>
      <c r="K614" s="219" t="s">
        <v>1512</v>
      </c>
      <c r="L614" s="219"/>
      <c r="M614" s="219"/>
      <c r="N614" s="218"/>
      <c r="O614" s="251"/>
      <c r="P614" s="295"/>
      <c r="Q614" s="295"/>
      <c r="R614" s="295"/>
      <c r="S614" s="295"/>
    </row>
    <row r="615" spans="1:19" x14ac:dyDescent="0.2">
      <c r="A615" s="198"/>
      <c r="B615" s="188"/>
      <c r="C615" s="188"/>
      <c r="D615" s="215" t="s">
        <v>1110</v>
      </c>
      <c r="G615" s="295"/>
      <c r="H615" s="362"/>
      <c r="I615" s="215"/>
      <c r="J615" s="217">
        <v>1</v>
      </c>
      <c r="K615" s="219"/>
      <c r="L615" s="219" t="s">
        <v>1513</v>
      </c>
      <c r="M615" s="218"/>
      <c r="N615" s="218"/>
      <c r="O615" s="251" t="s">
        <v>1110</v>
      </c>
      <c r="P615" s="295"/>
      <c r="Q615" s="295"/>
      <c r="R615" s="295"/>
      <c r="S615" s="295"/>
    </row>
    <row r="616" spans="1:19" ht="15.75" thickBot="1" x14ac:dyDescent="0.25">
      <c r="A616" s="198"/>
      <c r="B616" s="188"/>
      <c r="C616" s="188"/>
      <c r="D616" s="215" t="s">
        <v>1110</v>
      </c>
      <c r="G616" s="295"/>
      <c r="H616" s="363"/>
      <c r="I616" s="313"/>
      <c r="J616" s="231">
        <v>2</v>
      </c>
      <c r="K616" s="233"/>
      <c r="L616" s="233" t="s">
        <v>1514</v>
      </c>
      <c r="M616" s="232"/>
      <c r="N616" s="232"/>
      <c r="O616" s="317" t="s">
        <v>1110</v>
      </c>
      <c r="P616" s="295"/>
      <c r="Q616" s="295"/>
      <c r="R616" s="295"/>
      <c r="S616" s="295"/>
    </row>
    <row r="617" spans="1:19" ht="16.5" thickTop="1" thickBot="1" x14ac:dyDescent="0.25">
      <c r="A617" s="198">
        <v>70</v>
      </c>
      <c r="B617" s="188" t="s">
        <v>1515</v>
      </c>
      <c r="C617" s="188" t="s">
        <v>1516</v>
      </c>
      <c r="D617" s="215" t="s">
        <v>1193</v>
      </c>
      <c r="G617" s="192"/>
      <c r="H617" s="236">
        <v>70</v>
      </c>
      <c r="I617" s="238"/>
      <c r="J617" s="249"/>
      <c r="K617" s="306" t="s">
        <v>1516</v>
      </c>
      <c r="L617" s="249"/>
      <c r="M617" s="249"/>
      <c r="N617" s="249"/>
      <c r="O617" s="260" t="s">
        <v>1193</v>
      </c>
      <c r="P617" s="192"/>
      <c r="Q617" s="207">
        <f t="shared" ref="Q617:Q618" si="60">H617</f>
        <v>70</v>
      </c>
      <c r="R617" s="197" t="str">
        <f t="shared" ref="R617:R618" si="61">CONCATENATE("II-",TEXT(Q617,"0000"))</f>
        <v>II-0070</v>
      </c>
      <c r="S617" s="208" t="str">
        <f t="shared" ref="S617:S618" si="62">K617</f>
        <v>RECLAMADO</v>
      </c>
    </row>
    <row r="618" spans="1:19" ht="15.75" thickTop="1" x14ac:dyDescent="0.2">
      <c r="A618" s="198">
        <v>71</v>
      </c>
      <c r="B618" s="188" t="s">
        <v>1517</v>
      </c>
      <c r="C618" s="188" t="s">
        <v>1518</v>
      </c>
      <c r="D618" s="215"/>
      <c r="G618" s="192"/>
      <c r="H618" s="287">
        <v>71</v>
      </c>
      <c r="I618" s="237"/>
      <c r="J618" s="297"/>
      <c r="K618" s="352" t="s">
        <v>1518</v>
      </c>
      <c r="L618" s="297"/>
      <c r="M618" s="297"/>
      <c r="N618" s="297"/>
      <c r="O618" s="239"/>
      <c r="P618" s="192"/>
      <c r="Q618" s="207">
        <f t="shared" si="60"/>
        <v>71</v>
      </c>
      <c r="R618" s="197" t="str">
        <f t="shared" si="61"/>
        <v>II-0071</v>
      </c>
      <c r="S618" s="208" t="str">
        <f t="shared" si="62"/>
        <v>RECUBRIMIENTO VEGETAL</v>
      </c>
    </row>
    <row r="619" spans="1:19" x14ac:dyDescent="0.2">
      <c r="A619" s="198"/>
      <c r="B619" s="188"/>
      <c r="C619" s="188"/>
      <c r="D619" s="215" t="s">
        <v>1193</v>
      </c>
      <c r="G619" s="192"/>
      <c r="H619" s="209"/>
      <c r="I619" s="210" t="s">
        <v>999</v>
      </c>
      <c r="J619" s="257"/>
      <c r="K619" s="278" t="s">
        <v>1299</v>
      </c>
      <c r="L619" s="278"/>
      <c r="M619" s="278"/>
      <c r="N619" s="257"/>
      <c r="O619" s="292" t="s">
        <v>1193</v>
      </c>
      <c r="P619" s="192"/>
      <c r="Q619" s="192"/>
      <c r="R619" s="192"/>
      <c r="S619" s="192"/>
    </row>
    <row r="620" spans="1:19" ht="15.75" thickBot="1" x14ac:dyDescent="0.25">
      <c r="A620" s="198"/>
      <c r="B620" s="188"/>
      <c r="C620" s="188"/>
      <c r="D620" s="215" t="s">
        <v>976</v>
      </c>
      <c r="G620" s="192"/>
      <c r="H620" s="209"/>
      <c r="I620" s="231" t="s">
        <v>1026</v>
      </c>
      <c r="J620" s="218"/>
      <c r="K620" s="233" t="s">
        <v>1301</v>
      </c>
      <c r="L620" s="219"/>
      <c r="M620" s="219"/>
      <c r="N620" s="218"/>
      <c r="O620" s="251" t="s">
        <v>976</v>
      </c>
      <c r="P620" s="192"/>
      <c r="Q620" s="192"/>
      <c r="R620" s="192"/>
      <c r="S620" s="192"/>
    </row>
    <row r="621" spans="1:19" ht="16.5" thickTop="1" thickBot="1" x14ac:dyDescent="0.25">
      <c r="A621" s="198">
        <v>72</v>
      </c>
      <c r="B621" s="188" t="s">
        <v>1519</v>
      </c>
      <c r="C621" s="188" t="s">
        <v>1520</v>
      </c>
      <c r="D621" s="215" t="s">
        <v>5</v>
      </c>
      <c r="G621" s="192"/>
      <c r="H621" s="299">
        <v>72</v>
      </c>
      <c r="I621" s="300"/>
      <c r="J621" s="301"/>
      <c r="K621" s="302" t="s">
        <v>1520</v>
      </c>
      <c r="L621" s="301"/>
      <c r="M621" s="301"/>
      <c r="N621" s="301"/>
      <c r="O621" s="303" t="s">
        <v>5</v>
      </c>
      <c r="P621" s="192"/>
      <c r="Q621" s="207">
        <f>H621</f>
        <v>72</v>
      </c>
      <c r="R621" s="197" t="str">
        <f>CONCATENATE("II-",TEXT(Q621,"0000"))</f>
        <v>II-0072</v>
      </c>
      <c r="S621" s="208" t="str">
        <f>K621</f>
        <v>RESTITUCION DE GALIVO</v>
      </c>
    </row>
    <row r="622" spans="1:19" x14ac:dyDescent="0.2">
      <c r="A622" s="198"/>
      <c r="B622" s="188"/>
      <c r="C622" s="188"/>
      <c r="D622" s="215"/>
      <c r="G622" s="295"/>
      <c r="H622" s="304"/>
      <c r="I622" s="215"/>
      <c r="J622" s="295"/>
      <c r="K622" s="296"/>
      <c r="L622" s="295"/>
      <c r="M622" s="295"/>
      <c r="N622" s="295"/>
      <c r="O622" s="305"/>
      <c r="P622" s="295"/>
      <c r="Q622" s="295"/>
      <c r="R622" s="295"/>
      <c r="S622" s="295"/>
    </row>
    <row r="623" spans="1:19" x14ac:dyDescent="0.2">
      <c r="A623" s="198"/>
      <c r="B623" s="188"/>
      <c r="C623" s="188"/>
      <c r="D623" s="215"/>
      <c r="G623" s="295"/>
      <c r="H623" s="304"/>
      <c r="I623" s="215"/>
      <c r="J623" s="295"/>
      <c r="K623" s="296"/>
      <c r="L623" s="295"/>
      <c r="M623" s="295"/>
      <c r="N623" s="295"/>
      <c r="O623" s="305"/>
      <c r="P623" s="295"/>
      <c r="Q623" s="295"/>
      <c r="R623" s="295"/>
      <c r="S623" s="295"/>
    </row>
    <row r="624" spans="1:19" x14ac:dyDescent="0.2">
      <c r="A624" s="198"/>
      <c r="B624" s="188"/>
      <c r="C624" s="188"/>
      <c r="D624" s="215"/>
      <c r="G624" s="192"/>
      <c r="H624" s="236">
        <v>73</v>
      </c>
      <c r="I624" s="238"/>
      <c r="J624" s="249"/>
      <c r="K624" s="306" t="s">
        <v>1521</v>
      </c>
      <c r="L624" s="249"/>
      <c r="M624" s="249"/>
      <c r="N624" s="249"/>
      <c r="O624" s="260"/>
      <c r="P624" s="192"/>
      <c r="Q624" s="192"/>
      <c r="R624" s="192"/>
      <c r="S624" s="192"/>
    </row>
    <row r="625" spans="1:19" x14ac:dyDescent="0.2">
      <c r="A625" s="198"/>
      <c r="B625" s="188"/>
      <c r="C625" s="188"/>
      <c r="D625" s="215"/>
      <c r="G625" s="271"/>
      <c r="H625" s="362"/>
      <c r="I625" s="210" t="s">
        <v>999</v>
      </c>
      <c r="J625" s="213"/>
      <c r="K625" s="219" t="s">
        <v>1476</v>
      </c>
      <c r="L625" s="219"/>
      <c r="M625" s="219"/>
      <c r="N625" s="218"/>
      <c r="O625" s="251"/>
      <c r="P625" s="271"/>
      <c r="Q625" s="271"/>
      <c r="R625" s="271"/>
      <c r="S625" s="271"/>
    </row>
    <row r="626" spans="1:19" x14ac:dyDescent="0.2">
      <c r="A626" s="198"/>
      <c r="B626" s="188"/>
      <c r="C626" s="188"/>
      <c r="D626" s="215" t="s">
        <v>1193</v>
      </c>
      <c r="G626" s="271"/>
      <c r="H626" s="362"/>
      <c r="I626" s="216"/>
      <c r="J626" s="217">
        <v>1</v>
      </c>
      <c r="K626" s="219"/>
      <c r="L626" s="219" t="s">
        <v>1304</v>
      </c>
      <c r="M626" s="219"/>
      <c r="N626" s="218"/>
      <c r="O626" s="251" t="s">
        <v>1193</v>
      </c>
      <c r="P626" s="271"/>
      <c r="Q626" s="271"/>
      <c r="R626" s="271"/>
      <c r="S626" s="271"/>
    </row>
    <row r="627" spans="1:19" x14ac:dyDescent="0.2">
      <c r="A627" s="198"/>
      <c r="B627" s="188"/>
      <c r="C627" s="188"/>
      <c r="D627" s="215" t="s">
        <v>1193</v>
      </c>
      <c r="G627" s="271"/>
      <c r="H627" s="362"/>
      <c r="I627" s="215"/>
      <c r="J627" s="217">
        <v>2</v>
      </c>
      <c r="K627" s="219"/>
      <c r="L627" s="219" t="s">
        <v>1522</v>
      </c>
      <c r="M627" s="218"/>
      <c r="N627" s="218"/>
      <c r="O627" s="251" t="s">
        <v>1193</v>
      </c>
      <c r="P627" s="271"/>
      <c r="Q627" s="271"/>
      <c r="R627" s="271"/>
      <c r="S627" s="271"/>
    </row>
    <row r="628" spans="1:19" x14ac:dyDescent="0.2">
      <c r="A628" s="198"/>
      <c r="B628" s="188"/>
      <c r="C628" s="188"/>
      <c r="D628" s="215" t="s">
        <v>1193</v>
      </c>
      <c r="G628" s="271"/>
      <c r="H628" s="362"/>
      <c r="I628" s="215"/>
      <c r="J628" s="217">
        <v>3</v>
      </c>
      <c r="K628" s="219"/>
      <c r="L628" s="219" t="s">
        <v>1523</v>
      </c>
      <c r="M628" s="218"/>
      <c r="N628" s="218"/>
      <c r="O628" s="251" t="s">
        <v>1193</v>
      </c>
      <c r="P628" s="271"/>
      <c r="Q628" s="271"/>
      <c r="R628" s="271"/>
      <c r="S628" s="271"/>
    </row>
    <row r="629" spans="1:19" x14ac:dyDescent="0.2">
      <c r="A629" s="198"/>
      <c r="B629" s="188"/>
      <c r="C629" s="188"/>
      <c r="D629" s="215" t="s">
        <v>1193</v>
      </c>
      <c r="G629" s="271"/>
      <c r="H629" s="362"/>
      <c r="I629" s="215"/>
      <c r="J629" s="307">
        <v>4</v>
      </c>
      <c r="K629" s="219"/>
      <c r="L629" s="219" t="s">
        <v>1524</v>
      </c>
      <c r="M629" s="218"/>
      <c r="N629" s="218"/>
      <c r="O629" s="251" t="s">
        <v>1193</v>
      </c>
      <c r="P629" s="271"/>
      <c r="Q629" s="271"/>
      <c r="R629" s="271"/>
      <c r="S629" s="271"/>
    </row>
    <row r="630" spans="1:19" x14ac:dyDescent="0.2">
      <c r="A630" s="198"/>
      <c r="B630" s="188"/>
      <c r="C630" s="188"/>
      <c r="D630" s="215" t="s">
        <v>1193</v>
      </c>
      <c r="G630" s="271"/>
      <c r="H630" s="362"/>
      <c r="I630" s="215"/>
      <c r="J630" s="307">
        <v>5</v>
      </c>
      <c r="K630" s="219"/>
      <c r="L630" s="219" t="s">
        <v>1525</v>
      </c>
      <c r="M630" s="218"/>
      <c r="N630" s="218"/>
      <c r="O630" s="251" t="s">
        <v>1193</v>
      </c>
      <c r="P630" s="271"/>
      <c r="Q630" s="271"/>
      <c r="R630" s="271"/>
      <c r="S630" s="271"/>
    </row>
    <row r="631" spans="1:19" x14ac:dyDescent="0.2">
      <c r="A631" s="198"/>
      <c r="B631" s="188"/>
      <c r="C631" s="188"/>
      <c r="D631" s="215" t="s">
        <v>1193</v>
      </c>
      <c r="G631" s="192"/>
      <c r="H631" s="358"/>
      <c r="I631" s="210" t="s">
        <v>1026</v>
      </c>
      <c r="J631" s="257"/>
      <c r="K631" s="278" t="s">
        <v>1298</v>
      </c>
      <c r="L631" s="257"/>
      <c r="M631" s="257"/>
      <c r="N631" s="257"/>
      <c r="O631" s="292" t="s">
        <v>1193</v>
      </c>
      <c r="P631" s="192"/>
      <c r="Q631" s="219"/>
      <c r="R631" s="192"/>
      <c r="S631" s="192"/>
    </row>
    <row r="632" spans="1:19" x14ac:dyDescent="0.2">
      <c r="A632" s="198"/>
      <c r="B632" s="188"/>
      <c r="C632" s="188"/>
      <c r="D632" s="215"/>
      <c r="G632" s="192"/>
      <c r="H632" s="358"/>
      <c r="I632" s="210" t="s">
        <v>1036</v>
      </c>
      <c r="J632" s="216"/>
      <c r="K632" s="219" t="s">
        <v>1319</v>
      </c>
      <c r="L632" s="219"/>
      <c r="M632" s="218"/>
      <c r="N632" s="218"/>
      <c r="O632" s="251"/>
      <c r="P632" s="192"/>
      <c r="Q632" s="192"/>
      <c r="R632" s="192"/>
      <c r="S632" s="192"/>
    </row>
    <row r="633" spans="1:19" x14ac:dyDescent="0.2">
      <c r="A633" s="198"/>
      <c r="B633" s="188"/>
      <c r="C633" s="188"/>
      <c r="D633" s="215" t="s">
        <v>1193</v>
      </c>
      <c r="G633" s="192"/>
      <c r="H633" s="358"/>
      <c r="I633" s="216"/>
      <c r="J633" s="217">
        <v>1</v>
      </c>
      <c r="K633" s="219"/>
      <c r="L633" s="219" t="s">
        <v>1304</v>
      </c>
      <c r="M633" s="218"/>
      <c r="N633" s="218"/>
      <c r="O633" s="251" t="s">
        <v>1193</v>
      </c>
      <c r="P633" s="192"/>
      <c r="Q633" s="192"/>
      <c r="R633" s="192"/>
      <c r="S633" s="192"/>
    </row>
    <row r="634" spans="1:19" x14ac:dyDescent="0.2">
      <c r="A634" s="198"/>
      <c r="B634" s="188"/>
      <c r="C634" s="188"/>
      <c r="D634" s="215" t="s">
        <v>1193</v>
      </c>
      <c r="G634" s="192"/>
      <c r="H634" s="358"/>
      <c r="I634" s="216"/>
      <c r="J634" s="217">
        <v>2</v>
      </c>
      <c r="K634" s="219"/>
      <c r="L634" s="219" t="s">
        <v>1522</v>
      </c>
      <c r="M634" s="218"/>
      <c r="N634" s="218"/>
      <c r="O634" s="251" t="s">
        <v>1193</v>
      </c>
      <c r="P634" s="192"/>
      <c r="Q634" s="192"/>
      <c r="R634" s="192"/>
      <c r="S634" s="192"/>
    </row>
    <row r="635" spans="1:19" x14ac:dyDescent="0.2">
      <c r="A635" s="198"/>
      <c r="B635" s="188"/>
      <c r="C635" s="188"/>
      <c r="D635" s="215" t="s">
        <v>1193</v>
      </c>
      <c r="G635" s="192"/>
      <c r="H635" s="358"/>
      <c r="I635" s="216"/>
      <c r="J635" s="217">
        <v>3</v>
      </c>
      <c r="K635" s="219"/>
      <c r="L635" s="219" t="s">
        <v>1523</v>
      </c>
      <c r="M635" s="218"/>
      <c r="N635" s="218"/>
      <c r="O635" s="251" t="s">
        <v>1193</v>
      </c>
      <c r="P635" s="192"/>
      <c r="Q635" s="192"/>
      <c r="R635" s="192"/>
      <c r="S635" s="192"/>
    </row>
    <row r="636" spans="1:19" x14ac:dyDescent="0.2">
      <c r="A636" s="198"/>
      <c r="B636" s="188"/>
      <c r="C636" s="188"/>
      <c r="D636" s="215" t="s">
        <v>1193</v>
      </c>
      <c r="G636" s="192"/>
      <c r="H636" s="358"/>
      <c r="I636" s="216"/>
      <c r="J636" s="307">
        <v>4</v>
      </c>
      <c r="K636" s="219"/>
      <c r="L636" s="219" t="s">
        <v>1524</v>
      </c>
      <c r="M636" s="218"/>
      <c r="N636" s="218"/>
      <c r="O636" s="251" t="s">
        <v>1193</v>
      </c>
      <c r="P636" s="192"/>
      <c r="Q636" s="192"/>
      <c r="R636" s="192"/>
      <c r="S636" s="192"/>
    </row>
    <row r="637" spans="1:19" x14ac:dyDescent="0.2">
      <c r="A637" s="198"/>
      <c r="B637" s="188"/>
      <c r="C637" s="188"/>
      <c r="D637" s="215" t="s">
        <v>1193</v>
      </c>
      <c r="G637" s="192"/>
      <c r="H637" s="358"/>
      <c r="I637" s="269"/>
      <c r="J637" s="308">
        <v>5</v>
      </c>
      <c r="K637" s="225"/>
      <c r="L637" s="225" t="s">
        <v>1525</v>
      </c>
      <c r="M637" s="224"/>
      <c r="N637" s="224"/>
      <c r="O637" s="270" t="s">
        <v>1193</v>
      </c>
      <c r="P637" s="192"/>
      <c r="Q637" s="192"/>
      <c r="R637" s="192"/>
      <c r="S637" s="192"/>
    </row>
    <row r="638" spans="1:19" ht="15.75" thickBot="1" x14ac:dyDescent="0.25">
      <c r="A638" s="198"/>
      <c r="B638" s="188"/>
      <c r="C638" s="188"/>
      <c r="D638" s="215" t="s">
        <v>1193</v>
      </c>
      <c r="G638" s="192"/>
      <c r="H638" s="358"/>
      <c r="I638" s="231" t="s">
        <v>1062</v>
      </c>
      <c r="J638" s="215"/>
      <c r="K638" s="219" t="s">
        <v>1301</v>
      </c>
      <c r="L638" s="219"/>
      <c r="M638" s="218"/>
      <c r="N638" s="218"/>
      <c r="O638" s="251" t="s">
        <v>1193</v>
      </c>
      <c r="P638" s="192"/>
      <c r="Q638" s="192"/>
      <c r="R638" s="192"/>
      <c r="S638" s="192"/>
    </row>
    <row r="639" spans="1:19" ht="15.75" thickTop="1" x14ac:dyDescent="0.2">
      <c r="A639" s="198">
        <v>74</v>
      </c>
      <c r="B639" s="188" t="s">
        <v>1526</v>
      </c>
      <c r="C639" s="188" t="s">
        <v>1527</v>
      </c>
      <c r="D639" s="215"/>
      <c r="G639" s="192"/>
      <c r="H639" s="287">
        <v>74</v>
      </c>
      <c r="I639" s="237"/>
      <c r="J639" s="297"/>
      <c r="K639" s="298" t="s">
        <v>1527</v>
      </c>
      <c r="L639" s="297"/>
      <c r="M639" s="297"/>
      <c r="N639" s="297"/>
      <c r="O639" s="239"/>
      <c r="P639" s="192"/>
      <c r="Q639" s="207">
        <f>H639</f>
        <v>74</v>
      </c>
      <c r="R639" s="197" t="str">
        <f>CONCATENATE("II-",TEXT(Q639,"0000"))</f>
        <v>II-0074</v>
      </c>
      <c r="S639" s="208" t="str">
        <f>K639</f>
        <v>RIEGO</v>
      </c>
    </row>
    <row r="640" spans="1:19" x14ac:dyDescent="0.2">
      <c r="A640" s="198"/>
      <c r="B640" s="188"/>
      <c r="C640" s="188"/>
      <c r="D640" s="215" t="s">
        <v>1193</v>
      </c>
      <c r="G640" s="192"/>
      <c r="H640" s="209"/>
      <c r="I640" s="210" t="s">
        <v>999</v>
      </c>
      <c r="J640" s="257"/>
      <c r="K640" s="278" t="s">
        <v>1528</v>
      </c>
      <c r="L640" s="257"/>
      <c r="M640" s="257"/>
      <c r="N640" s="257"/>
      <c r="O640" s="292" t="s">
        <v>1193</v>
      </c>
      <c r="P640" s="192"/>
      <c r="Q640" s="192"/>
      <c r="R640" s="192"/>
      <c r="S640" s="192"/>
    </row>
    <row r="641" spans="1:19" ht="15.75" thickBot="1" x14ac:dyDescent="0.25">
      <c r="A641" s="198"/>
      <c r="B641" s="188"/>
      <c r="C641" s="188"/>
      <c r="D641" s="215" t="s">
        <v>1193</v>
      </c>
      <c r="G641" s="192"/>
      <c r="H641" s="229"/>
      <c r="I641" s="231" t="s">
        <v>1026</v>
      </c>
      <c r="J641" s="232"/>
      <c r="K641" s="233" t="s">
        <v>1529</v>
      </c>
      <c r="L641" s="232"/>
      <c r="M641" s="232"/>
      <c r="N641" s="232"/>
      <c r="O641" s="317" t="s">
        <v>1193</v>
      </c>
      <c r="P641" s="192"/>
      <c r="Q641" s="192"/>
      <c r="R641" s="192"/>
      <c r="S641" s="192"/>
    </row>
    <row r="642" spans="1:19" ht="15.75" thickTop="1" x14ac:dyDescent="0.2">
      <c r="A642" s="198">
        <v>75</v>
      </c>
      <c r="B642" s="188" t="s">
        <v>1530</v>
      </c>
      <c r="C642" s="188" t="s">
        <v>1531</v>
      </c>
      <c r="D642" s="215"/>
      <c r="G642" s="271"/>
      <c r="H642" s="236">
        <v>75</v>
      </c>
      <c r="I642" s="238"/>
      <c r="J642" s="249"/>
      <c r="K642" s="306" t="s">
        <v>1531</v>
      </c>
      <c r="L642" s="249"/>
      <c r="M642" s="249"/>
      <c r="N642" s="249"/>
      <c r="O642" s="260"/>
      <c r="P642" s="192"/>
      <c r="Q642" s="207">
        <f>H642</f>
        <v>75</v>
      </c>
      <c r="R642" s="197" t="str">
        <f>CONCATENATE("II-",TEXT(Q642,"0000"))</f>
        <v>II-0075</v>
      </c>
      <c r="S642" s="208" t="str">
        <f>K642</f>
        <v>SALTO</v>
      </c>
    </row>
    <row r="643" spans="1:19" x14ac:dyDescent="0.2">
      <c r="A643" s="198"/>
      <c r="B643" s="188"/>
      <c r="C643" s="188"/>
      <c r="D643" s="215" t="s">
        <v>1235</v>
      </c>
      <c r="G643" s="192"/>
      <c r="H643" s="209"/>
      <c r="I643" s="210" t="s">
        <v>999</v>
      </c>
      <c r="J643" s="257"/>
      <c r="K643" s="278" t="s">
        <v>1532</v>
      </c>
      <c r="L643" s="257"/>
      <c r="M643" s="257"/>
      <c r="N643" s="257"/>
      <c r="O643" s="292" t="s">
        <v>1235</v>
      </c>
      <c r="P643" s="192"/>
      <c r="Q643" s="192"/>
      <c r="R643" s="192"/>
      <c r="S643" s="192"/>
    </row>
    <row r="644" spans="1:19" ht="15.75" thickBot="1" x14ac:dyDescent="0.25">
      <c r="A644" s="198"/>
      <c r="B644" s="188"/>
      <c r="C644" s="188"/>
      <c r="D644" s="215" t="s">
        <v>1235</v>
      </c>
      <c r="G644" s="192"/>
      <c r="H644" s="209"/>
      <c r="I644" s="231" t="s">
        <v>1026</v>
      </c>
      <c r="J644" s="218"/>
      <c r="K644" s="219" t="s">
        <v>1231</v>
      </c>
      <c r="L644" s="218"/>
      <c r="M644" s="218"/>
      <c r="N644" s="218"/>
      <c r="O644" s="251" t="s">
        <v>1235</v>
      </c>
      <c r="P644" s="192"/>
      <c r="Q644" s="192"/>
      <c r="R644" s="192"/>
      <c r="S644" s="192"/>
    </row>
    <row r="645" spans="1:19" ht="16.5" thickTop="1" thickBot="1" x14ac:dyDescent="0.25">
      <c r="A645" s="198">
        <v>76</v>
      </c>
      <c r="B645" s="188" t="s">
        <v>1533</v>
      </c>
      <c r="C645" s="188" t="s">
        <v>1534</v>
      </c>
      <c r="D645" s="215" t="s">
        <v>714</v>
      </c>
      <c r="G645" s="192"/>
      <c r="H645" s="287">
        <v>76</v>
      </c>
      <c r="I645" s="237"/>
      <c r="J645" s="297"/>
      <c r="K645" s="298" t="s">
        <v>1534</v>
      </c>
      <c r="L645" s="297"/>
      <c r="M645" s="297"/>
      <c r="N645" s="297"/>
      <c r="O645" s="239" t="s">
        <v>714</v>
      </c>
      <c r="P645" s="192"/>
      <c r="Q645" s="207">
        <f t="shared" ref="Q645:Q646" si="63">H645</f>
        <v>76</v>
      </c>
      <c r="R645" s="197" t="str">
        <f t="shared" ref="R645:R646" si="64">CONCATENATE("II-",TEXT(Q645,"0000"))</f>
        <v>II-0076</v>
      </c>
      <c r="S645" s="208" t="str">
        <f t="shared" ref="S645:S646" si="65">K645</f>
        <v>SELLADO DE FISURA</v>
      </c>
    </row>
    <row r="646" spans="1:19" ht="15.75" thickTop="1" x14ac:dyDescent="0.2">
      <c r="A646" s="198">
        <v>77</v>
      </c>
      <c r="B646" s="188" t="s">
        <v>1535</v>
      </c>
      <c r="C646" s="188" t="s">
        <v>1536</v>
      </c>
      <c r="D646" s="215"/>
      <c r="G646" s="192"/>
      <c r="H646" s="287">
        <v>77</v>
      </c>
      <c r="I646" s="237"/>
      <c r="J646" s="297"/>
      <c r="K646" s="298" t="s">
        <v>1536</v>
      </c>
      <c r="L646" s="297"/>
      <c r="M646" s="297"/>
      <c r="N646" s="297"/>
      <c r="O646" s="239"/>
      <c r="P646" s="192"/>
      <c r="Q646" s="207">
        <f t="shared" si="63"/>
        <v>77</v>
      </c>
      <c r="R646" s="197" t="str">
        <f t="shared" si="64"/>
        <v>II-0077</v>
      </c>
      <c r="S646" s="208" t="str">
        <f t="shared" si="65"/>
        <v>SIFON</v>
      </c>
    </row>
    <row r="647" spans="1:19" ht="15.75" thickBot="1" x14ac:dyDescent="0.25">
      <c r="A647" s="198"/>
      <c r="B647" s="188"/>
      <c r="C647" s="188"/>
      <c r="D647" s="215" t="s">
        <v>5</v>
      </c>
      <c r="G647" s="192"/>
      <c r="H647" s="209"/>
      <c r="I647" s="241" t="s">
        <v>999</v>
      </c>
      <c r="J647" s="218"/>
      <c r="K647" s="219" t="s">
        <v>1537</v>
      </c>
      <c r="L647" s="218"/>
      <c r="M647" s="218"/>
      <c r="N647" s="218"/>
      <c r="O647" s="251" t="s">
        <v>5</v>
      </c>
      <c r="P647" s="192"/>
      <c r="Q647" s="192"/>
      <c r="R647" s="192"/>
      <c r="S647" s="192"/>
    </row>
    <row r="648" spans="1:19" ht="15.75" thickTop="1" x14ac:dyDescent="0.2">
      <c r="A648" s="198">
        <v>78</v>
      </c>
      <c r="B648" s="188" t="s">
        <v>1538</v>
      </c>
      <c r="C648" s="188" t="s">
        <v>1539</v>
      </c>
      <c r="D648" s="215"/>
      <c r="G648" s="271"/>
      <c r="H648" s="287">
        <v>78</v>
      </c>
      <c r="I648" s="237"/>
      <c r="J648" s="297"/>
      <c r="K648" s="298" t="s">
        <v>1539</v>
      </c>
      <c r="L648" s="297"/>
      <c r="M648" s="297"/>
      <c r="N648" s="297"/>
      <c r="O648" s="239"/>
      <c r="P648" s="192"/>
      <c r="Q648" s="207">
        <f>H648</f>
        <v>78</v>
      </c>
      <c r="R648" s="197" t="str">
        <f>CONCATENATE("II-",TEXT(Q648,"0000"))</f>
        <v>II-0078</v>
      </c>
      <c r="S648" s="208" t="str">
        <f>K648</f>
        <v>SUB BASE</v>
      </c>
    </row>
    <row r="649" spans="1:19" x14ac:dyDescent="0.2">
      <c r="A649" s="198"/>
      <c r="B649" s="188"/>
      <c r="C649" s="188"/>
      <c r="D649" s="215" t="s">
        <v>1110</v>
      </c>
      <c r="G649" s="271"/>
      <c r="H649" s="293"/>
      <c r="I649" s="364" t="s">
        <v>999</v>
      </c>
      <c r="J649" s="295"/>
      <c r="K649" s="296" t="s">
        <v>1258</v>
      </c>
      <c r="L649" s="295"/>
      <c r="M649" s="295"/>
      <c r="N649" s="295"/>
      <c r="O649" s="282" t="s">
        <v>1110</v>
      </c>
      <c r="P649" s="271"/>
      <c r="Q649" s="271"/>
      <c r="R649" s="271"/>
      <c r="S649" s="271"/>
    </row>
    <row r="650" spans="1:19" x14ac:dyDescent="0.2">
      <c r="A650" s="198"/>
      <c r="B650" s="188"/>
      <c r="C650" s="188"/>
      <c r="D650" s="215" t="s">
        <v>1110</v>
      </c>
      <c r="G650" s="192"/>
      <c r="H650" s="209"/>
      <c r="I650" s="210" t="s">
        <v>1026</v>
      </c>
      <c r="J650" s="345"/>
      <c r="K650" s="278" t="s">
        <v>1368</v>
      </c>
      <c r="L650" s="278"/>
      <c r="M650" s="257"/>
      <c r="N650" s="257"/>
      <c r="O650" s="292" t="s">
        <v>1110</v>
      </c>
      <c r="P650" s="192"/>
      <c r="Q650" s="192"/>
      <c r="R650" s="192"/>
      <c r="S650" s="192"/>
    </row>
    <row r="651" spans="1:19" x14ac:dyDescent="0.2">
      <c r="A651" s="198"/>
      <c r="B651" s="188"/>
      <c r="C651" s="188"/>
      <c r="D651" s="215"/>
      <c r="G651" s="192"/>
      <c r="H651" s="209"/>
      <c r="I651" s="223" t="s">
        <v>1036</v>
      </c>
      <c r="J651" s="216"/>
      <c r="K651" s="219" t="s">
        <v>1255</v>
      </c>
      <c r="L651" s="219"/>
      <c r="M651" s="218"/>
      <c r="N651" s="218"/>
      <c r="O651" s="251"/>
      <c r="P651" s="192"/>
      <c r="Q651" s="192"/>
      <c r="R651" s="192"/>
      <c r="S651" s="192"/>
    </row>
    <row r="652" spans="1:19" x14ac:dyDescent="0.2">
      <c r="A652" s="198"/>
      <c r="B652" s="188"/>
      <c r="C652" s="188"/>
      <c r="D652" s="215" t="s">
        <v>1110</v>
      </c>
      <c r="G652" s="192"/>
      <c r="H652" s="209"/>
      <c r="I652" s="216"/>
      <c r="J652" s="217">
        <v>1</v>
      </c>
      <c r="K652" s="219"/>
      <c r="L652" s="219" t="s">
        <v>1540</v>
      </c>
      <c r="M652" s="218"/>
      <c r="N652" s="218"/>
      <c r="O652" s="251" t="s">
        <v>1110</v>
      </c>
      <c r="P652" s="192"/>
      <c r="Q652" s="192"/>
      <c r="R652" s="192"/>
      <c r="S652" s="192"/>
    </row>
    <row r="653" spans="1:19" x14ac:dyDescent="0.2">
      <c r="A653" s="198"/>
      <c r="B653" s="188"/>
      <c r="C653" s="188"/>
      <c r="D653" s="215" t="s">
        <v>1110</v>
      </c>
      <c r="G653" s="192"/>
      <c r="H653" s="209"/>
      <c r="I653" s="216"/>
      <c r="J653" s="217">
        <v>2</v>
      </c>
      <c r="K653" s="219"/>
      <c r="L653" s="219" t="s">
        <v>1541</v>
      </c>
      <c r="M653" s="218"/>
      <c r="N653" s="218"/>
      <c r="O653" s="251" t="s">
        <v>1110</v>
      </c>
      <c r="P653" s="192"/>
      <c r="Q653" s="192"/>
      <c r="R653" s="192"/>
      <c r="S653" s="192"/>
    </row>
    <row r="654" spans="1:19" x14ac:dyDescent="0.2">
      <c r="A654" s="198"/>
      <c r="B654" s="188"/>
      <c r="C654" s="188"/>
      <c r="D654" s="215" t="s">
        <v>1110</v>
      </c>
      <c r="G654" s="192"/>
      <c r="H654" s="209"/>
      <c r="I654" s="216"/>
      <c r="J654" s="223">
        <v>3</v>
      </c>
      <c r="K654" s="218"/>
      <c r="L654" s="219" t="s">
        <v>1255</v>
      </c>
      <c r="M654" s="218"/>
      <c r="N654" s="218"/>
      <c r="O654" s="251" t="s">
        <v>1110</v>
      </c>
      <c r="P654" s="192"/>
      <c r="Q654" s="192"/>
      <c r="R654" s="192"/>
      <c r="S654" s="192"/>
    </row>
    <row r="655" spans="1:19" x14ac:dyDescent="0.2">
      <c r="A655" s="198"/>
      <c r="B655" s="188"/>
      <c r="C655" s="188"/>
      <c r="D655" s="215" t="s">
        <v>1110</v>
      </c>
      <c r="G655" s="192"/>
      <c r="H655" s="209"/>
      <c r="I655" s="210" t="s">
        <v>1062</v>
      </c>
      <c r="J655" s="345"/>
      <c r="K655" s="278" t="s">
        <v>1194</v>
      </c>
      <c r="L655" s="278"/>
      <c r="M655" s="257"/>
      <c r="N655" s="257"/>
      <c r="O655" s="292" t="s">
        <v>1110</v>
      </c>
      <c r="P655" s="192"/>
      <c r="Q655" s="192"/>
      <c r="R655" s="192"/>
      <c r="S655" s="192"/>
    </row>
    <row r="656" spans="1:19" x14ac:dyDescent="0.2">
      <c r="A656" s="198"/>
      <c r="B656" s="188"/>
      <c r="C656" s="188"/>
      <c r="D656" s="215" t="s">
        <v>1110</v>
      </c>
      <c r="G656" s="192"/>
      <c r="H656" s="209"/>
      <c r="I656" s="217" t="s">
        <v>1104</v>
      </c>
      <c r="J656" s="216"/>
      <c r="K656" s="219" t="s">
        <v>1197</v>
      </c>
      <c r="L656" s="219"/>
      <c r="M656" s="218"/>
      <c r="N656" s="218"/>
      <c r="O656" s="251" t="s">
        <v>1110</v>
      </c>
      <c r="P656" s="192"/>
      <c r="Q656" s="192"/>
      <c r="R656" s="192"/>
      <c r="S656" s="192"/>
    </row>
    <row r="657" spans="1:19" x14ac:dyDescent="0.2">
      <c r="A657" s="198"/>
      <c r="B657" s="188"/>
      <c r="C657" s="188"/>
      <c r="D657" s="215" t="s">
        <v>1110</v>
      </c>
      <c r="G657" s="192"/>
      <c r="H657" s="209"/>
      <c r="I657" s="210" t="s">
        <v>1107</v>
      </c>
      <c r="J657" s="345"/>
      <c r="K657" s="324" t="s">
        <v>1259</v>
      </c>
      <c r="L657" s="278"/>
      <c r="M657" s="257"/>
      <c r="N657" s="257"/>
      <c r="O657" s="292" t="s">
        <v>1110</v>
      </c>
      <c r="P657" s="192"/>
      <c r="Q657" s="192"/>
      <c r="R657" s="192"/>
      <c r="S657" s="192"/>
    </row>
    <row r="658" spans="1:19" ht="15.75" thickBot="1" x14ac:dyDescent="0.25">
      <c r="A658" s="198"/>
      <c r="B658" s="188"/>
      <c r="C658" s="188"/>
      <c r="D658" s="215" t="s">
        <v>1110</v>
      </c>
      <c r="G658" s="192"/>
      <c r="H658" s="229"/>
      <c r="I658" s="231" t="s">
        <v>1111</v>
      </c>
      <c r="J658" s="230"/>
      <c r="K658" s="233" t="s">
        <v>1200</v>
      </c>
      <c r="L658" s="233"/>
      <c r="M658" s="232"/>
      <c r="N658" s="232"/>
      <c r="O658" s="317" t="s">
        <v>1110</v>
      </c>
      <c r="P658" s="192"/>
      <c r="Q658" s="192"/>
      <c r="R658" s="192"/>
      <c r="S658" s="192"/>
    </row>
    <row r="659" spans="1:19" ht="15.75" thickTop="1" x14ac:dyDescent="0.2">
      <c r="A659" s="198">
        <v>79</v>
      </c>
      <c r="B659" s="188" t="s">
        <v>1542</v>
      </c>
      <c r="C659" s="188" t="s">
        <v>1365</v>
      </c>
      <c r="D659" s="215"/>
      <c r="G659" s="192"/>
      <c r="H659" s="236">
        <v>79</v>
      </c>
      <c r="I659" s="238"/>
      <c r="J659" s="249"/>
      <c r="K659" s="290" t="s">
        <v>1365</v>
      </c>
      <c r="L659" s="249"/>
      <c r="M659" s="249"/>
      <c r="N659" s="249"/>
      <c r="O659" s="260"/>
      <c r="P659" s="192"/>
      <c r="Q659" s="207">
        <f>H659</f>
        <v>79</v>
      </c>
      <c r="R659" s="197" t="str">
        <f>CONCATENATE("II-",TEXT(Q659,"0000"))</f>
        <v>II-0079</v>
      </c>
      <c r="S659" s="208" t="str">
        <f>K659</f>
        <v>SUELO</v>
      </c>
    </row>
    <row r="660" spans="1:19" x14ac:dyDescent="0.2">
      <c r="A660" s="198"/>
      <c r="B660" s="188"/>
      <c r="C660" s="188"/>
      <c r="D660" s="215" t="s">
        <v>1110</v>
      </c>
      <c r="G660" s="192"/>
      <c r="H660" s="209"/>
      <c r="I660" s="344" t="s">
        <v>999</v>
      </c>
      <c r="J660" s="218"/>
      <c r="K660" s="278" t="s">
        <v>1543</v>
      </c>
      <c r="L660" s="219"/>
      <c r="M660" s="219"/>
      <c r="N660" s="218"/>
      <c r="O660" s="251" t="s">
        <v>1110</v>
      </c>
      <c r="P660" s="192"/>
      <c r="Q660" s="192"/>
      <c r="R660" s="192"/>
      <c r="S660" s="192"/>
    </row>
    <row r="661" spans="1:19" x14ac:dyDescent="0.2">
      <c r="A661" s="198"/>
      <c r="B661" s="188"/>
      <c r="C661" s="188"/>
      <c r="D661" s="215" t="s">
        <v>1110</v>
      </c>
      <c r="G661" s="192"/>
      <c r="H661" s="209"/>
      <c r="I661" s="210" t="s">
        <v>1026</v>
      </c>
      <c r="J661" s="257"/>
      <c r="K661" s="219" t="s">
        <v>1544</v>
      </c>
      <c r="L661" s="278"/>
      <c r="M661" s="278"/>
      <c r="N661" s="257"/>
      <c r="O661" s="292" t="s">
        <v>1110</v>
      </c>
      <c r="P661" s="192"/>
      <c r="Q661" s="192"/>
      <c r="R661" s="192"/>
      <c r="S661" s="192"/>
    </row>
    <row r="662" spans="1:19" ht="15.75" thickBot="1" x14ac:dyDescent="0.25">
      <c r="A662" s="198"/>
      <c r="B662" s="188"/>
      <c r="C662" s="188"/>
      <c r="D662" s="215" t="s">
        <v>1110</v>
      </c>
      <c r="G662" s="192"/>
      <c r="H662" s="209"/>
      <c r="I662" s="231" t="s">
        <v>1036</v>
      </c>
      <c r="J662" s="218"/>
      <c r="K662" s="280" t="s">
        <v>1545</v>
      </c>
      <c r="L662" s="219"/>
      <c r="M662" s="219"/>
      <c r="N662" s="218"/>
      <c r="O662" s="251" t="s">
        <v>1110</v>
      </c>
      <c r="P662" s="192"/>
      <c r="Q662" s="192"/>
      <c r="R662" s="192"/>
      <c r="S662" s="192"/>
    </row>
    <row r="663" spans="1:19" ht="15.75" thickTop="1" x14ac:dyDescent="0.2">
      <c r="A663" s="198">
        <v>80</v>
      </c>
      <c r="B663" s="188" t="s">
        <v>1546</v>
      </c>
      <c r="C663" s="188" t="s">
        <v>1547</v>
      </c>
      <c r="D663" s="215"/>
      <c r="G663" s="192"/>
      <c r="H663" s="287">
        <v>80</v>
      </c>
      <c r="I663" s="237"/>
      <c r="J663" s="297"/>
      <c r="K663" s="306" t="s">
        <v>1547</v>
      </c>
      <c r="L663" s="297"/>
      <c r="M663" s="297"/>
      <c r="N663" s="297"/>
      <c r="O663" s="239"/>
      <c r="P663" s="192"/>
      <c r="Q663" s="207">
        <f>H663</f>
        <v>80</v>
      </c>
      <c r="R663" s="197" t="str">
        <f>CONCATENATE("II-",TEXT(Q663,"0000"))</f>
        <v>II-0080</v>
      </c>
      <c r="S663" s="208" t="str">
        <f>K663</f>
        <v>SUMIDEROS</v>
      </c>
    </row>
    <row r="664" spans="1:19" x14ac:dyDescent="0.2">
      <c r="A664" s="198"/>
      <c r="B664" s="188"/>
      <c r="C664" s="188"/>
      <c r="D664" s="215" t="s">
        <v>5</v>
      </c>
      <c r="G664" s="192"/>
      <c r="H664" s="209"/>
      <c r="I664" s="217" t="s">
        <v>999</v>
      </c>
      <c r="J664" s="218"/>
      <c r="K664" s="219" t="s">
        <v>1548</v>
      </c>
      <c r="L664" s="219"/>
      <c r="M664" s="219"/>
      <c r="N664" s="218"/>
      <c r="O664" s="251" t="s">
        <v>5</v>
      </c>
      <c r="P664" s="192"/>
      <c r="Q664" s="192"/>
      <c r="R664" s="192"/>
      <c r="S664" s="192"/>
    </row>
    <row r="665" spans="1:19" x14ac:dyDescent="0.2">
      <c r="A665" s="198"/>
      <c r="B665" s="188"/>
      <c r="C665" s="188"/>
      <c r="D665" s="215" t="s">
        <v>5</v>
      </c>
      <c r="G665" s="192"/>
      <c r="H665" s="209"/>
      <c r="I665" s="210" t="s">
        <v>1026</v>
      </c>
      <c r="J665" s="257"/>
      <c r="K665" s="278" t="s">
        <v>1549</v>
      </c>
      <c r="L665" s="278"/>
      <c r="M665" s="278"/>
      <c r="N665" s="257"/>
      <c r="O665" s="292" t="s">
        <v>5</v>
      </c>
      <c r="P665" s="192"/>
      <c r="Q665" s="192"/>
      <c r="R665" s="192"/>
      <c r="S665" s="192"/>
    </row>
    <row r="666" spans="1:19" x14ac:dyDescent="0.2">
      <c r="A666" s="198"/>
      <c r="B666" s="188"/>
      <c r="C666" s="188"/>
      <c r="D666" s="215" t="s">
        <v>5</v>
      </c>
      <c r="G666" s="192"/>
      <c r="H666" s="209"/>
      <c r="I666" s="210" t="s">
        <v>1036</v>
      </c>
      <c r="J666" s="257"/>
      <c r="K666" s="278" t="s">
        <v>1550</v>
      </c>
      <c r="L666" s="278"/>
      <c r="M666" s="278"/>
      <c r="N666" s="257"/>
      <c r="O666" s="292" t="s">
        <v>5</v>
      </c>
      <c r="P666" s="192"/>
      <c r="Q666" s="192"/>
      <c r="R666" s="192"/>
      <c r="S666" s="192"/>
    </row>
    <row r="667" spans="1:19" ht="15.75" thickBot="1" x14ac:dyDescent="0.25">
      <c r="A667" s="198"/>
      <c r="B667" s="188"/>
      <c r="C667" s="188"/>
      <c r="D667" s="215" t="s">
        <v>5</v>
      </c>
      <c r="G667" s="192"/>
      <c r="H667" s="262"/>
      <c r="I667" s="264" t="s">
        <v>1062</v>
      </c>
      <c r="J667" s="265"/>
      <c r="K667" s="266" t="s">
        <v>1551</v>
      </c>
      <c r="L667" s="266"/>
      <c r="M667" s="266"/>
      <c r="N667" s="265"/>
      <c r="O667" s="320" t="s">
        <v>5</v>
      </c>
      <c r="P667" s="192"/>
      <c r="Q667" s="192"/>
      <c r="R667" s="192"/>
      <c r="S667" s="192"/>
    </row>
    <row r="668" spans="1:19" x14ac:dyDescent="0.2">
      <c r="A668" s="198"/>
      <c r="B668" s="188"/>
      <c r="C668" s="188"/>
      <c r="D668" s="215"/>
      <c r="G668" s="218"/>
      <c r="H668" s="268"/>
      <c r="I668" s="216"/>
      <c r="J668" s="218"/>
      <c r="K668" s="219"/>
      <c r="L668" s="219"/>
      <c r="M668" s="219"/>
      <c r="N668" s="218"/>
      <c r="O668" s="326"/>
      <c r="P668" s="218"/>
      <c r="Q668" s="218"/>
      <c r="R668" s="218"/>
      <c r="S668" s="218"/>
    </row>
    <row r="669" spans="1:19" x14ac:dyDescent="0.2">
      <c r="A669" s="198"/>
      <c r="B669" s="188"/>
      <c r="C669" s="188"/>
      <c r="D669" s="215"/>
      <c r="G669" s="218"/>
      <c r="H669" s="268"/>
      <c r="I669" s="216"/>
      <c r="J669" s="218"/>
      <c r="K669" s="219"/>
      <c r="L669" s="219"/>
      <c r="M669" s="219"/>
      <c r="N669" s="218"/>
      <c r="O669" s="326"/>
      <c r="P669" s="218"/>
      <c r="Q669" s="218"/>
      <c r="R669" s="218"/>
      <c r="S669" s="218"/>
    </row>
    <row r="670" spans="1:19" x14ac:dyDescent="0.2">
      <c r="A670" s="198"/>
      <c r="B670" s="188"/>
      <c r="C670" s="188"/>
      <c r="D670" s="215"/>
      <c r="G670" s="218"/>
      <c r="H670" s="268"/>
      <c r="I670" s="216"/>
      <c r="J670" s="218"/>
      <c r="K670" s="219"/>
      <c r="L670" s="219"/>
      <c r="M670" s="219"/>
      <c r="N670" s="218"/>
      <c r="O670" s="326"/>
      <c r="P670" s="218"/>
      <c r="Q670" s="218"/>
      <c r="R670" s="218"/>
      <c r="S670" s="218"/>
    </row>
    <row r="671" spans="1:19" x14ac:dyDescent="0.2">
      <c r="A671" s="198">
        <v>81</v>
      </c>
      <c r="B671" s="188" t="s">
        <v>1552</v>
      </c>
      <c r="C671" s="188" t="s">
        <v>1553</v>
      </c>
      <c r="D671" s="215"/>
      <c r="G671" s="365"/>
      <c r="H671" s="236">
        <v>81</v>
      </c>
      <c r="I671" s="238"/>
      <c r="J671" s="249"/>
      <c r="K671" s="306" t="s">
        <v>1553</v>
      </c>
      <c r="L671" s="249"/>
      <c r="M671" s="249"/>
      <c r="N671" s="249"/>
      <c r="O671" s="260"/>
      <c r="P671" s="192"/>
      <c r="Q671" s="207">
        <f>H671</f>
        <v>81</v>
      </c>
      <c r="R671" s="197" t="str">
        <f>CONCATENATE("II-",TEXT(Q671,"0000"))</f>
        <v>II-0081</v>
      </c>
      <c r="S671" s="208" t="str">
        <f>K671</f>
        <v>TERRAPLEN</v>
      </c>
    </row>
    <row r="672" spans="1:19" x14ac:dyDescent="0.2">
      <c r="A672" s="198"/>
      <c r="B672" s="188"/>
      <c r="C672" s="188"/>
      <c r="D672" s="215"/>
      <c r="G672" s="192"/>
      <c r="H672" s="209"/>
      <c r="I672" s="210" t="s">
        <v>999</v>
      </c>
      <c r="J672" s="218"/>
      <c r="K672" s="219" t="s">
        <v>1554</v>
      </c>
      <c r="L672" s="218"/>
      <c r="M672" s="218"/>
      <c r="N672" s="218"/>
      <c r="O672" s="251"/>
      <c r="P672" s="192"/>
      <c r="Q672" s="192"/>
      <c r="R672" s="192"/>
      <c r="S672" s="192"/>
    </row>
    <row r="673" spans="1:19" x14ac:dyDescent="0.2">
      <c r="A673" s="198"/>
      <c r="B673" s="188"/>
      <c r="C673" s="188"/>
      <c r="D673" s="215" t="s">
        <v>1110</v>
      </c>
      <c r="G673" s="192"/>
      <c r="H673" s="209"/>
      <c r="I673" s="216"/>
      <c r="J673" s="217">
        <v>1</v>
      </c>
      <c r="K673" s="218"/>
      <c r="L673" s="219" t="s">
        <v>1555</v>
      </c>
      <c r="M673" s="218"/>
      <c r="N673" s="218"/>
      <c r="O673" s="251" t="s">
        <v>1110</v>
      </c>
      <c r="P673" s="192"/>
      <c r="Q673" s="192"/>
      <c r="R673" s="192"/>
      <c r="S673" s="192"/>
    </row>
    <row r="674" spans="1:19" x14ac:dyDescent="0.2">
      <c r="A674" s="198"/>
      <c r="B674" s="188"/>
      <c r="C674" s="188"/>
      <c r="D674" s="215" t="s">
        <v>1110</v>
      </c>
      <c r="G674" s="192"/>
      <c r="H674" s="209"/>
      <c r="I674" s="228"/>
      <c r="J674" s="223">
        <v>2</v>
      </c>
      <c r="K674" s="224"/>
      <c r="L674" s="225" t="s">
        <v>1556</v>
      </c>
      <c r="M674" s="224"/>
      <c r="N674" s="224"/>
      <c r="O674" s="270" t="s">
        <v>1110</v>
      </c>
      <c r="P674" s="192"/>
      <c r="Q674" s="192"/>
      <c r="R674" s="192"/>
      <c r="S674" s="192"/>
    </row>
    <row r="675" spans="1:19" x14ac:dyDescent="0.2">
      <c r="A675" s="198"/>
      <c r="B675" s="188"/>
      <c r="C675" s="188"/>
      <c r="D675" s="215"/>
      <c r="G675" s="192"/>
      <c r="H675" s="209"/>
      <c r="I675" s="210" t="s">
        <v>1026</v>
      </c>
      <c r="J675" s="218"/>
      <c r="K675" s="219" t="s">
        <v>1557</v>
      </c>
      <c r="L675" s="218"/>
      <c r="M675" s="218"/>
      <c r="N675" s="218"/>
      <c r="O675" s="251"/>
      <c r="P675" s="192"/>
      <c r="Q675" s="192"/>
      <c r="R675" s="192"/>
      <c r="S675" s="192"/>
    </row>
    <row r="676" spans="1:19" x14ac:dyDescent="0.2">
      <c r="A676" s="198"/>
      <c r="B676" s="188"/>
      <c r="C676" s="188"/>
      <c r="D676" s="215" t="s">
        <v>1110</v>
      </c>
      <c r="G676" s="192"/>
      <c r="H676" s="209"/>
      <c r="I676" s="216"/>
      <c r="J676" s="217">
        <v>1</v>
      </c>
      <c r="K676" s="218"/>
      <c r="L676" s="219" t="s">
        <v>1558</v>
      </c>
      <c r="M676" s="218"/>
      <c r="N676" s="218"/>
      <c r="O676" s="251" t="s">
        <v>1110</v>
      </c>
      <c r="P676" s="192"/>
      <c r="Q676" s="192"/>
      <c r="R676" s="192"/>
      <c r="S676" s="192"/>
    </row>
    <row r="677" spans="1:19" ht="15.75" thickBot="1" x14ac:dyDescent="0.25">
      <c r="A677" s="198"/>
      <c r="B677" s="188"/>
      <c r="C677" s="188"/>
      <c r="D677" s="215" t="s">
        <v>1110</v>
      </c>
      <c r="G677" s="192"/>
      <c r="H677" s="209"/>
      <c r="I677" s="216"/>
      <c r="J677" s="231">
        <v>2</v>
      </c>
      <c r="K677" s="218"/>
      <c r="L677" s="219" t="s">
        <v>1556</v>
      </c>
      <c r="M677" s="218"/>
      <c r="N677" s="218"/>
      <c r="O677" s="251" t="s">
        <v>1110</v>
      </c>
      <c r="P677" s="192"/>
      <c r="Q677" s="192"/>
      <c r="R677" s="192"/>
      <c r="S677" s="192"/>
    </row>
    <row r="678" spans="1:19" ht="16.5" thickTop="1" thickBot="1" x14ac:dyDescent="0.25">
      <c r="A678" s="198">
        <v>82</v>
      </c>
      <c r="B678" s="188" t="s">
        <v>1559</v>
      </c>
      <c r="C678" s="188" t="s">
        <v>1560</v>
      </c>
      <c r="D678" s="215" t="s">
        <v>1193</v>
      </c>
      <c r="G678" s="192"/>
      <c r="H678" s="333">
        <v>82</v>
      </c>
      <c r="I678" s="334"/>
      <c r="J678" s="335"/>
      <c r="K678" s="336" t="s">
        <v>1560</v>
      </c>
      <c r="L678" s="335"/>
      <c r="M678" s="335"/>
      <c r="N678" s="335"/>
      <c r="O678" s="337" t="s">
        <v>1193</v>
      </c>
      <c r="P678" s="192"/>
      <c r="Q678" s="207">
        <f t="shared" ref="Q678:Q679" si="66">H678</f>
        <v>82</v>
      </c>
      <c r="R678" s="197" t="str">
        <f t="shared" ref="R678:R679" si="67">CONCATENATE("II-",TEXT(Q678,"0000"))</f>
        <v>II-0082</v>
      </c>
      <c r="S678" s="208" t="str">
        <f t="shared" ref="S678:S679" si="68">K678</f>
        <v>TEXTURIZADO (SUPERFICIE DE RODAMIENTO)</v>
      </c>
    </row>
    <row r="679" spans="1:19" ht="15.75" thickTop="1" x14ac:dyDescent="0.2">
      <c r="A679" s="198">
        <v>83</v>
      </c>
      <c r="B679" s="188" t="s">
        <v>1561</v>
      </c>
      <c r="C679" s="188" t="s">
        <v>1562</v>
      </c>
      <c r="D679" s="215"/>
      <c r="G679" s="192"/>
      <c r="H679" s="236">
        <v>83</v>
      </c>
      <c r="I679" s="238"/>
      <c r="J679" s="238"/>
      <c r="K679" s="248" t="s">
        <v>1562</v>
      </c>
      <c r="L679" s="249"/>
      <c r="M679" s="249"/>
      <c r="N679" s="249"/>
      <c r="O679" s="260"/>
      <c r="P679" s="192"/>
      <c r="Q679" s="207">
        <f t="shared" si="66"/>
        <v>83</v>
      </c>
      <c r="R679" s="197" t="str">
        <f t="shared" si="67"/>
        <v>II-0083</v>
      </c>
      <c r="S679" s="208" t="str">
        <f t="shared" si="68"/>
        <v>TRABAJOS NO ESPECIFICADOS O DE EMERGENCIA</v>
      </c>
    </row>
    <row r="680" spans="1:19" x14ac:dyDescent="0.2">
      <c r="A680" s="198"/>
      <c r="B680" s="188"/>
      <c r="C680" s="188"/>
      <c r="D680" s="215" t="s">
        <v>907</v>
      </c>
      <c r="G680" s="192"/>
      <c r="H680" s="209"/>
      <c r="I680" s="344" t="s">
        <v>999</v>
      </c>
      <c r="J680" s="216"/>
      <c r="K680" s="366" t="s">
        <v>1563</v>
      </c>
      <c r="L680" s="218"/>
      <c r="M680" s="218"/>
      <c r="N680" s="218"/>
      <c r="O680" s="251" t="s">
        <v>907</v>
      </c>
      <c r="P680" s="192"/>
      <c r="Q680" s="192"/>
      <c r="R680" s="192"/>
      <c r="S680" s="192"/>
    </row>
    <row r="681" spans="1:19" x14ac:dyDescent="0.2">
      <c r="A681" s="198"/>
      <c r="B681" s="188"/>
      <c r="C681" s="188"/>
      <c r="D681" s="215" t="s">
        <v>907</v>
      </c>
      <c r="G681" s="192"/>
      <c r="H681" s="209"/>
      <c r="I681" s="210" t="s">
        <v>1026</v>
      </c>
      <c r="J681" s="345"/>
      <c r="K681" s="278" t="s">
        <v>1564</v>
      </c>
      <c r="L681" s="278"/>
      <c r="M681" s="257"/>
      <c r="N681" s="257"/>
      <c r="O681" s="292" t="s">
        <v>907</v>
      </c>
      <c r="P681" s="192"/>
      <c r="Q681" s="192"/>
      <c r="R681" s="192"/>
      <c r="S681" s="192"/>
    </row>
    <row r="682" spans="1:19" x14ac:dyDescent="0.2">
      <c r="A682" s="198"/>
      <c r="B682" s="188"/>
      <c r="C682" s="188"/>
      <c r="D682" s="215" t="s">
        <v>907</v>
      </c>
      <c r="G682" s="192"/>
      <c r="H682" s="209"/>
      <c r="I682" s="217" t="s">
        <v>1036</v>
      </c>
      <c r="J682" s="216"/>
      <c r="K682" s="366" t="s">
        <v>1565</v>
      </c>
      <c r="L682" s="219"/>
      <c r="M682" s="218"/>
      <c r="N682" s="218"/>
      <c r="O682" s="251" t="s">
        <v>907</v>
      </c>
      <c r="P682" s="192"/>
      <c r="Q682" s="192"/>
      <c r="R682" s="192"/>
      <c r="S682" s="192"/>
    </row>
    <row r="683" spans="1:19" x14ac:dyDescent="0.2">
      <c r="A683" s="198"/>
      <c r="B683" s="188"/>
      <c r="C683" s="188"/>
      <c r="D683" s="215" t="s">
        <v>907</v>
      </c>
      <c r="G683" s="192"/>
      <c r="H683" s="209"/>
      <c r="I683" s="210" t="s">
        <v>1062</v>
      </c>
      <c r="J683" s="345"/>
      <c r="K683" s="367" t="s">
        <v>1566</v>
      </c>
      <c r="L683" s="278"/>
      <c r="M683" s="257"/>
      <c r="N683" s="257"/>
      <c r="O683" s="292" t="s">
        <v>907</v>
      </c>
      <c r="P683" s="192"/>
      <c r="Q683" s="192"/>
      <c r="R683" s="192"/>
      <c r="S683" s="192"/>
    </row>
    <row r="684" spans="1:19" x14ac:dyDescent="0.2">
      <c r="A684" s="198"/>
      <c r="B684" s="188"/>
      <c r="C684" s="188"/>
      <c r="D684" s="215" t="s">
        <v>907</v>
      </c>
      <c r="G684" s="192"/>
      <c r="H684" s="209"/>
      <c r="I684" s="217" t="s">
        <v>1104</v>
      </c>
      <c r="J684" s="216"/>
      <c r="K684" s="366" t="s">
        <v>1567</v>
      </c>
      <c r="L684" s="296"/>
      <c r="M684" s="218"/>
      <c r="N684" s="218"/>
      <c r="O684" s="251" t="s">
        <v>907</v>
      </c>
      <c r="P684" s="192"/>
      <c r="Q684" s="192"/>
      <c r="R684" s="192"/>
      <c r="S684" s="192"/>
    </row>
    <row r="685" spans="1:19" ht="15.75" thickBot="1" x14ac:dyDescent="0.25">
      <c r="A685" s="198"/>
      <c r="B685" s="188"/>
      <c r="C685" s="188"/>
      <c r="D685" s="215" t="s">
        <v>907</v>
      </c>
      <c r="G685" s="192"/>
      <c r="H685" s="229"/>
      <c r="I685" s="241" t="s">
        <v>1107</v>
      </c>
      <c r="J685" s="242"/>
      <c r="K685" s="368" t="s">
        <v>1568</v>
      </c>
      <c r="L685" s="369"/>
      <c r="M685" s="244"/>
      <c r="N685" s="244"/>
      <c r="O685" s="318" t="s">
        <v>907</v>
      </c>
      <c r="P685" s="192"/>
      <c r="Q685" s="192"/>
      <c r="R685" s="192"/>
      <c r="S685" s="192"/>
    </row>
    <row r="686" spans="1:19" ht="15.75" thickTop="1" x14ac:dyDescent="0.2">
      <c r="A686" s="198">
        <v>84</v>
      </c>
      <c r="B686" s="188" t="s">
        <v>1569</v>
      </c>
      <c r="C686" s="188" t="s">
        <v>1570</v>
      </c>
      <c r="D686" s="215"/>
      <c r="G686" s="192"/>
      <c r="H686" s="236">
        <v>84</v>
      </c>
      <c r="I686" s="238"/>
      <c r="J686" s="249"/>
      <c r="K686" s="306" t="s">
        <v>1570</v>
      </c>
      <c r="L686" s="249"/>
      <c r="M686" s="249"/>
      <c r="N686" s="249"/>
      <c r="O686" s="260"/>
      <c r="P686" s="192"/>
      <c r="Q686" s="207">
        <f>H686</f>
        <v>84</v>
      </c>
      <c r="R686" s="197" t="str">
        <f>CONCATENATE("II-",TEXT(Q686,"0000"))</f>
        <v>II-0084</v>
      </c>
      <c r="S686" s="208" t="str">
        <f>K686</f>
        <v xml:space="preserve">TRANSPORTE </v>
      </c>
    </row>
    <row r="687" spans="1:19" x14ac:dyDescent="0.2">
      <c r="A687" s="198"/>
      <c r="B687" s="188"/>
      <c r="C687" s="188"/>
      <c r="D687" s="215" t="s">
        <v>1571</v>
      </c>
      <c r="G687" s="192"/>
      <c r="H687" s="209"/>
      <c r="I687" s="210" t="s">
        <v>999</v>
      </c>
      <c r="J687" s="345"/>
      <c r="K687" s="278" t="s">
        <v>1364</v>
      </c>
      <c r="L687" s="257"/>
      <c r="M687" s="257"/>
      <c r="N687" s="257"/>
      <c r="O687" s="292" t="s">
        <v>1571</v>
      </c>
      <c r="P687" s="192"/>
      <c r="Q687" s="192"/>
      <c r="R687" s="192"/>
      <c r="S687" s="192"/>
    </row>
    <row r="688" spans="1:19" ht="15.75" thickBot="1" x14ac:dyDescent="0.25">
      <c r="A688" s="198"/>
      <c r="B688" s="188"/>
      <c r="C688" s="188"/>
      <c r="D688" s="215" t="s">
        <v>1572</v>
      </c>
      <c r="G688" s="192"/>
      <c r="H688" s="209"/>
      <c r="I688" s="231" t="s">
        <v>1026</v>
      </c>
      <c r="J688" s="216"/>
      <c r="K688" s="219" t="s">
        <v>1365</v>
      </c>
      <c r="L688" s="218"/>
      <c r="M688" s="218"/>
      <c r="N688" s="218"/>
      <c r="O688" s="251" t="s">
        <v>1572</v>
      </c>
      <c r="P688" s="192"/>
      <c r="Q688" s="192"/>
      <c r="R688" s="192"/>
      <c r="S688" s="192"/>
    </row>
    <row r="689" spans="1:19" ht="15.75" thickTop="1" x14ac:dyDescent="0.2">
      <c r="A689" s="198">
        <v>85</v>
      </c>
      <c r="B689" s="188" t="s">
        <v>1573</v>
      </c>
      <c r="C689" s="188" t="s">
        <v>1574</v>
      </c>
      <c r="D689" s="215"/>
      <c r="G689" s="192"/>
      <c r="H689" s="287">
        <v>85</v>
      </c>
      <c r="I689" s="237"/>
      <c r="J689" s="297"/>
      <c r="K689" s="298" t="s">
        <v>1574</v>
      </c>
      <c r="L689" s="297"/>
      <c r="M689" s="297"/>
      <c r="N689" s="297"/>
      <c r="O689" s="239"/>
      <c r="P689" s="192"/>
      <c r="Q689" s="207">
        <f>H689</f>
        <v>85</v>
      </c>
      <c r="R689" s="197" t="str">
        <f>CONCATENATE("II-",TEXT(Q689,"0000"))</f>
        <v>II-0085</v>
      </c>
      <c r="S689" s="208" t="str">
        <f>K689</f>
        <v>TRANQUERA</v>
      </c>
    </row>
    <row r="690" spans="1:19" x14ac:dyDescent="0.2">
      <c r="A690" s="198">
        <v>1</v>
      </c>
      <c r="B690" s="199" t="str">
        <f>CONCATENATE($B$689,".",TEXT(A690,"0000"))</f>
        <v>II-0085.0001</v>
      </c>
      <c r="C690" s="188" t="s">
        <v>1575</v>
      </c>
      <c r="D690" s="215" t="s">
        <v>1227</v>
      </c>
      <c r="G690" s="192"/>
      <c r="H690" s="209"/>
      <c r="I690" s="210" t="s">
        <v>999</v>
      </c>
      <c r="J690" s="257"/>
      <c r="K690" s="278" t="s">
        <v>1576</v>
      </c>
      <c r="L690" s="278"/>
      <c r="M690" s="278"/>
      <c r="N690" s="278"/>
      <c r="O690" s="292" t="s">
        <v>1227</v>
      </c>
      <c r="P690" s="192"/>
      <c r="Q690" s="192"/>
      <c r="R690" s="192"/>
      <c r="S690" s="192"/>
    </row>
    <row r="691" spans="1:19" ht="15.75" thickBot="1" x14ac:dyDescent="0.25">
      <c r="A691" s="198">
        <v>2</v>
      </c>
      <c r="B691" s="199" t="str">
        <f>CONCATENATE($B$689,".",TEXT(A691,"0000"))</f>
        <v>II-0085.0002</v>
      </c>
      <c r="C691" s="188" t="s">
        <v>1577</v>
      </c>
      <c r="D691" s="215" t="s">
        <v>1227</v>
      </c>
      <c r="G691" s="192"/>
      <c r="H691" s="229"/>
      <c r="I691" s="231" t="s">
        <v>1026</v>
      </c>
      <c r="J691" s="232"/>
      <c r="K691" s="233" t="s">
        <v>1578</v>
      </c>
      <c r="L691" s="233"/>
      <c r="M691" s="233"/>
      <c r="N691" s="233"/>
      <c r="O691" s="317" t="s">
        <v>1227</v>
      </c>
      <c r="P691" s="192"/>
      <c r="Q691" s="192"/>
      <c r="R691" s="192"/>
      <c r="S691" s="192"/>
    </row>
    <row r="692" spans="1:19" ht="15.75" thickTop="1" x14ac:dyDescent="0.2">
      <c r="A692" s="198">
        <v>86</v>
      </c>
      <c r="B692" s="188" t="s">
        <v>1579</v>
      </c>
      <c r="C692" s="188" t="s">
        <v>1580</v>
      </c>
      <c r="D692" s="215"/>
      <c r="G692" s="192"/>
      <c r="H692" s="287">
        <v>86</v>
      </c>
      <c r="I692" s="237"/>
      <c r="J692" s="297"/>
      <c r="K692" s="298" t="s">
        <v>1580</v>
      </c>
      <c r="L692" s="297"/>
      <c r="M692" s="297"/>
      <c r="N692" s="297"/>
      <c r="O692" s="239"/>
      <c r="P692" s="192"/>
      <c r="Q692" s="207">
        <f>H692</f>
        <v>86</v>
      </c>
      <c r="R692" s="197" t="str">
        <f>CONCATENATE("II-",TEXT(Q692,"0000"))</f>
        <v>II-0086</v>
      </c>
      <c r="S692" s="208" t="str">
        <f>K692</f>
        <v>TRATAMIENTO BITUMINOSO</v>
      </c>
    </row>
    <row r="693" spans="1:19" x14ac:dyDescent="0.2">
      <c r="A693" s="198"/>
      <c r="B693" s="188"/>
      <c r="C693" s="188"/>
      <c r="D693" s="215" t="s">
        <v>1193</v>
      </c>
      <c r="G693" s="192"/>
      <c r="H693" s="209"/>
      <c r="I693" s="210" t="s">
        <v>999</v>
      </c>
      <c r="J693" s="257"/>
      <c r="K693" s="278" t="s">
        <v>1581</v>
      </c>
      <c r="L693" s="257"/>
      <c r="M693" s="257"/>
      <c r="N693" s="257"/>
      <c r="O693" s="292" t="s">
        <v>1193</v>
      </c>
      <c r="P693" s="192"/>
      <c r="Q693" s="192"/>
      <c r="R693" s="192"/>
      <c r="S693" s="192"/>
    </row>
    <row r="694" spans="1:19" x14ac:dyDescent="0.2">
      <c r="A694" s="198"/>
      <c r="B694" s="188"/>
      <c r="C694" s="188"/>
      <c r="D694" s="215" t="s">
        <v>1193</v>
      </c>
      <c r="G694" s="192"/>
      <c r="H694" s="209"/>
      <c r="I694" s="217" t="s">
        <v>1026</v>
      </c>
      <c r="J694" s="218"/>
      <c r="K694" s="219" t="s">
        <v>1582</v>
      </c>
      <c r="L694" s="218"/>
      <c r="M694" s="218"/>
      <c r="N694" s="218"/>
      <c r="O694" s="251" t="s">
        <v>1193</v>
      </c>
      <c r="P694" s="192"/>
      <c r="Q694" s="192"/>
      <c r="R694" s="192"/>
      <c r="S694" s="192"/>
    </row>
    <row r="695" spans="1:19" x14ac:dyDescent="0.2">
      <c r="A695" s="198"/>
      <c r="B695" s="188"/>
      <c r="C695" s="188"/>
      <c r="D695" s="215" t="s">
        <v>1193</v>
      </c>
      <c r="G695" s="192"/>
      <c r="H695" s="209"/>
      <c r="I695" s="210" t="s">
        <v>1036</v>
      </c>
      <c r="J695" s="257"/>
      <c r="K695" s="278" t="s">
        <v>1583</v>
      </c>
      <c r="L695" s="257"/>
      <c r="M695" s="257"/>
      <c r="N695" s="257"/>
      <c r="O695" s="292" t="s">
        <v>1193</v>
      </c>
      <c r="P695" s="192"/>
      <c r="Q695" s="192"/>
      <c r="R695" s="192"/>
      <c r="S695" s="192"/>
    </row>
    <row r="696" spans="1:19" x14ac:dyDescent="0.2">
      <c r="A696" s="198"/>
      <c r="B696" s="188"/>
      <c r="C696" s="188"/>
      <c r="D696" s="215" t="s">
        <v>1193</v>
      </c>
      <c r="G696" s="192"/>
      <c r="H696" s="209"/>
      <c r="I696" s="217" t="s">
        <v>1062</v>
      </c>
      <c r="J696" s="218"/>
      <c r="K696" s="219" t="s">
        <v>1292</v>
      </c>
      <c r="L696" s="218"/>
      <c r="M696" s="218"/>
      <c r="N696" s="218"/>
      <c r="O696" s="251" t="s">
        <v>1193</v>
      </c>
      <c r="P696" s="192"/>
      <c r="Q696" s="192"/>
      <c r="R696" s="192"/>
      <c r="S696" s="192"/>
    </row>
    <row r="697" spans="1:19" x14ac:dyDescent="0.2">
      <c r="A697" s="198"/>
      <c r="B697" s="188"/>
      <c r="C697" s="188"/>
      <c r="D697" s="215" t="s">
        <v>1193</v>
      </c>
      <c r="G697" s="192"/>
      <c r="H697" s="209"/>
      <c r="I697" s="210" t="s">
        <v>1104</v>
      </c>
      <c r="J697" s="257"/>
      <c r="K697" s="278" t="s">
        <v>1584</v>
      </c>
      <c r="L697" s="257"/>
      <c r="M697" s="257"/>
      <c r="N697" s="257"/>
      <c r="O697" s="292" t="s">
        <v>1193</v>
      </c>
      <c r="P697" s="192"/>
      <c r="Q697" s="192"/>
      <c r="R697" s="192"/>
      <c r="S697" s="192"/>
    </row>
    <row r="698" spans="1:19" x14ac:dyDescent="0.2">
      <c r="A698" s="198"/>
      <c r="B698" s="188"/>
      <c r="C698" s="188"/>
      <c r="D698" s="215" t="s">
        <v>1193</v>
      </c>
      <c r="G698" s="192"/>
      <c r="H698" s="209"/>
      <c r="I698" s="210" t="s">
        <v>1107</v>
      </c>
      <c r="J698" s="257"/>
      <c r="K698" s="278" t="s">
        <v>1585</v>
      </c>
      <c r="L698" s="257"/>
      <c r="M698" s="257"/>
      <c r="N698" s="257"/>
      <c r="O698" s="292" t="s">
        <v>1193</v>
      </c>
      <c r="P698" s="192"/>
      <c r="Q698" s="192"/>
      <c r="R698" s="192"/>
      <c r="S698" s="192"/>
    </row>
    <row r="699" spans="1:19" ht="15.75" thickBot="1" x14ac:dyDescent="0.25">
      <c r="A699" s="198"/>
      <c r="B699" s="188"/>
      <c r="C699" s="188"/>
      <c r="D699" s="215" t="s">
        <v>1193</v>
      </c>
      <c r="G699" s="192"/>
      <c r="H699" s="209"/>
      <c r="I699" s="231" t="s">
        <v>1111</v>
      </c>
      <c r="J699" s="218"/>
      <c r="K699" s="219" t="s">
        <v>1586</v>
      </c>
      <c r="L699" s="218"/>
      <c r="M699" s="218"/>
      <c r="N699" s="218"/>
      <c r="O699" s="251" t="s">
        <v>1193</v>
      </c>
      <c r="P699" s="192"/>
      <c r="Q699" s="192"/>
      <c r="R699" s="192"/>
      <c r="S699" s="192"/>
    </row>
    <row r="700" spans="1:19" ht="15.75" thickTop="1" x14ac:dyDescent="0.2">
      <c r="A700" s="198">
        <v>87</v>
      </c>
      <c r="B700" s="188" t="s">
        <v>1587</v>
      </c>
      <c r="C700" s="188" t="s">
        <v>1588</v>
      </c>
      <c r="D700" s="215"/>
      <c r="G700" s="192"/>
      <c r="H700" s="287">
        <v>87</v>
      </c>
      <c r="I700" s="288"/>
      <c r="J700" s="289"/>
      <c r="K700" s="352" t="s">
        <v>1588</v>
      </c>
      <c r="L700" s="289"/>
      <c r="M700" s="289"/>
      <c r="N700" s="289"/>
      <c r="O700" s="291"/>
      <c r="P700" s="192"/>
      <c r="Q700" s="207">
        <f>H700</f>
        <v>87</v>
      </c>
      <c r="R700" s="197" t="str">
        <f>CONCATENATE("II-",TEXT(Q700,"0000"))</f>
        <v>II-0087</v>
      </c>
      <c r="S700" s="208" t="str">
        <f>K700</f>
        <v>TOMA DE JUNTA</v>
      </c>
    </row>
    <row r="701" spans="1:19" x14ac:dyDescent="0.2">
      <c r="A701" s="198"/>
      <c r="B701" s="188"/>
      <c r="C701" s="188"/>
      <c r="D701" s="215" t="s">
        <v>1235</v>
      </c>
      <c r="G701" s="271"/>
      <c r="H701" s="209"/>
      <c r="I701" s="210" t="s">
        <v>999</v>
      </c>
      <c r="J701" s="257"/>
      <c r="K701" s="278" t="s">
        <v>1589</v>
      </c>
      <c r="L701" s="278"/>
      <c r="M701" s="278"/>
      <c r="N701" s="278"/>
      <c r="O701" s="292" t="s">
        <v>1235</v>
      </c>
      <c r="P701" s="271"/>
      <c r="Q701" s="271"/>
      <c r="R701" s="271"/>
      <c r="S701" s="271"/>
    </row>
    <row r="702" spans="1:19" ht="15.75" thickBot="1" x14ac:dyDescent="0.25">
      <c r="A702" s="198"/>
      <c r="B702" s="188"/>
      <c r="C702" s="188"/>
      <c r="D702" s="215" t="s">
        <v>1235</v>
      </c>
      <c r="G702" s="271"/>
      <c r="H702" s="279"/>
      <c r="I702" s="231" t="s">
        <v>1026</v>
      </c>
      <c r="J702" s="232"/>
      <c r="K702" s="233" t="s">
        <v>1415</v>
      </c>
      <c r="L702" s="233"/>
      <c r="M702" s="233"/>
      <c r="N702" s="233"/>
      <c r="O702" s="317" t="s">
        <v>1235</v>
      </c>
      <c r="P702" s="271"/>
      <c r="Q702" s="271"/>
      <c r="R702" s="271"/>
      <c r="S702" s="271"/>
    </row>
    <row r="703" spans="1:19" ht="16.5" thickTop="1" thickBot="1" x14ac:dyDescent="0.25">
      <c r="A703" s="198">
        <v>88</v>
      </c>
      <c r="B703" s="188" t="s">
        <v>1590</v>
      </c>
      <c r="C703" s="188" t="s">
        <v>1591</v>
      </c>
      <c r="D703" s="215" t="s">
        <v>1110</v>
      </c>
      <c r="G703" s="192"/>
      <c r="H703" s="236">
        <v>88</v>
      </c>
      <c r="I703" s="238"/>
      <c r="J703" s="249"/>
      <c r="K703" s="306" t="s">
        <v>1591</v>
      </c>
      <c r="L703" s="249"/>
      <c r="M703" s="249"/>
      <c r="N703" s="249"/>
      <c r="O703" s="260" t="s">
        <v>1110</v>
      </c>
      <c r="P703" s="192"/>
      <c r="Q703" s="207">
        <f t="shared" ref="Q703:Q704" si="69">H703</f>
        <v>88</v>
      </c>
      <c r="R703" s="197" t="str">
        <f t="shared" ref="R703:R704" si="70">CONCATENATE("II-",TEXT(Q703,"0000"))</f>
        <v>II-0088</v>
      </c>
      <c r="S703" s="208" t="str">
        <f t="shared" ref="S703:S704" si="71">K703</f>
        <v>TOSCAPLEN</v>
      </c>
    </row>
    <row r="704" spans="1:19" ht="16.5" thickTop="1" thickBot="1" x14ac:dyDescent="0.25">
      <c r="A704" s="198">
        <v>89</v>
      </c>
      <c r="B704" s="188" t="s">
        <v>1592</v>
      </c>
      <c r="C704" s="188" t="s">
        <v>1593</v>
      </c>
      <c r="D704" s="215" t="s">
        <v>1453</v>
      </c>
      <c r="G704" s="192"/>
      <c r="H704" s="299">
        <v>89</v>
      </c>
      <c r="I704" s="300"/>
      <c r="J704" s="301"/>
      <c r="K704" s="302" t="s">
        <v>1593</v>
      </c>
      <c r="L704" s="301"/>
      <c r="M704" s="301"/>
      <c r="N704" s="301"/>
      <c r="O704" s="303" t="s">
        <v>1453</v>
      </c>
      <c r="P704" s="192"/>
      <c r="Q704" s="207">
        <f t="shared" si="69"/>
        <v>89</v>
      </c>
      <c r="R704" s="197" t="str">
        <f t="shared" si="70"/>
        <v>II-0089</v>
      </c>
      <c r="S704" s="208" t="str">
        <f t="shared" si="71"/>
        <v>VIVENDA PERSONAL DE SUPERVICION</v>
      </c>
    </row>
    <row r="705" spans="1:19" x14ac:dyDescent="0.2">
      <c r="A705" s="198"/>
      <c r="B705" s="188"/>
      <c r="C705" s="188"/>
      <c r="D705" s="215"/>
      <c r="G705" s="192"/>
      <c r="H705" s="370"/>
      <c r="I705" s="197"/>
      <c r="J705" s="192"/>
      <c r="K705" s="192"/>
      <c r="L705" s="192"/>
      <c r="M705" s="192"/>
      <c r="N705" s="192"/>
      <c r="O705" s="195"/>
      <c r="P705" s="192"/>
      <c r="Q705" s="192"/>
      <c r="R705" s="192"/>
      <c r="S705" s="192"/>
    </row>
    <row r="706" spans="1:19" x14ac:dyDescent="0.2">
      <c r="A706" s="198"/>
      <c r="B706" s="188"/>
      <c r="C706" s="188"/>
      <c r="D706" s="215"/>
      <c r="G706" s="192"/>
      <c r="H706" s="370"/>
      <c r="I706" s="197"/>
      <c r="J706" s="192"/>
      <c r="K706" s="192"/>
      <c r="L706" s="192"/>
      <c r="M706" s="192"/>
      <c r="N706" s="192"/>
      <c r="O706" s="195"/>
      <c r="P706" s="192"/>
      <c r="Q706" s="192"/>
      <c r="R706" s="192"/>
      <c r="S706" s="192"/>
    </row>
    <row r="707" spans="1:19" x14ac:dyDescent="0.2">
      <c r="A707" s="198"/>
      <c r="B707" s="188"/>
      <c r="C707" s="188"/>
      <c r="D707" s="215"/>
      <c r="G707" s="192"/>
      <c r="H707" s="370"/>
      <c r="I707" s="197"/>
      <c r="J707" s="192"/>
      <c r="K707" s="192"/>
      <c r="L707" s="192"/>
      <c r="M707" s="192"/>
      <c r="N707" s="192"/>
      <c r="O707" s="195"/>
      <c r="P707" s="192"/>
      <c r="Q707" s="192"/>
      <c r="R707" s="192"/>
      <c r="S707" s="192"/>
    </row>
    <row r="708" spans="1:19" x14ac:dyDescent="0.2">
      <c r="A708" s="198"/>
      <c r="B708" s="188"/>
      <c r="C708" s="188"/>
      <c r="D708" s="215"/>
      <c r="G708" s="192"/>
      <c r="H708" s="370"/>
      <c r="I708" s="197"/>
      <c r="J708" s="192"/>
      <c r="K708" s="192"/>
      <c r="L708" s="192"/>
      <c r="M708" s="192"/>
      <c r="N708" s="192"/>
      <c r="O708" s="195"/>
      <c r="P708" s="192"/>
      <c r="Q708" s="192"/>
      <c r="R708" s="192"/>
      <c r="S708" s="192"/>
    </row>
    <row r="709" spans="1:19" x14ac:dyDescent="0.2">
      <c r="A709" s="198"/>
      <c r="B709" s="188"/>
      <c r="C709" s="188"/>
      <c r="D709" s="215"/>
      <c r="G709" s="192"/>
      <c r="H709" s="370"/>
      <c r="I709" s="197"/>
      <c r="J709" s="192"/>
      <c r="K709" s="192"/>
      <c r="L709" s="192"/>
      <c r="M709" s="192"/>
      <c r="N709" s="192"/>
      <c r="O709" s="195"/>
      <c r="P709" s="192"/>
      <c r="Q709" s="192"/>
      <c r="R709" s="192"/>
      <c r="S709" s="192"/>
    </row>
    <row r="710" spans="1:19" x14ac:dyDescent="0.2">
      <c r="A710" s="198"/>
      <c r="B710" s="188"/>
      <c r="C710" s="188"/>
      <c r="D710" s="215"/>
      <c r="G710" s="192"/>
      <c r="H710" s="370"/>
      <c r="I710" s="197"/>
      <c r="J710" s="192"/>
      <c r="K710" s="192"/>
      <c r="L710" s="192"/>
      <c r="M710" s="192"/>
      <c r="N710" s="192"/>
      <c r="O710" s="195"/>
      <c r="P710" s="192"/>
      <c r="Q710" s="192"/>
      <c r="R710" s="192"/>
      <c r="S710" s="192"/>
    </row>
    <row r="711" spans="1:19" x14ac:dyDescent="0.2">
      <c r="A711" s="198"/>
      <c r="B711" s="188"/>
      <c r="C711" s="188"/>
      <c r="D711" s="215"/>
      <c r="G711" s="192"/>
      <c r="H711" s="370"/>
      <c r="I711" s="197"/>
      <c r="J711" s="192"/>
      <c r="K711" s="192"/>
      <c r="L711" s="192"/>
      <c r="M711" s="192"/>
      <c r="N711" s="192"/>
      <c r="O711" s="195"/>
      <c r="P711" s="192"/>
      <c r="Q711" s="192"/>
      <c r="R711" s="192"/>
      <c r="S711" s="192"/>
    </row>
    <row r="712" spans="1:19" x14ac:dyDescent="0.2">
      <c r="A712" s="198"/>
      <c r="B712" s="188"/>
      <c r="C712" s="188"/>
      <c r="D712" s="215"/>
      <c r="G712" s="192"/>
      <c r="H712" s="370"/>
      <c r="I712" s="197"/>
      <c r="J712" s="192"/>
      <c r="K712" s="192"/>
      <c r="L712" s="192"/>
      <c r="M712" s="192"/>
      <c r="N712" s="192"/>
      <c r="O712" s="195"/>
      <c r="P712" s="192"/>
      <c r="Q712" s="192"/>
      <c r="R712" s="192"/>
      <c r="S712" s="192"/>
    </row>
    <row r="713" spans="1:19" x14ac:dyDescent="0.2">
      <c r="A713" s="198"/>
      <c r="B713" s="188"/>
      <c r="C713" s="188"/>
      <c r="D713" s="215"/>
      <c r="G713" s="192"/>
      <c r="H713" s="370"/>
      <c r="I713" s="197"/>
      <c r="J713" s="192"/>
      <c r="K713" s="192"/>
      <c r="L713" s="192"/>
      <c r="M713" s="192"/>
      <c r="N713" s="192"/>
      <c r="O713" s="195"/>
      <c r="P713" s="192"/>
      <c r="Q713" s="192"/>
      <c r="R713" s="192"/>
      <c r="S713" s="192"/>
    </row>
    <row r="714" spans="1:19" x14ac:dyDescent="0.2">
      <c r="A714" s="198"/>
      <c r="B714" s="188"/>
      <c r="C714" s="188"/>
      <c r="D714" s="215"/>
      <c r="G714" s="192"/>
      <c r="H714" s="370"/>
      <c r="I714" s="197"/>
      <c r="J714" s="192"/>
      <c r="K714" s="192"/>
      <c r="L714" s="192"/>
      <c r="M714" s="192"/>
      <c r="N714" s="192"/>
      <c r="O714" s="195"/>
      <c r="P714" s="192"/>
      <c r="Q714" s="192"/>
      <c r="R714" s="192"/>
      <c r="S714" s="192"/>
    </row>
    <row r="715" spans="1:19" x14ac:dyDescent="0.2">
      <c r="A715" s="198"/>
      <c r="B715" s="188"/>
      <c r="C715" s="188"/>
      <c r="D715" s="215"/>
      <c r="G715" s="192"/>
      <c r="H715" s="370"/>
      <c r="I715" s="197"/>
      <c r="J715" s="192"/>
      <c r="K715" s="192"/>
      <c r="L715" s="192"/>
      <c r="M715" s="192"/>
      <c r="N715" s="192"/>
      <c r="O715" s="195"/>
      <c r="P715" s="192"/>
      <c r="Q715" s="192"/>
      <c r="R715" s="192"/>
      <c r="S715" s="192"/>
    </row>
    <row r="716" spans="1:19" x14ac:dyDescent="0.2">
      <c r="A716" s="198"/>
      <c r="B716" s="188"/>
      <c r="C716" s="188"/>
      <c r="D716" s="215"/>
      <c r="G716" s="192"/>
      <c r="H716" s="370"/>
      <c r="I716" s="197"/>
      <c r="J716" s="192"/>
      <c r="K716" s="192"/>
      <c r="L716" s="192"/>
      <c r="M716" s="192"/>
      <c r="N716" s="192"/>
      <c r="O716" s="195"/>
      <c r="P716" s="192"/>
      <c r="Q716" s="192"/>
      <c r="R716" s="192"/>
      <c r="S716" s="192"/>
    </row>
    <row r="717" spans="1:19" x14ac:dyDescent="0.2">
      <c r="A717" s="198"/>
      <c r="B717" s="188"/>
      <c r="C717" s="188"/>
      <c r="D717" s="215"/>
      <c r="G717" s="192"/>
      <c r="H717" s="370"/>
      <c r="I717" s="197"/>
      <c r="J717" s="192"/>
      <c r="K717" s="192"/>
      <c r="L717" s="192"/>
      <c r="M717" s="192"/>
      <c r="N717" s="192"/>
      <c r="O717" s="195"/>
      <c r="P717" s="192"/>
      <c r="Q717" s="192"/>
      <c r="R717" s="192"/>
      <c r="S717" s="192"/>
    </row>
    <row r="718" spans="1:19" x14ac:dyDescent="0.2">
      <c r="A718" s="198"/>
      <c r="B718" s="188"/>
      <c r="C718" s="188"/>
      <c r="D718" s="215"/>
      <c r="G718" s="192"/>
      <c r="H718" s="370"/>
      <c r="I718" s="197"/>
      <c r="J718" s="192"/>
      <c r="K718" s="192"/>
      <c r="L718" s="192"/>
      <c r="M718" s="192"/>
      <c r="N718" s="192"/>
      <c r="O718" s="195"/>
      <c r="P718" s="192"/>
      <c r="Q718" s="192"/>
      <c r="R718" s="192"/>
      <c r="S718" s="192"/>
    </row>
    <row r="719" spans="1:19" x14ac:dyDescent="0.2">
      <c r="A719" s="198"/>
      <c r="B719" s="188"/>
      <c r="C719" s="188"/>
      <c r="D719" s="215"/>
      <c r="G719" s="192"/>
      <c r="H719" s="370"/>
      <c r="I719" s="197"/>
      <c r="J719" s="192"/>
      <c r="K719" s="192"/>
      <c r="L719" s="192"/>
      <c r="M719" s="192"/>
      <c r="N719" s="192"/>
      <c r="O719" s="195"/>
      <c r="P719" s="192"/>
      <c r="Q719" s="192"/>
      <c r="R719" s="192"/>
      <c r="S719" s="192"/>
    </row>
    <row r="720" spans="1:19" x14ac:dyDescent="0.2">
      <c r="A720" s="198"/>
      <c r="B720" s="188"/>
      <c r="C720" s="188"/>
      <c r="D720" s="215"/>
      <c r="G720" s="192"/>
      <c r="H720" s="370"/>
      <c r="I720" s="197"/>
      <c r="J720" s="192"/>
      <c r="K720" s="192"/>
      <c r="L720" s="192"/>
      <c r="M720" s="192"/>
      <c r="N720" s="192"/>
      <c r="O720" s="195"/>
      <c r="P720" s="192"/>
      <c r="Q720" s="192"/>
      <c r="R720" s="192"/>
      <c r="S720" s="192"/>
    </row>
    <row r="721" spans="1:19" x14ac:dyDescent="0.2">
      <c r="A721" s="198"/>
      <c r="B721" s="188"/>
      <c r="C721" s="188"/>
      <c r="D721" s="215"/>
      <c r="G721" s="192"/>
      <c r="H721" s="370"/>
      <c r="I721" s="197"/>
      <c r="J721" s="192"/>
      <c r="K721" s="192"/>
      <c r="L721" s="192"/>
      <c r="M721" s="192"/>
      <c r="N721" s="192"/>
      <c r="O721" s="195"/>
      <c r="P721" s="192"/>
      <c r="Q721" s="192"/>
      <c r="R721" s="192"/>
      <c r="S721" s="192"/>
    </row>
    <row r="722" spans="1:19" x14ac:dyDescent="0.2">
      <c r="A722" s="198"/>
      <c r="B722" s="188"/>
      <c r="C722" s="188"/>
      <c r="D722" s="215"/>
      <c r="G722" s="192"/>
      <c r="H722" s="370"/>
      <c r="I722" s="197"/>
      <c r="J722" s="192"/>
      <c r="K722" s="192"/>
      <c r="L722" s="192"/>
      <c r="M722" s="192"/>
      <c r="N722" s="192"/>
      <c r="O722" s="195"/>
      <c r="P722" s="192"/>
      <c r="Q722" s="192"/>
      <c r="R722" s="192"/>
      <c r="S722" s="192"/>
    </row>
    <row r="723" spans="1:19" x14ac:dyDescent="0.2">
      <c r="A723" s="198"/>
      <c r="B723" s="188"/>
      <c r="C723" s="188"/>
      <c r="D723" s="215"/>
      <c r="G723" s="192"/>
      <c r="H723" s="370"/>
      <c r="I723" s="197"/>
      <c r="J723" s="192"/>
      <c r="K723" s="192"/>
      <c r="L723" s="192"/>
      <c r="M723" s="192"/>
      <c r="N723" s="192"/>
      <c r="O723" s="195"/>
      <c r="P723" s="192"/>
      <c r="Q723" s="192"/>
      <c r="R723" s="192"/>
      <c r="S723" s="192"/>
    </row>
    <row r="724" spans="1:19" x14ac:dyDescent="0.2">
      <c r="A724" s="198"/>
      <c r="B724" s="188"/>
      <c r="C724" s="188"/>
      <c r="D724" s="215"/>
      <c r="G724" s="192"/>
      <c r="H724" s="370"/>
      <c r="I724" s="197"/>
      <c r="J724" s="192"/>
      <c r="K724" s="192"/>
      <c r="L724" s="192"/>
      <c r="M724" s="192"/>
      <c r="N724" s="192"/>
      <c r="O724" s="195"/>
      <c r="P724" s="192"/>
      <c r="Q724" s="192"/>
      <c r="R724" s="192"/>
      <c r="S724" s="192"/>
    </row>
    <row r="725" spans="1:19" x14ac:dyDescent="0.2">
      <c r="A725" s="198"/>
      <c r="B725" s="188"/>
      <c r="C725" s="188"/>
      <c r="D725" s="215"/>
      <c r="G725" s="192"/>
      <c r="H725" s="370"/>
      <c r="I725" s="197"/>
      <c r="J725" s="192"/>
      <c r="K725" s="192"/>
      <c r="L725" s="192"/>
      <c r="M725" s="192"/>
      <c r="N725" s="192"/>
      <c r="O725" s="195"/>
      <c r="P725" s="192"/>
      <c r="Q725" s="192"/>
      <c r="R725" s="192"/>
      <c r="S725" s="192"/>
    </row>
    <row r="726" spans="1:19" x14ac:dyDescent="0.2">
      <c r="A726" s="198"/>
      <c r="B726" s="188"/>
      <c r="C726" s="188"/>
      <c r="D726" s="215"/>
      <c r="G726" s="192"/>
      <c r="H726" s="370"/>
      <c r="I726" s="197"/>
      <c r="J726" s="192"/>
      <c r="K726" s="192"/>
      <c r="L726" s="192"/>
      <c r="M726" s="192"/>
      <c r="N726" s="192"/>
      <c r="O726" s="195"/>
      <c r="P726" s="192"/>
      <c r="Q726" s="192"/>
      <c r="R726" s="192"/>
      <c r="S726" s="192"/>
    </row>
    <row r="727" spans="1:19" x14ac:dyDescent="0.2">
      <c r="A727" s="198"/>
      <c r="B727" s="188"/>
      <c r="C727" s="188"/>
      <c r="D727" s="215"/>
      <c r="G727" s="192"/>
      <c r="H727" s="370"/>
      <c r="I727" s="197"/>
      <c r="J727" s="192"/>
      <c r="K727" s="192"/>
      <c r="L727" s="192"/>
      <c r="M727" s="192"/>
      <c r="N727" s="192"/>
      <c r="O727" s="195"/>
      <c r="P727" s="192"/>
      <c r="Q727" s="192"/>
      <c r="R727" s="192"/>
      <c r="S727" s="192"/>
    </row>
    <row r="728" spans="1:19" x14ac:dyDescent="0.2">
      <c r="A728" s="198"/>
      <c r="B728" s="188"/>
      <c r="C728" s="188"/>
      <c r="D728" s="215"/>
      <c r="G728" s="192"/>
      <c r="H728" s="370"/>
      <c r="I728" s="197"/>
      <c r="J728" s="192"/>
      <c r="K728" s="192"/>
      <c r="L728" s="192"/>
      <c r="M728" s="192"/>
      <c r="N728" s="192"/>
      <c r="O728" s="195"/>
      <c r="P728" s="192"/>
      <c r="Q728" s="192"/>
      <c r="R728" s="192"/>
      <c r="S728" s="192"/>
    </row>
    <row r="729" spans="1:19" x14ac:dyDescent="0.2">
      <c r="A729" s="198"/>
      <c r="B729" s="188"/>
      <c r="C729" s="188"/>
      <c r="D729" s="215"/>
      <c r="G729" s="192"/>
      <c r="H729" s="370"/>
      <c r="I729" s="197"/>
      <c r="J729" s="192"/>
      <c r="K729" s="192"/>
      <c r="L729" s="192"/>
      <c r="M729" s="192"/>
      <c r="N729" s="192"/>
      <c r="O729" s="195"/>
      <c r="P729" s="192"/>
      <c r="Q729" s="192"/>
      <c r="R729" s="192"/>
      <c r="S729" s="192"/>
    </row>
    <row r="730" spans="1:19" x14ac:dyDescent="0.2">
      <c r="A730" s="198"/>
      <c r="B730" s="188"/>
      <c r="C730" s="188"/>
      <c r="D730" s="215"/>
      <c r="G730" s="192"/>
      <c r="H730" s="370"/>
      <c r="I730" s="197"/>
      <c r="J730" s="192"/>
      <c r="K730" s="192"/>
      <c r="L730" s="192"/>
      <c r="M730" s="192"/>
      <c r="N730" s="192"/>
      <c r="O730" s="195"/>
      <c r="P730" s="192"/>
      <c r="Q730" s="192"/>
      <c r="R730" s="192"/>
      <c r="S730" s="192"/>
    </row>
    <row r="731" spans="1:19" x14ac:dyDescent="0.2">
      <c r="A731" s="198"/>
      <c r="B731" s="188"/>
      <c r="C731" s="188"/>
      <c r="D731" s="215"/>
      <c r="G731" s="192"/>
      <c r="H731" s="370"/>
      <c r="I731" s="197"/>
      <c r="J731" s="192"/>
      <c r="K731" s="192"/>
      <c r="L731" s="192"/>
      <c r="M731" s="192"/>
      <c r="N731" s="192"/>
      <c r="O731" s="195"/>
      <c r="P731" s="192"/>
      <c r="Q731" s="192"/>
      <c r="R731" s="192"/>
      <c r="S731" s="192"/>
    </row>
    <row r="732" spans="1:19" x14ac:dyDescent="0.2">
      <c r="A732" s="198"/>
      <c r="B732" s="188"/>
      <c r="C732" s="188"/>
      <c r="D732" s="215"/>
      <c r="G732" s="192"/>
      <c r="H732" s="370"/>
      <c r="I732" s="197"/>
      <c r="J732" s="192"/>
      <c r="K732" s="192"/>
      <c r="L732" s="192"/>
      <c r="M732" s="192"/>
      <c r="N732" s="192"/>
      <c r="O732" s="195"/>
      <c r="P732" s="192"/>
      <c r="Q732" s="192"/>
      <c r="R732" s="192"/>
      <c r="S732" s="192"/>
    </row>
    <row r="733" spans="1:19" x14ac:dyDescent="0.2">
      <c r="A733" s="198"/>
      <c r="B733" s="188"/>
      <c r="C733" s="188"/>
      <c r="D733" s="215"/>
      <c r="G733" s="192"/>
      <c r="H733" s="370"/>
      <c r="I733" s="197"/>
      <c r="J733" s="192"/>
      <c r="K733" s="192"/>
      <c r="L733" s="192"/>
      <c r="M733" s="192"/>
      <c r="N733" s="192"/>
      <c r="O733" s="195"/>
      <c r="P733" s="192"/>
      <c r="Q733" s="192"/>
      <c r="R733" s="192"/>
      <c r="S733" s="192"/>
    </row>
    <row r="734" spans="1:19" x14ac:dyDescent="0.2">
      <c r="A734" s="198"/>
      <c r="B734" s="188"/>
      <c r="C734" s="188"/>
      <c r="D734" s="215"/>
      <c r="G734" s="192"/>
      <c r="H734" s="370"/>
      <c r="I734" s="197"/>
      <c r="J734" s="192"/>
      <c r="K734" s="192"/>
      <c r="L734" s="192"/>
      <c r="M734" s="192"/>
      <c r="N734" s="192"/>
      <c r="O734" s="195"/>
      <c r="P734" s="192"/>
      <c r="Q734" s="192"/>
      <c r="R734" s="192"/>
      <c r="S734" s="192"/>
    </row>
    <row r="735" spans="1:19" x14ac:dyDescent="0.2">
      <c r="A735" s="198"/>
      <c r="B735" s="188"/>
      <c r="C735" s="188"/>
      <c r="D735" s="215"/>
      <c r="G735" s="192"/>
      <c r="H735" s="370"/>
      <c r="I735" s="197"/>
      <c r="J735" s="192"/>
      <c r="K735" s="192"/>
      <c r="L735" s="192"/>
      <c r="M735" s="192"/>
      <c r="N735" s="192"/>
      <c r="O735" s="195"/>
      <c r="P735" s="192"/>
      <c r="Q735" s="192"/>
      <c r="R735" s="192"/>
      <c r="S735" s="192"/>
    </row>
    <row r="736" spans="1:19" x14ac:dyDescent="0.2">
      <c r="A736" s="198"/>
      <c r="B736" s="188"/>
      <c r="C736" s="188"/>
      <c r="D736" s="215"/>
      <c r="G736" s="192"/>
      <c r="H736" s="370"/>
      <c r="I736" s="197"/>
      <c r="J736" s="192"/>
      <c r="K736" s="192"/>
      <c r="L736" s="192"/>
      <c r="M736" s="192"/>
      <c r="N736" s="192"/>
      <c r="O736" s="195"/>
      <c r="P736" s="192"/>
      <c r="Q736" s="192"/>
      <c r="R736" s="192"/>
      <c r="S736" s="192"/>
    </row>
    <row r="737" spans="1:19" x14ac:dyDescent="0.2">
      <c r="A737" s="198"/>
      <c r="B737" s="188"/>
      <c r="C737" s="188"/>
      <c r="D737" s="215"/>
      <c r="G737" s="192"/>
      <c r="H737" s="370"/>
      <c r="I737" s="197"/>
      <c r="J737" s="192"/>
      <c r="K737" s="192"/>
      <c r="L737" s="192"/>
      <c r="M737" s="192"/>
      <c r="N737" s="192"/>
      <c r="O737" s="195"/>
      <c r="P737" s="192"/>
      <c r="Q737" s="192"/>
      <c r="R737" s="192"/>
      <c r="S737" s="192"/>
    </row>
    <row r="738" spans="1:19" x14ac:dyDescent="0.2">
      <c r="A738" s="198"/>
      <c r="B738" s="188"/>
      <c r="C738" s="188"/>
      <c r="D738" s="215"/>
      <c r="G738" s="192"/>
      <c r="H738" s="370"/>
      <c r="I738" s="197"/>
      <c r="J738" s="192"/>
      <c r="K738" s="192"/>
      <c r="L738" s="192"/>
      <c r="M738" s="192"/>
      <c r="N738" s="192"/>
      <c r="O738" s="195"/>
      <c r="P738" s="192"/>
      <c r="Q738" s="192"/>
      <c r="R738" s="192"/>
      <c r="S738" s="192"/>
    </row>
    <row r="739" spans="1:19" x14ac:dyDescent="0.2">
      <c r="A739" s="198"/>
      <c r="B739" s="188"/>
      <c r="C739" s="188"/>
      <c r="D739" s="215"/>
      <c r="G739" s="192"/>
      <c r="H739" s="370"/>
      <c r="I739" s="197"/>
      <c r="J739" s="192"/>
      <c r="K739" s="192"/>
      <c r="L739" s="192"/>
      <c r="M739" s="192"/>
      <c r="N739" s="192"/>
      <c r="O739" s="195"/>
      <c r="P739" s="192"/>
      <c r="Q739" s="192"/>
      <c r="R739" s="192"/>
      <c r="S739" s="192"/>
    </row>
    <row r="740" spans="1:19" x14ac:dyDescent="0.2">
      <c r="A740" s="198"/>
      <c r="B740" s="188"/>
      <c r="C740" s="188"/>
      <c r="D740" s="215"/>
      <c r="G740" s="192"/>
      <c r="H740" s="370"/>
      <c r="I740" s="197"/>
      <c r="J740" s="192"/>
      <c r="K740" s="192"/>
      <c r="L740" s="192"/>
      <c r="M740" s="192"/>
      <c r="N740" s="192"/>
      <c r="O740" s="195"/>
      <c r="P740" s="192"/>
      <c r="Q740" s="192"/>
      <c r="R740" s="192"/>
      <c r="S740" s="192"/>
    </row>
    <row r="741" spans="1:19" x14ac:dyDescent="0.2">
      <c r="A741" s="198"/>
      <c r="B741" s="188"/>
      <c r="C741" s="188"/>
      <c r="D741" s="215"/>
      <c r="G741" s="192"/>
      <c r="H741" s="370"/>
      <c r="I741" s="197"/>
      <c r="J741" s="192"/>
      <c r="K741" s="192"/>
      <c r="L741" s="192"/>
      <c r="M741" s="192"/>
      <c r="N741" s="192"/>
      <c r="O741" s="195"/>
      <c r="P741" s="192"/>
      <c r="Q741" s="192"/>
      <c r="R741" s="192"/>
      <c r="S741" s="192"/>
    </row>
    <row r="742" spans="1:19" x14ac:dyDescent="0.2">
      <c r="A742" s="198"/>
      <c r="B742" s="188"/>
      <c r="C742" s="188"/>
      <c r="D742" s="215"/>
      <c r="G742" s="192"/>
      <c r="H742" s="370"/>
      <c r="I742" s="197"/>
      <c r="J742" s="192"/>
      <c r="K742" s="192"/>
      <c r="L742" s="192"/>
      <c r="M742" s="192"/>
      <c r="N742" s="192"/>
      <c r="O742" s="195"/>
      <c r="P742" s="192"/>
      <c r="Q742" s="192"/>
      <c r="R742" s="192"/>
      <c r="S742" s="192"/>
    </row>
    <row r="743" spans="1:19" x14ac:dyDescent="0.2">
      <c r="A743" s="198"/>
      <c r="B743" s="188"/>
      <c r="C743" s="188"/>
      <c r="D743" s="215"/>
      <c r="G743" s="192"/>
      <c r="H743" s="370"/>
      <c r="I743" s="197"/>
      <c r="J743" s="192"/>
      <c r="K743" s="192"/>
      <c r="L743" s="192"/>
      <c r="M743" s="192"/>
      <c r="N743" s="192"/>
      <c r="O743" s="195"/>
      <c r="P743" s="192"/>
      <c r="Q743" s="192"/>
      <c r="R743" s="192"/>
      <c r="S743" s="192"/>
    </row>
    <row r="744" spans="1:19" x14ac:dyDescent="0.2">
      <c r="A744" s="198"/>
      <c r="B744" s="188"/>
      <c r="C744" s="188"/>
      <c r="D744" s="215"/>
      <c r="G744" s="192"/>
      <c r="H744" s="370"/>
      <c r="I744" s="197"/>
      <c r="J744" s="192"/>
      <c r="K744" s="192"/>
      <c r="L744" s="192"/>
      <c r="M744" s="192"/>
      <c r="N744" s="192"/>
      <c r="O744" s="195"/>
      <c r="P744" s="192"/>
      <c r="Q744" s="192"/>
      <c r="R744" s="192"/>
      <c r="S744" s="192"/>
    </row>
    <row r="745" spans="1:19" x14ac:dyDescent="0.2">
      <c r="A745" s="198"/>
      <c r="B745" s="188"/>
      <c r="C745" s="188"/>
      <c r="D745" s="215"/>
      <c r="G745" s="192"/>
      <c r="H745" s="370"/>
      <c r="I745" s="197"/>
      <c r="J745" s="192"/>
      <c r="K745" s="192"/>
      <c r="L745" s="192"/>
      <c r="M745" s="192"/>
      <c r="N745" s="192"/>
      <c r="O745" s="195"/>
      <c r="P745" s="192"/>
      <c r="Q745" s="192"/>
      <c r="R745" s="192"/>
      <c r="S745" s="192"/>
    </row>
    <row r="746" spans="1:19" x14ac:dyDescent="0.2">
      <c r="A746" s="198"/>
      <c r="B746" s="188"/>
      <c r="C746" s="188"/>
      <c r="D746" s="215"/>
      <c r="G746" s="192"/>
      <c r="H746" s="370"/>
      <c r="I746" s="197"/>
      <c r="J746" s="192"/>
      <c r="K746" s="192"/>
      <c r="L746" s="192"/>
      <c r="M746" s="192"/>
      <c r="N746" s="192"/>
      <c r="O746" s="195"/>
      <c r="P746" s="192"/>
      <c r="Q746" s="192"/>
      <c r="R746" s="192"/>
      <c r="S746" s="192"/>
    </row>
    <row r="747" spans="1:19" x14ac:dyDescent="0.2">
      <c r="A747" s="198"/>
      <c r="B747" s="188"/>
      <c r="C747" s="188"/>
      <c r="D747" s="215"/>
      <c r="G747" s="192"/>
      <c r="H747" s="370"/>
      <c r="I747" s="197"/>
      <c r="J747" s="192"/>
      <c r="K747" s="192"/>
      <c r="L747" s="192"/>
      <c r="M747" s="192"/>
      <c r="N747" s="192"/>
      <c r="O747" s="195"/>
      <c r="P747" s="192"/>
      <c r="Q747" s="192"/>
      <c r="R747" s="192"/>
      <c r="S747" s="192"/>
    </row>
    <row r="748" spans="1:19" x14ac:dyDescent="0.2">
      <c r="A748" s="198"/>
      <c r="B748" s="188"/>
      <c r="C748" s="188"/>
      <c r="D748" s="215"/>
      <c r="G748" s="192"/>
      <c r="H748" s="370"/>
      <c r="I748" s="197"/>
      <c r="J748" s="192"/>
      <c r="K748" s="192"/>
      <c r="L748" s="192"/>
      <c r="M748" s="192"/>
      <c r="N748" s="192"/>
      <c r="O748" s="195"/>
      <c r="P748" s="192"/>
      <c r="Q748" s="192"/>
      <c r="R748" s="192"/>
      <c r="S748" s="192"/>
    </row>
    <row r="749" spans="1:19" x14ac:dyDescent="0.2">
      <c r="A749" s="198"/>
      <c r="B749" s="188"/>
      <c r="C749" s="188"/>
      <c r="D749" s="215"/>
      <c r="G749" s="192"/>
      <c r="H749" s="370"/>
      <c r="I749" s="197"/>
      <c r="J749" s="192"/>
      <c r="K749" s="192"/>
      <c r="L749" s="192"/>
      <c r="M749" s="192"/>
      <c r="N749" s="192"/>
      <c r="O749" s="195"/>
      <c r="P749" s="192"/>
      <c r="Q749" s="192"/>
      <c r="R749" s="192"/>
      <c r="S749" s="192"/>
    </row>
    <row r="750" spans="1:19" x14ac:dyDescent="0.2">
      <c r="A750" s="198"/>
      <c r="B750" s="188"/>
      <c r="C750" s="188"/>
      <c r="D750" s="215"/>
      <c r="G750" s="192"/>
      <c r="H750" s="370"/>
      <c r="I750" s="197"/>
      <c r="J750" s="192"/>
      <c r="K750" s="192"/>
      <c r="L750" s="192"/>
      <c r="M750" s="192"/>
      <c r="N750" s="192"/>
      <c r="O750" s="195"/>
      <c r="P750" s="192"/>
      <c r="Q750" s="192"/>
      <c r="R750" s="192"/>
      <c r="S750" s="192"/>
    </row>
    <row r="751" spans="1:19" x14ac:dyDescent="0.2">
      <c r="A751" s="198"/>
      <c r="B751" s="188"/>
      <c r="C751" s="188"/>
      <c r="D751" s="215"/>
      <c r="G751" s="192"/>
      <c r="H751" s="370"/>
      <c r="I751" s="197"/>
      <c r="J751" s="192"/>
      <c r="K751" s="192"/>
      <c r="L751" s="192"/>
      <c r="M751" s="192"/>
      <c r="N751" s="192"/>
      <c r="O751" s="195"/>
      <c r="P751" s="192"/>
      <c r="Q751" s="192"/>
      <c r="R751" s="192"/>
      <c r="S751" s="192"/>
    </row>
    <row r="752" spans="1:19" x14ac:dyDescent="0.2">
      <c r="A752" s="198"/>
      <c r="B752" s="188"/>
      <c r="C752" s="188"/>
      <c r="D752" s="215"/>
      <c r="G752" s="192"/>
      <c r="H752" s="370"/>
      <c r="I752" s="197"/>
      <c r="J752" s="192"/>
      <c r="K752" s="192"/>
      <c r="L752" s="192"/>
      <c r="M752" s="192"/>
      <c r="N752" s="192"/>
      <c r="O752" s="195"/>
      <c r="P752" s="192"/>
      <c r="Q752" s="192"/>
      <c r="R752" s="192"/>
      <c r="S752" s="192"/>
    </row>
    <row r="753" spans="1:19" x14ac:dyDescent="0.2">
      <c r="A753" s="198"/>
      <c r="B753" s="188"/>
      <c r="C753" s="188"/>
      <c r="D753" s="215"/>
      <c r="G753" s="192"/>
      <c r="H753" s="370"/>
      <c r="I753" s="197"/>
      <c r="J753" s="192"/>
      <c r="K753" s="192"/>
      <c r="L753" s="192"/>
      <c r="M753" s="192"/>
      <c r="N753" s="192"/>
      <c r="O753" s="195"/>
      <c r="P753" s="192"/>
      <c r="Q753" s="192"/>
      <c r="R753" s="192"/>
      <c r="S753" s="192"/>
    </row>
    <row r="754" spans="1:19" x14ac:dyDescent="0.2">
      <c r="A754" s="198"/>
      <c r="B754" s="188"/>
      <c r="C754" s="188"/>
      <c r="D754" s="215"/>
      <c r="G754" s="192"/>
      <c r="H754" s="370"/>
      <c r="I754" s="197"/>
      <c r="J754" s="192"/>
      <c r="K754" s="192"/>
      <c r="L754" s="192"/>
      <c r="M754" s="192"/>
      <c r="N754" s="192"/>
      <c r="O754" s="195"/>
      <c r="P754" s="192"/>
      <c r="Q754" s="192"/>
      <c r="R754" s="192"/>
      <c r="S754" s="192"/>
    </row>
    <row r="755" spans="1:19" x14ac:dyDescent="0.2">
      <c r="A755" s="198"/>
      <c r="B755" s="188"/>
      <c r="C755" s="188"/>
      <c r="D755" s="215"/>
      <c r="G755" s="192"/>
      <c r="H755" s="370"/>
      <c r="I755" s="197"/>
      <c r="J755" s="192"/>
      <c r="K755" s="192"/>
      <c r="L755" s="192"/>
      <c r="M755" s="192"/>
      <c r="N755" s="192"/>
      <c r="O755" s="195"/>
      <c r="P755" s="192"/>
      <c r="Q755" s="192"/>
      <c r="R755" s="192"/>
      <c r="S755" s="192"/>
    </row>
    <row r="756" spans="1:19" x14ac:dyDescent="0.2">
      <c r="A756" s="198"/>
      <c r="B756" s="188"/>
      <c r="C756" s="188"/>
      <c r="D756" s="215"/>
      <c r="G756" s="192"/>
      <c r="H756" s="370"/>
      <c r="I756" s="197"/>
      <c r="J756" s="192"/>
      <c r="K756" s="192"/>
      <c r="L756" s="192"/>
      <c r="M756" s="192"/>
      <c r="N756" s="192"/>
      <c r="O756" s="195"/>
      <c r="P756" s="192"/>
      <c r="Q756" s="192"/>
      <c r="R756" s="192"/>
      <c r="S756" s="192"/>
    </row>
    <row r="757" spans="1:19" x14ac:dyDescent="0.2">
      <c r="A757" s="198"/>
      <c r="B757" s="188"/>
      <c r="C757" s="188"/>
      <c r="D757" s="215"/>
      <c r="G757" s="192"/>
      <c r="H757" s="370"/>
      <c r="I757" s="197"/>
      <c r="J757" s="192"/>
      <c r="K757" s="192"/>
      <c r="L757" s="192"/>
      <c r="M757" s="192"/>
      <c r="N757" s="192"/>
      <c r="O757" s="195"/>
      <c r="P757" s="192"/>
      <c r="Q757" s="192"/>
      <c r="R757" s="192"/>
      <c r="S757" s="192"/>
    </row>
    <row r="758" spans="1:19" x14ac:dyDescent="0.2">
      <c r="A758" s="198"/>
      <c r="B758" s="188"/>
      <c r="C758" s="188"/>
      <c r="D758" s="215"/>
      <c r="G758" s="192"/>
      <c r="H758" s="370"/>
      <c r="I758" s="197"/>
      <c r="J758" s="192"/>
      <c r="K758" s="192"/>
      <c r="L758" s="192"/>
      <c r="M758" s="192"/>
      <c r="N758" s="192"/>
      <c r="O758" s="195"/>
      <c r="P758" s="192"/>
      <c r="Q758" s="192"/>
      <c r="R758" s="192"/>
      <c r="S758" s="192"/>
    </row>
    <row r="759" spans="1:19" x14ac:dyDescent="0.2">
      <c r="A759" s="198"/>
      <c r="B759" s="188"/>
      <c r="C759" s="188"/>
      <c r="D759" s="215"/>
      <c r="G759" s="192"/>
      <c r="H759" s="370"/>
      <c r="I759" s="197"/>
      <c r="J759" s="192"/>
      <c r="K759" s="192"/>
      <c r="L759" s="192"/>
      <c r="M759" s="192"/>
      <c r="N759" s="192"/>
      <c r="O759" s="195"/>
      <c r="P759" s="192"/>
      <c r="Q759" s="192"/>
      <c r="R759" s="192"/>
      <c r="S759" s="192"/>
    </row>
    <row r="760" spans="1:19" x14ac:dyDescent="0.2">
      <c r="A760" s="198"/>
      <c r="B760" s="188"/>
      <c r="C760" s="188"/>
      <c r="D760" s="215"/>
      <c r="G760" s="192"/>
      <c r="H760" s="370"/>
      <c r="I760" s="197"/>
      <c r="J760" s="192"/>
      <c r="K760" s="192"/>
      <c r="L760" s="192"/>
      <c r="M760" s="192"/>
      <c r="N760" s="192"/>
      <c r="O760" s="195"/>
      <c r="P760" s="192"/>
      <c r="Q760" s="192"/>
      <c r="R760" s="192"/>
      <c r="S760" s="192"/>
    </row>
    <row r="761" spans="1:19" x14ac:dyDescent="0.2">
      <c r="A761" s="198"/>
      <c r="B761" s="188"/>
      <c r="C761" s="188"/>
      <c r="D761" s="215"/>
      <c r="G761" s="192"/>
      <c r="H761" s="370"/>
      <c r="I761" s="197"/>
      <c r="J761" s="192"/>
      <c r="K761" s="192"/>
      <c r="L761" s="192"/>
      <c r="M761" s="192"/>
      <c r="N761" s="192"/>
      <c r="O761" s="195"/>
      <c r="P761" s="192"/>
      <c r="Q761" s="192"/>
      <c r="R761" s="192"/>
      <c r="S761" s="192"/>
    </row>
    <row r="762" spans="1:19" x14ac:dyDescent="0.2">
      <c r="A762" s="198"/>
      <c r="B762" s="188"/>
      <c r="C762" s="188"/>
      <c r="D762" s="215"/>
      <c r="G762" s="192"/>
      <c r="H762" s="370"/>
      <c r="I762" s="197"/>
      <c r="J762" s="192"/>
      <c r="K762" s="192"/>
      <c r="L762" s="192"/>
      <c r="M762" s="192"/>
      <c r="N762" s="192"/>
      <c r="O762" s="195"/>
      <c r="P762" s="192"/>
      <c r="Q762" s="192"/>
      <c r="R762" s="192"/>
      <c r="S762" s="192"/>
    </row>
    <row r="763" spans="1:19" x14ac:dyDescent="0.2">
      <c r="A763" s="198"/>
      <c r="B763" s="188"/>
      <c r="C763" s="188"/>
      <c r="D763" s="215"/>
      <c r="G763" s="192"/>
      <c r="H763" s="370"/>
      <c r="I763" s="197"/>
      <c r="J763" s="192"/>
      <c r="K763" s="192"/>
      <c r="L763" s="192"/>
      <c r="M763" s="192"/>
      <c r="N763" s="192"/>
      <c r="O763" s="195"/>
      <c r="P763" s="192"/>
      <c r="Q763" s="192"/>
      <c r="R763" s="192"/>
      <c r="S763" s="192"/>
    </row>
    <row r="764" spans="1:19" x14ac:dyDescent="0.2">
      <c r="A764" s="198"/>
      <c r="B764" s="188"/>
      <c r="C764" s="188"/>
      <c r="D764" s="215"/>
      <c r="G764" s="192"/>
      <c r="H764" s="370"/>
      <c r="I764" s="197"/>
      <c r="J764" s="192"/>
      <c r="K764" s="192"/>
      <c r="L764" s="192"/>
      <c r="M764" s="192"/>
      <c r="N764" s="192"/>
      <c r="O764" s="195"/>
      <c r="P764" s="192"/>
      <c r="Q764" s="192"/>
      <c r="R764" s="192"/>
      <c r="S764" s="192"/>
    </row>
    <row r="765" spans="1:19" x14ac:dyDescent="0.2">
      <c r="A765" s="198"/>
      <c r="B765" s="188"/>
      <c r="C765" s="188"/>
      <c r="D765" s="215"/>
      <c r="G765" s="192"/>
      <c r="H765" s="370"/>
      <c r="I765" s="197"/>
      <c r="J765" s="192"/>
      <c r="K765" s="192"/>
      <c r="L765" s="192"/>
      <c r="M765" s="192"/>
      <c r="N765" s="192"/>
      <c r="O765" s="195"/>
      <c r="P765" s="192"/>
      <c r="Q765" s="192"/>
      <c r="R765" s="192"/>
      <c r="S765" s="192"/>
    </row>
    <row r="766" spans="1:19" x14ac:dyDescent="0.2">
      <c r="A766" s="198"/>
      <c r="B766" s="188"/>
      <c r="C766" s="188"/>
      <c r="D766" s="215"/>
      <c r="G766" s="192"/>
      <c r="H766" s="196"/>
      <c r="I766" s="197"/>
      <c r="J766" s="192"/>
      <c r="K766" s="192"/>
      <c r="L766" s="192"/>
      <c r="M766" s="192"/>
      <c r="N766" s="192"/>
      <c r="O766" s="195"/>
      <c r="P766" s="192"/>
      <c r="Q766" s="192"/>
      <c r="R766" s="192"/>
      <c r="S766" s="192"/>
    </row>
    <row r="767" spans="1:19" x14ac:dyDescent="0.2">
      <c r="A767" s="198"/>
      <c r="B767" s="188"/>
      <c r="C767" s="188"/>
      <c r="D767" s="215"/>
      <c r="G767" s="192"/>
      <c r="H767" s="196"/>
      <c r="I767" s="197"/>
      <c r="J767" s="192"/>
      <c r="K767" s="192"/>
      <c r="L767" s="192"/>
      <c r="M767" s="192"/>
      <c r="N767" s="192"/>
      <c r="O767" s="195"/>
      <c r="P767" s="192"/>
      <c r="Q767" s="192"/>
      <c r="R767" s="192"/>
      <c r="S767" s="192"/>
    </row>
    <row r="768" spans="1:19" x14ac:dyDescent="0.2">
      <c r="A768" s="198"/>
      <c r="B768" s="188"/>
      <c r="C768" s="188"/>
      <c r="D768" s="215"/>
      <c r="G768" s="192"/>
      <c r="H768" s="196"/>
      <c r="I768" s="197"/>
      <c r="J768" s="192"/>
      <c r="K768" s="192"/>
      <c r="L768" s="192"/>
      <c r="M768" s="192"/>
      <c r="N768" s="192"/>
      <c r="O768" s="195"/>
      <c r="P768" s="192"/>
      <c r="Q768" s="192"/>
      <c r="R768" s="192"/>
      <c r="S768" s="192"/>
    </row>
    <row r="769" spans="1:19" x14ac:dyDescent="0.2">
      <c r="A769" s="198"/>
      <c r="B769" s="188"/>
      <c r="C769" s="188"/>
      <c r="D769" s="215"/>
      <c r="G769" s="192"/>
      <c r="H769" s="196"/>
      <c r="I769" s="197"/>
      <c r="J769" s="192"/>
      <c r="K769" s="192"/>
      <c r="L769" s="192"/>
      <c r="M769" s="192"/>
      <c r="N769" s="192"/>
      <c r="O769" s="195"/>
      <c r="P769" s="192"/>
      <c r="Q769" s="192"/>
      <c r="R769" s="192"/>
      <c r="S769" s="192"/>
    </row>
    <row r="770" spans="1:19" x14ac:dyDescent="0.2">
      <c r="A770" s="198"/>
      <c r="B770" s="188"/>
      <c r="C770" s="188"/>
      <c r="D770" s="215"/>
      <c r="G770" s="192"/>
      <c r="H770" s="196"/>
      <c r="I770" s="197"/>
      <c r="J770" s="192"/>
      <c r="K770" s="192"/>
      <c r="L770" s="192"/>
      <c r="M770" s="192"/>
      <c r="N770" s="192"/>
      <c r="O770" s="195"/>
      <c r="P770" s="192"/>
      <c r="Q770" s="192"/>
      <c r="R770" s="192"/>
      <c r="S770" s="192"/>
    </row>
    <row r="771" spans="1:19" x14ac:dyDescent="0.2">
      <c r="A771" s="198"/>
      <c r="B771" s="188"/>
      <c r="C771" s="188"/>
      <c r="D771" s="215"/>
      <c r="G771" s="192"/>
      <c r="H771" s="196"/>
      <c r="I771" s="197"/>
      <c r="J771" s="192"/>
      <c r="K771" s="192"/>
      <c r="L771" s="192"/>
      <c r="M771" s="192"/>
      <c r="N771" s="192"/>
      <c r="O771" s="195"/>
      <c r="P771" s="192"/>
      <c r="Q771" s="192"/>
      <c r="R771" s="192"/>
      <c r="S771" s="192"/>
    </row>
    <row r="772" spans="1:19" x14ac:dyDescent="0.2">
      <c r="A772" s="198"/>
      <c r="B772" s="188"/>
      <c r="C772" s="188"/>
      <c r="D772" s="215"/>
      <c r="G772" s="192"/>
      <c r="H772" s="196"/>
      <c r="I772" s="197"/>
      <c r="J772" s="192"/>
      <c r="K772" s="192"/>
      <c r="L772" s="192"/>
      <c r="M772" s="192"/>
      <c r="N772" s="192"/>
      <c r="O772" s="195"/>
      <c r="P772" s="192"/>
      <c r="Q772" s="192"/>
      <c r="R772" s="192"/>
      <c r="S772" s="192"/>
    </row>
    <row r="773" spans="1:19" x14ac:dyDescent="0.2">
      <c r="A773" s="198"/>
      <c r="B773" s="188"/>
      <c r="C773" s="188"/>
      <c r="D773" s="215"/>
      <c r="G773" s="192"/>
      <c r="H773" s="196"/>
      <c r="I773" s="197"/>
      <c r="J773" s="192"/>
      <c r="K773" s="192"/>
      <c r="L773" s="192"/>
      <c r="M773" s="192"/>
      <c r="N773" s="192"/>
      <c r="O773" s="195"/>
      <c r="P773" s="192"/>
      <c r="Q773" s="192"/>
      <c r="R773" s="192"/>
      <c r="S773" s="192"/>
    </row>
    <row r="774" spans="1:19" x14ac:dyDescent="0.2">
      <c r="A774" s="198"/>
      <c r="B774" s="188"/>
      <c r="C774" s="188"/>
      <c r="D774" s="215"/>
      <c r="G774" s="192"/>
      <c r="H774" s="196"/>
      <c r="I774" s="197"/>
      <c r="J774" s="192"/>
      <c r="K774" s="192"/>
      <c r="L774" s="192"/>
      <c r="M774" s="192"/>
      <c r="N774" s="192"/>
      <c r="O774" s="195"/>
      <c r="P774" s="192"/>
      <c r="Q774" s="192"/>
      <c r="R774" s="192"/>
      <c r="S774" s="192"/>
    </row>
    <row r="775" spans="1:19" x14ac:dyDescent="0.2">
      <c r="A775" s="198"/>
      <c r="B775" s="188"/>
      <c r="C775" s="188"/>
      <c r="D775" s="215"/>
      <c r="G775" s="192"/>
      <c r="H775" s="196"/>
      <c r="I775" s="197"/>
      <c r="J775" s="192"/>
      <c r="K775" s="192"/>
      <c r="L775" s="192"/>
      <c r="M775" s="192"/>
      <c r="N775" s="192"/>
      <c r="O775" s="195"/>
      <c r="P775" s="192"/>
      <c r="Q775" s="192"/>
      <c r="R775" s="192"/>
      <c r="S775" s="192"/>
    </row>
    <row r="776" spans="1:19" x14ac:dyDescent="0.2">
      <c r="A776" s="198"/>
      <c r="B776" s="188"/>
      <c r="C776" s="188"/>
      <c r="D776" s="215"/>
      <c r="G776" s="192"/>
      <c r="H776" s="196"/>
      <c r="I776" s="197"/>
      <c r="J776" s="192"/>
      <c r="K776" s="192"/>
      <c r="L776" s="192"/>
      <c r="M776" s="192"/>
      <c r="N776" s="192"/>
      <c r="O776" s="195"/>
      <c r="P776" s="192"/>
      <c r="Q776" s="192"/>
      <c r="R776" s="192"/>
      <c r="S776" s="192"/>
    </row>
    <row r="777" spans="1:19" x14ac:dyDescent="0.2">
      <c r="A777" s="198"/>
      <c r="B777" s="188"/>
      <c r="C777" s="188"/>
      <c r="D777" s="215"/>
      <c r="G777" s="192"/>
      <c r="H777" s="196"/>
      <c r="I777" s="197"/>
      <c r="J777" s="192"/>
      <c r="K777" s="192"/>
      <c r="L777" s="192"/>
      <c r="M777" s="192"/>
      <c r="N777" s="192"/>
      <c r="O777" s="195"/>
      <c r="P777" s="192"/>
      <c r="Q777" s="192"/>
      <c r="R777" s="192"/>
      <c r="S777" s="192"/>
    </row>
    <row r="778" spans="1:19" x14ac:dyDescent="0.2">
      <c r="A778" s="198"/>
      <c r="B778" s="188"/>
      <c r="C778" s="188"/>
      <c r="D778" s="215"/>
      <c r="G778" s="192"/>
      <c r="H778" s="196"/>
      <c r="I778" s="197"/>
      <c r="J778" s="192"/>
      <c r="K778" s="192"/>
      <c r="L778" s="192"/>
      <c r="M778" s="192"/>
      <c r="N778" s="192"/>
      <c r="O778" s="195"/>
      <c r="P778" s="192"/>
      <c r="Q778" s="192"/>
      <c r="R778" s="192"/>
      <c r="S778" s="192"/>
    </row>
    <row r="779" spans="1:19" x14ac:dyDescent="0.2">
      <c r="A779" s="198"/>
      <c r="B779" s="188"/>
      <c r="C779" s="188"/>
      <c r="D779" s="215"/>
      <c r="G779" s="192"/>
      <c r="H779" s="196"/>
      <c r="I779" s="197"/>
      <c r="J779" s="192"/>
      <c r="K779" s="192"/>
      <c r="L779" s="192"/>
      <c r="M779" s="192"/>
      <c r="N779" s="192"/>
      <c r="O779" s="195"/>
      <c r="P779" s="192"/>
      <c r="Q779" s="192"/>
      <c r="R779" s="192"/>
      <c r="S779" s="192"/>
    </row>
    <row r="780" spans="1:19" x14ac:dyDescent="0.2">
      <c r="A780" s="198"/>
      <c r="B780" s="188"/>
      <c r="C780" s="188"/>
      <c r="D780" s="215"/>
      <c r="G780" s="192"/>
      <c r="H780" s="196"/>
      <c r="I780" s="197"/>
      <c r="J780" s="192"/>
      <c r="K780" s="192"/>
      <c r="L780" s="192"/>
      <c r="M780" s="192"/>
      <c r="N780" s="192"/>
      <c r="O780" s="195"/>
      <c r="P780" s="192"/>
      <c r="Q780" s="192"/>
      <c r="R780" s="192"/>
      <c r="S780" s="192"/>
    </row>
    <row r="781" spans="1:19" x14ac:dyDescent="0.2">
      <c r="A781" s="198"/>
      <c r="B781" s="188"/>
      <c r="C781" s="188"/>
      <c r="D781" s="215"/>
      <c r="G781" s="192"/>
      <c r="H781" s="196"/>
      <c r="I781" s="197"/>
      <c r="J781" s="192"/>
      <c r="K781" s="192"/>
      <c r="L781" s="192"/>
      <c r="M781" s="192"/>
      <c r="N781" s="192"/>
      <c r="O781" s="195"/>
      <c r="P781" s="192"/>
      <c r="Q781" s="192"/>
      <c r="R781" s="192"/>
      <c r="S781" s="192"/>
    </row>
    <row r="782" spans="1:19" x14ac:dyDescent="0.2">
      <c r="A782" s="198"/>
      <c r="B782" s="188"/>
      <c r="C782" s="188"/>
      <c r="D782" s="215"/>
      <c r="G782" s="192"/>
      <c r="H782" s="196"/>
      <c r="I782" s="197"/>
      <c r="J782" s="192"/>
      <c r="K782" s="192"/>
      <c r="L782" s="192"/>
      <c r="M782" s="192"/>
      <c r="N782" s="192"/>
      <c r="O782" s="195"/>
      <c r="P782" s="192"/>
      <c r="Q782" s="192"/>
      <c r="R782" s="192"/>
      <c r="S782" s="192"/>
    </row>
    <row r="783" spans="1:19" x14ac:dyDescent="0.2">
      <c r="A783" s="198"/>
      <c r="B783" s="188"/>
      <c r="C783" s="188"/>
      <c r="D783" s="215"/>
      <c r="G783" s="192"/>
      <c r="H783" s="196"/>
      <c r="I783" s="197"/>
      <c r="J783" s="192"/>
      <c r="K783" s="192"/>
      <c r="L783" s="192"/>
      <c r="M783" s="192"/>
      <c r="N783" s="192"/>
      <c r="O783" s="195"/>
      <c r="P783" s="192"/>
      <c r="Q783" s="192"/>
      <c r="R783" s="192"/>
      <c r="S783" s="192"/>
    </row>
    <row r="784" spans="1:19" x14ac:dyDescent="0.2">
      <c r="A784" s="198"/>
      <c r="B784" s="188"/>
      <c r="C784" s="188"/>
      <c r="D784" s="215"/>
      <c r="G784" s="192"/>
      <c r="H784" s="196"/>
      <c r="I784" s="197"/>
      <c r="J784" s="192"/>
      <c r="K784" s="192"/>
      <c r="L784" s="192"/>
      <c r="M784" s="192"/>
      <c r="N784" s="192"/>
      <c r="O784" s="195"/>
      <c r="P784" s="192"/>
      <c r="Q784" s="192"/>
      <c r="R784" s="192"/>
      <c r="S784" s="192"/>
    </row>
    <row r="785" spans="1:19" x14ac:dyDescent="0.2">
      <c r="A785" s="198"/>
      <c r="B785" s="188"/>
      <c r="C785" s="188"/>
      <c r="D785" s="215"/>
      <c r="G785" s="192"/>
      <c r="H785" s="196"/>
      <c r="I785" s="197"/>
      <c r="J785" s="192"/>
      <c r="K785" s="192"/>
      <c r="L785" s="192"/>
      <c r="M785" s="192"/>
      <c r="N785" s="192"/>
      <c r="O785" s="195"/>
      <c r="P785" s="192"/>
      <c r="Q785" s="192"/>
      <c r="R785" s="192"/>
      <c r="S785" s="192"/>
    </row>
    <row r="786" spans="1:19" x14ac:dyDescent="0.2">
      <c r="A786" s="198"/>
      <c r="B786" s="188"/>
      <c r="C786" s="188"/>
      <c r="D786" s="215"/>
      <c r="G786" s="192"/>
      <c r="H786" s="196"/>
      <c r="I786" s="197"/>
      <c r="J786" s="192"/>
      <c r="K786" s="192"/>
      <c r="L786" s="192"/>
      <c r="M786" s="192"/>
      <c r="N786" s="192"/>
      <c r="O786" s="195"/>
      <c r="P786" s="192"/>
      <c r="Q786" s="192"/>
      <c r="R786" s="192"/>
      <c r="S786" s="192"/>
    </row>
    <row r="787" spans="1:19" x14ac:dyDescent="0.2">
      <c r="A787" s="198"/>
      <c r="B787" s="188"/>
      <c r="C787" s="188"/>
      <c r="D787" s="215"/>
      <c r="G787" s="192"/>
      <c r="H787" s="196"/>
      <c r="I787" s="197"/>
      <c r="J787" s="192"/>
      <c r="K787" s="192"/>
      <c r="L787" s="192"/>
      <c r="M787" s="192"/>
      <c r="N787" s="192"/>
      <c r="O787" s="195"/>
      <c r="P787" s="192"/>
      <c r="Q787" s="192"/>
      <c r="R787" s="192"/>
      <c r="S787" s="192"/>
    </row>
    <row r="788" spans="1:19" x14ac:dyDescent="0.2">
      <c r="A788" s="198"/>
      <c r="B788" s="188"/>
      <c r="C788" s="188"/>
      <c r="D788" s="215"/>
      <c r="G788" s="192"/>
      <c r="H788" s="196"/>
      <c r="I788" s="197"/>
      <c r="J788" s="192"/>
      <c r="K788" s="192"/>
      <c r="L788" s="192"/>
      <c r="M788" s="192"/>
      <c r="N788" s="192"/>
      <c r="O788" s="195"/>
      <c r="P788" s="192"/>
      <c r="Q788" s="192"/>
      <c r="R788" s="192"/>
      <c r="S788" s="192"/>
    </row>
    <row r="789" spans="1:19" x14ac:dyDescent="0.2">
      <c r="A789" s="198"/>
      <c r="B789" s="188"/>
      <c r="C789" s="188"/>
      <c r="D789" s="215"/>
      <c r="G789" s="192"/>
      <c r="H789" s="196"/>
      <c r="I789" s="197"/>
      <c r="J789" s="192"/>
      <c r="K789" s="192"/>
      <c r="L789" s="192"/>
      <c r="M789" s="192"/>
      <c r="N789" s="192"/>
      <c r="O789" s="195"/>
      <c r="P789" s="192"/>
      <c r="Q789" s="192"/>
      <c r="R789" s="192"/>
      <c r="S789" s="192"/>
    </row>
    <row r="790" spans="1:19" x14ac:dyDescent="0.2">
      <c r="A790" s="198"/>
      <c r="B790" s="188"/>
      <c r="C790" s="188"/>
      <c r="D790" s="215"/>
      <c r="G790" s="192"/>
      <c r="H790" s="196"/>
      <c r="I790" s="197"/>
      <c r="J790" s="192"/>
      <c r="K790" s="192"/>
      <c r="L790" s="192"/>
      <c r="M790" s="192"/>
      <c r="N790" s="192"/>
      <c r="O790" s="195"/>
      <c r="P790" s="192"/>
      <c r="Q790" s="192"/>
      <c r="R790" s="192"/>
      <c r="S790" s="192"/>
    </row>
    <row r="791" spans="1:19" x14ac:dyDescent="0.2">
      <c r="A791" s="198"/>
      <c r="B791" s="188"/>
      <c r="C791" s="188"/>
      <c r="D791" s="215"/>
      <c r="G791" s="192"/>
      <c r="H791" s="196"/>
      <c r="I791" s="197"/>
      <c r="J791" s="192"/>
      <c r="K791" s="192"/>
      <c r="L791" s="192"/>
      <c r="M791" s="192"/>
      <c r="N791" s="192"/>
      <c r="O791" s="195"/>
      <c r="P791" s="192"/>
      <c r="Q791" s="192"/>
      <c r="R791" s="192"/>
      <c r="S791" s="192"/>
    </row>
    <row r="792" spans="1:19" x14ac:dyDescent="0.2">
      <c r="A792" s="198"/>
      <c r="B792" s="188"/>
      <c r="C792" s="188"/>
      <c r="D792" s="215"/>
      <c r="G792" s="192"/>
      <c r="H792" s="196"/>
      <c r="I792" s="197"/>
      <c r="J792" s="192"/>
      <c r="K792" s="192"/>
      <c r="L792" s="192"/>
      <c r="M792" s="192"/>
      <c r="N792" s="192"/>
      <c r="O792" s="195"/>
      <c r="P792" s="192"/>
      <c r="Q792" s="192"/>
      <c r="R792" s="192"/>
      <c r="S792" s="192"/>
    </row>
    <row r="793" spans="1:19" x14ac:dyDescent="0.2">
      <c r="A793" s="198"/>
      <c r="B793" s="188"/>
      <c r="C793" s="188"/>
      <c r="D793" s="215"/>
      <c r="G793" s="192"/>
      <c r="H793" s="196"/>
      <c r="I793" s="197"/>
      <c r="J793" s="192"/>
      <c r="K793" s="192"/>
      <c r="L793" s="192"/>
      <c r="M793" s="192"/>
      <c r="N793" s="192"/>
      <c r="O793" s="195"/>
      <c r="P793" s="192"/>
      <c r="Q793" s="192"/>
      <c r="R793" s="192"/>
      <c r="S793" s="192"/>
    </row>
    <row r="794" spans="1:19" x14ac:dyDescent="0.2">
      <c r="A794" s="198"/>
      <c r="B794" s="188"/>
      <c r="C794" s="188"/>
      <c r="D794" s="215"/>
      <c r="G794" s="192"/>
      <c r="H794" s="196"/>
      <c r="I794" s="197"/>
      <c r="J794" s="192"/>
      <c r="K794" s="192"/>
      <c r="L794" s="192"/>
      <c r="M794" s="192"/>
      <c r="N794" s="192"/>
      <c r="O794" s="195"/>
      <c r="P794" s="192"/>
      <c r="Q794" s="192"/>
      <c r="R794" s="192"/>
      <c r="S794" s="192"/>
    </row>
    <row r="795" spans="1:19" x14ac:dyDescent="0.2">
      <c r="A795" s="198"/>
      <c r="B795" s="188"/>
      <c r="C795" s="188"/>
      <c r="D795" s="215"/>
      <c r="G795" s="192"/>
      <c r="H795" s="196"/>
      <c r="I795" s="197"/>
      <c r="J795" s="192"/>
      <c r="K795" s="192"/>
      <c r="L795" s="192"/>
      <c r="M795" s="192"/>
      <c r="N795" s="192"/>
      <c r="O795" s="195"/>
      <c r="P795" s="192"/>
      <c r="Q795" s="192"/>
      <c r="R795" s="192"/>
      <c r="S795" s="192"/>
    </row>
    <row r="796" spans="1:19" x14ac:dyDescent="0.2">
      <c r="A796" s="198"/>
      <c r="B796" s="188"/>
      <c r="C796" s="188"/>
      <c r="D796" s="215"/>
      <c r="G796" s="192"/>
      <c r="H796" s="196"/>
      <c r="I796" s="197"/>
      <c r="J796" s="192"/>
      <c r="K796" s="192"/>
      <c r="L796" s="192"/>
      <c r="M796" s="192"/>
      <c r="N796" s="192"/>
      <c r="O796" s="195"/>
      <c r="P796" s="192"/>
      <c r="Q796" s="192"/>
      <c r="R796" s="192"/>
      <c r="S796" s="192"/>
    </row>
    <row r="797" spans="1:19" x14ac:dyDescent="0.2">
      <c r="A797" s="198"/>
      <c r="B797" s="188"/>
      <c r="C797" s="188"/>
      <c r="D797" s="215"/>
      <c r="G797" s="192"/>
      <c r="H797" s="196"/>
      <c r="I797" s="197"/>
      <c r="J797" s="192"/>
      <c r="K797" s="192"/>
      <c r="L797" s="192"/>
      <c r="M797" s="192"/>
      <c r="N797" s="192"/>
      <c r="O797" s="195"/>
      <c r="P797" s="192"/>
      <c r="Q797" s="192"/>
      <c r="R797" s="192"/>
      <c r="S797" s="192"/>
    </row>
    <row r="798" spans="1:19" x14ac:dyDescent="0.2">
      <c r="A798" s="198"/>
      <c r="B798" s="188"/>
      <c r="C798" s="188"/>
      <c r="D798" s="215"/>
      <c r="G798" s="192"/>
      <c r="H798" s="196"/>
      <c r="I798" s="197"/>
      <c r="J798" s="192"/>
      <c r="K798" s="192"/>
      <c r="L798" s="192"/>
      <c r="M798" s="192"/>
      <c r="N798" s="192"/>
      <c r="O798" s="195"/>
      <c r="P798" s="192"/>
      <c r="Q798" s="192"/>
      <c r="R798" s="192"/>
      <c r="S798" s="192"/>
    </row>
    <row r="799" spans="1:19" x14ac:dyDescent="0.2">
      <c r="A799" s="198"/>
      <c r="B799" s="188"/>
      <c r="C799" s="188"/>
      <c r="D799" s="215"/>
      <c r="G799" s="192"/>
      <c r="H799" s="196"/>
      <c r="I799" s="197"/>
      <c r="J799" s="192"/>
      <c r="K799" s="192"/>
      <c r="L799" s="192"/>
      <c r="M799" s="192"/>
      <c r="N799" s="192"/>
      <c r="O799" s="195"/>
      <c r="P799" s="192"/>
      <c r="Q799" s="192"/>
      <c r="R799" s="192"/>
      <c r="S799" s="192"/>
    </row>
    <row r="800" spans="1:19" x14ac:dyDescent="0.2">
      <c r="A800" s="198"/>
      <c r="B800" s="188"/>
      <c r="C800" s="188"/>
      <c r="D800" s="215"/>
      <c r="G800" s="192"/>
      <c r="H800" s="196"/>
      <c r="I800" s="197"/>
      <c r="J800" s="192"/>
      <c r="K800" s="192"/>
      <c r="L800" s="192"/>
      <c r="M800" s="192"/>
      <c r="N800" s="192"/>
      <c r="O800" s="195"/>
      <c r="P800" s="192"/>
      <c r="Q800" s="192"/>
      <c r="R800" s="192"/>
      <c r="S800" s="192"/>
    </row>
    <row r="801" spans="1:19" x14ac:dyDescent="0.2">
      <c r="A801" s="198"/>
      <c r="B801" s="188"/>
      <c r="C801" s="188"/>
      <c r="D801" s="215"/>
      <c r="G801" s="192"/>
      <c r="H801" s="196"/>
      <c r="I801" s="197"/>
      <c r="J801" s="192"/>
      <c r="K801" s="192"/>
      <c r="L801" s="192"/>
      <c r="M801" s="192"/>
      <c r="N801" s="192"/>
      <c r="O801" s="195"/>
      <c r="P801" s="192"/>
      <c r="Q801" s="192"/>
      <c r="R801" s="192"/>
      <c r="S801" s="192"/>
    </row>
    <row r="802" spans="1:19" x14ac:dyDescent="0.2">
      <c r="A802" s="198"/>
      <c r="B802" s="188"/>
      <c r="C802" s="188"/>
      <c r="D802" s="215"/>
      <c r="G802" s="192"/>
      <c r="H802" s="196"/>
      <c r="I802" s="197"/>
      <c r="J802" s="192"/>
      <c r="K802" s="192"/>
      <c r="L802" s="192"/>
      <c r="M802" s="192"/>
      <c r="N802" s="192"/>
      <c r="O802" s="195"/>
      <c r="P802" s="192"/>
      <c r="Q802" s="192"/>
      <c r="R802" s="192"/>
      <c r="S802" s="192"/>
    </row>
    <row r="803" spans="1:19" x14ac:dyDescent="0.2">
      <c r="A803" s="198"/>
      <c r="B803" s="188"/>
      <c r="C803" s="188"/>
      <c r="D803" s="215"/>
      <c r="G803" s="192"/>
      <c r="H803" s="196"/>
      <c r="I803" s="197"/>
      <c r="J803" s="192"/>
      <c r="K803" s="192"/>
      <c r="L803" s="192"/>
      <c r="M803" s="192"/>
      <c r="N803" s="192"/>
      <c r="O803" s="195"/>
      <c r="P803" s="192"/>
      <c r="Q803" s="192"/>
      <c r="R803" s="192"/>
      <c r="S803" s="192"/>
    </row>
    <row r="804" spans="1:19" x14ac:dyDescent="0.2">
      <c r="A804" s="198"/>
      <c r="B804" s="188"/>
      <c r="C804" s="188"/>
      <c r="D804" s="215"/>
      <c r="G804" s="192"/>
      <c r="H804" s="196"/>
      <c r="I804" s="197"/>
      <c r="J804" s="192"/>
      <c r="K804" s="192"/>
      <c r="L804" s="192"/>
      <c r="M804" s="192"/>
      <c r="N804" s="192"/>
      <c r="O804" s="195"/>
      <c r="P804" s="192"/>
      <c r="Q804" s="192"/>
      <c r="R804" s="192"/>
      <c r="S804" s="192"/>
    </row>
    <row r="805" spans="1:19" x14ac:dyDescent="0.2">
      <c r="A805" s="198"/>
      <c r="B805" s="188"/>
      <c r="C805" s="188"/>
      <c r="D805" s="215"/>
      <c r="G805" s="192"/>
      <c r="H805" s="196"/>
      <c r="I805" s="197"/>
      <c r="J805" s="192"/>
      <c r="K805" s="192"/>
      <c r="L805" s="192"/>
      <c r="M805" s="192"/>
      <c r="N805" s="192"/>
      <c r="O805" s="195"/>
      <c r="P805" s="192"/>
      <c r="Q805" s="192"/>
      <c r="R805" s="192"/>
      <c r="S805" s="192"/>
    </row>
    <row r="806" spans="1:19" x14ac:dyDescent="0.2">
      <c r="A806" s="198"/>
      <c r="B806" s="188"/>
      <c r="C806" s="188"/>
      <c r="D806" s="215"/>
      <c r="G806" s="192"/>
      <c r="H806" s="196"/>
      <c r="I806" s="197"/>
      <c r="J806" s="192"/>
      <c r="K806" s="192"/>
      <c r="L806" s="192"/>
      <c r="M806" s="192"/>
      <c r="N806" s="192"/>
      <c r="O806" s="195"/>
      <c r="P806" s="192"/>
      <c r="Q806" s="192"/>
      <c r="R806" s="192"/>
      <c r="S806" s="192"/>
    </row>
    <row r="807" spans="1:19" x14ac:dyDescent="0.2">
      <c r="A807" s="198"/>
      <c r="B807" s="188"/>
      <c r="C807" s="188"/>
      <c r="D807" s="215"/>
      <c r="G807" s="192"/>
      <c r="H807" s="196"/>
      <c r="I807" s="197"/>
      <c r="J807" s="192"/>
      <c r="K807" s="192"/>
      <c r="L807" s="192"/>
      <c r="M807" s="192"/>
      <c r="N807" s="192"/>
      <c r="O807" s="195"/>
      <c r="P807" s="192"/>
      <c r="Q807" s="192"/>
      <c r="R807" s="192"/>
      <c r="S807" s="192"/>
    </row>
    <row r="808" spans="1:19" x14ac:dyDescent="0.2">
      <c r="A808" s="198"/>
      <c r="B808" s="188"/>
      <c r="C808" s="188"/>
      <c r="D808" s="215"/>
      <c r="G808" s="192"/>
      <c r="H808" s="196"/>
      <c r="I808" s="197"/>
      <c r="J808" s="192"/>
      <c r="K808" s="192"/>
      <c r="L808" s="192"/>
      <c r="M808" s="192"/>
      <c r="N808" s="192"/>
      <c r="O808" s="195"/>
      <c r="P808" s="192"/>
      <c r="Q808" s="192"/>
      <c r="R808" s="192"/>
      <c r="S808" s="192"/>
    </row>
    <row r="809" spans="1:19" x14ac:dyDescent="0.2">
      <c r="A809" s="198"/>
      <c r="B809" s="188"/>
      <c r="C809" s="188"/>
      <c r="D809" s="188"/>
      <c r="G809" s="192"/>
      <c r="H809" s="196"/>
      <c r="I809" s="197"/>
      <c r="J809" s="192"/>
      <c r="K809" s="192"/>
      <c r="L809" s="192"/>
      <c r="M809" s="192"/>
      <c r="N809" s="192"/>
      <c r="O809" s="195"/>
      <c r="P809" s="192"/>
      <c r="Q809" s="192"/>
      <c r="R809" s="192"/>
      <c r="S809" s="192"/>
    </row>
    <row r="810" spans="1:19" x14ac:dyDescent="0.2">
      <c r="A810" s="198"/>
      <c r="B810" s="188"/>
      <c r="C810" s="188"/>
      <c r="D810" s="188"/>
      <c r="G810" s="192"/>
      <c r="H810" s="196"/>
      <c r="I810" s="197"/>
      <c r="J810" s="192"/>
      <c r="K810" s="192"/>
      <c r="L810" s="192"/>
      <c r="M810" s="192"/>
      <c r="N810" s="192"/>
      <c r="O810" s="195"/>
      <c r="P810" s="192"/>
      <c r="Q810" s="192"/>
      <c r="R810" s="192"/>
      <c r="S810" s="192"/>
    </row>
    <row r="811" spans="1:19" x14ac:dyDescent="0.2">
      <c r="A811" s="198"/>
      <c r="B811" s="188"/>
      <c r="C811" s="188"/>
      <c r="D811" s="188"/>
      <c r="G811" s="192"/>
      <c r="H811" s="196"/>
      <c r="I811" s="197"/>
      <c r="J811" s="192"/>
      <c r="K811" s="192"/>
      <c r="L811" s="192"/>
      <c r="M811" s="192"/>
      <c r="N811" s="192"/>
      <c r="O811" s="195"/>
      <c r="P811" s="192"/>
      <c r="Q811" s="192"/>
      <c r="R811" s="192"/>
      <c r="S811" s="192"/>
    </row>
    <row r="812" spans="1:19" x14ac:dyDescent="0.2">
      <c r="A812" s="198"/>
      <c r="B812" s="188"/>
      <c r="C812" s="188"/>
      <c r="D812" s="188"/>
      <c r="G812" s="192"/>
      <c r="H812" s="196"/>
      <c r="I812" s="197"/>
      <c r="J812" s="192"/>
      <c r="K812" s="192"/>
      <c r="L812" s="192"/>
      <c r="M812" s="192"/>
      <c r="N812" s="192"/>
      <c r="O812" s="195"/>
      <c r="P812" s="192"/>
      <c r="Q812" s="192"/>
      <c r="R812" s="192"/>
      <c r="S812" s="192"/>
    </row>
    <row r="813" spans="1:19" x14ac:dyDescent="0.2">
      <c r="A813" s="198"/>
      <c r="B813" s="188"/>
      <c r="C813" s="188"/>
      <c r="D813" s="188"/>
      <c r="G813" s="192"/>
      <c r="H813" s="196"/>
      <c r="I813" s="197"/>
      <c r="J813" s="192"/>
      <c r="K813" s="192"/>
      <c r="L813" s="192"/>
      <c r="M813" s="192"/>
      <c r="N813" s="192"/>
      <c r="O813" s="195"/>
      <c r="P813" s="192"/>
      <c r="Q813" s="192"/>
      <c r="R813" s="192"/>
      <c r="S813" s="192"/>
    </row>
    <row r="814" spans="1:19" x14ac:dyDescent="0.2">
      <c r="A814" s="198"/>
      <c r="B814" s="188"/>
      <c r="C814" s="188"/>
      <c r="D814" s="188"/>
      <c r="G814" s="192"/>
      <c r="H814" s="196"/>
      <c r="I814" s="197"/>
      <c r="J814" s="192"/>
      <c r="K814" s="192"/>
      <c r="L814" s="192"/>
      <c r="M814" s="192"/>
      <c r="N814" s="192"/>
      <c r="O814" s="195"/>
      <c r="P814" s="192"/>
      <c r="Q814" s="192"/>
      <c r="R814" s="192"/>
      <c r="S814" s="192"/>
    </row>
    <row r="815" spans="1:19" x14ac:dyDescent="0.2">
      <c r="A815" s="198"/>
      <c r="B815" s="188"/>
      <c r="C815" s="188"/>
      <c r="D815" s="188"/>
      <c r="G815" s="192"/>
      <c r="H815" s="196"/>
      <c r="I815" s="197"/>
      <c r="J815" s="192"/>
      <c r="K815" s="192"/>
      <c r="L815" s="192"/>
      <c r="M815" s="192"/>
      <c r="N815" s="192"/>
      <c r="O815" s="195"/>
      <c r="P815" s="192"/>
      <c r="Q815" s="192"/>
      <c r="R815" s="192"/>
      <c r="S815" s="192"/>
    </row>
    <row r="816" spans="1:19" x14ac:dyDescent="0.2">
      <c r="A816" s="198"/>
      <c r="B816" s="188"/>
      <c r="C816" s="188"/>
      <c r="D816" s="188"/>
      <c r="G816" s="192"/>
      <c r="H816" s="196"/>
      <c r="I816" s="197"/>
      <c r="J816" s="192"/>
      <c r="K816" s="192"/>
      <c r="L816" s="192"/>
      <c r="M816" s="192"/>
      <c r="N816" s="192"/>
      <c r="O816" s="195"/>
      <c r="P816" s="192"/>
      <c r="Q816" s="192"/>
      <c r="R816" s="192"/>
      <c r="S816" s="192"/>
    </row>
    <row r="817" spans="1:19" x14ac:dyDescent="0.2">
      <c r="A817" s="198"/>
      <c r="B817" s="188"/>
      <c r="C817" s="188"/>
      <c r="D817" s="188"/>
      <c r="G817" s="192"/>
      <c r="H817" s="196"/>
      <c r="I817" s="197"/>
      <c r="J817" s="192"/>
      <c r="K817" s="192"/>
      <c r="L817" s="192"/>
      <c r="M817" s="192"/>
      <c r="N817" s="192"/>
      <c r="O817" s="195"/>
      <c r="P817" s="192"/>
      <c r="Q817" s="192"/>
      <c r="R817" s="192"/>
      <c r="S817" s="192"/>
    </row>
    <row r="818" spans="1:19" x14ac:dyDescent="0.2">
      <c r="A818" s="198"/>
      <c r="B818" s="188"/>
      <c r="C818" s="188"/>
      <c r="D818" s="188"/>
      <c r="G818" s="192"/>
      <c r="H818" s="196"/>
      <c r="I818" s="197"/>
      <c r="J818" s="192"/>
      <c r="K818" s="192"/>
      <c r="L818" s="192"/>
      <c r="M818" s="192"/>
      <c r="N818" s="192"/>
      <c r="O818" s="195"/>
      <c r="P818" s="192"/>
      <c r="Q818" s="192"/>
      <c r="R818" s="192"/>
      <c r="S818" s="192"/>
    </row>
    <row r="819" spans="1:19" x14ac:dyDescent="0.2">
      <c r="A819" s="188"/>
      <c r="B819" s="188"/>
      <c r="C819" s="188"/>
      <c r="D819" s="188"/>
      <c r="G819" s="192"/>
      <c r="H819" s="196"/>
      <c r="I819" s="197"/>
      <c r="J819" s="192"/>
      <c r="K819" s="192"/>
      <c r="L819" s="192"/>
      <c r="M819" s="192"/>
      <c r="N819" s="192"/>
      <c r="O819" s="195"/>
      <c r="P819" s="192"/>
      <c r="Q819" s="192"/>
      <c r="R819" s="192"/>
      <c r="S819" s="192"/>
    </row>
    <row r="820" spans="1:19" x14ac:dyDescent="0.2">
      <c r="A820" s="188"/>
      <c r="B820" s="188"/>
      <c r="C820" s="188"/>
      <c r="D820" s="188"/>
      <c r="G820" s="192"/>
      <c r="H820" s="196"/>
      <c r="I820" s="197"/>
      <c r="J820" s="192"/>
      <c r="K820" s="192"/>
      <c r="L820" s="192"/>
      <c r="M820" s="192"/>
      <c r="N820" s="192"/>
      <c r="O820" s="195"/>
      <c r="P820" s="192"/>
      <c r="Q820" s="192"/>
      <c r="R820" s="192"/>
      <c r="S820" s="192"/>
    </row>
    <row r="821" spans="1:19" x14ac:dyDescent="0.2">
      <c r="A821" s="188"/>
      <c r="B821" s="188"/>
      <c r="C821" s="188"/>
      <c r="D821" s="188"/>
      <c r="G821" s="192"/>
      <c r="H821" s="196"/>
      <c r="I821" s="197"/>
      <c r="J821" s="192"/>
      <c r="K821" s="192"/>
      <c r="L821" s="192"/>
      <c r="M821" s="192"/>
      <c r="N821" s="192"/>
      <c r="O821" s="195"/>
      <c r="P821" s="192"/>
      <c r="Q821" s="192"/>
      <c r="R821" s="192"/>
      <c r="S821" s="192"/>
    </row>
    <row r="822" spans="1:19" x14ac:dyDescent="0.2">
      <c r="A822" s="188"/>
      <c r="B822" s="188"/>
      <c r="C822" s="188"/>
      <c r="D822" s="188"/>
      <c r="G822" s="192"/>
      <c r="H822" s="196"/>
      <c r="I822" s="197"/>
      <c r="J822" s="192"/>
      <c r="K822" s="192"/>
      <c r="L822" s="192"/>
      <c r="M822" s="192"/>
      <c r="N822" s="192"/>
      <c r="O822" s="195"/>
      <c r="P822" s="192"/>
      <c r="Q822" s="192"/>
      <c r="R822" s="192"/>
      <c r="S822" s="192"/>
    </row>
    <row r="823" spans="1:19" x14ac:dyDescent="0.2">
      <c r="A823" s="188"/>
      <c r="B823" s="188"/>
      <c r="C823" s="188"/>
      <c r="D823" s="188"/>
      <c r="G823" s="192"/>
      <c r="H823" s="196"/>
      <c r="I823" s="197"/>
      <c r="J823" s="192"/>
      <c r="K823" s="192"/>
      <c r="L823" s="192"/>
      <c r="M823" s="192"/>
      <c r="N823" s="192"/>
      <c r="O823" s="195"/>
      <c r="P823" s="192"/>
      <c r="Q823" s="192"/>
      <c r="R823" s="192"/>
      <c r="S823" s="192"/>
    </row>
    <row r="824" spans="1:19" x14ac:dyDescent="0.2">
      <c r="A824" s="188"/>
      <c r="B824" s="188"/>
      <c r="C824" s="188"/>
      <c r="D824" s="188"/>
      <c r="G824" s="192"/>
      <c r="H824" s="196"/>
      <c r="I824" s="197"/>
      <c r="J824" s="192"/>
      <c r="K824" s="192"/>
      <c r="L824" s="192"/>
      <c r="M824" s="192"/>
      <c r="N824" s="192"/>
      <c r="O824" s="195"/>
      <c r="P824" s="192"/>
      <c r="Q824" s="192"/>
      <c r="R824" s="192"/>
      <c r="S824" s="192"/>
    </row>
    <row r="825" spans="1:19" x14ac:dyDescent="0.2">
      <c r="A825" s="188"/>
      <c r="B825" s="188"/>
      <c r="C825" s="188"/>
      <c r="D825" s="188"/>
      <c r="G825" s="192"/>
      <c r="H825" s="196"/>
      <c r="I825" s="197"/>
      <c r="J825" s="192"/>
      <c r="K825" s="192"/>
      <c r="L825" s="192"/>
      <c r="M825" s="192"/>
      <c r="N825" s="192"/>
      <c r="O825" s="195"/>
      <c r="P825" s="192"/>
      <c r="Q825" s="192"/>
      <c r="R825" s="192"/>
      <c r="S825" s="192"/>
    </row>
    <row r="826" spans="1:19" x14ac:dyDescent="0.2">
      <c r="A826" s="188"/>
      <c r="B826" s="188"/>
      <c r="C826" s="188"/>
      <c r="D826" s="188"/>
      <c r="G826" s="192"/>
      <c r="H826" s="196"/>
      <c r="I826" s="197"/>
      <c r="J826" s="192"/>
      <c r="K826" s="192"/>
      <c r="L826" s="192"/>
      <c r="M826" s="192"/>
      <c r="N826" s="192"/>
      <c r="O826" s="195"/>
      <c r="P826" s="192"/>
      <c r="Q826" s="192"/>
      <c r="R826" s="192"/>
      <c r="S826" s="192"/>
    </row>
    <row r="827" spans="1:19" x14ac:dyDescent="0.2">
      <c r="A827" s="188"/>
      <c r="B827" s="188"/>
      <c r="C827" s="188"/>
      <c r="D827" s="188"/>
      <c r="G827" s="192"/>
      <c r="H827" s="196"/>
      <c r="I827" s="197"/>
      <c r="J827" s="192"/>
      <c r="K827" s="192"/>
      <c r="L827" s="192"/>
      <c r="M827" s="192"/>
      <c r="N827" s="192"/>
      <c r="O827" s="195"/>
      <c r="P827" s="192"/>
      <c r="Q827" s="192"/>
      <c r="R827" s="192"/>
      <c r="S827" s="192"/>
    </row>
    <row r="828" spans="1:19" x14ac:dyDescent="0.2">
      <c r="A828" s="188"/>
      <c r="B828" s="188"/>
      <c r="C828" s="188"/>
      <c r="D828" s="18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55"/>
  <sheetViews>
    <sheetView showGridLines="0" showZeros="0" view="pageBreakPreview" zoomScale="90" zoomScaleNormal="100" zoomScaleSheetLayoutView="90" workbookViewId="0">
      <selection activeCell="I31" sqref="I31"/>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20" style="740" customWidth="1"/>
    <col min="9" max="9" width="12.7109375" style="2" bestFit="1" customWidth="1"/>
    <col min="10" max="10" width="17.28515625" style="2" customWidth="1"/>
    <col min="11" max="16384" width="11.42578125" style="2"/>
  </cols>
  <sheetData>
    <row r="1" spans="1:9" ht="15" customHeight="1" x14ac:dyDescent="0.2">
      <c r="A1" s="787" t="str">
        <f>Obra</f>
        <v>ENCAMISADO CANAL GENERAL COCHAGUAL</v>
      </c>
      <c r="B1" s="787"/>
      <c r="C1" s="787"/>
      <c r="D1" s="787"/>
      <c r="E1" s="787"/>
      <c r="F1" s="787"/>
      <c r="G1" s="787"/>
    </row>
    <row r="2" spans="1:9" ht="15" customHeight="1" x14ac:dyDescent="0.2">
      <c r="A2" s="789" t="str">
        <f>IF(Tramo=0,"","TRAMO: "&amp;Tramo)</f>
        <v/>
      </c>
      <c r="B2" s="789"/>
      <c r="C2" s="789"/>
      <c r="D2" s="789"/>
      <c r="E2" s="789"/>
      <c r="F2" s="789"/>
      <c r="G2" s="789"/>
    </row>
    <row r="3" spans="1:9" ht="15" customHeight="1" x14ac:dyDescent="0.2">
      <c r="A3" s="789" t="str">
        <f>IF(Sección_I=0,"","SECCIÓN I: "&amp;Sección_I)</f>
        <v/>
      </c>
      <c r="B3" s="789"/>
      <c r="C3" s="789"/>
      <c r="D3" s="789"/>
      <c r="E3" s="789"/>
      <c r="F3" s="789"/>
      <c r="G3" s="789"/>
    </row>
    <row r="4" spans="1:9" ht="15" customHeight="1" x14ac:dyDescent="0.2">
      <c r="A4" s="789" t="str">
        <f>IF(Sección_II=0,"","SECCIÓN II: "&amp;Sección_II)</f>
        <v/>
      </c>
      <c r="B4" s="789"/>
      <c r="C4" s="789"/>
      <c r="D4" s="789"/>
      <c r="E4" s="789"/>
      <c r="F4" s="789"/>
      <c r="G4" s="789"/>
    </row>
    <row r="5" spans="1:9" ht="15" customHeight="1" x14ac:dyDescent="0.2">
      <c r="A5" s="789" t="str">
        <f>IF(Sección_III=0,"","SECCIÓN III: "&amp;Sección_III)</f>
        <v/>
      </c>
      <c r="B5" s="789"/>
      <c r="C5" s="789"/>
      <c r="D5" s="789"/>
      <c r="E5" s="789"/>
      <c r="F5" s="789"/>
      <c r="G5" s="789"/>
    </row>
    <row r="6" spans="1:9" ht="15" customHeight="1" x14ac:dyDescent="0.2">
      <c r="A6" s="789" t="str">
        <f>IF(Ubicación=0,"","DEPARTAMENTO: "&amp;Ubicación)</f>
        <v>DEPARTAMENTO: DEPARTAMENTO SARMIENTO</v>
      </c>
      <c r="B6" s="789"/>
      <c r="C6" s="789"/>
      <c r="D6" s="789"/>
      <c r="E6" s="789"/>
      <c r="F6" s="789"/>
      <c r="G6" s="789"/>
    </row>
    <row r="7" spans="1:9" ht="19.5" customHeight="1" x14ac:dyDescent="0.2">
      <c r="A7" s="168"/>
      <c r="B7" s="168"/>
      <c r="C7" s="168"/>
      <c r="D7" s="168"/>
      <c r="E7" s="168"/>
      <c r="F7" s="168"/>
      <c r="G7" s="168"/>
    </row>
    <row r="8" spans="1:9" s="5" customFormat="1" ht="19.5" customHeight="1" x14ac:dyDescent="0.2">
      <c r="A8" s="169" t="s">
        <v>965</v>
      </c>
      <c r="B8" s="170"/>
      <c r="C8" s="170"/>
      <c r="D8" s="170"/>
      <c r="E8" s="170"/>
      <c r="F8" s="170"/>
      <c r="G8" s="171"/>
      <c r="H8" s="741"/>
    </row>
    <row r="9" spans="1:9" s="173" customFormat="1" ht="30" customHeight="1" x14ac:dyDescent="0.25">
      <c r="A9" s="172"/>
      <c r="C9" s="174"/>
      <c r="D9" s="174"/>
      <c r="E9" s="172" t="str">
        <f>IF(Fecha_Base=0,"San Juan, ______________________"&amp;" de _____","San Juan, "&amp;TEXT(Fecha_Base,"dd")&amp;" de "&amp;TEXT(Fecha_Base,"mmmm")&amp;" de "&amp;TEXT(Fecha_Base,"yyyy"))</f>
        <v>San Juan, 03 de mayo de 2021</v>
      </c>
      <c r="H9" s="742"/>
    </row>
    <row r="10" spans="1:9" s="6" customFormat="1" ht="69.75" customHeight="1" x14ac:dyDescent="0.2">
      <c r="B10" s="175" t="s">
        <v>1972</v>
      </c>
      <c r="C10" s="175"/>
      <c r="D10" s="175"/>
      <c r="E10" s="175"/>
      <c r="F10" s="175"/>
      <c r="G10" s="175"/>
      <c r="H10" s="743"/>
    </row>
    <row r="11" spans="1:9" s="6" customFormat="1" ht="80.099999999999994" customHeight="1" x14ac:dyDescent="0.2">
      <c r="B11" s="784"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4"/>
      <c r="D11" s="784"/>
      <c r="E11" s="784"/>
      <c r="F11" s="784"/>
      <c r="G11" s="784"/>
      <c r="H11" s="743"/>
    </row>
    <row r="12" spans="1:9" s="6" customFormat="1" ht="19.5" customHeight="1" x14ac:dyDescent="0.2">
      <c r="A12" s="13"/>
      <c r="B12" s="14"/>
      <c r="H12" s="743"/>
      <c r="I12" s="498" t="s">
        <v>971</v>
      </c>
    </row>
    <row r="13" spans="1:9" ht="20.100000000000001" customHeight="1" x14ac:dyDescent="0.2">
      <c r="A13" s="785" t="s">
        <v>893</v>
      </c>
      <c r="B13" s="788" t="s">
        <v>0</v>
      </c>
      <c r="C13" s="785" t="s">
        <v>1</v>
      </c>
      <c r="D13" s="785" t="s">
        <v>2</v>
      </c>
      <c r="E13" s="788" t="s">
        <v>966</v>
      </c>
      <c r="F13" s="788"/>
      <c r="G13" s="785" t="s">
        <v>917</v>
      </c>
      <c r="I13" s="498"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5"/>
      <c r="B14" s="788"/>
      <c r="C14" s="785"/>
      <c r="D14" s="785"/>
      <c r="E14" s="494" t="s">
        <v>967</v>
      </c>
      <c r="F14" s="494" t="s">
        <v>968</v>
      </c>
      <c r="G14" s="785"/>
      <c r="I14" s="499"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6"/>
      <c r="B15" s="492"/>
      <c r="C15" s="176"/>
      <c r="D15" s="176"/>
      <c r="E15" s="492"/>
      <c r="F15" s="492"/>
    </row>
    <row r="16" spans="1:9" ht="30" customHeight="1" x14ac:dyDescent="0.2">
      <c r="A16" s="177">
        <f ca="1">INDIRECT("Datos!B"&amp;MATCH("RUBRO ITEM",Datos!B:B,0)+ROW()-MATCH("RUBRO ITEM",A:A,0)-1)</f>
        <v>1</v>
      </c>
      <c r="B16" s="457" t="str">
        <f t="shared" ref="B16" ca="1" si="0">IFERROR(VLOOKUP(A16,T_Computo_Presupuesto,2,FALSE),"")</f>
        <v>ELABORACION PROYECTO EJECUTIVO</v>
      </c>
      <c r="C16" s="178">
        <f t="shared" ref="C16" ca="1" si="1">IFERROR(VLOOKUP(A16,T_Computo_Presupuesto,4,FALSE),"")</f>
        <v>0</v>
      </c>
      <c r="D16" s="458">
        <f t="shared" ref="D16" ca="1" si="2">IFERROR(VLOOKUP(A16,T_Computo_Presupuesto,5,FALSE),"")</f>
        <v>0</v>
      </c>
      <c r="E16" s="459" t="str">
        <f t="shared" ref="E16" ca="1" si="3">IF(F16=0,"",CONVERTIRNUM(F16))</f>
        <v/>
      </c>
      <c r="F16" s="460">
        <f t="shared" ref="F16:F38" ca="1" si="4">IFERROR(VLOOKUP(A16,T_Computo_Presupuesto,7,FALSE),0)</f>
        <v>0</v>
      </c>
      <c r="G16" s="460">
        <f ca="1">ROUND(D16*F16,2)</f>
        <v>0</v>
      </c>
    </row>
    <row r="17" spans="1:10" ht="30" customHeight="1" x14ac:dyDescent="0.2">
      <c r="A17" s="177" t="str">
        <f ca="1">INDIRECT("Datos!B"&amp;MATCH("RUBRO ITEM",Datos!B:B,0)+ROW()-MATCH("RUBRO ITEM",A:A,0)-1)</f>
        <v>1.1</v>
      </c>
      <c r="B17" s="457" t="str">
        <f t="shared" ref="B17:B38" ca="1" si="5">IFERROR(VLOOKUP(A17,T_Computo_Presupuesto,2,FALSE),"")</f>
        <v>Elaboracion Proyecto Ejecutivo</v>
      </c>
      <c r="C17" s="178" t="str">
        <f t="shared" ref="C17:C38" ca="1" si="6">IFERROR(VLOOKUP(A17,T_Computo_Presupuesto,4,FALSE),"")</f>
        <v>gl.</v>
      </c>
      <c r="D17" s="458">
        <f t="shared" ref="D17:D38" ca="1" si="7">IFERROR(VLOOKUP(A17,T_Computo_Presupuesto,5,FALSE),"")</f>
        <v>1</v>
      </c>
      <c r="E17" s="459" t="str">
        <f t="shared" ref="E17:E38" ca="1" si="8">IF(F17=0,"",CONVERTIRNUM(F17))</f>
        <v/>
      </c>
      <c r="F17" s="460">
        <f t="shared" ca="1" si="4"/>
        <v>0</v>
      </c>
      <c r="G17" s="460">
        <f t="shared" ref="G17:G38" ca="1" si="9">ROUND(D17*F17,2)</f>
        <v>0</v>
      </c>
    </row>
    <row r="18" spans="1:10" ht="30" customHeight="1" x14ac:dyDescent="0.2">
      <c r="A18" s="177">
        <f ca="1">INDIRECT("Datos!B"&amp;MATCH("RUBRO ITEM",Datos!B:B,0)+ROW()-MATCH("RUBRO ITEM",A:A,0)-1)</f>
        <v>2</v>
      </c>
      <c r="B18" s="457" t="str">
        <f t="shared" ca="1" si="5"/>
        <v>CANAL GENERAL COCHAGUAL Progresiva 4080-4880</v>
      </c>
      <c r="C18" s="178">
        <f t="shared" ca="1" si="6"/>
        <v>0</v>
      </c>
      <c r="D18" s="458">
        <f ca="1">IFERROR(VLOOKUP(A18,T_Computo_Presupuesto,5,FALSE),"")-0.000027</f>
        <v>-2.6999999999999999E-5</v>
      </c>
      <c r="E18" s="459" t="str">
        <f t="shared" ca="1" si="8"/>
        <v/>
      </c>
      <c r="F18" s="460">
        <f ca="1">IFERROR(VLOOKUP(A18,T_Computo_Presupuesto,7,FALSE),0)</f>
        <v>0</v>
      </c>
      <c r="G18" s="460">
        <f t="shared" ca="1" si="9"/>
        <v>0</v>
      </c>
      <c r="I18" s="744"/>
      <c r="J18" s="745"/>
    </row>
    <row r="19" spans="1:10" ht="30" customHeight="1" x14ac:dyDescent="0.2">
      <c r="A19" s="177" t="str">
        <f ca="1">INDIRECT("Datos!B"&amp;MATCH("RUBRO ITEM",Datos!B:B,0)+ROW()-MATCH("RUBRO ITEM",A:A,0)-1)</f>
        <v>2.1</v>
      </c>
      <c r="B19" s="457" t="str">
        <f t="shared" ca="1" si="5"/>
        <v>Limpieza y Replanteo</v>
      </c>
      <c r="C19" s="178" t="str">
        <f t="shared" ca="1" si="6"/>
        <v>gl.</v>
      </c>
      <c r="D19" s="458">
        <f t="shared" ca="1" si="7"/>
        <v>1</v>
      </c>
      <c r="E19" s="459" t="str">
        <f t="shared" ca="1" si="8"/>
        <v/>
      </c>
      <c r="F19" s="460">
        <f t="shared" ca="1" si="4"/>
        <v>0</v>
      </c>
      <c r="G19" s="460">
        <f t="shared" ca="1" si="9"/>
        <v>0</v>
      </c>
      <c r="I19" s="744"/>
    </row>
    <row r="20" spans="1:10" ht="30" customHeight="1" x14ac:dyDescent="0.2">
      <c r="A20" s="177" t="str">
        <f ca="1">INDIRECT("Datos!B"&amp;MATCH("RUBRO ITEM",Datos!B:B,0)+ROW()-MATCH("RUBRO ITEM",A:A,0)-1)</f>
        <v>2.2</v>
      </c>
      <c r="B20" s="457" t="str">
        <f t="shared" ca="1" si="5"/>
        <v>Relleno y compactacion de posibles oquedadas laterales</v>
      </c>
      <c r="C20" s="178" t="str">
        <f t="shared" ca="1" si="6"/>
        <v>m3</v>
      </c>
      <c r="D20" s="458">
        <f t="shared" ca="1" si="7"/>
        <v>120</v>
      </c>
      <c r="E20" s="459" t="str">
        <f t="shared" ca="1" si="8"/>
        <v/>
      </c>
      <c r="F20" s="460">
        <f t="shared" ca="1" si="4"/>
        <v>0</v>
      </c>
      <c r="G20" s="460">
        <f t="shared" ca="1" si="9"/>
        <v>0</v>
      </c>
      <c r="I20" s="744"/>
    </row>
    <row r="21" spans="1:10" ht="30" customHeight="1" x14ac:dyDescent="0.2">
      <c r="A21" s="177" t="str">
        <f ca="1">INDIRECT("Datos!B"&amp;MATCH("RUBRO ITEM",Datos!B:B,0)+ROW()-MATCH("RUBRO ITEM",A:A,0)-1)</f>
        <v>2.3</v>
      </c>
      <c r="B21" s="457" t="str">
        <f t="shared" ca="1" si="5"/>
        <v>Relleno y compactacion de posibles oquedades laterales con la adicion de una bolsa de cemento portland puzolanico por m3 de rellemo</v>
      </c>
      <c r="C21" s="178" t="str">
        <f t="shared" ca="1" si="6"/>
        <v>m3</v>
      </c>
      <c r="D21" s="458">
        <f t="shared" ca="1" si="7"/>
        <v>140</v>
      </c>
      <c r="E21" s="459" t="str">
        <f t="shared" ca="1" si="8"/>
        <v/>
      </c>
      <c r="F21" s="460">
        <f t="shared" ca="1" si="4"/>
        <v>0</v>
      </c>
      <c r="G21" s="460">
        <f t="shared" ca="1" si="9"/>
        <v>0</v>
      </c>
      <c r="I21" s="744"/>
    </row>
    <row r="22" spans="1:10" ht="30" customHeight="1" x14ac:dyDescent="0.2">
      <c r="A22" s="177" t="str">
        <f ca="1">INDIRECT("Datos!B"&amp;MATCH("RUBRO ITEM",Datos!B:B,0)+ROW()-MATCH("RUBRO ITEM",A:A,0)-1)</f>
        <v>2.4</v>
      </c>
      <c r="B22" s="457" t="str">
        <f t="shared" ca="1" si="5"/>
        <v>Hormigon de encamisado H-21</v>
      </c>
      <c r="C22" s="178" t="str">
        <f t="shared" ca="1" si="6"/>
        <v>m3</v>
      </c>
      <c r="D22" s="458">
        <f t="shared" ca="1" si="7"/>
        <v>600</v>
      </c>
      <c r="E22" s="459" t="str">
        <f t="shared" ca="1" si="8"/>
        <v/>
      </c>
      <c r="F22" s="460">
        <f t="shared" ca="1" si="4"/>
        <v>0</v>
      </c>
      <c r="G22" s="460">
        <f t="shared" ca="1" si="9"/>
        <v>0</v>
      </c>
      <c r="I22" s="744"/>
    </row>
    <row r="23" spans="1:10" ht="30" customHeight="1" x14ac:dyDescent="0.2">
      <c r="A23" s="177" t="str">
        <f ca="1">INDIRECT("Datos!B"&amp;MATCH("RUBRO ITEM",Datos!B:B,0)+ROW()-MATCH("RUBRO ITEM",A:A,0)-1)</f>
        <v>2.5</v>
      </c>
      <c r="B23" s="457" t="str">
        <f t="shared" ca="1" si="5"/>
        <v>Armadura colocada en obra</v>
      </c>
      <c r="C23" s="178" t="str">
        <f t="shared" ca="1" si="6"/>
        <v>t</v>
      </c>
      <c r="D23" s="458">
        <f ca="1">IFERROR(VLOOKUP(A23,T_Computo_Presupuesto,5,FALSE),"")-0.000019</f>
        <v>32.699981000000001</v>
      </c>
      <c r="E23" s="459" t="str">
        <f t="shared" ca="1" si="8"/>
        <v/>
      </c>
      <c r="F23" s="460">
        <f t="shared" ca="1" si="4"/>
        <v>0</v>
      </c>
      <c r="G23" s="460">
        <f t="shared" ca="1" si="9"/>
        <v>0</v>
      </c>
      <c r="I23" s="744"/>
    </row>
    <row r="24" spans="1:10" ht="30" customHeight="1" x14ac:dyDescent="0.2">
      <c r="A24" s="177" t="str">
        <f ca="1">INDIRECT("Datos!B"&amp;MATCH("RUBRO ITEM",Datos!B:B,0)+ROW()-MATCH("RUBRO ITEM",A:A,0)-1)</f>
        <v>2.6</v>
      </c>
      <c r="B24" s="457" t="str">
        <f t="shared" ca="1" si="5"/>
        <v>Juntas de contraccion y dilatacion</v>
      </c>
      <c r="C24" s="178" t="str">
        <f t="shared" ca="1" si="6"/>
        <v>m</v>
      </c>
      <c r="D24" s="458">
        <f t="shared" ca="1" si="7"/>
        <v>1056</v>
      </c>
      <c r="E24" s="459" t="str">
        <f t="shared" ca="1" si="8"/>
        <v/>
      </c>
      <c r="F24" s="460">
        <f t="shared" ca="1" si="4"/>
        <v>0</v>
      </c>
      <c r="G24" s="460">
        <f t="shared" ca="1" si="9"/>
        <v>0</v>
      </c>
      <c r="I24" s="744"/>
    </row>
    <row r="25" spans="1:10" ht="30" customHeight="1" x14ac:dyDescent="0.2">
      <c r="A25" s="177">
        <f ca="1">INDIRECT("Datos!B"&amp;MATCH("RUBRO ITEM",Datos!B:B,0)+ROW()-MATCH("RUBRO ITEM",A:A,0)-1)</f>
        <v>3</v>
      </c>
      <c r="B25" s="457" t="str">
        <f t="shared" ca="1" si="5"/>
        <v>CANAL GENERAL COCHAGUAL Progresiva 9860-10860</v>
      </c>
      <c r="C25" s="178">
        <f t="shared" ca="1" si="6"/>
        <v>0</v>
      </c>
      <c r="D25" s="458">
        <f t="shared" ca="1" si="7"/>
        <v>0</v>
      </c>
      <c r="E25" s="459" t="str">
        <f t="shared" ca="1" si="8"/>
        <v/>
      </c>
      <c r="F25" s="460">
        <f t="shared" ca="1" si="4"/>
        <v>0</v>
      </c>
      <c r="G25" s="460">
        <f t="shared" ca="1" si="9"/>
        <v>0</v>
      </c>
      <c r="I25" s="744"/>
    </row>
    <row r="26" spans="1:10" ht="30" customHeight="1" x14ac:dyDescent="0.2">
      <c r="A26" s="177" t="str">
        <f ca="1">INDIRECT("Datos!B"&amp;MATCH("RUBRO ITEM",Datos!B:B,0)+ROW()-MATCH("RUBRO ITEM",A:A,0)-1)</f>
        <v>3.1</v>
      </c>
      <c r="B26" s="457" t="str">
        <f t="shared" ca="1" si="5"/>
        <v>Limpieza y Replanteo</v>
      </c>
      <c r="C26" s="178" t="str">
        <f t="shared" ca="1" si="6"/>
        <v>gl.</v>
      </c>
      <c r="D26" s="458">
        <f t="shared" ca="1" si="7"/>
        <v>1</v>
      </c>
      <c r="E26" s="459" t="str">
        <f t="shared" ca="1" si="8"/>
        <v/>
      </c>
      <c r="F26" s="460">
        <f t="shared" ca="1" si="4"/>
        <v>0</v>
      </c>
      <c r="G26" s="460">
        <f t="shared" ca="1" si="9"/>
        <v>0</v>
      </c>
      <c r="I26" s="744"/>
    </row>
    <row r="27" spans="1:10" ht="30" customHeight="1" x14ac:dyDescent="0.2">
      <c r="A27" s="177" t="str">
        <f ca="1">INDIRECT("Datos!B"&amp;MATCH("RUBRO ITEM",Datos!B:B,0)+ROW()-MATCH("RUBRO ITEM",A:A,0)-1)</f>
        <v>3.2</v>
      </c>
      <c r="B27" s="457" t="str">
        <f t="shared" ca="1" si="5"/>
        <v>Relleno y compactacion de posibles oquedadas laterales</v>
      </c>
      <c r="C27" s="178" t="str">
        <f t="shared" ca="1" si="6"/>
        <v>m3</v>
      </c>
      <c r="D27" s="458">
        <f t="shared" ca="1" si="7"/>
        <v>150</v>
      </c>
      <c r="E27" s="459" t="str">
        <f t="shared" ca="1" si="8"/>
        <v/>
      </c>
      <c r="F27" s="460">
        <f t="shared" ca="1" si="4"/>
        <v>0</v>
      </c>
      <c r="G27" s="460">
        <f t="shared" ca="1" si="9"/>
        <v>0</v>
      </c>
      <c r="I27" s="744"/>
    </row>
    <row r="28" spans="1:10" ht="30" customHeight="1" x14ac:dyDescent="0.2">
      <c r="A28" s="177" t="str">
        <f ca="1">INDIRECT("Datos!B"&amp;MATCH("RUBRO ITEM",Datos!B:B,0)+ROW()-MATCH("RUBRO ITEM",A:A,0)-1)</f>
        <v>3.3</v>
      </c>
      <c r="B28" s="457" t="str">
        <f t="shared" ca="1" si="5"/>
        <v>Relleno y compactacion de posibles oquedades laterales con la adicion de una bolsa de cemento portland puzolanico por m3 de rellemo</v>
      </c>
      <c r="C28" s="178" t="str">
        <f t="shared" ca="1" si="6"/>
        <v>m3</v>
      </c>
      <c r="D28" s="458">
        <f ca="1">IFERROR(VLOOKUP(A28,T_Computo_Presupuesto,5,FALSE),"")-0.000032</f>
        <v>174.999968</v>
      </c>
      <c r="E28" s="459" t="str">
        <f t="shared" ca="1" si="8"/>
        <v/>
      </c>
      <c r="F28" s="460">
        <f t="shared" ca="1" si="4"/>
        <v>0</v>
      </c>
      <c r="G28" s="460">
        <f t="shared" ca="1" si="9"/>
        <v>0</v>
      </c>
      <c r="I28" s="744"/>
    </row>
    <row r="29" spans="1:10" ht="30" customHeight="1" x14ac:dyDescent="0.2">
      <c r="A29" s="177" t="str">
        <f ca="1">INDIRECT("Datos!B"&amp;MATCH("RUBRO ITEM",Datos!B:B,0)+ROW()-MATCH("RUBRO ITEM",A:A,0)-1)</f>
        <v>3.4</v>
      </c>
      <c r="B29" s="457" t="str">
        <f t="shared" ca="1" si="5"/>
        <v>Hormigon de encamisado H-21</v>
      </c>
      <c r="C29" s="178" t="str">
        <f t="shared" ca="1" si="6"/>
        <v>m3</v>
      </c>
      <c r="D29" s="458">
        <f t="shared" ca="1" si="7"/>
        <v>590</v>
      </c>
      <c r="E29" s="459" t="str">
        <f t="shared" ca="1" si="8"/>
        <v/>
      </c>
      <c r="F29" s="460">
        <f t="shared" ca="1" si="4"/>
        <v>0</v>
      </c>
      <c r="G29" s="460">
        <f t="shared" ca="1" si="9"/>
        <v>0</v>
      </c>
      <c r="I29" s="744"/>
    </row>
    <row r="30" spans="1:10" ht="30" customHeight="1" x14ac:dyDescent="0.2">
      <c r="A30" s="177" t="str">
        <f ca="1">INDIRECT("Datos!B"&amp;MATCH("RUBRO ITEM",Datos!B:B,0)+ROW()-MATCH("RUBRO ITEM",A:A,0)-1)</f>
        <v>3.5</v>
      </c>
      <c r="B30" s="457" t="str">
        <f t="shared" ca="1" si="5"/>
        <v>Armadura colocada en obra</v>
      </c>
      <c r="C30" s="178" t="str">
        <f t="shared" ca="1" si="6"/>
        <v>t</v>
      </c>
      <c r="D30" s="458">
        <f t="shared" ca="1" si="7"/>
        <v>40.9</v>
      </c>
      <c r="E30" s="459" t="str">
        <f t="shared" ca="1" si="8"/>
        <v/>
      </c>
      <c r="F30" s="460">
        <f t="shared" ca="1" si="4"/>
        <v>0</v>
      </c>
      <c r="G30" s="460">
        <f t="shared" ca="1" si="9"/>
        <v>0</v>
      </c>
      <c r="I30" s="744"/>
    </row>
    <row r="31" spans="1:10" ht="30" customHeight="1" x14ac:dyDescent="0.2">
      <c r="A31" s="177" t="str">
        <f ca="1">INDIRECT("Datos!B"&amp;MATCH("RUBRO ITEM",Datos!B:B,0)+ROW()-MATCH("RUBRO ITEM",A:A,0)-1)</f>
        <v>3.6</v>
      </c>
      <c r="B31" s="457" t="str">
        <f t="shared" ca="1" si="5"/>
        <v>Juntas de contraccion y dilatacion</v>
      </c>
      <c r="C31" s="178" t="str">
        <f t="shared" ca="1" si="6"/>
        <v>m</v>
      </c>
      <c r="D31" s="458">
        <f t="shared" ca="1" si="7"/>
        <v>1320</v>
      </c>
      <c r="E31" s="459" t="str">
        <f t="shared" ca="1" si="8"/>
        <v/>
      </c>
      <c r="F31" s="460">
        <f t="shared" ca="1" si="4"/>
        <v>0</v>
      </c>
      <c r="G31" s="460">
        <f t="shared" ca="1" si="9"/>
        <v>0</v>
      </c>
      <c r="I31" s="744"/>
    </row>
    <row r="32" spans="1:10" ht="30" customHeight="1" x14ac:dyDescent="0.2">
      <c r="A32" s="177">
        <f ca="1">INDIRECT("Datos!B"&amp;MATCH("RUBRO ITEM",Datos!B:B,0)+ROW()-MATCH("RUBRO ITEM",A:A,0)-1)</f>
        <v>4</v>
      </c>
      <c r="B32" s="457" t="str">
        <f t="shared" ca="1" si="5"/>
        <v>PUENTES SOBRE CANAL</v>
      </c>
      <c r="C32" s="178">
        <f t="shared" ca="1" si="6"/>
        <v>0</v>
      </c>
      <c r="D32" s="458">
        <f t="shared" ca="1" si="7"/>
        <v>0</v>
      </c>
      <c r="E32" s="459" t="str">
        <f t="shared" ca="1" si="8"/>
        <v/>
      </c>
      <c r="F32" s="460">
        <f t="shared" ca="1" si="4"/>
        <v>0</v>
      </c>
      <c r="G32" s="460">
        <f t="shared" ca="1" si="9"/>
        <v>0</v>
      </c>
      <c r="I32" s="744"/>
    </row>
    <row r="33" spans="1:9" ht="30" customHeight="1" x14ac:dyDescent="0.2">
      <c r="A33" s="177" t="str">
        <f ca="1">INDIRECT("Datos!B"&amp;MATCH("RUBRO ITEM",Datos!B:B,0)+ROW()-MATCH("RUBRO ITEM",A:A,0)-1)</f>
        <v>4.1</v>
      </c>
      <c r="B33" s="457" t="str">
        <f t="shared" ca="1" si="5"/>
        <v>Limpieza y Replanteo</v>
      </c>
      <c r="C33" s="178" t="str">
        <f t="shared" ca="1" si="6"/>
        <v>gl.</v>
      </c>
      <c r="D33" s="458">
        <f t="shared" ca="1" si="7"/>
        <v>1</v>
      </c>
      <c r="E33" s="459" t="str">
        <f t="shared" ca="1" si="8"/>
        <v/>
      </c>
      <c r="F33" s="460">
        <f t="shared" ca="1" si="4"/>
        <v>0</v>
      </c>
      <c r="G33" s="460">
        <f t="shared" ca="1" si="9"/>
        <v>0</v>
      </c>
      <c r="I33" s="744"/>
    </row>
    <row r="34" spans="1:9" ht="30" customHeight="1" x14ac:dyDescent="0.2">
      <c r="A34" s="177" t="str">
        <f ca="1">INDIRECT("Datos!B"&amp;MATCH("RUBRO ITEM",Datos!B:B,0)+ROW()-MATCH("RUBRO ITEM",A:A,0)-1)</f>
        <v>4.2</v>
      </c>
      <c r="B34" s="457" t="str">
        <f t="shared" ca="1" si="5"/>
        <v>Excavacion</v>
      </c>
      <c r="C34" s="178" t="str">
        <f t="shared" ca="1" si="6"/>
        <v>m3</v>
      </c>
      <c r="D34" s="458">
        <f t="shared" ca="1" si="7"/>
        <v>93</v>
      </c>
      <c r="E34" s="459" t="str">
        <f t="shared" ca="1" si="8"/>
        <v/>
      </c>
      <c r="F34" s="460">
        <f t="shared" ca="1" si="4"/>
        <v>0</v>
      </c>
      <c r="G34" s="460">
        <f t="shared" ca="1" si="9"/>
        <v>0</v>
      </c>
      <c r="I34" s="744"/>
    </row>
    <row r="35" spans="1:9" ht="30" customHeight="1" x14ac:dyDescent="0.2">
      <c r="A35" s="177" t="str">
        <f ca="1">INDIRECT("Datos!B"&amp;MATCH("RUBRO ITEM",Datos!B:B,0)+ROW()-MATCH("RUBRO ITEM",A:A,0)-1)</f>
        <v>4.3</v>
      </c>
      <c r="B35" s="457" t="str">
        <f t="shared" ca="1" si="5"/>
        <v>Hormigon H-21</v>
      </c>
      <c r="C35" s="178" t="str">
        <f t="shared" ca="1" si="6"/>
        <v>m3</v>
      </c>
      <c r="D35" s="458">
        <f t="shared" ca="1" si="7"/>
        <v>49.2</v>
      </c>
      <c r="E35" s="459" t="str">
        <f t="shared" ca="1" si="8"/>
        <v/>
      </c>
      <c r="F35" s="460">
        <f t="shared" ca="1" si="4"/>
        <v>0</v>
      </c>
      <c r="G35" s="460">
        <f t="shared" ca="1" si="9"/>
        <v>0</v>
      </c>
      <c r="I35" s="744"/>
    </row>
    <row r="36" spans="1:9" ht="30" customHeight="1" x14ac:dyDescent="0.2">
      <c r="A36" s="177" t="str">
        <f ca="1">INDIRECT("Datos!B"&amp;MATCH("RUBRO ITEM",Datos!B:B,0)+ROW()-MATCH("RUBRO ITEM",A:A,0)-1)</f>
        <v>4.4</v>
      </c>
      <c r="B36" s="457" t="str">
        <f t="shared" ca="1" si="5"/>
        <v>Hormigon Ciclopeo (30%piedra bola)</v>
      </c>
      <c r="C36" s="178" t="str">
        <f t="shared" ca="1" si="6"/>
        <v>m3</v>
      </c>
      <c r="D36" s="458">
        <f t="shared" ca="1" si="7"/>
        <v>129</v>
      </c>
      <c r="E36" s="459" t="str">
        <f t="shared" ca="1" si="8"/>
        <v/>
      </c>
      <c r="F36" s="460">
        <f t="shared" ca="1" si="4"/>
        <v>0</v>
      </c>
      <c r="G36" s="460">
        <f t="shared" ca="1" si="9"/>
        <v>0</v>
      </c>
      <c r="I36" s="744"/>
    </row>
    <row r="37" spans="1:9" ht="30" customHeight="1" x14ac:dyDescent="0.2">
      <c r="A37" s="177" t="str">
        <f ca="1">INDIRECT("Datos!B"&amp;MATCH("RUBRO ITEM",Datos!B:B,0)+ROW()-MATCH("RUBRO ITEM",A:A,0)-1)</f>
        <v>4.5</v>
      </c>
      <c r="B37" s="457" t="str">
        <f t="shared" ca="1" si="5"/>
        <v>Armadura colocada en obra</v>
      </c>
      <c r="C37" s="178" t="str">
        <f t="shared" ca="1" si="6"/>
        <v>t</v>
      </c>
      <c r="D37" s="458">
        <f ca="1">IFERROR(VLOOKUP(A37,T_Computo_Presupuesto,5,FALSE),"")-0.000118</f>
        <v>3.7998819999999998</v>
      </c>
      <c r="E37" s="459" t="str">
        <f t="shared" ca="1" si="8"/>
        <v/>
      </c>
      <c r="F37" s="460">
        <f t="shared" ca="1" si="4"/>
        <v>0</v>
      </c>
      <c r="G37" s="460">
        <f t="shared" ca="1" si="9"/>
        <v>0</v>
      </c>
      <c r="I37" s="744"/>
    </row>
    <row r="38" spans="1:9" ht="30" customHeight="1" x14ac:dyDescent="0.2">
      <c r="A38" s="177" t="str">
        <f ca="1">INDIRECT("Datos!B"&amp;MATCH("RUBRO ITEM",Datos!B:B,0)+ROW()-MATCH("RUBRO ITEM",A:A,0)-1)</f>
        <v>4.6</v>
      </c>
      <c r="B38" s="457" t="str">
        <f t="shared" ca="1" si="5"/>
        <v>Demolicion de puente</v>
      </c>
      <c r="C38" s="178" t="str">
        <f t="shared" ca="1" si="6"/>
        <v>m3</v>
      </c>
      <c r="D38" s="458">
        <f t="shared" ca="1" si="7"/>
        <v>141</v>
      </c>
      <c r="E38" s="459" t="str">
        <f t="shared" ca="1" si="8"/>
        <v/>
      </c>
      <c r="F38" s="460">
        <f t="shared" ca="1" si="4"/>
        <v>0</v>
      </c>
      <c r="G38" s="460">
        <f t="shared" ca="1" si="9"/>
        <v>0</v>
      </c>
    </row>
    <row r="39" spans="1:9" ht="19.5" customHeight="1" x14ac:dyDescent="0.2">
      <c r="A39" s="465"/>
      <c r="B39" s="179"/>
      <c r="C39" s="180"/>
      <c r="D39" s="461"/>
      <c r="E39" s="462"/>
      <c r="F39" s="181"/>
      <c r="G39" s="466"/>
    </row>
    <row r="40" spans="1:9" ht="19.5" customHeight="1" x14ac:dyDescent="0.2">
      <c r="A40" s="465"/>
      <c r="B40" s="782" t="s">
        <v>969</v>
      </c>
      <c r="C40" s="782"/>
      <c r="D40" s="782"/>
      <c r="E40" s="782"/>
      <c r="F40" s="467"/>
      <c r="G40" s="182">
        <f ca="1">ROUND(SUM(G16:G39),2)</f>
        <v>0</v>
      </c>
    </row>
    <row r="41" spans="1:9" ht="19.5" customHeight="1" x14ac:dyDescent="0.2">
      <c r="A41" s="183" t="s">
        <v>3</v>
      </c>
      <c r="F41" s="184"/>
    </row>
    <row r="42" spans="1:9" ht="37.5" customHeight="1" x14ac:dyDescent="0.2">
      <c r="A42" s="786" t="str">
        <f ca="1">IF(Monto_Oferta=0,"IMPORTA LA PRESENTE PROPUESTA EN LA SUMA DE: _____________________","IMPORTA LA PRESENTE PROPUESTA EN LA SUMA DE: "&amp;CONVERTIRNUM(Monto_Oferta))</f>
        <v>IMPORTA LA PRESENTE PROPUESTA EN LA SUMA DE: _____________________</v>
      </c>
      <c r="B42" s="786"/>
      <c r="C42" s="786"/>
      <c r="D42" s="786"/>
      <c r="E42" s="786"/>
      <c r="F42" s="786"/>
      <c r="G42" s="786"/>
    </row>
    <row r="43" spans="1:9" ht="19.5" customHeight="1" x14ac:dyDescent="0.2">
      <c r="A43" s="185"/>
    </row>
    <row r="44" spans="1:9" ht="19.5" customHeight="1" x14ac:dyDescent="0.2">
      <c r="B44" s="783" t="s">
        <v>974</v>
      </c>
      <c r="C44" s="783"/>
      <c r="D44" s="783"/>
      <c r="E44" s="783"/>
      <c r="F44" s="783"/>
      <c r="G44" s="783"/>
    </row>
    <row r="45" spans="1:9" ht="19.5" customHeight="1" x14ac:dyDescent="0.2">
      <c r="B45" s="783" t="s">
        <v>970</v>
      </c>
      <c r="C45" s="783"/>
      <c r="D45" s="783"/>
      <c r="E45" s="783"/>
      <c r="F45" s="783"/>
      <c r="G45" s="783"/>
    </row>
    <row r="46" spans="1:9" ht="19.5" customHeight="1" x14ac:dyDescent="0.2">
      <c r="B46" s="493"/>
      <c r="C46" s="493"/>
      <c r="D46" s="493"/>
      <c r="E46" s="493"/>
      <c r="F46" s="493"/>
      <c r="G46" s="493"/>
    </row>
    <row r="47" spans="1:9" ht="19.5" customHeight="1" x14ac:dyDescent="0.2">
      <c r="B47" s="493"/>
      <c r="C47" s="493"/>
      <c r="D47" s="493"/>
      <c r="E47" s="493"/>
      <c r="F47" s="493"/>
      <c r="G47" s="493"/>
    </row>
    <row r="48" spans="1:9" ht="19.5" customHeight="1" x14ac:dyDescent="0.2">
      <c r="B48" s="463" t="str">
        <f>"ACLARACIÓN DE LAS FIRMAS SIN ABREVIATURAS:                                               "&amp;Contratista_Firma1&amp;"                                                               "&amp;Contratista_Firma2</f>
        <v xml:space="preserve">ACLARACIÓN DE LAS FIRMAS SIN ABREVIATURAS:                                                                                                              </v>
      </c>
      <c r="C48" s="463"/>
      <c r="D48" s="464"/>
      <c r="E48" s="463"/>
      <c r="F48" s="464"/>
      <c r="G48" s="463"/>
    </row>
    <row r="49" spans="1:6" ht="19.5" customHeight="1" x14ac:dyDescent="0.2">
      <c r="D49" s="186">
        <v>0</v>
      </c>
      <c r="F49" s="186">
        <v>0</v>
      </c>
    </row>
    <row r="53" spans="1:6" ht="19.5" customHeight="1" x14ac:dyDescent="0.2">
      <c r="A53" s="18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4" spans="1:6" ht="19.5" customHeight="1" x14ac:dyDescent="0.2">
      <c r="A54" s="187" t="s">
        <v>973</v>
      </c>
    </row>
    <row r="55" spans="1:6" ht="19.5" customHeight="1" x14ac:dyDescent="0.2">
      <c r="A55" s="187" t="s">
        <v>972</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40:E40"/>
    <mergeCell ref="B44:G44"/>
    <mergeCell ref="B45:G45"/>
    <mergeCell ref="B11:G11"/>
    <mergeCell ref="G13:G14"/>
    <mergeCell ref="A42:G42"/>
  </mergeCells>
  <conditionalFormatting sqref="A16:A41">
    <cfRule type="expression" dxfId="144" priority="28" stopIfTrue="1">
      <formula>#REF!&gt;0</formula>
    </cfRule>
    <cfRule type="expression" dxfId="143" priority="29" stopIfTrue="1">
      <formula>#REF!&gt;0</formula>
    </cfRule>
    <cfRule type="expression" dxfId="142" priority="30" stopIfTrue="1">
      <formula>#REF!&gt;0</formula>
    </cfRule>
  </conditionalFormatting>
  <conditionalFormatting sqref="B39">
    <cfRule type="expression" dxfId="141" priority="31" stopIfTrue="1">
      <formula>#REF!&gt;0</formula>
    </cfRule>
    <cfRule type="expression" dxfId="140" priority="32" stopIfTrue="1">
      <formula>#REF!&gt;0</formula>
    </cfRule>
    <cfRule type="expression" dxfId="139" priority="33" stopIfTrue="1">
      <formula>#REF!&gt;0</formula>
    </cfRule>
  </conditionalFormatting>
  <conditionalFormatting sqref="B16:B38">
    <cfRule type="expression" dxfId="138" priority="1" stopIfTrue="1">
      <formula>#REF!&gt;0</formula>
    </cfRule>
    <cfRule type="expression" dxfId="137" priority="2" stopIfTrue="1">
      <formula>#REF!&gt;0</formula>
    </cfRule>
    <cfRule type="expression" dxfId="136"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N55"/>
  <sheetViews>
    <sheetView showGridLines="0" showZeros="0" view="pageBreakPreview" topLeftCell="A16" zoomScale="80" zoomScaleNormal="90" zoomScaleSheetLayoutView="80" workbookViewId="0">
      <selection activeCell="K26" sqref="K26"/>
    </sheetView>
  </sheetViews>
  <sheetFormatPr baseColWidth="10" defaultColWidth="11.42578125" defaultRowHeight="12.75" x14ac:dyDescent="0.2"/>
  <cols>
    <col min="1" max="1" width="8.7109375" style="133" customWidth="1"/>
    <col min="2" max="3" width="30.7109375" style="133" customWidth="1"/>
    <col min="4" max="4" width="6.7109375" style="133" customWidth="1"/>
    <col min="5" max="5" width="15.28515625" style="133" customWidth="1"/>
    <col min="6" max="7" width="17.7109375" style="133" customWidth="1"/>
    <col min="8" max="8" width="22.7109375" style="133" customWidth="1"/>
    <col min="9" max="9" width="14.7109375" style="133" customWidth="1"/>
    <col min="10" max="10" width="6.42578125" style="133" customWidth="1"/>
    <col min="11" max="12" width="14.5703125" style="133" bestFit="1" customWidth="1"/>
    <col min="13" max="16384" width="11.42578125" style="133"/>
  </cols>
  <sheetData>
    <row r="1" spans="1:9" s="119" customFormat="1" ht="20.100000000000001" customHeight="1" x14ac:dyDescent="0.2">
      <c r="A1" s="118" t="s">
        <v>8</v>
      </c>
      <c r="B1" s="118"/>
      <c r="C1" s="118" t="str">
        <f>Comitente</f>
        <v>DEPARTAMENTO DE HIDRAULICA</v>
      </c>
      <c r="D1" s="118"/>
      <c r="E1" s="118"/>
      <c r="F1" s="118"/>
      <c r="G1" s="118"/>
      <c r="I1" s="120"/>
    </row>
    <row r="2" spans="1:9" s="123" customFormat="1" ht="20.100000000000001" customHeight="1" x14ac:dyDescent="0.2">
      <c r="A2" s="121" t="s">
        <v>9</v>
      </c>
      <c r="B2" s="121"/>
      <c r="C2" s="118" t="str">
        <f>Obra</f>
        <v>ENCAMISADO CANAL GENERAL COCHAGUAL</v>
      </c>
      <c r="D2" s="122"/>
      <c r="E2" s="122"/>
      <c r="F2" s="122"/>
      <c r="G2" s="122"/>
      <c r="I2" s="122"/>
    </row>
    <row r="3" spans="1:9" s="123" customFormat="1" ht="20.100000000000001" customHeight="1" x14ac:dyDescent="0.2">
      <c r="A3" s="121" t="s">
        <v>13</v>
      </c>
      <c r="B3" s="121"/>
      <c r="C3" s="124" t="str">
        <f>Ubicación</f>
        <v>DEPARTAMENTO SARMIENTO</v>
      </c>
      <c r="D3" s="124"/>
      <c r="E3" s="124"/>
      <c r="F3" s="124"/>
      <c r="G3" s="124"/>
      <c r="I3" s="124"/>
    </row>
    <row r="4" spans="1:9" s="123" customFormat="1" ht="20.100000000000001" customHeight="1" x14ac:dyDescent="0.2">
      <c r="A4" s="121" t="s">
        <v>12</v>
      </c>
      <c r="B4" s="125"/>
      <c r="C4" s="126" t="str">
        <f>Licitación_N°</f>
        <v>06/2021</v>
      </c>
    </row>
    <row r="5" spans="1:9" s="123" customFormat="1" ht="20.100000000000001" customHeight="1" x14ac:dyDescent="0.2">
      <c r="A5" s="121" t="s">
        <v>30</v>
      </c>
      <c r="B5" s="125"/>
      <c r="C5" s="127" t="str">
        <f>Expediente_N°</f>
        <v>506-000450-2021</v>
      </c>
    </row>
    <row r="6" spans="1:9" s="123" customFormat="1" ht="20.100000000000001" customHeight="1" x14ac:dyDescent="0.2">
      <c r="A6" s="121" t="s">
        <v>15</v>
      </c>
      <c r="B6" s="125"/>
      <c r="C6" s="128">
        <f>P_Oficial</f>
        <v>57921924</v>
      </c>
    </row>
    <row r="7" spans="1:9" s="123" customFormat="1" ht="20.100000000000001" customHeight="1" x14ac:dyDescent="0.2">
      <c r="A7" s="121" t="s">
        <v>892</v>
      </c>
      <c r="B7" s="125"/>
      <c r="C7" s="129">
        <f>Anticipo_Financiero</f>
        <v>0.05</v>
      </c>
      <c r="F7" s="123" t="e">
        <f ca="1">INDIRECT("Datos!"&amp;MATCH("RUBRO ITEM",Datos!C:C,0)+2)</f>
        <v>#N/A</v>
      </c>
    </row>
    <row r="8" spans="1:9" s="123" customFormat="1" ht="20.100000000000001" customHeight="1" x14ac:dyDescent="0.2">
      <c r="A8" s="121" t="s">
        <v>891</v>
      </c>
      <c r="B8" s="125"/>
      <c r="C8" s="130">
        <f>Fecha_Base</f>
        <v>44319</v>
      </c>
    </row>
    <row r="9" spans="1:9" s="123" customFormat="1" ht="20.100000000000001" customHeight="1" x14ac:dyDescent="0.2">
      <c r="A9" s="121" t="s">
        <v>14</v>
      </c>
      <c r="B9" s="125"/>
      <c r="C9" s="131">
        <f>Plazo_Obra</f>
        <v>120</v>
      </c>
    </row>
    <row r="10" spans="1:9" s="123" customFormat="1" ht="20.100000000000001" customHeight="1" x14ac:dyDescent="0.2">
      <c r="A10" s="121" t="s">
        <v>10</v>
      </c>
      <c r="B10" s="125"/>
      <c r="C10" s="121">
        <f>Contratista</f>
        <v>0</v>
      </c>
      <c r="F10" s="123" t="e">
        <f>MATCH("RUBRO ITEM",Datos!C:C,0)</f>
        <v>#N/A</v>
      </c>
    </row>
    <row r="11" spans="1:9" s="123" customFormat="1" ht="20.100000000000001" customHeight="1" x14ac:dyDescent="0.2">
      <c r="A11" s="121" t="s">
        <v>41</v>
      </c>
      <c r="B11" s="125"/>
      <c r="C11" s="132">
        <f ca="1">Monto_Oferta</f>
        <v>0</v>
      </c>
    </row>
    <row r="12" spans="1:9" ht="20.100000000000001" customHeight="1" x14ac:dyDescent="0.2"/>
    <row r="13" spans="1:9" ht="20.100000000000001" customHeight="1" x14ac:dyDescent="0.2">
      <c r="A13" s="134" t="s">
        <v>40</v>
      </c>
      <c r="B13" s="135"/>
      <c r="C13" s="135"/>
      <c r="D13" s="135"/>
      <c r="E13" s="135"/>
      <c r="F13" s="135"/>
      <c r="G13" s="135"/>
      <c r="H13" s="136"/>
      <c r="I13" s="137"/>
    </row>
    <row r="14" spans="1:9" ht="20.100000000000001" customHeight="1" x14ac:dyDescent="0.2"/>
    <row r="15" spans="1:9" ht="42.75" customHeight="1" x14ac:dyDescent="0.2">
      <c r="A15" s="515" t="s">
        <v>893</v>
      </c>
      <c r="B15" s="790" t="s">
        <v>0</v>
      </c>
      <c r="C15" s="791"/>
      <c r="D15" s="515" t="s">
        <v>1</v>
      </c>
      <c r="E15" s="515" t="s">
        <v>2</v>
      </c>
      <c r="F15" s="513" t="s">
        <v>938</v>
      </c>
      <c r="G15" s="513" t="s">
        <v>939</v>
      </c>
      <c r="H15" s="513" t="s">
        <v>917</v>
      </c>
      <c r="I15" s="513" t="s">
        <v>11</v>
      </c>
    </row>
    <row r="16" spans="1:9" ht="20.100000000000001" customHeight="1" x14ac:dyDescent="0.2">
      <c r="A16" s="76"/>
      <c r="B16" s="511"/>
      <c r="C16" s="511"/>
      <c r="D16" s="76"/>
      <c r="E16" s="76"/>
      <c r="F16" s="511"/>
      <c r="G16" s="511"/>
      <c r="H16" s="79"/>
      <c r="I16" s="138"/>
    </row>
    <row r="17" spans="1:14" ht="20.100000000000001" customHeight="1" x14ac:dyDescent="0.2">
      <c r="A17" s="117">
        <f ca="1">INDIRECT("Datos!B"&amp;MATCH("RUBRO ITEM",Datos!B:B,0)+ROW()-MATCH("RUBRO ITEM",A:A,0))</f>
        <v>1</v>
      </c>
      <c r="B17" s="77" t="str">
        <f t="shared" ref="B17:B31" ca="1" si="0">IFERROR(VLOOKUP(A17,T_Datos,2,FALSE),"")</f>
        <v>ELABORACION PROYECTO EJECUTIVO</v>
      </c>
      <c r="C17" s="139"/>
      <c r="D17" s="140">
        <f t="shared" ref="D17:D31" ca="1" si="1">IFERROR(VLOOKUP(A17,T_Datos,3,FALSE),"")</f>
        <v>0</v>
      </c>
      <c r="E17" s="141">
        <f t="shared" ref="E17:E31" ca="1" si="2">IFERROR(VLOOKUP(A17,T_Datos,4,FALSE),0)</f>
        <v>0</v>
      </c>
      <c r="F17" s="142">
        <f t="shared" ref="F17" ca="1" si="3">IFERROR(VLOOKUP(A17,T_Analisis_Precios,7,FALSE),0)</f>
        <v>0</v>
      </c>
      <c r="G17" s="597"/>
      <c r="H17" s="597">
        <f ca="1">ROUND(E17*G17,2)</f>
        <v>0</v>
      </c>
      <c r="I17" s="143">
        <f t="shared" ref="I17" ca="1" si="4">IFERROR(H17/Monto_Oferta,0)</f>
        <v>0</v>
      </c>
    </row>
    <row r="18" spans="1:14" ht="20.100000000000001" customHeight="1" x14ac:dyDescent="0.2">
      <c r="A18" s="117" t="str">
        <f ca="1">INDIRECT("Datos!B"&amp;MATCH("RUBRO ITEM",Datos!B:B,0)+ROW()-MATCH("RUBRO ITEM",A:A,0))</f>
        <v>1.1</v>
      </c>
      <c r="B18" s="77" t="str">
        <f t="shared" ca="1" si="0"/>
        <v>Elaboracion Proyecto Ejecutivo</v>
      </c>
      <c r="C18" s="139"/>
      <c r="D18" s="140" t="str">
        <f t="shared" ca="1" si="1"/>
        <v>gl.</v>
      </c>
      <c r="E18" s="141">
        <f t="shared" ca="1" si="2"/>
        <v>1</v>
      </c>
      <c r="F18" s="142">
        <f t="shared" ref="F18:F31" ca="1" si="5">IFERROR(VLOOKUP(A18,T_Analisis_Precios,7,FALSE),0)</f>
        <v>0</v>
      </c>
      <c r="G18" s="597">
        <f t="shared" ref="G18:G31" ca="1" si="6">ROUND(F18*Coeficiente_Paso,2)</f>
        <v>0</v>
      </c>
      <c r="H18" s="597">
        <f t="shared" ref="H18:H31" ca="1" si="7">ROUND(E18*G18,2)</f>
        <v>0</v>
      </c>
      <c r="I18" s="143">
        <f t="shared" ref="I18:I31" ca="1" si="8">IFERROR(H18/Monto_Oferta,0)</f>
        <v>0</v>
      </c>
    </row>
    <row r="19" spans="1:14" ht="20.100000000000001" customHeight="1" x14ac:dyDescent="0.2">
      <c r="A19" s="117">
        <f ca="1">INDIRECT("Datos!B"&amp;MATCH("RUBRO ITEM",Datos!B:B,0)+ROW()-MATCH("RUBRO ITEM",A:A,0))</f>
        <v>2</v>
      </c>
      <c r="B19" s="77" t="str">
        <f t="shared" ca="1" si="0"/>
        <v>CANAL GENERAL COCHAGUAL Progresiva 4080-4880</v>
      </c>
      <c r="C19" s="139"/>
      <c r="D19" s="140">
        <f t="shared" ca="1" si="1"/>
        <v>0</v>
      </c>
      <c r="E19" s="141">
        <f ca="1">IFERROR(VLOOKUP(A19,T_Datos,4,FALSE),0)</f>
        <v>0</v>
      </c>
      <c r="F19" s="142">
        <f ca="1">IFERROR(VLOOKUP(A19,T_Analisis_Precios,7,FALSE),0)</f>
        <v>0</v>
      </c>
      <c r="G19" s="597">
        <f ca="1">ROUND(F19*Coeficiente_Paso,2)</f>
        <v>0</v>
      </c>
      <c r="H19" s="597">
        <f t="shared" ca="1" si="7"/>
        <v>0</v>
      </c>
      <c r="I19" s="143">
        <f t="shared" ca="1" si="8"/>
        <v>0</v>
      </c>
      <c r="K19" s="750"/>
      <c r="L19" s="739"/>
      <c r="N19" s="739"/>
    </row>
    <row r="20" spans="1:14" ht="20.100000000000001" customHeight="1" x14ac:dyDescent="0.2">
      <c r="A20" s="117" t="str">
        <f ca="1">INDIRECT("Datos!B"&amp;MATCH("RUBRO ITEM",Datos!B:B,0)+ROW()-MATCH("RUBRO ITEM",A:A,0))</f>
        <v>2.1</v>
      </c>
      <c r="B20" s="77" t="str">
        <f t="shared" ca="1" si="0"/>
        <v>Limpieza y Replanteo</v>
      </c>
      <c r="C20" s="139"/>
      <c r="D20" s="140" t="str">
        <f t="shared" ca="1" si="1"/>
        <v>gl.</v>
      </c>
      <c r="E20" s="141">
        <f t="shared" ca="1" si="2"/>
        <v>1</v>
      </c>
      <c r="F20" s="142">
        <f t="shared" ca="1" si="5"/>
        <v>0</v>
      </c>
      <c r="G20" s="597">
        <f t="shared" ca="1" si="6"/>
        <v>0</v>
      </c>
      <c r="H20" s="597">
        <f t="shared" ca="1" si="7"/>
        <v>0</v>
      </c>
      <c r="I20" s="143">
        <f t="shared" ca="1" si="8"/>
        <v>0</v>
      </c>
      <c r="K20" s="750"/>
    </row>
    <row r="21" spans="1:14" ht="20.100000000000001" customHeight="1" x14ac:dyDescent="0.2">
      <c r="A21" s="117" t="str">
        <f ca="1">INDIRECT("Datos!B"&amp;MATCH("RUBRO ITEM",Datos!B:B,0)+ROW()-MATCH("RUBRO ITEM",A:A,0))</f>
        <v>2.2</v>
      </c>
      <c r="B21" s="77" t="str">
        <f t="shared" ca="1" si="0"/>
        <v>Relleno y compactacion de posibles oquedadas laterales</v>
      </c>
      <c r="C21" s="139"/>
      <c r="D21" s="140" t="str">
        <f t="shared" ca="1" si="1"/>
        <v>m3</v>
      </c>
      <c r="E21" s="141">
        <f t="shared" ca="1" si="2"/>
        <v>120</v>
      </c>
      <c r="F21" s="142">
        <f t="shared" ca="1" si="5"/>
        <v>0</v>
      </c>
      <c r="G21" s="597">
        <f t="shared" ca="1" si="6"/>
        <v>0</v>
      </c>
      <c r="H21" s="597">
        <f t="shared" ca="1" si="7"/>
        <v>0</v>
      </c>
      <c r="I21" s="143">
        <f t="shared" ca="1" si="8"/>
        <v>0</v>
      </c>
      <c r="K21" s="750"/>
    </row>
    <row r="22" spans="1:14" ht="20.100000000000001" customHeight="1" x14ac:dyDescent="0.2">
      <c r="A22" s="117" t="str">
        <f ca="1">INDIRECT("Datos!B"&amp;MATCH("RUBRO ITEM",Datos!B:B,0)+ROW()-MATCH("RUBRO ITEM",A:A,0))</f>
        <v>2.3</v>
      </c>
      <c r="B22" s="77" t="str">
        <f t="shared" ca="1" si="0"/>
        <v>Relleno y compactacion de posibles oquedades laterales con la adicion de una bolsa de cemento portland puzolanico por m3 de rellemo</v>
      </c>
      <c r="C22" s="139"/>
      <c r="D22" s="140" t="str">
        <f t="shared" ca="1" si="1"/>
        <v>m3</v>
      </c>
      <c r="E22" s="141">
        <f t="shared" ca="1" si="2"/>
        <v>140</v>
      </c>
      <c r="F22" s="142">
        <f t="shared" ca="1" si="5"/>
        <v>0</v>
      </c>
      <c r="G22" s="597">
        <f t="shared" ca="1" si="6"/>
        <v>0</v>
      </c>
      <c r="H22" s="597">
        <f t="shared" ca="1" si="7"/>
        <v>0</v>
      </c>
      <c r="I22" s="143">
        <f t="shared" ca="1" si="8"/>
        <v>0</v>
      </c>
      <c r="K22" s="750"/>
    </row>
    <row r="23" spans="1:14" ht="20.100000000000001" customHeight="1" x14ac:dyDescent="0.2">
      <c r="A23" s="117" t="str">
        <f ca="1">INDIRECT("Datos!B"&amp;MATCH("RUBRO ITEM",Datos!B:B,0)+ROW()-MATCH("RUBRO ITEM",A:A,0))</f>
        <v>2.4</v>
      </c>
      <c r="B23" s="77" t="str">
        <f t="shared" ca="1" si="0"/>
        <v>Hormigon de encamisado H-21</v>
      </c>
      <c r="C23" s="139"/>
      <c r="D23" s="140" t="str">
        <f t="shared" ca="1" si="1"/>
        <v>m3</v>
      </c>
      <c r="E23" s="141">
        <f t="shared" ca="1" si="2"/>
        <v>600</v>
      </c>
      <c r="F23" s="142">
        <f t="shared" ca="1" si="5"/>
        <v>0</v>
      </c>
      <c r="G23" s="597">
        <f t="shared" ca="1" si="6"/>
        <v>0</v>
      </c>
      <c r="H23" s="597">
        <f t="shared" ca="1" si="7"/>
        <v>0</v>
      </c>
      <c r="I23" s="143">
        <f t="shared" ca="1" si="8"/>
        <v>0</v>
      </c>
      <c r="K23" s="750"/>
    </row>
    <row r="24" spans="1:14" ht="20.100000000000001" customHeight="1" x14ac:dyDescent="0.2">
      <c r="A24" s="117" t="str">
        <f ca="1">INDIRECT("Datos!B"&amp;MATCH("RUBRO ITEM",Datos!B:B,0)+ROW()-MATCH("RUBRO ITEM",A:A,0))</f>
        <v>2.5</v>
      </c>
      <c r="B24" s="77" t="str">
        <f t="shared" ca="1" si="0"/>
        <v>Armadura colocada en obra</v>
      </c>
      <c r="C24" s="139"/>
      <c r="D24" s="140" t="str">
        <f t="shared" ca="1" si="1"/>
        <v>t</v>
      </c>
      <c r="E24" s="141">
        <f ca="1">IFERROR(VLOOKUP(A24,T_Datos,4,FALSE),0)</f>
        <v>32.700000000000003</v>
      </c>
      <c r="F24" s="142">
        <f t="shared" ca="1" si="5"/>
        <v>0</v>
      </c>
      <c r="G24" s="597">
        <f t="shared" ca="1" si="6"/>
        <v>0</v>
      </c>
      <c r="H24" s="597">
        <f t="shared" ca="1" si="7"/>
        <v>0</v>
      </c>
      <c r="I24" s="143">
        <f t="shared" ca="1" si="8"/>
        <v>0</v>
      </c>
      <c r="K24" s="750"/>
      <c r="L24" s="739"/>
      <c r="N24" s="739"/>
    </row>
    <row r="25" spans="1:14" ht="20.100000000000001" customHeight="1" x14ac:dyDescent="0.2">
      <c r="A25" s="117" t="str">
        <f ca="1">INDIRECT("Datos!B"&amp;MATCH("RUBRO ITEM",Datos!B:B,0)+ROW()-MATCH("RUBRO ITEM",A:A,0))</f>
        <v>2.6</v>
      </c>
      <c r="B25" s="77" t="str">
        <f t="shared" ca="1" si="0"/>
        <v>Juntas de contraccion y dilatacion</v>
      </c>
      <c r="C25" s="139"/>
      <c r="D25" s="140" t="str">
        <f t="shared" ca="1" si="1"/>
        <v>m</v>
      </c>
      <c r="E25" s="141">
        <f t="shared" ca="1" si="2"/>
        <v>1056</v>
      </c>
      <c r="F25" s="142">
        <f t="shared" ca="1" si="5"/>
        <v>0</v>
      </c>
      <c r="G25" s="597">
        <f t="shared" ca="1" si="6"/>
        <v>0</v>
      </c>
      <c r="H25" s="597">
        <f t="shared" ca="1" si="7"/>
        <v>0</v>
      </c>
      <c r="I25" s="143">
        <f t="shared" ca="1" si="8"/>
        <v>0</v>
      </c>
      <c r="K25" s="750"/>
    </row>
    <row r="26" spans="1:14" ht="20.100000000000001" customHeight="1" x14ac:dyDescent="0.2">
      <c r="A26" s="117">
        <f ca="1">INDIRECT("Datos!B"&amp;MATCH("RUBRO ITEM",Datos!B:B,0)+ROW()-MATCH("RUBRO ITEM",A:A,0))</f>
        <v>3</v>
      </c>
      <c r="B26" s="77" t="str">
        <f t="shared" ca="1" si="0"/>
        <v>CANAL GENERAL COCHAGUAL Progresiva 9860-10860</v>
      </c>
      <c r="C26" s="139"/>
      <c r="D26" s="140">
        <f t="shared" ca="1" si="1"/>
        <v>0</v>
      </c>
      <c r="E26" s="141">
        <f t="shared" ca="1" si="2"/>
        <v>0</v>
      </c>
      <c r="F26" s="142">
        <f t="shared" ca="1" si="5"/>
        <v>0</v>
      </c>
      <c r="G26" s="597">
        <f t="shared" ca="1" si="6"/>
        <v>0</v>
      </c>
      <c r="H26" s="597">
        <f t="shared" ca="1" si="7"/>
        <v>0</v>
      </c>
      <c r="I26" s="143">
        <f t="shared" ca="1" si="8"/>
        <v>0</v>
      </c>
      <c r="K26" s="750"/>
    </row>
    <row r="27" spans="1:14" ht="20.100000000000001" customHeight="1" x14ac:dyDescent="0.2">
      <c r="A27" s="117" t="str">
        <f ca="1">INDIRECT("Datos!B"&amp;MATCH("RUBRO ITEM",Datos!B:B,0)+ROW()-MATCH("RUBRO ITEM",A:A,0))</f>
        <v>3.1</v>
      </c>
      <c r="B27" s="77" t="str">
        <f t="shared" ca="1" si="0"/>
        <v>Limpieza y Replanteo</v>
      </c>
      <c r="C27" s="139"/>
      <c r="D27" s="140" t="str">
        <f t="shared" ca="1" si="1"/>
        <v>gl.</v>
      </c>
      <c r="E27" s="141">
        <f t="shared" ca="1" si="2"/>
        <v>1</v>
      </c>
      <c r="F27" s="142">
        <f t="shared" ca="1" si="5"/>
        <v>0</v>
      </c>
      <c r="G27" s="597">
        <f t="shared" ca="1" si="6"/>
        <v>0</v>
      </c>
      <c r="H27" s="597">
        <f t="shared" ca="1" si="7"/>
        <v>0</v>
      </c>
      <c r="I27" s="143">
        <f t="shared" ca="1" si="8"/>
        <v>0</v>
      </c>
      <c r="K27" s="750"/>
    </row>
    <row r="28" spans="1:14" ht="20.100000000000001" customHeight="1" x14ac:dyDescent="0.2">
      <c r="A28" s="117" t="str">
        <f ca="1">INDIRECT("Datos!B"&amp;MATCH("RUBRO ITEM",Datos!B:B,0)+ROW()-MATCH("RUBRO ITEM",A:A,0))</f>
        <v>3.2</v>
      </c>
      <c r="B28" s="77" t="str">
        <f t="shared" ca="1" si="0"/>
        <v>Relleno y compactacion de posibles oquedadas laterales</v>
      </c>
      <c r="C28" s="139"/>
      <c r="D28" s="140" t="str">
        <f t="shared" ca="1" si="1"/>
        <v>m3</v>
      </c>
      <c r="E28" s="141">
        <f t="shared" ca="1" si="2"/>
        <v>150</v>
      </c>
      <c r="F28" s="142">
        <f t="shared" ca="1" si="5"/>
        <v>0</v>
      </c>
      <c r="G28" s="597">
        <f t="shared" ca="1" si="6"/>
        <v>0</v>
      </c>
      <c r="H28" s="597">
        <f t="shared" ca="1" si="7"/>
        <v>0</v>
      </c>
      <c r="I28" s="143">
        <f t="shared" ca="1" si="8"/>
        <v>0</v>
      </c>
      <c r="K28" s="750"/>
    </row>
    <row r="29" spans="1:14" ht="20.100000000000001" customHeight="1" x14ac:dyDescent="0.2">
      <c r="A29" s="117" t="str">
        <f ca="1">INDIRECT("Datos!B"&amp;MATCH("RUBRO ITEM",Datos!B:B,0)+ROW()-MATCH("RUBRO ITEM",A:A,0))</f>
        <v>3.3</v>
      </c>
      <c r="B29" s="77" t="str">
        <f t="shared" ca="1" si="0"/>
        <v>Relleno y compactacion de posibles oquedades laterales con la adicion de una bolsa de cemento portland puzolanico por m3 de rellemo</v>
      </c>
      <c r="C29" s="139"/>
      <c r="D29" s="140" t="str">
        <f t="shared" ca="1" si="1"/>
        <v>m3</v>
      </c>
      <c r="E29" s="141">
        <f ca="1">IFERROR(VLOOKUP(A29,T_Datos,4,FALSE),0)</f>
        <v>175</v>
      </c>
      <c r="F29" s="142">
        <f t="shared" ca="1" si="5"/>
        <v>0</v>
      </c>
      <c r="G29" s="597">
        <f t="shared" ca="1" si="6"/>
        <v>0</v>
      </c>
      <c r="H29" s="597">
        <f t="shared" ca="1" si="7"/>
        <v>0</v>
      </c>
      <c r="I29" s="143">
        <f t="shared" ca="1" si="8"/>
        <v>0</v>
      </c>
      <c r="K29" s="750"/>
      <c r="L29" s="739"/>
      <c r="N29" s="739"/>
    </row>
    <row r="30" spans="1:14" ht="20.100000000000001" customHeight="1" x14ac:dyDescent="0.2">
      <c r="A30" s="117" t="str">
        <f ca="1">INDIRECT("Datos!B"&amp;MATCH("RUBRO ITEM",Datos!B:B,0)+ROW()-MATCH("RUBRO ITEM",A:A,0))</f>
        <v>3.4</v>
      </c>
      <c r="B30" s="77" t="str">
        <f t="shared" ca="1" si="0"/>
        <v>Hormigon de encamisado H-21</v>
      </c>
      <c r="C30" s="139"/>
      <c r="D30" s="140" t="str">
        <f t="shared" ca="1" si="1"/>
        <v>m3</v>
      </c>
      <c r="E30" s="141">
        <f t="shared" ca="1" si="2"/>
        <v>590</v>
      </c>
      <c r="F30" s="142">
        <f t="shared" ca="1" si="5"/>
        <v>0</v>
      </c>
      <c r="G30" s="597">
        <f t="shared" ca="1" si="6"/>
        <v>0</v>
      </c>
      <c r="H30" s="597">
        <f t="shared" ca="1" si="7"/>
        <v>0</v>
      </c>
      <c r="I30" s="143">
        <f t="shared" ca="1" si="8"/>
        <v>0</v>
      </c>
      <c r="K30" s="750"/>
    </row>
    <row r="31" spans="1:14" ht="20.100000000000001" customHeight="1" x14ac:dyDescent="0.2">
      <c r="A31" s="117" t="str">
        <f ca="1">INDIRECT("Datos!B"&amp;MATCH("RUBRO ITEM",Datos!B:B,0)+ROW()-MATCH("RUBRO ITEM",A:A,0))</f>
        <v>3.5</v>
      </c>
      <c r="B31" s="77" t="str">
        <f t="shared" ca="1" si="0"/>
        <v>Armadura colocada en obra</v>
      </c>
      <c r="C31" s="139"/>
      <c r="D31" s="140" t="str">
        <f t="shared" ca="1" si="1"/>
        <v>t</v>
      </c>
      <c r="E31" s="141">
        <f t="shared" ca="1" si="2"/>
        <v>40.9</v>
      </c>
      <c r="F31" s="142">
        <f t="shared" ca="1" si="5"/>
        <v>0</v>
      </c>
      <c r="G31" s="597">
        <f t="shared" ca="1" si="6"/>
        <v>0</v>
      </c>
      <c r="H31" s="597">
        <f t="shared" ca="1" si="7"/>
        <v>0</v>
      </c>
      <c r="I31" s="143">
        <f t="shared" ca="1" si="8"/>
        <v>0</v>
      </c>
      <c r="K31" s="750"/>
    </row>
    <row r="32" spans="1:14" ht="20.100000000000001" customHeight="1" x14ac:dyDescent="0.2">
      <c r="A32" s="117" t="str">
        <f ca="1">INDIRECT("Datos!B"&amp;MATCH("RUBRO ITEM",Datos!B:B,0)+ROW()-MATCH("RUBRO ITEM",A:A,0))</f>
        <v>3.6</v>
      </c>
      <c r="B32" s="77" t="str">
        <f t="shared" ref="B32:B39" ca="1" si="9">IFERROR(VLOOKUP(A32,T_Datos,2,FALSE),"")</f>
        <v>Juntas de contraccion y dilatacion</v>
      </c>
      <c r="C32" s="139"/>
      <c r="D32" s="140" t="str">
        <f t="shared" ref="D32:D39" ca="1" si="10">IFERROR(VLOOKUP(A32,T_Datos,3,FALSE),"")</f>
        <v>m</v>
      </c>
      <c r="E32" s="141">
        <f t="shared" ref="E32:E39" ca="1" si="11">IFERROR(VLOOKUP(A32,T_Datos,4,FALSE),0)</f>
        <v>1320</v>
      </c>
      <c r="F32" s="142">
        <f t="shared" ref="F32:F39" ca="1" si="12">IFERROR(VLOOKUP(A32,T_Analisis_Precios,7,FALSE),0)</f>
        <v>0</v>
      </c>
      <c r="G32" s="597">
        <f t="shared" ref="G32:G39" ca="1" si="13">ROUND(F32*Coeficiente_Paso,2)</f>
        <v>0</v>
      </c>
      <c r="H32" s="597">
        <f t="shared" ref="H32:H39" ca="1" si="14">ROUND(E32*G32,2)</f>
        <v>0</v>
      </c>
      <c r="I32" s="143">
        <f t="shared" ref="I32:I39" ca="1" si="15">IFERROR(H32/Monto_Oferta,0)</f>
        <v>0</v>
      </c>
      <c r="K32" s="750"/>
    </row>
    <row r="33" spans="1:14" ht="20.100000000000001" customHeight="1" x14ac:dyDescent="0.2">
      <c r="A33" s="117">
        <f ca="1">INDIRECT("Datos!B"&amp;MATCH("RUBRO ITEM",Datos!B:B,0)+ROW()-MATCH("RUBRO ITEM",A:A,0))</f>
        <v>4</v>
      </c>
      <c r="B33" s="77" t="str">
        <f t="shared" ca="1" si="9"/>
        <v>PUENTES SOBRE CANAL</v>
      </c>
      <c r="C33" s="139"/>
      <c r="D33" s="140">
        <f t="shared" ca="1" si="10"/>
        <v>0</v>
      </c>
      <c r="E33" s="141">
        <f t="shared" ca="1" si="11"/>
        <v>0</v>
      </c>
      <c r="F33" s="142">
        <f t="shared" ca="1" si="12"/>
        <v>0</v>
      </c>
      <c r="G33" s="597">
        <f t="shared" ca="1" si="13"/>
        <v>0</v>
      </c>
      <c r="H33" s="597">
        <f t="shared" ca="1" si="14"/>
        <v>0</v>
      </c>
      <c r="I33" s="143">
        <f t="shared" ca="1" si="15"/>
        <v>0</v>
      </c>
      <c r="K33" s="750"/>
    </row>
    <row r="34" spans="1:14" ht="20.100000000000001" customHeight="1" x14ac:dyDescent="0.2">
      <c r="A34" s="117" t="str">
        <f ca="1">INDIRECT("Datos!B"&amp;MATCH("RUBRO ITEM",Datos!B:B,0)+ROW()-MATCH("RUBRO ITEM",A:A,0))</f>
        <v>4.1</v>
      </c>
      <c r="B34" s="77" t="str">
        <f t="shared" ca="1" si="9"/>
        <v>Limpieza y Replanteo</v>
      </c>
      <c r="C34" s="139"/>
      <c r="D34" s="140" t="str">
        <f t="shared" ca="1" si="10"/>
        <v>gl.</v>
      </c>
      <c r="E34" s="141">
        <f t="shared" ca="1" si="11"/>
        <v>1</v>
      </c>
      <c r="F34" s="142">
        <f t="shared" ca="1" si="12"/>
        <v>0</v>
      </c>
      <c r="G34" s="597">
        <f t="shared" ca="1" si="13"/>
        <v>0</v>
      </c>
      <c r="H34" s="597">
        <f t="shared" ca="1" si="14"/>
        <v>0</v>
      </c>
      <c r="I34" s="143">
        <f t="shared" ca="1" si="15"/>
        <v>0</v>
      </c>
      <c r="K34" s="750"/>
    </row>
    <row r="35" spans="1:14" ht="20.100000000000001" customHeight="1" x14ac:dyDescent="0.2">
      <c r="A35" s="117" t="str">
        <f ca="1">INDIRECT("Datos!B"&amp;MATCH("RUBRO ITEM",Datos!B:B,0)+ROW()-MATCH("RUBRO ITEM",A:A,0))</f>
        <v>4.2</v>
      </c>
      <c r="B35" s="77" t="str">
        <f t="shared" ca="1" si="9"/>
        <v>Excavacion</v>
      </c>
      <c r="C35" s="139"/>
      <c r="D35" s="140" t="str">
        <f t="shared" ca="1" si="10"/>
        <v>m3</v>
      </c>
      <c r="E35" s="141">
        <f t="shared" ca="1" si="11"/>
        <v>93</v>
      </c>
      <c r="F35" s="142">
        <f t="shared" ca="1" si="12"/>
        <v>0</v>
      </c>
      <c r="G35" s="597">
        <f t="shared" ca="1" si="13"/>
        <v>0</v>
      </c>
      <c r="H35" s="597">
        <f t="shared" ca="1" si="14"/>
        <v>0</v>
      </c>
      <c r="I35" s="143">
        <f t="shared" ca="1" si="15"/>
        <v>0</v>
      </c>
      <c r="K35" s="750"/>
    </row>
    <row r="36" spans="1:14" ht="20.100000000000001" customHeight="1" x14ac:dyDescent="0.2">
      <c r="A36" s="117" t="str">
        <f ca="1">INDIRECT("Datos!B"&amp;MATCH("RUBRO ITEM",Datos!B:B,0)+ROW()-MATCH("RUBRO ITEM",A:A,0))</f>
        <v>4.3</v>
      </c>
      <c r="B36" s="77" t="str">
        <f t="shared" ca="1" si="9"/>
        <v>Hormigon H-21</v>
      </c>
      <c r="C36" s="139"/>
      <c r="D36" s="140" t="str">
        <f t="shared" ca="1" si="10"/>
        <v>m3</v>
      </c>
      <c r="E36" s="141">
        <f t="shared" ca="1" si="11"/>
        <v>49.2</v>
      </c>
      <c r="F36" s="142">
        <f t="shared" ca="1" si="12"/>
        <v>0</v>
      </c>
      <c r="G36" s="597">
        <f t="shared" ca="1" si="13"/>
        <v>0</v>
      </c>
      <c r="H36" s="597">
        <f t="shared" ca="1" si="14"/>
        <v>0</v>
      </c>
      <c r="I36" s="143">
        <f t="shared" ca="1" si="15"/>
        <v>0</v>
      </c>
      <c r="K36" s="750"/>
    </row>
    <row r="37" spans="1:14" ht="20.100000000000001" customHeight="1" x14ac:dyDescent="0.2">
      <c r="A37" s="117" t="str">
        <f ca="1">INDIRECT("Datos!B"&amp;MATCH("RUBRO ITEM",Datos!B:B,0)+ROW()-MATCH("RUBRO ITEM",A:A,0))</f>
        <v>4.4</v>
      </c>
      <c r="B37" s="77" t="str">
        <f t="shared" ca="1" si="9"/>
        <v>Hormigon Ciclopeo (30%piedra bola)</v>
      </c>
      <c r="C37" s="139"/>
      <c r="D37" s="140" t="str">
        <f t="shared" ca="1" si="10"/>
        <v>m3</v>
      </c>
      <c r="E37" s="141">
        <f t="shared" ca="1" si="11"/>
        <v>129</v>
      </c>
      <c r="F37" s="142">
        <f t="shared" ca="1" si="12"/>
        <v>0</v>
      </c>
      <c r="G37" s="597">
        <f t="shared" ca="1" si="13"/>
        <v>0</v>
      </c>
      <c r="H37" s="597">
        <f t="shared" ca="1" si="14"/>
        <v>0</v>
      </c>
      <c r="I37" s="143">
        <f t="shared" ca="1" si="15"/>
        <v>0</v>
      </c>
      <c r="K37" s="750"/>
    </row>
    <row r="38" spans="1:14" ht="20.100000000000001" customHeight="1" x14ac:dyDescent="0.2">
      <c r="A38" s="117" t="str">
        <f ca="1">INDIRECT("Datos!B"&amp;MATCH("RUBRO ITEM",Datos!B:B,0)+ROW()-MATCH("RUBRO ITEM",A:A,0))</f>
        <v>4.5</v>
      </c>
      <c r="B38" s="77" t="str">
        <f t="shared" ca="1" si="9"/>
        <v>Armadura colocada en obra</v>
      </c>
      <c r="C38" s="139"/>
      <c r="D38" s="140" t="str">
        <f t="shared" ca="1" si="10"/>
        <v>t</v>
      </c>
      <c r="E38" s="141">
        <f ca="1">IFERROR(VLOOKUP(A38,T_Datos,4,FALSE),0)</f>
        <v>3.8</v>
      </c>
      <c r="F38" s="142">
        <f ca="1">IFERROR(VLOOKUP(A38,T_Analisis_Precios,7,FALSE),0)</f>
        <v>0</v>
      </c>
      <c r="G38" s="597">
        <f ca="1">ROUND(F38*Coeficiente_Paso,2)</f>
        <v>0</v>
      </c>
      <c r="H38" s="597">
        <f t="shared" ca="1" si="14"/>
        <v>0</v>
      </c>
      <c r="I38" s="143">
        <f t="shared" ca="1" si="15"/>
        <v>0</v>
      </c>
      <c r="J38" s="739"/>
      <c r="K38" s="750"/>
      <c r="L38" s="739"/>
      <c r="N38" s="739"/>
    </row>
    <row r="39" spans="1:14" ht="20.100000000000001" customHeight="1" x14ac:dyDescent="0.2">
      <c r="A39" s="117" t="str">
        <f ca="1">INDIRECT("Datos!B"&amp;MATCH("RUBRO ITEM",Datos!B:B,0)+ROW()-MATCH("RUBRO ITEM",A:A,0))</f>
        <v>4.6</v>
      </c>
      <c r="B39" s="77" t="str">
        <f t="shared" ca="1" si="9"/>
        <v>Demolicion de puente</v>
      </c>
      <c r="C39" s="139"/>
      <c r="D39" s="140" t="str">
        <f t="shared" ca="1" si="10"/>
        <v>m3</v>
      </c>
      <c r="E39" s="141">
        <f t="shared" ca="1" si="11"/>
        <v>141</v>
      </c>
      <c r="F39" s="142">
        <f t="shared" ca="1" si="12"/>
        <v>0</v>
      </c>
      <c r="G39" s="597">
        <f t="shared" ca="1" si="13"/>
        <v>0</v>
      </c>
      <c r="H39" s="597">
        <f t="shared" ca="1" si="14"/>
        <v>0</v>
      </c>
      <c r="I39" s="143">
        <f t="shared" ca="1" si="15"/>
        <v>0</v>
      </c>
      <c r="K39" s="750"/>
    </row>
    <row r="40" spans="1:14" ht="20.100000000000001" customHeight="1" x14ac:dyDescent="0.2">
      <c r="A40" s="117">
        <f ca="1">INDIRECT("Datos!B"&amp;MATCH("RUBRO ITEM",Datos!B:B,0)+ROW()-MATCH("RUBRO ITEM",A:A,0))</f>
        <v>0</v>
      </c>
      <c r="B40" s="144"/>
      <c r="C40" s="145"/>
      <c r="D40" s="146"/>
      <c r="E40" s="147"/>
      <c r="F40" s="148"/>
      <c r="G40" s="148"/>
      <c r="H40" s="79"/>
      <c r="I40" s="149"/>
      <c r="K40" s="750"/>
    </row>
    <row r="41" spans="1:14" ht="20.100000000000001" customHeight="1" x14ac:dyDescent="0.2">
      <c r="A41" s="598" t="s">
        <v>3</v>
      </c>
      <c r="B41" s="501" t="s">
        <v>1720</v>
      </c>
      <c r="C41" s="150"/>
      <c r="D41" s="150"/>
      <c r="E41" s="510" t="s">
        <v>944</v>
      </c>
      <c r="F41" s="502"/>
      <c r="G41" s="512">
        <v>0</v>
      </c>
      <c r="H41" s="417">
        <f ca="1">SUM(H17:H39)</f>
        <v>0</v>
      </c>
      <c r="I41" s="151">
        <f ca="1">SUM(I17:I40)</f>
        <v>0</v>
      </c>
      <c r="K41" s="750"/>
    </row>
    <row r="42" spans="1:14" ht="20.100000000000001" customHeight="1" x14ac:dyDescent="0.2">
      <c r="A42" s="79"/>
      <c r="B42" s="79"/>
      <c r="C42" s="79"/>
      <c r="D42" s="79"/>
      <c r="E42" s="79"/>
      <c r="F42" s="79"/>
      <c r="G42" s="599"/>
      <c r="H42" s="79"/>
      <c r="K42" s="750"/>
    </row>
    <row r="43" spans="1:14" ht="20.100000000000001" customHeight="1" x14ac:dyDescent="0.2">
      <c r="A43" s="556" t="s">
        <v>894</v>
      </c>
      <c r="B43" s="557" t="s">
        <v>1732</v>
      </c>
      <c r="C43" s="557"/>
      <c r="D43" s="558"/>
      <c r="E43" s="600"/>
      <c r="F43" s="559"/>
      <c r="G43" s="600"/>
      <c r="H43" s="560">
        <f ca="1">ROUND(Monto_Oferta/Coeficiente_Paso,2)</f>
        <v>0</v>
      </c>
      <c r="I43" s="152"/>
      <c r="K43" s="750"/>
    </row>
    <row r="44" spans="1:14" ht="20.100000000000001" customHeight="1" x14ac:dyDescent="0.2">
      <c r="A44" s="561" t="s">
        <v>895</v>
      </c>
      <c r="B44" s="156" t="str">
        <f>"COSTO FINANCIERO  "&amp;ROUND(Costo_Financiero*100,2)&amp;" % de ( 1 )"</f>
        <v>COSTO FINANCIERO  0 % de ( 1 )</v>
      </c>
      <c r="C44" s="156"/>
      <c r="D44" s="562"/>
      <c r="E44" s="601">
        <f>Costo_Financiero</f>
        <v>0</v>
      </c>
      <c r="F44" s="78"/>
      <c r="G44" s="90"/>
      <c r="H44" s="563">
        <f ca="1">ROUND(H43*Costo_Financiero,2)</f>
        <v>0</v>
      </c>
      <c r="I44" s="152"/>
      <c r="K44" s="750"/>
    </row>
    <row r="45" spans="1:14" ht="20.100000000000001" customHeight="1" x14ac:dyDescent="0.2">
      <c r="A45" s="561" t="s">
        <v>896</v>
      </c>
      <c r="B45" s="156" t="s">
        <v>1733</v>
      </c>
      <c r="C45" s="156"/>
      <c r="D45" s="562"/>
      <c r="E45" s="90"/>
      <c r="F45" s="78"/>
      <c r="G45" s="90"/>
      <c r="H45" s="563">
        <f ca="1">H43+H44</f>
        <v>0</v>
      </c>
      <c r="I45" s="152"/>
      <c r="K45" s="750"/>
    </row>
    <row r="46" spans="1:14" ht="20.100000000000001" customHeight="1" x14ac:dyDescent="0.2">
      <c r="A46" s="561" t="s">
        <v>897</v>
      </c>
      <c r="B46" s="153" t="str">
        <f>CONCATENATE("GASTOS GENERALES  ",ROUND(Gasto_Generales_Porcentaje,3)," % de ( 3 )")</f>
        <v>GASTOS GENERALES  0,15 % de ( 3 )</v>
      </c>
      <c r="C46" s="153"/>
      <c r="D46" s="154"/>
      <c r="E46" s="601">
        <f>Gasto_Generales_Porcentaje</f>
        <v>0.15</v>
      </c>
      <c r="F46" s="78"/>
      <c r="G46" s="90"/>
      <c r="H46" s="563">
        <f ca="1">ROUND(H45*E46,2)</f>
        <v>0</v>
      </c>
      <c r="I46" s="154"/>
      <c r="K46" s="750"/>
    </row>
    <row r="47" spans="1:14" ht="20.100000000000001" customHeight="1" x14ac:dyDescent="0.2">
      <c r="A47" s="561" t="s">
        <v>898</v>
      </c>
      <c r="B47" s="153" t="str">
        <f>CONCATENATE("BENEFICIOS  ",ROUND(Beneficio*100,2)," % de ( 3 )")</f>
        <v>BENEFICIOS  10 % de ( 3 )</v>
      </c>
      <c r="C47" s="153"/>
      <c r="D47" s="154"/>
      <c r="E47" s="601">
        <f>Beneficio</f>
        <v>0.1</v>
      </c>
      <c r="F47" s="78"/>
      <c r="G47" s="90"/>
      <c r="H47" s="563">
        <f ca="1">ROUND(H45*Beneficio,2)</f>
        <v>0</v>
      </c>
      <c r="I47" s="154"/>
      <c r="K47" s="750"/>
    </row>
    <row r="48" spans="1:14" ht="20.100000000000001" customHeight="1" x14ac:dyDescent="0.2">
      <c r="A48" s="561">
        <v>6</v>
      </c>
      <c r="B48" s="156" t="s">
        <v>1734</v>
      </c>
      <c r="C48" s="156"/>
      <c r="D48" s="154"/>
      <c r="E48" s="90"/>
      <c r="F48" s="78"/>
      <c r="G48" s="90"/>
      <c r="H48" s="563">
        <f ca="1">H45+H46+H47</f>
        <v>0</v>
      </c>
      <c r="I48" s="154"/>
      <c r="K48" s="750"/>
    </row>
    <row r="49" spans="1:14" ht="20.100000000000001" customHeight="1" x14ac:dyDescent="0.2">
      <c r="A49" s="561" t="s">
        <v>1735</v>
      </c>
      <c r="B49" s="153" t="str">
        <f>CONCATENATE("INGRESOS BRUTOS Y LOTE HOGAR  ",ROUND(Ingresos_Brutos*100,2)," % de ( 6 )")</f>
        <v>INGRESOS BRUTOS Y LOTE HOGAR  2,4 % de ( 6 )</v>
      </c>
      <c r="C49" s="153"/>
      <c r="D49" s="154"/>
      <c r="E49" s="601">
        <f>Ingresos_Brutos</f>
        <v>2.4E-2</v>
      </c>
      <c r="F49" s="78"/>
      <c r="G49" s="90"/>
      <c r="H49" s="563">
        <f ca="1">ROUND(Ingresos_Brutos*H48,2)</f>
        <v>0</v>
      </c>
      <c r="I49" s="154"/>
      <c r="K49" s="750"/>
    </row>
    <row r="50" spans="1:14" ht="20.100000000000001" customHeight="1" x14ac:dyDescent="0.2">
      <c r="A50" s="564" t="s">
        <v>1736</v>
      </c>
      <c r="B50" s="565" t="str">
        <f>CONCATENATE("IMPUESTO AL VALOR AGREGADO ",IVA*100," % de ( 6 )")</f>
        <v>IMPUESTO AL VALOR AGREGADO 21 % de ( 6 )</v>
      </c>
      <c r="C50" s="565"/>
      <c r="D50" s="566"/>
      <c r="E50" s="602">
        <f>IVA</f>
        <v>0.21</v>
      </c>
      <c r="F50" s="567"/>
      <c r="G50" s="603"/>
      <c r="H50" s="568">
        <f ca="1">ROUND(IVA*H48,2)</f>
        <v>0</v>
      </c>
      <c r="I50" s="154"/>
    </row>
    <row r="51" spans="1:14" ht="20.100000000000001" customHeight="1" x14ac:dyDescent="0.2">
      <c r="A51" s="157"/>
      <c r="B51" s="153"/>
      <c r="C51" s="153"/>
      <c r="D51" s="154"/>
      <c r="E51" s="155"/>
      <c r="F51" s="78"/>
      <c r="H51" s="158"/>
      <c r="I51" s="154"/>
    </row>
    <row r="52" spans="1:14" ht="20.100000000000001" customHeight="1" x14ac:dyDescent="0.2">
      <c r="A52" s="159"/>
      <c r="B52" s="159" t="s">
        <v>1737</v>
      </c>
      <c r="C52" s="159"/>
      <c r="D52" s="154"/>
      <c r="E52" s="119"/>
      <c r="F52" s="78"/>
      <c r="H52" s="604">
        <f ca="1">Monto_Oferta</f>
        <v>0</v>
      </c>
      <c r="I52" s="154"/>
      <c r="J52" s="739"/>
      <c r="K52" s="750"/>
      <c r="L52" s="750"/>
      <c r="N52" s="739"/>
    </row>
    <row r="53" spans="1:14" ht="20.100000000000001" customHeight="1" x14ac:dyDescent="0.2">
      <c r="I53" s="160"/>
    </row>
    <row r="54" spans="1:14" ht="60" customHeight="1" x14ac:dyDescent="0.2">
      <c r="A54" s="792" t="e">
        <f ca="1">"El presente presupuesto asciende a la suma de: " &amp; UPPER(CONVERTIRNUM(Monto_Oferta))</f>
        <v>#NAME?</v>
      </c>
      <c r="B54" s="792"/>
      <c r="C54" s="792"/>
      <c r="D54" s="792"/>
      <c r="E54" s="792"/>
      <c r="F54" s="792"/>
      <c r="G54" s="792"/>
      <c r="H54" s="792"/>
      <c r="I54" s="792"/>
    </row>
    <row r="55" spans="1:14" x14ac:dyDescent="0.2">
      <c r="A55" s="79" t="s">
        <v>919</v>
      </c>
    </row>
  </sheetData>
  <mergeCells count="2">
    <mergeCell ref="B15:C15"/>
    <mergeCell ref="A54:I54"/>
  </mergeCells>
  <conditionalFormatting sqref="I53 A51:D52">
    <cfRule type="expression" dxfId="135" priority="316" stopIfTrue="1">
      <formula>#REF!=1</formula>
    </cfRule>
  </conditionalFormatting>
  <conditionalFormatting sqref="B40:C40 C17:C31">
    <cfRule type="expression" dxfId="134" priority="320" stopIfTrue="1">
      <formula>#REF!&gt;0</formula>
    </cfRule>
    <cfRule type="expression" dxfId="133" priority="321" stopIfTrue="1">
      <formula>#REF!&gt;0</formula>
    </cfRule>
    <cfRule type="expression" dxfId="132" priority="322" stopIfTrue="1">
      <formula>#REF!&gt;0</formula>
    </cfRule>
  </conditionalFormatting>
  <conditionalFormatting sqref="B51:C52 A51">
    <cfRule type="expression" dxfId="131" priority="323" stopIfTrue="1">
      <formula>#REF!=1</formula>
    </cfRule>
  </conditionalFormatting>
  <conditionalFormatting sqref="F51:F52 H51:I52 A51:D52">
    <cfRule type="expression" dxfId="130" priority="324" stopIfTrue="1">
      <formula>#REF!=1</formula>
    </cfRule>
  </conditionalFormatting>
  <conditionalFormatting sqref="I51 A51">
    <cfRule type="expression" dxfId="129" priority="314" stopIfTrue="1">
      <formula>#REF!=1</formula>
    </cfRule>
  </conditionalFormatting>
  <conditionalFormatting sqref="I52">
    <cfRule type="expression" dxfId="128" priority="311" stopIfTrue="1">
      <formula>#REF!=1</formula>
    </cfRule>
  </conditionalFormatting>
  <conditionalFormatting sqref="B17:B31 E17:E31">
    <cfRule type="expression" dxfId="127" priority="71" stopIfTrue="1">
      <formula>#REF!&gt;0</formula>
    </cfRule>
    <cfRule type="expression" dxfId="126" priority="72" stopIfTrue="1">
      <formula>#REF!&gt;0</formula>
    </cfRule>
    <cfRule type="expression" dxfId="125" priority="73" stopIfTrue="1">
      <formula>#REF!&gt;0</formula>
    </cfRule>
  </conditionalFormatting>
  <conditionalFormatting sqref="A40:A41">
    <cfRule type="expression" dxfId="124" priority="47" stopIfTrue="1">
      <formula>#REF!&gt;0</formula>
    </cfRule>
    <cfRule type="expression" dxfId="123" priority="48" stopIfTrue="1">
      <formula>#REF!&gt;0</formula>
    </cfRule>
    <cfRule type="expression" dxfId="122" priority="49" stopIfTrue="1">
      <formula>#REF!&gt;0</formula>
    </cfRule>
  </conditionalFormatting>
  <conditionalFormatting sqref="A17:A31">
    <cfRule type="expression" dxfId="121" priority="42" stopIfTrue="1">
      <formula>#REF!&gt;0</formula>
    </cfRule>
    <cfRule type="expression" dxfId="120" priority="43" stopIfTrue="1">
      <formula>#REF!&gt;0</formula>
    </cfRule>
    <cfRule type="expression" dxfId="119" priority="44" stopIfTrue="1">
      <formula>#REF!&gt;0</formula>
    </cfRule>
  </conditionalFormatting>
  <conditionalFormatting sqref="A46:D50">
    <cfRule type="expression" dxfId="118" priority="39" stopIfTrue="1">
      <formula>#REF!=1</formula>
    </cfRule>
  </conditionalFormatting>
  <conditionalFormatting sqref="A45:D45 B46:C47 B49:C50 A47 A49">
    <cfRule type="expression" dxfId="117" priority="40" stopIfTrue="1">
      <formula>#REF!=1</formula>
    </cfRule>
  </conditionalFormatting>
  <conditionalFormatting sqref="D45:D50 B45:C47 B49:C50 A45:A50 F45:F50 H46:I47 H49:I50 I48 I45">
    <cfRule type="expression" dxfId="116" priority="41" stopIfTrue="1">
      <formula>#REF!=1</formula>
    </cfRule>
  </conditionalFormatting>
  <conditionalFormatting sqref="I46">
    <cfRule type="expression" dxfId="115" priority="38" stopIfTrue="1">
      <formula>#REF!=1</formula>
    </cfRule>
  </conditionalFormatting>
  <conditionalFormatting sqref="I48">
    <cfRule type="expression" dxfId="114" priority="37" stopIfTrue="1">
      <formula>#REF!=1</formula>
    </cfRule>
  </conditionalFormatting>
  <conditionalFormatting sqref="I50">
    <cfRule type="expression" dxfId="113" priority="36" stopIfTrue="1">
      <formula>#REF!=1</formula>
    </cfRule>
  </conditionalFormatting>
  <conditionalFormatting sqref="I49">
    <cfRule type="expression" dxfId="112" priority="35" stopIfTrue="1">
      <formula>#REF!=1</formula>
    </cfRule>
  </conditionalFormatting>
  <conditionalFormatting sqref="I47">
    <cfRule type="expression" dxfId="111" priority="34" stopIfTrue="1">
      <formula>#REF!=1</formula>
    </cfRule>
  </conditionalFormatting>
  <conditionalFormatting sqref="A45 A47 A49">
    <cfRule type="expression" dxfId="110" priority="33" stopIfTrue="1">
      <formula>#REF!=1</formula>
    </cfRule>
  </conditionalFormatting>
  <conditionalFormatting sqref="B45:C45">
    <cfRule type="expression" dxfId="109" priority="32" stopIfTrue="1">
      <formula>#REF!=1</formula>
    </cfRule>
  </conditionalFormatting>
  <conditionalFormatting sqref="B48:C48">
    <cfRule type="expression" dxfId="108" priority="31" stopIfTrue="1">
      <formula>#REF!=1</formula>
    </cfRule>
  </conditionalFormatting>
  <conditionalFormatting sqref="B50:C50">
    <cfRule type="expression" dxfId="107" priority="30" stopIfTrue="1">
      <formula>#REF!=1</formula>
    </cfRule>
  </conditionalFormatting>
  <conditionalFormatting sqref="A46 A48 A50">
    <cfRule type="expression" dxfId="106" priority="29" stopIfTrue="1">
      <formula>#REF!=1</formula>
    </cfRule>
  </conditionalFormatting>
  <conditionalFormatting sqref="A46 A48 A50">
    <cfRule type="expression" dxfId="105" priority="28" stopIfTrue="1">
      <formula>#REF!=1</formula>
    </cfRule>
  </conditionalFormatting>
  <conditionalFormatting sqref="B49:C49">
    <cfRule type="expression" dxfId="104" priority="27" stopIfTrue="1">
      <formula>#REF!=1</formula>
    </cfRule>
  </conditionalFormatting>
  <conditionalFormatting sqref="H48">
    <cfRule type="expression" dxfId="103" priority="26" stopIfTrue="1">
      <formula>#REF!=1</formula>
    </cfRule>
  </conditionalFormatting>
  <conditionalFormatting sqref="H45">
    <cfRule type="expression" dxfId="102" priority="25" stopIfTrue="1">
      <formula>#REF!=1</formula>
    </cfRule>
  </conditionalFormatting>
  <conditionalFormatting sqref="A43:D44">
    <cfRule type="expression" dxfId="101" priority="23" stopIfTrue="1">
      <formula>#REF!=1</formula>
    </cfRule>
  </conditionalFormatting>
  <conditionalFormatting sqref="A43:D44 F43:F44 I43:I44 A45">
    <cfRule type="expression" dxfId="100" priority="24" stopIfTrue="1">
      <formula>#REF!=1</formula>
    </cfRule>
  </conditionalFormatting>
  <conditionalFormatting sqref="A43:A45">
    <cfRule type="expression" dxfId="99" priority="22" stopIfTrue="1">
      <formula>#REF!=1</formula>
    </cfRule>
  </conditionalFormatting>
  <conditionalFormatting sqref="B43:C44">
    <cfRule type="expression" dxfId="98" priority="21" stopIfTrue="1">
      <formula>#REF!=1</formula>
    </cfRule>
  </conditionalFormatting>
  <conditionalFormatting sqref="H43">
    <cfRule type="expression" dxfId="97" priority="20" stopIfTrue="1">
      <formula>#REF!=1</formula>
    </cfRule>
  </conditionalFormatting>
  <conditionalFormatting sqref="H44">
    <cfRule type="expression" dxfId="96" priority="19" stopIfTrue="1">
      <formula>#REF!=1</formula>
    </cfRule>
  </conditionalFormatting>
  <conditionalFormatting sqref="C32:C39">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E32:E39 B32:B39">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32:A39">
    <cfRule type="expression" dxfId="89" priority="10" stopIfTrue="1">
      <formula>#REF!&gt;0</formula>
    </cfRule>
    <cfRule type="expression" dxfId="88" priority="11" stopIfTrue="1">
      <formula>#REF!&gt;0</formula>
    </cfRule>
    <cfRule type="expression" dxfId="87"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424"/>
  <sheetViews>
    <sheetView showGridLines="0" showZeros="0" view="pageBreakPreview" zoomScaleNormal="120" zoomScaleSheetLayoutView="100" workbookViewId="0">
      <selection activeCell="H1421" sqref="H1421"/>
    </sheetView>
  </sheetViews>
  <sheetFormatPr baseColWidth="10" defaultColWidth="11.42578125" defaultRowHeight="19.899999999999999" customHeight="1" x14ac:dyDescent="0.2"/>
  <cols>
    <col min="1" max="1" width="20.7109375" style="517" customWidth="1"/>
    <col min="2" max="2" width="25.7109375" style="517" customWidth="1"/>
    <col min="3" max="3" width="40.7109375" style="517" customWidth="1"/>
    <col min="4" max="4" width="10.7109375" style="517" customWidth="1"/>
    <col min="5" max="5" width="12.7109375" style="517" customWidth="1"/>
    <col min="6" max="7" width="15.7109375" style="553" customWidth="1"/>
    <col min="8" max="8" width="11.7109375" style="517" bestFit="1" customWidth="1"/>
    <col min="9" max="16384" width="11.42578125" style="517"/>
  </cols>
  <sheetData>
    <row r="1" spans="1:8" ht="19.899999999999999" customHeight="1" x14ac:dyDescent="0.2">
      <c r="A1" s="803" t="s">
        <v>31</v>
      </c>
      <c r="B1" s="804"/>
      <c r="C1" s="804"/>
      <c r="D1" s="804"/>
      <c r="E1" s="804"/>
      <c r="F1" s="804"/>
      <c r="G1" s="805"/>
      <c r="H1" s="516"/>
    </row>
    <row r="2" spans="1:8" ht="19.899999999999999" customHeight="1" x14ac:dyDescent="0.2">
      <c r="A2" s="570" t="s">
        <v>711</v>
      </c>
      <c r="B2" s="518" t="str">
        <f>Comitente</f>
        <v>DEPARTAMENTO DE HIDRAULICA</v>
      </c>
      <c r="C2" s="519"/>
      <c r="D2" s="520"/>
      <c r="E2" s="520"/>
      <c r="F2" s="521"/>
      <c r="G2" s="571"/>
      <c r="H2" s="516"/>
    </row>
    <row r="3" spans="1:8" ht="19.899999999999999" customHeight="1" x14ac:dyDescent="0.2">
      <c r="A3" s="570" t="s">
        <v>712</v>
      </c>
      <c r="B3" s="518">
        <f>Contratista</f>
        <v>0</v>
      </c>
      <c r="C3" s="522"/>
      <c r="D3" s="522"/>
      <c r="E3" s="522"/>
      <c r="F3" s="518"/>
      <c r="G3" s="572"/>
      <c r="H3" s="516"/>
    </row>
    <row r="4" spans="1:8" ht="19.899999999999999" customHeight="1" x14ac:dyDescent="0.2">
      <c r="A4" s="570" t="s">
        <v>21</v>
      </c>
      <c r="B4" s="518" t="str">
        <f>Obra</f>
        <v>ENCAMISADO CANAL GENERAL COCHAGUAL</v>
      </c>
      <c r="C4" s="522"/>
      <c r="D4" s="522"/>
      <c r="E4" s="522"/>
      <c r="F4" s="518" t="s">
        <v>32</v>
      </c>
      <c r="G4" s="572">
        <f>Fecha_Base</f>
        <v>44319</v>
      </c>
      <c r="H4" s="516"/>
    </row>
    <row r="5" spans="1:8" ht="19.899999999999999" customHeight="1" x14ac:dyDescent="0.2">
      <c r="A5" s="573" t="s">
        <v>710</v>
      </c>
      <c r="B5" s="523" t="str">
        <f>Ubicación</f>
        <v>DEPARTAMENTO SARMIENTO</v>
      </c>
      <c r="C5" s="523"/>
      <c r="D5" s="524"/>
      <c r="E5" s="525"/>
      <c r="F5" s="526"/>
      <c r="G5" s="574"/>
      <c r="H5" s="516"/>
    </row>
    <row r="6" spans="1:8" ht="19.899999999999999" customHeight="1" x14ac:dyDescent="0.2">
      <c r="A6" s="573" t="s">
        <v>33</v>
      </c>
      <c r="B6" s="527">
        <f>IFERROR(VALUE(LEFT(B7,FIND(".",B7)-1)),"")</f>
        <v>1</v>
      </c>
      <c r="C6" s="528" t="str">
        <f ca="1">IFERROR(VLOOKUP(B6,T_Computo_Presupuesto,2,FALSE),0)</f>
        <v>ELABORACION PROYECTO EJECUTIVO</v>
      </c>
      <c r="D6" s="528"/>
      <c r="E6" s="525"/>
      <c r="F6" s="526"/>
      <c r="G6" s="574"/>
      <c r="H6" s="516"/>
    </row>
    <row r="7" spans="1:8" ht="19.899999999999999" customHeight="1" x14ac:dyDescent="0.2">
      <c r="A7" s="573" t="s">
        <v>22</v>
      </c>
      <c r="B7" s="529" t="str">
        <f>IFERROR(VLOOKUP(COUNTIF($A$1:A7,"ANALISIS DE PRECIOS"),T_NumeroItem,2,FALSE),"")</f>
        <v>1.1</v>
      </c>
      <c r="C7" s="806" t="str">
        <f ca="1">IFERROR(VLOOKUP(B7,T_Computo_Presupuesto,2,FALSE),0)</f>
        <v>Elaboracion Proyecto Ejecutivo</v>
      </c>
      <c r="D7" s="806"/>
      <c r="E7" s="806"/>
      <c r="F7" s="523" t="s">
        <v>23</v>
      </c>
      <c r="G7" s="575" t="str">
        <f ca="1">IFERROR(VLOOKUP(B7,T_Computo_Presupuesto,4,FALSE),0)</f>
        <v>gl.</v>
      </c>
      <c r="H7" s="516"/>
    </row>
    <row r="8" spans="1:8" ht="19.899999999999999" customHeight="1" x14ac:dyDescent="0.2">
      <c r="A8" s="573"/>
      <c r="B8" s="523"/>
      <c r="C8" s="528"/>
      <c r="D8" s="524"/>
      <c r="E8" s="525"/>
      <c r="F8" s="528"/>
      <c r="G8" s="576"/>
      <c r="H8" s="516"/>
    </row>
    <row r="9" spans="1:8" ht="19.899999999999999" customHeight="1" x14ac:dyDescent="0.2">
      <c r="A9" s="577"/>
      <c r="B9" s="530"/>
      <c r="C9" s="531" t="s">
        <v>977</v>
      </c>
      <c r="D9" s="530"/>
      <c r="E9" s="530"/>
      <c r="F9" s="530"/>
      <c r="G9" s="578"/>
      <c r="H9" s="516"/>
    </row>
    <row r="10" spans="1:8" ht="19.899999999999999" customHeight="1" x14ac:dyDescent="0.2">
      <c r="A10" s="573"/>
      <c r="B10" s="532"/>
      <c r="C10" s="528"/>
      <c r="D10" s="524"/>
      <c r="E10" s="525"/>
      <c r="F10" s="523"/>
      <c r="G10" s="575"/>
      <c r="H10" s="516"/>
    </row>
    <row r="11" spans="1:8" ht="19.899999999999999" customHeight="1" x14ac:dyDescent="0.2">
      <c r="A11" s="573"/>
      <c r="B11" s="532"/>
      <c r="C11" s="533" t="s">
        <v>978</v>
      </c>
      <c r="D11" s="534" t="s">
        <v>24</v>
      </c>
      <c r="E11" s="534" t="s">
        <v>979</v>
      </c>
      <c r="F11" s="534" t="s">
        <v>980</v>
      </c>
      <c r="G11" s="533" t="s">
        <v>981</v>
      </c>
    </row>
    <row r="12" spans="1:8" ht="19.899999999999999" customHeight="1" x14ac:dyDescent="0.2">
      <c r="A12" s="573"/>
      <c r="B12" s="532"/>
      <c r="C12" s="535">
        <f>+Equipos!A14</f>
        <v>0</v>
      </c>
      <c r="D12" s="536"/>
      <c r="E12" s="537">
        <f t="shared" ref="E12:E21" si="0">IFERROR(VLOOKUP(C12,T_Equipos,4,FALSE),0)</f>
        <v>0</v>
      </c>
      <c r="F12" s="538">
        <f t="shared" ref="F12:F21" si="1">IFERROR(VLOOKUP(C12,T_Equipos,5,FALSE),0)</f>
        <v>0</v>
      </c>
      <c r="G12" s="538">
        <f>ROUND(D12*F12,2)</f>
        <v>0</v>
      </c>
    </row>
    <row r="13" spans="1:8" ht="19.899999999999999" customHeight="1" x14ac:dyDescent="0.2">
      <c r="A13" s="573"/>
      <c r="B13" s="532"/>
      <c r="C13" s="535">
        <f>+Equipos!A19</f>
        <v>0</v>
      </c>
      <c r="D13" s="536"/>
      <c r="E13" s="537">
        <f t="shared" si="0"/>
        <v>0</v>
      </c>
      <c r="F13" s="538">
        <f t="shared" si="1"/>
        <v>0</v>
      </c>
      <c r="G13" s="538">
        <f>ROUND(D13*F13,2)</f>
        <v>0</v>
      </c>
    </row>
    <row r="14" spans="1:8" ht="19.899999999999999" customHeight="1" x14ac:dyDescent="0.2">
      <c r="A14" s="573"/>
      <c r="B14" s="532"/>
      <c r="C14" s="535">
        <f>+Equipos!A13</f>
        <v>0</v>
      </c>
      <c r="D14" s="536"/>
      <c r="E14" s="537">
        <f t="shared" si="0"/>
        <v>0</v>
      </c>
      <c r="F14" s="538">
        <f t="shared" si="1"/>
        <v>0</v>
      </c>
      <c r="G14" s="538">
        <f>ROUND(D14*F14,2)</f>
        <v>0</v>
      </c>
    </row>
    <row r="15" spans="1:8" ht="19.899999999999999" customHeight="1" x14ac:dyDescent="0.2">
      <c r="A15" s="573"/>
      <c r="B15" s="532"/>
      <c r="C15" s="535">
        <f>+Equipos!A22</f>
        <v>0</v>
      </c>
      <c r="D15" s="536"/>
      <c r="E15" s="537">
        <f t="shared" si="0"/>
        <v>0</v>
      </c>
      <c r="F15" s="538">
        <f t="shared" si="1"/>
        <v>0</v>
      </c>
      <c r="G15" s="538">
        <f>ROUND(D15*F15,2)</f>
        <v>0</v>
      </c>
    </row>
    <row r="16" spans="1:8" ht="19.899999999999999" customHeight="1" x14ac:dyDescent="0.2">
      <c r="A16" s="573"/>
      <c r="B16" s="532"/>
      <c r="C16" s="535"/>
      <c r="D16" s="536"/>
      <c r="E16" s="537">
        <f t="shared" si="0"/>
        <v>0</v>
      </c>
      <c r="F16" s="538">
        <f t="shared" si="1"/>
        <v>0</v>
      </c>
      <c r="G16" s="538">
        <f t="shared" ref="G16:G21" si="2">ROUND(D16*F16,2)</f>
        <v>0</v>
      </c>
    </row>
    <row r="17" spans="1:7" ht="19.899999999999999" customHeight="1" x14ac:dyDescent="0.2">
      <c r="A17" s="573"/>
      <c r="B17" s="532"/>
      <c r="C17" s="535"/>
      <c r="D17" s="536"/>
      <c r="E17" s="537">
        <f t="shared" si="0"/>
        <v>0</v>
      </c>
      <c r="F17" s="538">
        <f t="shared" si="1"/>
        <v>0</v>
      </c>
      <c r="G17" s="538">
        <f t="shared" si="2"/>
        <v>0</v>
      </c>
    </row>
    <row r="18" spans="1:7" ht="19.899999999999999" customHeight="1" x14ac:dyDescent="0.2">
      <c r="A18" s="573"/>
      <c r="B18" s="532"/>
      <c r="C18" s="535"/>
      <c r="D18" s="536"/>
      <c r="E18" s="537">
        <f t="shared" si="0"/>
        <v>0</v>
      </c>
      <c r="F18" s="538">
        <f t="shared" si="1"/>
        <v>0</v>
      </c>
      <c r="G18" s="538">
        <f t="shared" si="2"/>
        <v>0</v>
      </c>
    </row>
    <row r="19" spans="1:7" ht="19.899999999999999" customHeight="1" x14ac:dyDescent="0.2">
      <c r="A19" s="573"/>
      <c r="B19" s="532"/>
      <c r="C19" s="535"/>
      <c r="D19" s="536"/>
      <c r="E19" s="537">
        <f t="shared" si="0"/>
        <v>0</v>
      </c>
      <c r="F19" s="538">
        <f t="shared" si="1"/>
        <v>0</v>
      </c>
      <c r="G19" s="538">
        <f t="shared" si="2"/>
        <v>0</v>
      </c>
    </row>
    <row r="20" spans="1:7" ht="19.899999999999999" customHeight="1" x14ac:dyDescent="0.2">
      <c r="A20" s="573"/>
      <c r="B20" s="532"/>
      <c r="C20" s="535"/>
      <c r="D20" s="536"/>
      <c r="E20" s="537">
        <f t="shared" si="0"/>
        <v>0</v>
      </c>
      <c r="F20" s="538">
        <f t="shared" si="1"/>
        <v>0</v>
      </c>
      <c r="G20" s="538">
        <f t="shared" si="2"/>
        <v>0</v>
      </c>
    </row>
    <row r="21" spans="1:7" ht="19.899999999999999" customHeight="1" x14ac:dyDescent="0.2">
      <c r="A21" s="573"/>
      <c r="B21" s="532"/>
      <c r="C21" s="535"/>
      <c r="D21" s="536"/>
      <c r="E21" s="537">
        <f t="shared" si="0"/>
        <v>0</v>
      </c>
      <c r="F21" s="538">
        <f t="shared" si="1"/>
        <v>0</v>
      </c>
      <c r="G21" s="538">
        <f t="shared" si="2"/>
        <v>0</v>
      </c>
    </row>
    <row r="22" spans="1:7" ht="19.899999999999999" customHeight="1" x14ac:dyDescent="0.2">
      <c r="A22" s="573"/>
      <c r="B22" s="532"/>
      <c r="C22" s="528"/>
      <c r="D22" s="528"/>
      <c r="E22" s="539"/>
      <c r="F22" s="523"/>
      <c r="G22" s="575"/>
    </row>
    <row r="23" spans="1:7" ht="19.899999999999999" customHeight="1" x14ac:dyDescent="0.2">
      <c r="A23" s="573"/>
      <c r="B23" s="528"/>
      <c r="C23" s="520" t="s">
        <v>982</v>
      </c>
      <c r="D23" s="523" t="s">
        <v>979</v>
      </c>
      <c r="E23" s="594">
        <f>SUMPRODUCT(D12:D21,E12:E21)</f>
        <v>0</v>
      </c>
      <c r="F23" s="523" t="s">
        <v>983</v>
      </c>
      <c r="G23" s="595">
        <f>SUM(G12:G21)</f>
        <v>0</v>
      </c>
    </row>
    <row r="24" spans="1:7" ht="19.899999999999999" customHeight="1" x14ac:dyDescent="0.2">
      <c r="A24" s="573"/>
      <c r="B24" s="532"/>
      <c r="C24" s="540"/>
      <c r="D24" s="539"/>
      <c r="E24" s="525"/>
      <c r="F24" s="523"/>
      <c r="G24" s="579"/>
    </row>
    <row r="25" spans="1:7" ht="19.899999999999999" customHeight="1" x14ac:dyDescent="0.2">
      <c r="A25" s="580"/>
      <c r="B25" s="532"/>
      <c r="C25" s="523" t="s">
        <v>984</v>
      </c>
      <c r="D25" s="541">
        <f>IFERROR(VLOOKUP(COUNTIF($A$1:A25,"ANALISIS DE PRECIOS"),T_Rendimiento_Equipo,5,FALSE),0)</f>
        <v>0</v>
      </c>
      <c r="E25" s="542" t="str">
        <f ca="1">G7&amp;"/día"</f>
        <v>gl./día</v>
      </c>
      <c r="F25" s="581"/>
      <c r="G25" s="575"/>
    </row>
    <row r="26" spans="1:7" ht="19.899999999999999" customHeight="1" x14ac:dyDescent="0.2">
      <c r="A26" s="573"/>
      <c r="B26" s="532"/>
      <c r="C26" s="528"/>
      <c r="D26" s="524"/>
      <c r="E26" s="525"/>
      <c r="F26" s="523"/>
      <c r="G26" s="575"/>
    </row>
    <row r="27" spans="1:7" ht="19.899999999999999" customHeight="1" x14ac:dyDescent="0.2">
      <c r="A27" s="793" t="s">
        <v>576</v>
      </c>
      <c r="B27" s="794"/>
      <c r="C27" s="795" t="s">
        <v>0</v>
      </c>
      <c r="D27" s="807" t="s">
        <v>1739</v>
      </c>
      <c r="E27" s="807" t="s">
        <v>1738</v>
      </c>
      <c r="F27" s="799" t="s">
        <v>985</v>
      </c>
      <c r="G27" s="801" t="s">
        <v>26</v>
      </c>
    </row>
    <row r="28" spans="1:7" ht="19.899999999999999" customHeight="1" x14ac:dyDescent="0.2">
      <c r="A28" s="543" t="s">
        <v>577</v>
      </c>
      <c r="B28" s="543" t="s">
        <v>578</v>
      </c>
      <c r="C28" s="796"/>
      <c r="D28" s="808"/>
      <c r="E28" s="798"/>
      <c r="F28" s="800"/>
      <c r="G28" s="802"/>
    </row>
    <row r="29" spans="1:7" ht="19.899999999999999" customHeight="1" x14ac:dyDescent="0.2">
      <c r="A29" s="582"/>
      <c r="B29" s="528"/>
      <c r="C29" s="520" t="s">
        <v>986</v>
      </c>
      <c r="D29" s="525"/>
      <c r="E29" s="525"/>
      <c r="F29" s="528"/>
      <c r="G29" s="583"/>
    </row>
    <row r="30" spans="1:7" ht="19.899999999999999" customHeight="1" x14ac:dyDescent="0.2">
      <c r="A30" s="584">
        <f t="shared" ref="A30:A38" si="3">IFERROR(VLOOKUP(C30,T_Insumos,4,FALSE),0)</f>
        <v>0</v>
      </c>
      <c r="B30" s="544">
        <f t="shared" ref="B30:B38" si="4">IFERROR(VLOOKUP(C30,T_Insumos,5,FALSE),0)</f>
        <v>0</v>
      </c>
      <c r="C30" s="535">
        <f>+Insumos!A15</f>
        <v>0</v>
      </c>
      <c r="D30" s="545">
        <f t="shared" ref="D30:D38" si="5">IFERROR(VLOOKUP(C30,T_Insumos,3,FALSE),0)</f>
        <v>0</v>
      </c>
      <c r="E30" s="538">
        <f>D30*$G$23</f>
        <v>0</v>
      </c>
      <c r="F30" s="541">
        <f>IF(C30="",0,IFERROR(VLOOKUP(COUNTIF($A$1:A30,"ANALISIS DE PRECIOS"),T_Rendimiento_Equipo,5,FALSE),0))</f>
        <v>0</v>
      </c>
      <c r="G30" s="538">
        <f>IFERROR(ROUND(E30/F30,2),0)</f>
        <v>0</v>
      </c>
    </row>
    <row r="31" spans="1:7" ht="19.899999999999999" customHeight="1" x14ac:dyDescent="0.2">
      <c r="A31" s="584">
        <f t="shared" si="3"/>
        <v>0</v>
      </c>
      <c r="B31" s="544">
        <f t="shared" si="4"/>
        <v>0</v>
      </c>
      <c r="C31" s="535">
        <f>+Insumos!A16</f>
        <v>0</v>
      </c>
      <c r="D31" s="545">
        <f t="shared" si="5"/>
        <v>0</v>
      </c>
      <c r="E31" s="538">
        <f t="shared" ref="E31:E32" si="6">D31*$G$23</f>
        <v>0</v>
      </c>
      <c r="F31" s="541">
        <f>IF(C31="",0,IFERROR(VLOOKUP(COUNTIF($A$1:A31,"ANALISIS DE PRECIOS"),T_Rendimiento_Equipo,5,FALSE),0))</f>
        <v>0</v>
      </c>
      <c r="G31" s="538">
        <f t="shared" ref="G31:G38" si="7">IFERROR(ROUND(E31/F31,2),0)</f>
        <v>0</v>
      </c>
    </row>
    <row r="32" spans="1:7" ht="19.899999999999999" customHeight="1" x14ac:dyDescent="0.2">
      <c r="A32" s="584">
        <f t="shared" si="3"/>
        <v>0</v>
      </c>
      <c r="B32" s="544">
        <f t="shared" si="4"/>
        <v>0</v>
      </c>
      <c r="C32" s="535">
        <f>+Insumos!A17</f>
        <v>0</v>
      </c>
      <c r="D32" s="545">
        <f t="shared" si="5"/>
        <v>0</v>
      </c>
      <c r="E32" s="538">
        <f t="shared" si="6"/>
        <v>0</v>
      </c>
      <c r="F32" s="541">
        <f>IF(C32="",0,IFERROR(VLOOKUP(COUNTIF($A$1:A32,"ANALISIS DE PRECIOS"),T_Rendimiento_Equipo,5,FALSE),0))</f>
        <v>0</v>
      </c>
      <c r="G32" s="538">
        <f t="shared" si="7"/>
        <v>0</v>
      </c>
    </row>
    <row r="33" spans="1:7" ht="19.899999999999999" customHeight="1" x14ac:dyDescent="0.2">
      <c r="A33" s="584">
        <f t="shared" si="3"/>
        <v>0</v>
      </c>
      <c r="B33" s="544">
        <f t="shared" si="4"/>
        <v>0</v>
      </c>
      <c r="C33" s="535">
        <f>+Insumos!A18</f>
        <v>0</v>
      </c>
      <c r="D33" s="545">
        <f t="shared" si="5"/>
        <v>0</v>
      </c>
      <c r="E33" s="538">
        <f>D33*$E$23</f>
        <v>0</v>
      </c>
      <c r="F33" s="541">
        <f>IF(C33="",0,IFERROR(VLOOKUP(COUNTIF($A$1:A33,"ANALISIS DE PRECIOS"),T_Rendimiento_Equipo,5,FALSE),0))</f>
        <v>0</v>
      </c>
      <c r="G33" s="538">
        <f t="shared" si="7"/>
        <v>0</v>
      </c>
    </row>
    <row r="34" spans="1:7" ht="19.899999999999999" customHeight="1" x14ac:dyDescent="0.2">
      <c r="A34" s="584">
        <f t="shared" si="3"/>
        <v>0</v>
      </c>
      <c r="B34" s="544">
        <f t="shared" si="4"/>
        <v>0</v>
      </c>
      <c r="C34" s="546"/>
      <c r="D34" s="545">
        <f t="shared" si="5"/>
        <v>0</v>
      </c>
      <c r="E34" s="538"/>
      <c r="F34" s="541">
        <f>IF(C34="",0,IFERROR(VLOOKUP(COUNTIF($A$1:A34,"ANALISIS DE PRECIOS"),T_Rendimiento_Equipo,5,FALSE),0))</f>
        <v>0</v>
      </c>
      <c r="G34" s="538">
        <f t="shared" si="7"/>
        <v>0</v>
      </c>
    </row>
    <row r="35" spans="1:7" ht="19.899999999999999" customHeight="1" x14ac:dyDescent="0.2">
      <c r="A35" s="584">
        <f t="shared" si="3"/>
        <v>0</v>
      </c>
      <c r="B35" s="544">
        <f t="shared" si="4"/>
        <v>0</v>
      </c>
      <c r="C35" s="546"/>
      <c r="D35" s="545">
        <f t="shared" si="5"/>
        <v>0</v>
      </c>
      <c r="E35" s="538"/>
      <c r="F35" s="541">
        <f>IF(C35="",0,IFERROR(VLOOKUP(COUNTIF($A$1:A35,"ANALISIS DE PRECIOS"),T_Rendimiento_Equipo,5,FALSE),0))</f>
        <v>0</v>
      </c>
      <c r="G35" s="538">
        <f t="shared" si="7"/>
        <v>0</v>
      </c>
    </row>
    <row r="36" spans="1:7" ht="19.899999999999999" customHeight="1" x14ac:dyDescent="0.2">
      <c r="A36" s="584">
        <f t="shared" si="3"/>
        <v>0</v>
      </c>
      <c r="B36" s="544">
        <f t="shared" si="4"/>
        <v>0</v>
      </c>
      <c r="C36" s="546"/>
      <c r="D36" s="545">
        <f t="shared" si="5"/>
        <v>0</v>
      </c>
      <c r="E36" s="538"/>
      <c r="F36" s="541">
        <f>IF(C36="",0,IFERROR(VLOOKUP(COUNTIF($A$1:A36,"ANALISIS DE PRECIOS"),T_Rendimiento_Equipo,5,FALSE),0))</f>
        <v>0</v>
      </c>
      <c r="G36" s="538">
        <f t="shared" si="7"/>
        <v>0</v>
      </c>
    </row>
    <row r="37" spans="1:7" ht="19.899999999999999" customHeight="1" x14ac:dyDescent="0.2">
      <c r="A37" s="584">
        <f t="shared" si="3"/>
        <v>0</v>
      </c>
      <c r="B37" s="544">
        <f t="shared" si="4"/>
        <v>0</v>
      </c>
      <c r="C37" s="546"/>
      <c r="D37" s="545">
        <f t="shared" si="5"/>
        <v>0</v>
      </c>
      <c r="E37" s="538"/>
      <c r="F37" s="541">
        <f>IF(C37="",0,IFERROR(VLOOKUP(COUNTIF($A$1:A37,"ANALISIS DE PRECIOS"),T_Rendimiento_Equipo,5,FALSE),0))</f>
        <v>0</v>
      </c>
      <c r="G37" s="538">
        <f t="shared" si="7"/>
        <v>0</v>
      </c>
    </row>
    <row r="38" spans="1:7" ht="19.899999999999999" customHeight="1" x14ac:dyDescent="0.2">
      <c r="A38" s="584">
        <f t="shared" si="3"/>
        <v>0</v>
      </c>
      <c r="B38" s="544">
        <f t="shared" si="4"/>
        <v>0</v>
      </c>
      <c r="C38" s="535"/>
      <c r="D38" s="545">
        <f t="shared" si="5"/>
        <v>0</v>
      </c>
      <c r="E38" s="538"/>
      <c r="F38" s="541">
        <f>IF(C38="",0,IFERROR(VLOOKUP(COUNTIF($A$1:A38,"ANALISIS DE PRECIOS"),T_Rendimiento_Equipo,5,FALSE),0))</f>
        <v>0</v>
      </c>
      <c r="G38" s="538">
        <f t="shared" si="7"/>
        <v>0</v>
      </c>
    </row>
    <row r="39" spans="1:7" ht="19.899999999999999" customHeight="1" x14ac:dyDescent="0.2">
      <c r="A39" s="585"/>
      <c r="B39" s="524"/>
      <c r="C39" s="528"/>
      <c r="D39" s="524"/>
      <c r="E39" s="525"/>
      <c r="F39" s="547" t="s">
        <v>27</v>
      </c>
      <c r="G39" s="586">
        <f>SUBTOTAL(9,G30:G38)</f>
        <v>0</v>
      </c>
    </row>
    <row r="40" spans="1:7" ht="19.899999999999999" customHeight="1" x14ac:dyDescent="0.2">
      <c r="A40" s="582"/>
      <c r="B40" s="528"/>
      <c r="C40" s="520" t="s">
        <v>713</v>
      </c>
      <c r="D40" s="524"/>
      <c r="E40" s="525"/>
      <c r="F40" s="526"/>
      <c r="G40" s="583"/>
    </row>
    <row r="41" spans="1:7" ht="19.899999999999999" customHeight="1" x14ac:dyDescent="0.2">
      <c r="A41" s="793" t="s">
        <v>576</v>
      </c>
      <c r="B41" s="794"/>
      <c r="C41" s="795" t="s">
        <v>0</v>
      </c>
      <c r="D41" s="797" t="s">
        <v>24</v>
      </c>
      <c r="E41" s="797" t="s">
        <v>1718</v>
      </c>
      <c r="F41" s="799" t="s">
        <v>985</v>
      </c>
      <c r="G41" s="801" t="s">
        <v>26</v>
      </c>
    </row>
    <row r="42" spans="1:7" ht="19.899999999999999" customHeight="1" x14ac:dyDescent="0.2">
      <c r="A42" s="543" t="s">
        <v>577</v>
      </c>
      <c r="B42" s="543" t="s">
        <v>578</v>
      </c>
      <c r="C42" s="796"/>
      <c r="D42" s="798"/>
      <c r="E42" s="798"/>
      <c r="F42" s="800"/>
      <c r="G42" s="802"/>
    </row>
    <row r="43" spans="1:7" ht="19.899999999999999" customHeight="1" x14ac:dyDescent="0.2">
      <c r="A43" s="584" t="str">
        <f t="shared" ref="A43:A49" si="8">IFERROR(VLOOKUP(C43,T_Insumos,4,FALSE),0)</f>
        <v>IIEE-SJ - 1</v>
      </c>
      <c r="B43" s="544" t="str">
        <f t="shared" ref="B43:B49" si="9">IFERROR(VLOOKUP(C43,T_Insumos,5,FALSE),0)</f>
        <v>Mano de Obra</v>
      </c>
      <c r="C43" s="548" t="str">
        <f>+Insumos!A4</f>
        <v>Mano de obra</v>
      </c>
      <c r="D43" s="541"/>
      <c r="E43" s="538">
        <f t="shared" ref="E43:E49" si="10">IFERROR(VLOOKUP(C43,T_Insumos,3,FALSE),0)</f>
        <v>0</v>
      </c>
      <c r="F43" s="541">
        <f>IF(C43="",0,IFERROR(VLOOKUP(COUNTIF($A$1:A43,"ANALISIS DE PRECIOS"),T_Rendimiento_Equipo,5,FALSE),0))</f>
        <v>0</v>
      </c>
      <c r="G43" s="538">
        <f>IFERROR(ROUND(D43*E43/F43,2),0)</f>
        <v>0</v>
      </c>
    </row>
    <row r="44" spans="1:7" ht="19.899999999999999" customHeight="1" x14ac:dyDescent="0.2">
      <c r="A44" s="584" t="str">
        <f t="shared" si="8"/>
        <v>INDEC-CM - 37510-11</v>
      </c>
      <c r="B44" s="544" t="str">
        <f t="shared" si="9"/>
        <v>Hormigón elaborado</v>
      </c>
      <c r="C44" s="548" t="str">
        <f>+Insumos!A5</f>
        <v>Hormigon Elaborado</v>
      </c>
      <c r="D44" s="541"/>
      <c r="E44" s="538">
        <f t="shared" si="10"/>
        <v>0</v>
      </c>
      <c r="F44" s="541">
        <f>IF(C44="",0,IFERROR(VLOOKUP(COUNTIF($A$1:A44,"ANALISIS DE PRECIOS"),T_Rendimiento_Equipo,5,FALSE),0))</f>
        <v>0</v>
      </c>
      <c r="G44" s="538">
        <f t="shared" ref="G44:G49" si="11">IFERROR(ROUND(D44*E44/F44,2),0)</f>
        <v>0</v>
      </c>
    </row>
    <row r="45" spans="1:7" ht="19.899999999999999" customHeight="1" x14ac:dyDescent="0.2">
      <c r="A45" s="584" t="str">
        <f t="shared" si="8"/>
        <v>INDEC-DCTO - Inciso j)</v>
      </c>
      <c r="B45" s="544" t="str">
        <f t="shared" si="9"/>
        <v>Equipo - Amortización de equipo</v>
      </c>
      <c r="C45" s="548" t="str">
        <f>+Insumos!A6</f>
        <v>Equipo - Amortizacion de equipo</v>
      </c>
      <c r="D45" s="541"/>
      <c r="E45" s="538">
        <f t="shared" si="10"/>
        <v>0</v>
      </c>
      <c r="F45" s="541">
        <f>IF(C45="",0,IFERROR(VLOOKUP(COUNTIF($A$1:A45,"ANALISIS DE PRECIOS"),T_Rendimiento_Equipo,5,FALSE),0))</f>
        <v>0</v>
      </c>
      <c r="G45" s="538">
        <f t="shared" si="11"/>
        <v>0</v>
      </c>
    </row>
    <row r="46" spans="1:7" ht="19.899999999999999" customHeight="1" x14ac:dyDescent="0.2">
      <c r="A46" s="584" t="str">
        <f t="shared" si="8"/>
        <v>INDEC-CM - 41242-11</v>
      </c>
      <c r="B46" s="544" t="str">
        <f t="shared" si="9"/>
        <v>Acero aletado conformado, en barra</v>
      </c>
      <c r="C46" s="548" t="str">
        <f>+Insumos!A7</f>
        <v>Hierro</v>
      </c>
      <c r="D46" s="541"/>
      <c r="E46" s="538">
        <f t="shared" si="10"/>
        <v>0</v>
      </c>
      <c r="F46" s="541">
        <f>IF(C46="",0,IFERROR(VLOOKUP(COUNTIF($A$1:A46,"ANALISIS DE PRECIOS"),T_Rendimiento_Equipo,5,FALSE),0))</f>
        <v>0</v>
      </c>
      <c r="G46" s="538">
        <f t="shared" si="11"/>
        <v>0</v>
      </c>
    </row>
    <row r="47" spans="1:7" ht="19.899999999999999" customHeight="1" x14ac:dyDescent="0.2">
      <c r="A47" s="584">
        <f t="shared" si="8"/>
        <v>0</v>
      </c>
      <c r="B47" s="544">
        <f t="shared" si="9"/>
        <v>0</v>
      </c>
      <c r="C47" s="535"/>
      <c r="D47" s="541"/>
      <c r="E47" s="538">
        <f t="shared" si="10"/>
        <v>0</v>
      </c>
      <c r="F47" s="541">
        <f>IF(C47="",0,IFERROR(VLOOKUP(COUNTIF($A$1:A47,"ANALISIS DE PRECIOS"),T_Rendimiento_Equipo,5,FALSE),0))</f>
        <v>0</v>
      </c>
      <c r="G47" s="538">
        <f t="shared" si="11"/>
        <v>0</v>
      </c>
    </row>
    <row r="48" spans="1:7" ht="19.899999999999999" customHeight="1" x14ac:dyDescent="0.2">
      <c r="A48" s="584">
        <f t="shared" si="8"/>
        <v>0</v>
      </c>
      <c r="B48" s="544">
        <f t="shared" si="9"/>
        <v>0</v>
      </c>
      <c r="C48" s="535"/>
      <c r="D48" s="549"/>
      <c r="E48" s="538">
        <f t="shared" si="10"/>
        <v>0</v>
      </c>
      <c r="F48" s="541">
        <f>IF(C48="",0,IFERROR(VLOOKUP(COUNTIF($A$1:A48,"ANALISIS DE PRECIOS"),T_Rendimiento_Equipo,5,FALSE),0))</f>
        <v>0</v>
      </c>
      <c r="G48" s="538">
        <f t="shared" si="11"/>
        <v>0</v>
      </c>
    </row>
    <row r="49" spans="1:8" ht="19.899999999999999" customHeight="1" x14ac:dyDescent="0.2">
      <c r="A49" s="584">
        <f t="shared" si="8"/>
        <v>0</v>
      </c>
      <c r="B49" s="544">
        <f t="shared" si="9"/>
        <v>0</v>
      </c>
      <c r="C49" s="544"/>
      <c r="D49" s="550"/>
      <c r="E49" s="538">
        <f t="shared" si="10"/>
        <v>0</v>
      </c>
      <c r="F49" s="541">
        <f>IF(C49="",0,IFERROR(VLOOKUP(COUNTIF($A$1:A49,"ANALISIS DE PRECIOS"),T_Rendimiento_Equipo,5,FALSE),0))</f>
        <v>0</v>
      </c>
      <c r="G49" s="538">
        <f t="shared" si="11"/>
        <v>0</v>
      </c>
    </row>
    <row r="50" spans="1:8" ht="19.899999999999999" customHeight="1" x14ac:dyDescent="0.2">
      <c r="A50" s="585"/>
      <c r="B50" s="524"/>
      <c r="C50" s="528"/>
      <c r="D50" s="524"/>
      <c r="E50" s="525"/>
      <c r="F50" s="547" t="s">
        <v>28</v>
      </c>
      <c r="G50" s="587">
        <f>SUBTOTAL(9,G43:G49)</f>
        <v>0</v>
      </c>
      <c r="H50" s="731"/>
    </row>
    <row r="51" spans="1:8" ht="19.899999999999999" customHeight="1" x14ac:dyDescent="0.2">
      <c r="A51" s="582"/>
      <c r="B51" s="528"/>
      <c r="C51" s="520" t="s">
        <v>992</v>
      </c>
      <c r="D51" s="524"/>
      <c r="E51" s="525"/>
      <c r="F51" s="526"/>
      <c r="G51" s="583"/>
    </row>
    <row r="52" spans="1:8" ht="19.899999999999999" customHeight="1" x14ac:dyDescent="0.2">
      <c r="A52" s="793" t="s">
        <v>576</v>
      </c>
      <c r="B52" s="794"/>
      <c r="C52" s="795" t="s">
        <v>0</v>
      </c>
      <c r="D52" s="795" t="s">
        <v>1740</v>
      </c>
      <c r="E52" s="797" t="s">
        <v>24</v>
      </c>
      <c r="F52" s="799" t="s">
        <v>25</v>
      </c>
      <c r="G52" s="801" t="s">
        <v>26</v>
      </c>
    </row>
    <row r="53" spans="1:8" ht="19.899999999999999" customHeight="1" x14ac:dyDescent="0.2">
      <c r="A53" s="543" t="s">
        <v>577</v>
      </c>
      <c r="B53" s="543" t="s">
        <v>578</v>
      </c>
      <c r="C53" s="796"/>
      <c r="D53" s="796"/>
      <c r="E53" s="798"/>
      <c r="F53" s="800"/>
      <c r="G53" s="802"/>
    </row>
    <row r="54" spans="1:8" ht="19.899999999999999" customHeight="1" x14ac:dyDescent="0.2">
      <c r="A54" s="584">
        <f t="shared" ref="A54:A64" si="12">IFERROR(VLOOKUP(C54,T_Insumos,4,FALSE),0)</f>
        <v>0</v>
      </c>
      <c r="B54" s="544">
        <f t="shared" ref="B54:B64" si="13">IFERROR(VLOOKUP(C54,T_Insumos,5,FALSE),0)</f>
        <v>0</v>
      </c>
      <c r="C54" s="544"/>
      <c r="D54" s="596">
        <f t="shared" ref="D54:D64" si="14">IFERROR(VLOOKUP(C54,T_Insumos,2,FALSE),0)</f>
        <v>0</v>
      </c>
      <c r="E54" s="536"/>
      <c r="F54" s="538">
        <f t="shared" ref="F54:F64" si="15">IFERROR(VLOOKUP(C54,T_Insumos,3,FALSE),0)</f>
        <v>0</v>
      </c>
      <c r="G54" s="538">
        <f>ROUND(E54*F54,2)</f>
        <v>0</v>
      </c>
    </row>
    <row r="55" spans="1:8" s="551" customFormat="1" ht="19.899999999999999" customHeight="1" x14ac:dyDescent="0.2">
      <c r="A55" s="584">
        <f t="shared" si="12"/>
        <v>0</v>
      </c>
      <c r="B55" s="544">
        <f t="shared" si="13"/>
        <v>0</v>
      </c>
      <c r="C55" s="544"/>
      <c r="D55" s="596">
        <f t="shared" si="14"/>
        <v>0</v>
      </c>
      <c r="E55" s="536"/>
      <c r="F55" s="538">
        <f t="shared" si="15"/>
        <v>0</v>
      </c>
      <c r="G55" s="538">
        <f t="shared" ref="G55:G64" si="16">ROUND(E55*F55,2)</f>
        <v>0</v>
      </c>
    </row>
    <row r="56" spans="1:8" ht="19.899999999999999" customHeight="1" x14ac:dyDescent="0.2">
      <c r="A56" s="584">
        <f t="shared" si="12"/>
        <v>0</v>
      </c>
      <c r="B56" s="544">
        <f t="shared" si="13"/>
        <v>0</v>
      </c>
      <c r="C56" s="544"/>
      <c r="D56" s="596">
        <f t="shared" si="14"/>
        <v>0</v>
      </c>
      <c r="E56" s="536"/>
      <c r="F56" s="538">
        <f t="shared" si="15"/>
        <v>0</v>
      </c>
      <c r="G56" s="538">
        <f t="shared" si="16"/>
        <v>0</v>
      </c>
    </row>
    <row r="57" spans="1:8" ht="19.899999999999999" customHeight="1" x14ac:dyDescent="0.2">
      <c r="A57" s="584">
        <f t="shared" si="12"/>
        <v>0</v>
      </c>
      <c r="B57" s="544">
        <f t="shared" si="13"/>
        <v>0</v>
      </c>
      <c r="C57" s="544"/>
      <c r="D57" s="596">
        <f t="shared" si="14"/>
        <v>0</v>
      </c>
      <c r="E57" s="536"/>
      <c r="F57" s="538">
        <f t="shared" si="15"/>
        <v>0</v>
      </c>
      <c r="G57" s="538">
        <f t="shared" si="16"/>
        <v>0</v>
      </c>
    </row>
    <row r="58" spans="1:8" ht="19.899999999999999" customHeight="1" x14ac:dyDescent="0.2">
      <c r="A58" s="584">
        <f t="shared" si="12"/>
        <v>0</v>
      </c>
      <c r="B58" s="544">
        <f t="shared" si="13"/>
        <v>0</v>
      </c>
      <c r="C58" s="544"/>
      <c r="D58" s="596">
        <f t="shared" si="14"/>
        <v>0</v>
      </c>
      <c r="E58" s="536"/>
      <c r="F58" s="538">
        <f t="shared" si="15"/>
        <v>0</v>
      </c>
      <c r="G58" s="538">
        <f t="shared" si="16"/>
        <v>0</v>
      </c>
    </row>
    <row r="59" spans="1:8" ht="19.899999999999999" customHeight="1" x14ac:dyDescent="0.2">
      <c r="A59" s="584">
        <f t="shared" si="12"/>
        <v>0</v>
      </c>
      <c r="B59" s="544">
        <f t="shared" si="13"/>
        <v>0</v>
      </c>
      <c r="C59" s="544"/>
      <c r="D59" s="596">
        <f t="shared" si="14"/>
        <v>0</v>
      </c>
      <c r="E59" s="536"/>
      <c r="F59" s="538">
        <f t="shared" si="15"/>
        <v>0</v>
      </c>
      <c r="G59" s="538">
        <f t="shared" si="16"/>
        <v>0</v>
      </c>
    </row>
    <row r="60" spans="1:8" ht="19.899999999999999" customHeight="1" x14ac:dyDescent="0.2">
      <c r="A60" s="584">
        <f t="shared" si="12"/>
        <v>0</v>
      </c>
      <c r="B60" s="544">
        <f t="shared" si="13"/>
        <v>0</v>
      </c>
      <c r="C60" s="544"/>
      <c r="D60" s="596">
        <f t="shared" si="14"/>
        <v>0</v>
      </c>
      <c r="E60" s="536"/>
      <c r="F60" s="538">
        <f t="shared" si="15"/>
        <v>0</v>
      </c>
      <c r="G60" s="538">
        <f t="shared" si="16"/>
        <v>0</v>
      </c>
    </row>
    <row r="61" spans="1:8" ht="19.899999999999999" customHeight="1" x14ac:dyDescent="0.2">
      <c r="A61" s="584">
        <f t="shared" si="12"/>
        <v>0</v>
      </c>
      <c r="B61" s="544">
        <f t="shared" si="13"/>
        <v>0</v>
      </c>
      <c r="C61" s="544"/>
      <c r="D61" s="596">
        <f t="shared" si="14"/>
        <v>0</v>
      </c>
      <c r="E61" s="536"/>
      <c r="F61" s="538">
        <f t="shared" si="15"/>
        <v>0</v>
      </c>
      <c r="G61" s="538">
        <f t="shared" si="16"/>
        <v>0</v>
      </c>
    </row>
    <row r="62" spans="1:8" ht="19.899999999999999" customHeight="1" x14ac:dyDescent="0.2">
      <c r="A62" s="584">
        <f t="shared" si="12"/>
        <v>0</v>
      </c>
      <c r="B62" s="544">
        <f t="shared" si="13"/>
        <v>0</v>
      </c>
      <c r="C62" s="544"/>
      <c r="D62" s="596">
        <f t="shared" si="14"/>
        <v>0</v>
      </c>
      <c r="E62" s="536"/>
      <c r="F62" s="538">
        <f t="shared" si="15"/>
        <v>0</v>
      </c>
      <c r="G62" s="538">
        <f t="shared" si="16"/>
        <v>0</v>
      </c>
    </row>
    <row r="63" spans="1:8" ht="19.899999999999999" customHeight="1" x14ac:dyDescent="0.2">
      <c r="A63" s="584">
        <f t="shared" si="12"/>
        <v>0</v>
      </c>
      <c r="B63" s="544">
        <f t="shared" si="13"/>
        <v>0</v>
      </c>
      <c r="C63" s="544"/>
      <c r="D63" s="596">
        <f t="shared" si="14"/>
        <v>0</v>
      </c>
      <c r="E63" s="536"/>
      <c r="F63" s="538">
        <f t="shared" si="15"/>
        <v>0</v>
      </c>
      <c r="G63" s="538">
        <f t="shared" si="16"/>
        <v>0</v>
      </c>
    </row>
    <row r="64" spans="1:8" ht="19.899999999999999" customHeight="1" x14ac:dyDescent="0.2">
      <c r="A64" s="584">
        <f t="shared" si="12"/>
        <v>0</v>
      </c>
      <c r="B64" s="544">
        <f t="shared" si="13"/>
        <v>0</v>
      </c>
      <c r="C64" s="544"/>
      <c r="D64" s="596">
        <f t="shared" si="14"/>
        <v>0</v>
      </c>
      <c r="E64" s="536"/>
      <c r="F64" s="538">
        <f t="shared" si="15"/>
        <v>0</v>
      </c>
      <c r="G64" s="538">
        <f t="shared" si="16"/>
        <v>0</v>
      </c>
    </row>
    <row r="65" spans="1:8" ht="19.899999999999999" customHeight="1" x14ac:dyDescent="0.2">
      <c r="A65" s="582"/>
      <c r="B65" s="528"/>
      <c r="C65" s="528"/>
      <c r="D65" s="524"/>
      <c r="E65" s="525"/>
      <c r="F65" s="547" t="s">
        <v>29</v>
      </c>
      <c r="G65" s="588">
        <f>SUBTOTAL(9,G54:G64)</f>
        <v>0</v>
      </c>
    </row>
    <row r="66" spans="1:8" ht="19.899999999999999" customHeight="1" x14ac:dyDescent="0.2">
      <c r="A66" s="582"/>
      <c r="B66" s="528"/>
      <c r="C66" s="520" t="s">
        <v>993</v>
      </c>
      <c r="D66" s="524"/>
      <c r="E66" s="525"/>
      <c r="F66" s="526"/>
      <c r="G66" s="583"/>
    </row>
    <row r="67" spans="1:8" ht="19.899999999999999" customHeight="1" x14ac:dyDescent="0.2">
      <c r="A67" s="793" t="s">
        <v>576</v>
      </c>
      <c r="B67" s="794"/>
      <c r="C67" s="795" t="s">
        <v>0</v>
      </c>
      <c r="D67" s="795" t="s">
        <v>1740</v>
      </c>
      <c r="E67" s="797" t="s">
        <v>24</v>
      </c>
      <c r="F67" s="799" t="s">
        <v>25</v>
      </c>
      <c r="G67" s="801" t="s">
        <v>26</v>
      </c>
    </row>
    <row r="68" spans="1:8" ht="19.899999999999999" customHeight="1" x14ac:dyDescent="0.2">
      <c r="A68" s="543" t="s">
        <v>577</v>
      </c>
      <c r="B68" s="543" t="s">
        <v>578</v>
      </c>
      <c r="C68" s="796"/>
      <c r="D68" s="796"/>
      <c r="E68" s="798"/>
      <c r="F68" s="800"/>
      <c r="G68" s="802"/>
    </row>
    <row r="69" spans="1:8" ht="19.899999999999999" customHeight="1" x14ac:dyDescent="0.2">
      <c r="A69" s="584">
        <f>IFERROR(VLOOKUP(C69,T_Insumos,4,FALSE),0)</f>
        <v>0</v>
      </c>
      <c r="B69" s="544">
        <f>IFERROR(VLOOKUP(C69,T_Insumos,5,FALSE),0)</f>
        <v>0</v>
      </c>
      <c r="C69" s="535"/>
      <c r="D69" s="596">
        <f>IF(C69=0,0,"$/tnkm")</f>
        <v>0</v>
      </c>
      <c r="E69" s="536"/>
      <c r="F69" s="538">
        <f>IFERROR(VLOOKUP(C69,T_Insumos,3,FALSE),0)</f>
        <v>0</v>
      </c>
      <c r="G69" s="538">
        <f>ROUND(E69*F69,2)</f>
        <v>0</v>
      </c>
    </row>
    <row r="70" spans="1:8" ht="19.899999999999999" customHeight="1" x14ac:dyDescent="0.2">
      <c r="A70" s="584">
        <f>IFERROR(VLOOKUP(C70,T_Insumos,4,FALSE),0)</f>
        <v>0</v>
      </c>
      <c r="B70" s="544">
        <f>IFERROR(VLOOKUP(C70,T_Insumos,5,FALSE),0)</f>
        <v>0</v>
      </c>
      <c r="C70" s="535"/>
      <c r="D70" s="596">
        <f>IF(C70=0,0,"$/tnkm")</f>
        <v>0</v>
      </c>
      <c r="E70" s="552"/>
      <c r="F70" s="538">
        <f>IFERROR(VLOOKUP(C70,T_Insumos,3,FALSE),0)</f>
        <v>0</v>
      </c>
      <c r="G70" s="538">
        <f t="shared" ref="G70" si="17">ROUND(E70*F70,2)</f>
        <v>0</v>
      </c>
    </row>
    <row r="71" spans="1:8" ht="19.899999999999999" customHeight="1" x14ac:dyDescent="0.2">
      <c r="A71" s="582"/>
      <c r="B71" s="528"/>
      <c r="C71" s="528"/>
      <c r="D71" s="524"/>
      <c r="E71" s="525"/>
      <c r="F71" s="547" t="s">
        <v>994</v>
      </c>
      <c r="G71" s="588">
        <f>SUBTOTAL(9,G69:G70)</f>
        <v>0</v>
      </c>
      <c r="H71" s="516"/>
    </row>
    <row r="72" spans="1:8" ht="19.899999999999999" customHeight="1" x14ac:dyDescent="0.2">
      <c r="A72" s="585"/>
      <c r="B72" s="524"/>
      <c r="C72" s="528"/>
      <c r="D72" s="524"/>
      <c r="E72" s="525"/>
      <c r="F72" s="526"/>
      <c r="G72" s="583"/>
      <c r="H72" s="516"/>
    </row>
    <row r="73" spans="1:8" ht="19.899999999999999" customHeight="1" x14ac:dyDescent="0.2">
      <c r="A73" s="647" t="str">
        <f>B7</f>
        <v>1.1</v>
      </c>
      <c r="B73" s="644" t="str">
        <f ca="1">C7</f>
        <v>Elaboracion Proyecto Ejecutivo</v>
      </c>
      <c r="C73" s="524"/>
      <c r="D73" s="524" t="s">
        <v>1719</v>
      </c>
      <c r="E73" s="645"/>
      <c r="F73" s="646" t="str">
        <f ca="1">"$/"&amp;G7</f>
        <v>$/gl.</v>
      </c>
      <c r="G73" s="593">
        <f>SUBTOTAL(9,G30:G72)</f>
        <v>0</v>
      </c>
      <c r="H73" s="516"/>
    </row>
    <row r="74" spans="1:8" ht="19.899999999999999" customHeight="1" x14ac:dyDescent="0.2">
      <c r="A74" s="589"/>
      <c r="B74" s="590"/>
      <c r="C74" s="591"/>
      <c r="D74" s="591" t="s">
        <v>1915</v>
      </c>
      <c r="E74" s="592"/>
      <c r="F74" s="648" t="str">
        <f ca="1">"$/"&amp;G7</f>
        <v>$/gl.</v>
      </c>
      <c r="G74" s="593">
        <f>ROUND(G73*Coeficiente_Paso,2)</f>
        <v>0</v>
      </c>
      <c r="H74" s="516"/>
    </row>
    <row r="75" spans="1:8" ht="19.899999999999999" customHeight="1" x14ac:dyDescent="0.2">
      <c r="A75" s="185"/>
      <c r="B75" s="185"/>
      <c r="C75" s="185"/>
      <c r="D75" s="185"/>
      <c r="E75" s="185"/>
      <c r="F75" s="185"/>
      <c r="G75" s="185"/>
      <c r="H75" s="516"/>
    </row>
    <row r="76" spans="1:8" ht="19.899999999999999" customHeight="1" x14ac:dyDescent="0.2">
      <c r="A76" s="803" t="s">
        <v>31</v>
      </c>
      <c r="B76" s="804"/>
      <c r="C76" s="804"/>
      <c r="D76" s="804"/>
      <c r="E76" s="804"/>
      <c r="F76" s="804"/>
      <c r="G76" s="805"/>
    </row>
    <row r="77" spans="1:8" ht="19.899999999999999" customHeight="1" x14ac:dyDescent="0.2">
      <c r="A77" s="570" t="s">
        <v>711</v>
      </c>
      <c r="B77" s="518" t="str">
        <f>Comitente</f>
        <v>DEPARTAMENTO DE HIDRAULICA</v>
      </c>
      <c r="C77" s="519"/>
      <c r="D77" s="520"/>
      <c r="E77" s="520"/>
      <c r="F77" s="521"/>
      <c r="G77" s="571"/>
    </row>
    <row r="78" spans="1:8" ht="19.899999999999999" customHeight="1" x14ac:dyDescent="0.2">
      <c r="A78" s="570" t="s">
        <v>712</v>
      </c>
      <c r="B78" s="518">
        <f>Contratista</f>
        <v>0</v>
      </c>
      <c r="C78" s="522"/>
      <c r="D78" s="522"/>
      <c r="E78" s="522"/>
      <c r="F78" s="518"/>
      <c r="G78" s="572"/>
    </row>
    <row r="79" spans="1:8" ht="19.899999999999999" customHeight="1" x14ac:dyDescent="0.2">
      <c r="A79" s="570" t="s">
        <v>21</v>
      </c>
      <c r="B79" s="518" t="str">
        <f>Obra</f>
        <v>ENCAMISADO CANAL GENERAL COCHAGUAL</v>
      </c>
      <c r="C79" s="522"/>
      <c r="D79" s="522"/>
      <c r="E79" s="522"/>
      <c r="F79" s="518" t="s">
        <v>32</v>
      </c>
      <c r="G79" s="572">
        <f>Fecha_Base</f>
        <v>44319</v>
      </c>
    </row>
    <row r="80" spans="1:8" ht="19.899999999999999" customHeight="1" x14ac:dyDescent="0.2">
      <c r="A80" s="573" t="s">
        <v>710</v>
      </c>
      <c r="B80" s="523" t="str">
        <f>Ubicación</f>
        <v>DEPARTAMENTO SARMIENTO</v>
      </c>
      <c r="C80" s="523"/>
      <c r="D80" s="524"/>
      <c r="E80" s="525"/>
      <c r="F80" s="526"/>
      <c r="G80" s="574"/>
    </row>
    <row r="81" spans="1:8" ht="19.899999999999999" customHeight="1" x14ac:dyDescent="0.2">
      <c r="A81" s="573" t="s">
        <v>33</v>
      </c>
      <c r="B81" s="527">
        <f>IFERROR(VALUE(LEFT(B82,FIND(".",B82)-1)),"")</f>
        <v>2</v>
      </c>
      <c r="C81" s="528" t="str">
        <f ca="1">IFERROR(VLOOKUP(B81,T_Computo_Presupuesto,2,FALSE),0)</f>
        <v>CANAL GENERAL COCHAGUAL Progresiva 4080-4880</v>
      </c>
      <c r="D81" s="528"/>
      <c r="E81" s="525"/>
      <c r="F81" s="526"/>
      <c r="G81" s="574"/>
    </row>
    <row r="82" spans="1:8" ht="19.899999999999999" customHeight="1" x14ac:dyDescent="0.2">
      <c r="A82" s="573" t="s">
        <v>22</v>
      </c>
      <c r="B82" s="529" t="str">
        <f>IFERROR(VLOOKUP(COUNTIF($A$1:A82,"ANALISIS DE PRECIOS"),T_NumeroItem,2,FALSE),"")</f>
        <v>2.1</v>
      </c>
      <c r="C82" s="806" t="str">
        <f ca="1">IFERROR(VLOOKUP(B82,T_Computo_Presupuesto,2,FALSE),0)</f>
        <v>Limpieza y Replanteo</v>
      </c>
      <c r="D82" s="806"/>
      <c r="E82" s="806"/>
      <c r="F82" s="523" t="s">
        <v>23</v>
      </c>
      <c r="G82" s="575" t="str">
        <f ca="1">IFERROR(VLOOKUP(B82,T_Computo_Presupuesto,4,FALSE),0)</f>
        <v>gl.</v>
      </c>
    </row>
    <row r="83" spans="1:8" ht="19.899999999999999" customHeight="1" x14ac:dyDescent="0.2">
      <c r="A83" s="573"/>
      <c r="B83" s="523"/>
      <c r="C83" s="528"/>
      <c r="D83" s="524"/>
      <c r="E83" s="525"/>
      <c r="F83" s="528"/>
      <c r="G83" s="576"/>
    </row>
    <row r="84" spans="1:8" ht="19.899999999999999" customHeight="1" x14ac:dyDescent="0.2">
      <c r="A84" s="577"/>
      <c r="B84" s="530"/>
      <c r="C84" s="531" t="s">
        <v>977</v>
      </c>
      <c r="D84" s="530"/>
      <c r="E84" s="530"/>
      <c r="F84" s="530"/>
      <c r="G84" s="578"/>
    </row>
    <row r="85" spans="1:8" ht="19.899999999999999" customHeight="1" x14ac:dyDescent="0.2">
      <c r="A85" s="573"/>
      <c r="B85" s="532"/>
      <c r="C85" s="528"/>
      <c r="D85" s="524"/>
      <c r="E85" s="525"/>
      <c r="F85" s="523"/>
      <c r="G85" s="575"/>
    </row>
    <row r="86" spans="1:8" ht="19.899999999999999" customHeight="1" x14ac:dyDescent="0.2">
      <c r="A86" s="573"/>
      <c r="B86" s="532"/>
      <c r="C86" s="533" t="s">
        <v>978</v>
      </c>
      <c r="D86" s="534" t="s">
        <v>24</v>
      </c>
      <c r="E86" s="534" t="s">
        <v>979</v>
      </c>
      <c r="F86" s="534" t="s">
        <v>980</v>
      </c>
      <c r="G86" s="533" t="s">
        <v>981</v>
      </c>
    </row>
    <row r="87" spans="1:8" ht="19.899999999999999" customHeight="1" x14ac:dyDescent="0.2">
      <c r="A87" s="573"/>
      <c r="B87" s="532"/>
      <c r="C87" s="535">
        <f>+Equipos!A21</f>
        <v>0</v>
      </c>
      <c r="D87" s="536"/>
      <c r="E87" s="537">
        <f t="shared" ref="E87:E96" si="18">IFERROR(VLOOKUP(C87,T_Equipos,4,FALSE),0)</f>
        <v>0</v>
      </c>
      <c r="F87" s="538">
        <f t="shared" ref="F87:F96" si="19">IFERROR(VLOOKUP(C87,T_Equipos,5,FALSE),0)</f>
        <v>0</v>
      </c>
      <c r="G87" s="538">
        <f>ROUND(D87*F87,2)</f>
        <v>0</v>
      </c>
    </row>
    <row r="88" spans="1:8" ht="19.899999999999999" customHeight="1" x14ac:dyDescent="0.2">
      <c r="A88" s="573"/>
      <c r="B88" s="532"/>
      <c r="C88" s="535">
        <f>+Equipos!A23</f>
        <v>0</v>
      </c>
      <c r="D88" s="536"/>
      <c r="E88" s="537">
        <f t="shared" si="18"/>
        <v>0</v>
      </c>
      <c r="F88" s="538">
        <f t="shared" si="19"/>
        <v>0</v>
      </c>
      <c r="G88" s="538">
        <f>ROUND(D88*F88,2)</f>
        <v>0</v>
      </c>
    </row>
    <row r="89" spans="1:8" ht="19.899999999999999" customHeight="1" x14ac:dyDescent="0.2">
      <c r="A89" s="573"/>
      <c r="B89" s="532"/>
      <c r="C89" s="535">
        <f>+Equipos!A13</f>
        <v>0</v>
      </c>
      <c r="D89" s="536"/>
      <c r="E89" s="537">
        <f t="shared" si="18"/>
        <v>0</v>
      </c>
      <c r="F89" s="538">
        <f t="shared" si="19"/>
        <v>0</v>
      </c>
      <c r="G89" s="538">
        <f>ROUND(D89*F89,2)</f>
        <v>0</v>
      </c>
    </row>
    <row r="90" spans="1:8" ht="19.899999999999999" customHeight="1" x14ac:dyDescent="0.2">
      <c r="A90" s="573"/>
      <c r="B90" s="532"/>
      <c r="C90" s="535">
        <f>+Equipos!A15</f>
        <v>0</v>
      </c>
      <c r="D90" s="536"/>
      <c r="E90" s="537">
        <f t="shared" si="18"/>
        <v>0</v>
      </c>
      <c r="F90" s="538">
        <f t="shared" si="19"/>
        <v>0</v>
      </c>
      <c r="G90" s="538">
        <f>ROUND(D90*F90,2)</f>
        <v>0</v>
      </c>
    </row>
    <row r="91" spans="1:8" ht="19.899999999999999" customHeight="1" x14ac:dyDescent="0.2">
      <c r="A91" s="573"/>
      <c r="B91" s="532"/>
      <c r="C91" s="535">
        <f>+Equipos!A25</f>
        <v>0</v>
      </c>
      <c r="D91" s="536"/>
      <c r="E91" s="537">
        <f t="shared" si="18"/>
        <v>0</v>
      </c>
      <c r="F91" s="538">
        <f t="shared" si="19"/>
        <v>0</v>
      </c>
      <c r="G91" s="538">
        <f t="shared" ref="G91:G96" si="20">ROUND(D91*F91,2)</f>
        <v>0</v>
      </c>
    </row>
    <row r="92" spans="1:8" ht="19.899999999999999" customHeight="1" x14ac:dyDescent="0.2">
      <c r="A92" s="573"/>
      <c r="B92" s="532"/>
      <c r="C92" s="535">
        <f>+Equipos!A33</f>
        <v>0</v>
      </c>
      <c r="D92" s="536"/>
      <c r="E92" s="537">
        <f t="shared" si="18"/>
        <v>0</v>
      </c>
      <c r="F92" s="538">
        <f t="shared" si="19"/>
        <v>0</v>
      </c>
      <c r="G92" s="538">
        <f t="shared" si="20"/>
        <v>0</v>
      </c>
    </row>
    <row r="93" spans="1:8" ht="19.899999999999999" customHeight="1" x14ac:dyDescent="0.2">
      <c r="A93" s="573"/>
      <c r="B93" s="532"/>
      <c r="C93" s="535"/>
      <c r="D93" s="536"/>
      <c r="E93" s="537">
        <f t="shared" si="18"/>
        <v>0</v>
      </c>
      <c r="F93" s="538">
        <f t="shared" si="19"/>
        <v>0</v>
      </c>
      <c r="G93" s="538">
        <f t="shared" si="20"/>
        <v>0</v>
      </c>
    </row>
    <row r="94" spans="1:8" ht="19.899999999999999" customHeight="1" x14ac:dyDescent="0.2">
      <c r="A94" s="573"/>
      <c r="B94" s="532"/>
      <c r="C94" s="535"/>
      <c r="D94" s="536"/>
      <c r="E94" s="537">
        <f t="shared" si="18"/>
        <v>0</v>
      </c>
      <c r="F94" s="538">
        <f t="shared" si="19"/>
        <v>0</v>
      </c>
      <c r="G94" s="538">
        <f t="shared" si="20"/>
        <v>0</v>
      </c>
    </row>
    <row r="95" spans="1:8" ht="19.899999999999999" customHeight="1" x14ac:dyDescent="0.2">
      <c r="A95" s="573"/>
      <c r="B95" s="532"/>
      <c r="C95" s="535"/>
      <c r="D95" s="536"/>
      <c r="E95" s="537">
        <f t="shared" si="18"/>
        <v>0</v>
      </c>
      <c r="F95" s="538">
        <f t="shared" si="19"/>
        <v>0</v>
      </c>
      <c r="G95" s="538">
        <f t="shared" si="20"/>
        <v>0</v>
      </c>
    </row>
    <row r="96" spans="1:8" ht="19.899999999999999" customHeight="1" x14ac:dyDescent="0.2">
      <c r="A96" s="573"/>
      <c r="B96" s="532"/>
      <c r="C96" s="535"/>
      <c r="D96" s="536"/>
      <c r="E96" s="537">
        <f t="shared" si="18"/>
        <v>0</v>
      </c>
      <c r="F96" s="538">
        <f t="shared" si="19"/>
        <v>0</v>
      </c>
      <c r="G96" s="538">
        <f t="shared" si="20"/>
        <v>0</v>
      </c>
      <c r="H96" s="732"/>
    </row>
    <row r="97" spans="1:7" ht="19.899999999999999" customHeight="1" x14ac:dyDescent="0.2">
      <c r="A97" s="573"/>
      <c r="B97" s="532"/>
      <c r="C97" s="528"/>
      <c r="D97" s="528"/>
      <c r="E97" s="539"/>
      <c r="F97" s="523"/>
      <c r="G97" s="575"/>
    </row>
    <row r="98" spans="1:7" ht="19.899999999999999" customHeight="1" x14ac:dyDescent="0.2">
      <c r="A98" s="573"/>
      <c r="B98" s="528"/>
      <c r="C98" s="520" t="s">
        <v>982</v>
      </c>
      <c r="D98" s="523" t="s">
        <v>979</v>
      </c>
      <c r="E98" s="594">
        <f>SUMPRODUCT(D87:D96,E87:E96)</f>
        <v>0</v>
      </c>
      <c r="F98" s="523" t="s">
        <v>983</v>
      </c>
      <c r="G98" s="595">
        <f>SUM(G87:G96)</f>
        <v>0</v>
      </c>
    </row>
    <row r="99" spans="1:7" ht="19.899999999999999" customHeight="1" x14ac:dyDescent="0.2">
      <c r="A99" s="573"/>
      <c r="B99" s="532"/>
      <c r="C99" s="540"/>
      <c r="D99" s="539"/>
      <c r="E99" s="525"/>
      <c r="F99" s="523"/>
      <c r="G99" s="579"/>
    </row>
    <row r="100" spans="1:7" ht="19.899999999999999" customHeight="1" x14ac:dyDescent="0.2">
      <c r="A100" s="580"/>
      <c r="B100" s="532"/>
      <c r="C100" s="523" t="s">
        <v>984</v>
      </c>
      <c r="D100" s="541">
        <f>IFERROR(VLOOKUP(COUNTIF($A$1:A100,"ANALISIS DE PRECIOS"),T_Rendimiento_Equipo,5,FALSE),0)</f>
        <v>0</v>
      </c>
      <c r="E100" s="542" t="str">
        <f ca="1">G82&amp;"/día"</f>
        <v>gl./día</v>
      </c>
      <c r="F100" s="581"/>
      <c r="G100" s="575"/>
    </row>
    <row r="101" spans="1:7" ht="19.899999999999999" customHeight="1" x14ac:dyDescent="0.2">
      <c r="A101" s="573"/>
      <c r="B101" s="532"/>
      <c r="C101" s="528"/>
      <c r="D101" s="524"/>
      <c r="E101" s="525"/>
      <c r="F101" s="523"/>
      <c r="G101" s="575"/>
    </row>
    <row r="102" spans="1:7" ht="19.899999999999999" customHeight="1" x14ac:dyDescent="0.2">
      <c r="A102" s="793" t="s">
        <v>576</v>
      </c>
      <c r="B102" s="794"/>
      <c r="C102" s="795" t="s">
        <v>0</v>
      </c>
      <c r="D102" s="807" t="s">
        <v>1739</v>
      </c>
      <c r="E102" s="807" t="s">
        <v>1738</v>
      </c>
      <c r="F102" s="799" t="s">
        <v>985</v>
      </c>
      <c r="G102" s="801" t="s">
        <v>26</v>
      </c>
    </row>
    <row r="103" spans="1:7" ht="19.899999999999999" customHeight="1" x14ac:dyDescent="0.2">
      <c r="A103" s="543" t="s">
        <v>577</v>
      </c>
      <c r="B103" s="543" t="s">
        <v>578</v>
      </c>
      <c r="C103" s="796"/>
      <c r="D103" s="808"/>
      <c r="E103" s="798"/>
      <c r="F103" s="800"/>
      <c r="G103" s="802"/>
    </row>
    <row r="104" spans="1:7" ht="19.899999999999999" customHeight="1" x14ac:dyDescent="0.2">
      <c r="A104" s="582"/>
      <c r="B104" s="528"/>
      <c r="C104" s="520" t="s">
        <v>986</v>
      </c>
      <c r="D104" s="525"/>
      <c r="E104" s="525"/>
      <c r="F104" s="528"/>
      <c r="G104" s="583"/>
    </row>
    <row r="105" spans="1:7" ht="19.899999999999999" customHeight="1" x14ac:dyDescent="0.2">
      <c r="A105" s="584">
        <f t="shared" ref="A105:A113" si="21">IFERROR(VLOOKUP(C105,T_Insumos,4,FALSE),0)</f>
        <v>0</v>
      </c>
      <c r="B105" s="544">
        <f t="shared" ref="B105:B113" si="22">IFERROR(VLOOKUP(C105,T_Insumos,5,FALSE),0)</f>
        <v>0</v>
      </c>
      <c r="C105" s="535">
        <f>+C30</f>
        <v>0</v>
      </c>
      <c r="D105" s="545">
        <f t="shared" ref="D105:D113" si="23">IFERROR(VLOOKUP(C105,T_Insumos,3,FALSE),0)</f>
        <v>0</v>
      </c>
      <c r="E105" s="538">
        <f>D105*$G$98</f>
        <v>0</v>
      </c>
      <c r="F105" s="541">
        <f>IF(C105="",0,IFERROR(VLOOKUP(COUNTIF($A$1:A105,"ANALISIS DE PRECIOS"),T_Rendimiento_Equipo,5,FALSE),0))</f>
        <v>0</v>
      </c>
      <c r="G105" s="538">
        <f>IFERROR(ROUND(E105/F105,2),0)</f>
        <v>0</v>
      </c>
    </row>
    <row r="106" spans="1:7" ht="19.899999999999999" customHeight="1" x14ac:dyDescent="0.2">
      <c r="A106" s="584">
        <f t="shared" si="21"/>
        <v>0</v>
      </c>
      <c r="B106" s="544">
        <f t="shared" si="22"/>
        <v>0</v>
      </c>
      <c r="C106" s="535">
        <f t="shared" ref="C106:C108" si="24">+C31</f>
        <v>0</v>
      </c>
      <c r="D106" s="545">
        <f t="shared" si="23"/>
        <v>0</v>
      </c>
      <c r="E106" s="538">
        <f t="shared" ref="E106:E107" si="25">D106*$G$98</f>
        <v>0</v>
      </c>
      <c r="F106" s="541">
        <f>IF(C106="",0,IFERROR(VLOOKUP(COUNTIF($A$1:A106,"ANALISIS DE PRECIOS"),T_Rendimiento_Equipo,5,FALSE),0))</f>
        <v>0</v>
      </c>
      <c r="G106" s="538">
        <f t="shared" ref="G106:G113" si="26">IFERROR(ROUND(E106/F106,2),0)</f>
        <v>0</v>
      </c>
    </row>
    <row r="107" spans="1:7" ht="19.899999999999999" customHeight="1" x14ac:dyDescent="0.2">
      <c r="A107" s="584">
        <f t="shared" si="21"/>
        <v>0</v>
      </c>
      <c r="B107" s="544">
        <f t="shared" si="22"/>
        <v>0</v>
      </c>
      <c r="C107" s="535">
        <f t="shared" si="24"/>
        <v>0</v>
      </c>
      <c r="D107" s="545">
        <f t="shared" si="23"/>
        <v>0</v>
      </c>
      <c r="E107" s="538">
        <f t="shared" si="25"/>
        <v>0</v>
      </c>
      <c r="F107" s="541">
        <f>IF(C107="",0,IFERROR(VLOOKUP(COUNTIF($A$1:A107,"ANALISIS DE PRECIOS"),T_Rendimiento_Equipo,5,FALSE),0))</f>
        <v>0</v>
      </c>
      <c r="G107" s="538">
        <f t="shared" si="26"/>
        <v>0</v>
      </c>
    </row>
    <row r="108" spans="1:7" ht="19.899999999999999" customHeight="1" x14ac:dyDescent="0.2">
      <c r="A108" s="584">
        <f t="shared" si="21"/>
        <v>0</v>
      </c>
      <c r="B108" s="544">
        <f t="shared" si="22"/>
        <v>0</v>
      </c>
      <c r="C108" s="535">
        <f t="shared" si="24"/>
        <v>0</v>
      </c>
      <c r="D108" s="545">
        <f t="shared" si="23"/>
        <v>0</v>
      </c>
      <c r="E108" s="538">
        <f>D108*$E$98</f>
        <v>0</v>
      </c>
      <c r="F108" s="541">
        <f>IF(C108="",0,IFERROR(VLOOKUP(COUNTIF($A$1:A108,"ANALISIS DE PRECIOS"),T_Rendimiento_Equipo,5,FALSE),0))</f>
        <v>0</v>
      </c>
      <c r="G108" s="538">
        <f t="shared" si="26"/>
        <v>0</v>
      </c>
    </row>
    <row r="109" spans="1:7" ht="19.899999999999999" customHeight="1" x14ac:dyDescent="0.2">
      <c r="A109" s="584">
        <f t="shared" si="21"/>
        <v>0</v>
      </c>
      <c r="B109" s="544">
        <f t="shared" si="22"/>
        <v>0</v>
      </c>
      <c r="C109" s="546"/>
      <c r="D109" s="545">
        <f t="shared" si="23"/>
        <v>0</v>
      </c>
      <c r="E109" s="538"/>
      <c r="F109" s="541">
        <f>IF(C109="",0,IFERROR(VLOOKUP(COUNTIF($A$1:A109,"ANALISIS DE PRECIOS"),T_Rendimiento_Equipo,5,FALSE),0))</f>
        <v>0</v>
      </c>
      <c r="G109" s="538">
        <f t="shared" si="26"/>
        <v>0</v>
      </c>
    </row>
    <row r="110" spans="1:7" ht="19.899999999999999" customHeight="1" x14ac:dyDescent="0.2">
      <c r="A110" s="584">
        <f t="shared" si="21"/>
        <v>0</v>
      </c>
      <c r="B110" s="544">
        <f t="shared" si="22"/>
        <v>0</v>
      </c>
      <c r="C110" s="546"/>
      <c r="D110" s="545">
        <f t="shared" si="23"/>
        <v>0</v>
      </c>
      <c r="E110" s="538"/>
      <c r="F110" s="541">
        <f>IF(C110="",0,IFERROR(VLOOKUP(COUNTIF($A$1:A110,"ANALISIS DE PRECIOS"),T_Rendimiento_Equipo,5,FALSE),0))</f>
        <v>0</v>
      </c>
      <c r="G110" s="538">
        <f t="shared" si="26"/>
        <v>0</v>
      </c>
    </row>
    <row r="111" spans="1:7" ht="19.899999999999999" customHeight="1" x14ac:dyDescent="0.2">
      <c r="A111" s="584">
        <f t="shared" si="21"/>
        <v>0</v>
      </c>
      <c r="B111" s="544">
        <f t="shared" si="22"/>
        <v>0</v>
      </c>
      <c r="C111" s="546"/>
      <c r="D111" s="545">
        <f t="shared" si="23"/>
        <v>0</v>
      </c>
      <c r="E111" s="538"/>
      <c r="F111" s="541">
        <f>IF(C111="",0,IFERROR(VLOOKUP(COUNTIF($A$1:A111,"ANALISIS DE PRECIOS"),T_Rendimiento_Equipo,5,FALSE),0))</f>
        <v>0</v>
      </c>
      <c r="G111" s="538">
        <f t="shared" si="26"/>
        <v>0</v>
      </c>
    </row>
    <row r="112" spans="1:7" ht="19.899999999999999" customHeight="1" x14ac:dyDescent="0.2">
      <c r="A112" s="584">
        <f t="shared" si="21"/>
        <v>0</v>
      </c>
      <c r="B112" s="544">
        <f t="shared" si="22"/>
        <v>0</v>
      </c>
      <c r="C112" s="546"/>
      <c r="D112" s="545">
        <f t="shared" si="23"/>
        <v>0</v>
      </c>
      <c r="E112" s="538"/>
      <c r="F112" s="541">
        <f>IF(C112="",0,IFERROR(VLOOKUP(COUNTIF($A$1:A112,"ANALISIS DE PRECIOS"),T_Rendimiento_Equipo,5,FALSE),0))</f>
        <v>0</v>
      </c>
      <c r="G112" s="538">
        <f t="shared" si="26"/>
        <v>0</v>
      </c>
    </row>
    <row r="113" spans="1:8" ht="19.899999999999999" customHeight="1" x14ac:dyDescent="0.2">
      <c r="A113" s="584">
        <f t="shared" si="21"/>
        <v>0</v>
      </c>
      <c r="B113" s="544">
        <f t="shared" si="22"/>
        <v>0</v>
      </c>
      <c r="C113" s="535"/>
      <c r="D113" s="545">
        <f t="shared" si="23"/>
        <v>0</v>
      </c>
      <c r="E113" s="538"/>
      <c r="F113" s="541">
        <f>IF(C113="",0,IFERROR(VLOOKUP(COUNTIF($A$1:A113,"ANALISIS DE PRECIOS"),T_Rendimiento_Equipo,5,FALSE),0))</f>
        <v>0</v>
      </c>
      <c r="G113" s="538">
        <f t="shared" si="26"/>
        <v>0</v>
      </c>
    </row>
    <row r="114" spans="1:8" ht="19.899999999999999" customHeight="1" x14ac:dyDescent="0.2">
      <c r="A114" s="585"/>
      <c r="B114" s="524"/>
      <c r="C114" s="528"/>
      <c r="D114" s="524"/>
      <c r="E114" s="525"/>
      <c r="F114" s="547" t="s">
        <v>27</v>
      </c>
      <c r="G114" s="586">
        <f>SUBTOTAL(9,G105:G113)</f>
        <v>0</v>
      </c>
      <c r="H114" s="731"/>
    </row>
    <row r="115" spans="1:8" ht="19.899999999999999" customHeight="1" x14ac:dyDescent="0.2">
      <c r="A115" s="582"/>
      <c r="B115" s="528"/>
      <c r="C115" s="520" t="s">
        <v>713</v>
      </c>
      <c r="D115" s="524"/>
      <c r="E115" s="525"/>
      <c r="F115" s="526"/>
      <c r="G115" s="583"/>
    </row>
    <row r="116" spans="1:8" ht="19.899999999999999" customHeight="1" x14ac:dyDescent="0.2">
      <c r="A116" s="793" t="s">
        <v>576</v>
      </c>
      <c r="B116" s="794"/>
      <c r="C116" s="795" t="s">
        <v>0</v>
      </c>
      <c r="D116" s="797" t="s">
        <v>24</v>
      </c>
      <c r="E116" s="797" t="s">
        <v>1718</v>
      </c>
      <c r="F116" s="799" t="s">
        <v>985</v>
      </c>
      <c r="G116" s="801" t="s">
        <v>26</v>
      </c>
    </row>
    <row r="117" spans="1:8" ht="19.899999999999999" customHeight="1" x14ac:dyDescent="0.2">
      <c r="A117" s="543" t="s">
        <v>577</v>
      </c>
      <c r="B117" s="543" t="s">
        <v>578</v>
      </c>
      <c r="C117" s="796"/>
      <c r="D117" s="798"/>
      <c r="E117" s="798"/>
      <c r="F117" s="800"/>
      <c r="G117" s="802"/>
    </row>
    <row r="118" spans="1:8" ht="19.899999999999999" customHeight="1" x14ac:dyDescent="0.2">
      <c r="A118" s="584" t="str">
        <f t="shared" ref="A118:A124" si="27">IFERROR(VLOOKUP(C118,T_Insumos,4,FALSE),0)</f>
        <v>IIEE-SJ - 1</v>
      </c>
      <c r="B118" s="544" t="str">
        <f t="shared" ref="B118:B124" si="28">IFERROR(VLOOKUP(C118,T_Insumos,5,FALSE),0)</f>
        <v>Mano de Obra</v>
      </c>
      <c r="C118" s="548" t="str">
        <f>+C43</f>
        <v>Mano de obra</v>
      </c>
      <c r="D118" s="541">
        <f>0.09</f>
        <v>0.09</v>
      </c>
      <c r="E118" s="538">
        <f t="shared" ref="E118:E124" si="29">IFERROR(VLOOKUP(C118,T_Insumos,3,FALSE),0)</f>
        <v>0</v>
      </c>
      <c r="F118" s="541">
        <f>IF(C118="",0,IFERROR(VLOOKUP(COUNTIF($A$1:A118,"ANALISIS DE PRECIOS"),T_Rendimiento_Equipo,5,FALSE),0))</f>
        <v>0</v>
      </c>
      <c r="G118" s="538">
        <f>IFERROR(ROUND(D118*E118/F118,2),0)</f>
        <v>0</v>
      </c>
    </row>
    <row r="119" spans="1:8" ht="19.899999999999999" customHeight="1" x14ac:dyDescent="0.2">
      <c r="A119" s="584" t="str">
        <f t="shared" si="27"/>
        <v>INDEC-CM - 37510-11</v>
      </c>
      <c r="B119" s="544" t="str">
        <f t="shared" si="28"/>
        <v>Hormigón elaborado</v>
      </c>
      <c r="C119" s="548" t="str">
        <f t="shared" ref="C119:C121" si="30">+C44</f>
        <v>Hormigon Elaborado</v>
      </c>
      <c r="D119" s="541">
        <v>3.09</v>
      </c>
      <c r="E119" s="538">
        <f t="shared" si="29"/>
        <v>0</v>
      </c>
      <c r="F119" s="541">
        <f>IF(C119="",0,IFERROR(VLOOKUP(COUNTIF($A$1:A119,"ANALISIS DE PRECIOS"),T_Rendimiento_Equipo,5,FALSE),0))</f>
        <v>0</v>
      </c>
      <c r="G119" s="538">
        <f t="shared" ref="G119:G124" si="31">IFERROR(ROUND(D119*E119/F119,2),0)</f>
        <v>0</v>
      </c>
      <c r="H119" s="731"/>
    </row>
    <row r="120" spans="1:8" ht="19.899999999999999" customHeight="1" x14ac:dyDescent="0.2">
      <c r="A120" s="584" t="str">
        <f t="shared" si="27"/>
        <v>INDEC-DCTO - Inciso j)</v>
      </c>
      <c r="B120" s="544" t="str">
        <f t="shared" si="28"/>
        <v>Equipo - Amortización de equipo</v>
      </c>
      <c r="C120" s="548" t="str">
        <f t="shared" si="30"/>
        <v>Equipo - Amortizacion de equipo</v>
      </c>
      <c r="D120" s="541"/>
      <c r="E120" s="538">
        <f t="shared" si="29"/>
        <v>0</v>
      </c>
      <c r="F120" s="541">
        <f>IF(C120="",0,IFERROR(VLOOKUP(COUNTIF($A$1:A120,"ANALISIS DE PRECIOS"),T_Rendimiento_Equipo,5,FALSE),0))</f>
        <v>0</v>
      </c>
      <c r="G120" s="538">
        <f t="shared" si="31"/>
        <v>0</v>
      </c>
      <c r="H120" s="730"/>
    </row>
    <row r="121" spans="1:8" ht="19.899999999999999" customHeight="1" x14ac:dyDescent="0.2">
      <c r="A121" s="584" t="str">
        <f t="shared" si="27"/>
        <v>INDEC-CM - 41242-11</v>
      </c>
      <c r="B121" s="544" t="str">
        <f t="shared" si="28"/>
        <v>Acero aletado conformado, en barra</v>
      </c>
      <c r="C121" s="548" t="str">
        <f t="shared" si="30"/>
        <v>Hierro</v>
      </c>
      <c r="D121" s="541">
        <v>4.09</v>
      </c>
      <c r="E121" s="538">
        <f t="shared" si="29"/>
        <v>0</v>
      </c>
      <c r="F121" s="541">
        <f>IF(C121="",0,IFERROR(VLOOKUP(COUNTIF($A$1:A121,"ANALISIS DE PRECIOS"),T_Rendimiento_Equipo,5,FALSE),0))</f>
        <v>0</v>
      </c>
      <c r="G121" s="538">
        <f>IFERROR(ROUND(D121*E121/F121,2),0)</f>
        <v>0</v>
      </c>
    </row>
    <row r="122" spans="1:8" ht="19.899999999999999" customHeight="1" x14ac:dyDescent="0.2">
      <c r="A122" s="584">
        <f t="shared" si="27"/>
        <v>0</v>
      </c>
      <c r="B122" s="544">
        <f t="shared" si="28"/>
        <v>0</v>
      </c>
      <c r="C122" s="535"/>
      <c r="D122" s="541"/>
      <c r="E122" s="538">
        <f t="shared" si="29"/>
        <v>0</v>
      </c>
      <c r="F122" s="541">
        <f>IF(C122="",0,IFERROR(VLOOKUP(COUNTIF($A$1:A122,"ANALISIS DE PRECIOS"),T_Rendimiento_Equipo,5,FALSE),0))</f>
        <v>0</v>
      </c>
      <c r="G122" s="538">
        <f t="shared" si="31"/>
        <v>0</v>
      </c>
    </row>
    <row r="123" spans="1:8" ht="19.899999999999999" customHeight="1" x14ac:dyDescent="0.2">
      <c r="A123" s="584">
        <f t="shared" si="27"/>
        <v>0</v>
      </c>
      <c r="B123" s="544">
        <f t="shared" si="28"/>
        <v>0</v>
      </c>
      <c r="C123" s="535"/>
      <c r="D123" s="549"/>
      <c r="E123" s="538">
        <f t="shared" si="29"/>
        <v>0</v>
      </c>
      <c r="F123" s="541">
        <f>IF(C123="",0,IFERROR(VLOOKUP(COUNTIF($A$1:A123,"ANALISIS DE PRECIOS"),T_Rendimiento_Equipo,5,FALSE),0))</f>
        <v>0</v>
      </c>
      <c r="G123" s="538">
        <f t="shared" si="31"/>
        <v>0</v>
      </c>
    </row>
    <row r="124" spans="1:8" ht="19.899999999999999" customHeight="1" x14ac:dyDescent="0.2">
      <c r="A124" s="584">
        <f t="shared" si="27"/>
        <v>0</v>
      </c>
      <c r="B124" s="544">
        <f t="shared" si="28"/>
        <v>0</v>
      </c>
      <c r="C124" s="544"/>
      <c r="D124" s="550"/>
      <c r="E124" s="538">
        <f t="shared" si="29"/>
        <v>0</v>
      </c>
      <c r="F124" s="541">
        <f>IF(C124="",0,IFERROR(VLOOKUP(COUNTIF($A$1:A124,"ANALISIS DE PRECIOS"),T_Rendimiento_Equipo,5,FALSE),0))</f>
        <v>0</v>
      </c>
      <c r="G124" s="538">
        <f t="shared" si="31"/>
        <v>0</v>
      </c>
    </row>
    <row r="125" spans="1:8" ht="19.899999999999999" customHeight="1" x14ac:dyDescent="0.2">
      <c r="A125" s="585"/>
      <c r="B125" s="524"/>
      <c r="C125" s="528"/>
      <c r="D125" s="524"/>
      <c r="E125" s="525"/>
      <c r="F125" s="547" t="s">
        <v>28</v>
      </c>
      <c r="G125" s="587">
        <f>SUBTOTAL(9,G118:G124)</f>
        <v>0</v>
      </c>
    </row>
    <row r="126" spans="1:8" ht="19.899999999999999" customHeight="1" x14ac:dyDescent="0.2">
      <c r="A126" s="582"/>
      <c r="B126" s="528"/>
      <c r="C126" s="520" t="s">
        <v>992</v>
      </c>
      <c r="D126" s="524"/>
      <c r="E126" s="525"/>
      <c r="F126" s="526"/>
      <c r="G126" s="583"/>
    </row>
    <row r="127" spans="1:8" ht="19.899999999999999" customHeight="1" x14ac:dyDescent="0.2">
      <c r="A127" s="793" t="s">
        <v>576</v>
      </c>
      <c r="B127" s="794"/>
      <c r="C127" s="795" t="s">
        <v>0</v>
      </c>
      <c r="D127" s="795" t="s">
        <v>1740</v>
      </c>
      <c r="E127" s="797" t="s">
        <v>24</v>
      </c>
      <c r="F127" s="799" t="s">
        <v>25</v>
      </c>
      <c r="G127" s="801" t="s">
        <v>26</v>
      </c>
    </row>
    <row r="128" spans="1:8" ht="19.899999999999999" customHeight="1" x14ac:dyDescent="0.2">
      <c r="A128" s="543" t="s">
        <v>577</v>
      </c>
      <c r="B128" s="543" t="s">
        <v>578</v>
      </c>
      <c r="C128" s="796"/>
      <c r="D128" s="796"/>
      <c r="E128" s="798"/>
      <c r="F128" s="800"/>
      <c r="G128" s="802"/>
    </row>
    <row r="129" spans="1:10" ht="19.899999999999999" customHeight="1" x14ac:dyDescent="0.2">
      <c r="A129" s="584">
        <f t="shared" ref="A129:A139" si="32">IFERROR(VLOOKUP(C129,T_Insumos,4,FALSE),0)</f>
        <v>0</v>
      </c>
      <c r="B129" s="544">
        <f t="shared" ref="B129:B139" si="33">IFERROR(VLOOKUP(C129,T_Insumos,5,FALSE),0)</f>
        <v>0</v>
      </c>
      <c r="C129" s="544">
        <f>+Insumos!A64</f>
        <v>0</v>
      </c>
      <c r="D129" s="596">
        <f t="shared" ref="D129:D139" si="34">IFERROR(VLOOKUP(C129,T_Insumos,2,FALSE),0)</f>
        <v>0</v>
      </c>
      <c r="E129" s="536"/>
      <c r="F129" s="538">
        <f t="shared" ref="F129:F139" si="35">IFERROR(VLOOKUP(C129,T_Insumos,3,FALSE),0)</f>
        <v>0</v>
      </c>
      <c r="G129" s="538">
        <f>ROUND(E129*F129,2)</f>
        <v>0</v>
      </c>
    </row>
    <row r="130" spans="1:10" ht="19.899999999999999" customHeight="1" x14ac:dyDescent="0.2">
      <c r="A130" s="584">
        <f t="shared" si="32"/>
        <v>0</v>
      </c>
      <c r="B130" s="544">
        <f t="shared" si="33"/>
        <v>0</v>
      </c>
      <c r="C130" s="544">
        <f>+Insumos!A56</f>
        <v>0</v>
      </c>
      <c r="D130" s="596">
        <f t="shared" si="34"/>
        <v>0</v>
      </c>
      <c r="E130" s="536"/>
      <c r="F130" s="538">
        <f t="shared" si="35"/>
        <v>0</v>
      </c>
      <c r="G130" s="538">
        <f t="shared" ref="G130:G139" si="36">ROUND(E130*F130,2)</f>
        <v>0</v>
      </c>
    </row>
    <row r="131" spans="1:10" ht="19.899999999999999" customHeight="1" x14ac:dyDescent="0.2">
      <c r="A131" s="584">
        <f t="shared" si="32"/>
        <v>0</v>
      </c>
      <c r="B131" s="544">
        <f t="shared" si="33"/>
        <v>0</v>
      </c>
      <c r="C131" s="544">
        <f>+Insumos!A57</f>
        <v>0</v>
      </c>
      <c r="D131" s="596">
        <f t="shared" si="34"/>
        <v>0</v>
      </c>
      <c r="E131" s="536"/>
      <c r="F131" s="538">
        <f t="shared" si="35"/>
        <v>0</v>
      </c>
      <c r="G131" s="538">
        <f t="shared" si="36"/>
        <v>0</v>
      </c>
    </row>
    <row r="132" spans="1:10" ht="19.899999999999999" customHeight="1" x14ac:dyDescent="0.2">
      <c r="A132" s="584">
        <f t="shared" si="32"/>
        <v>0</v>
      </c>
      <c r="B132" s="544">
        <f t="shared" si="33"/>
        <v>0</v>
      </c>
      <c r="C132" s="544">
        <f>+Insumos!A87</f>
        <v>0</v>
      </c>
      <c r="D132" s="596">
        <f t="shared" si="34"/>
        <v>0</v>
      </c>
      <c r="E132" s="536"/>
      <c r="F132" s="538">
        <f t="shared" si="35"/>
        <v>0</v>
      </c>
      <c r="G132" s="538">
        <f t="shared" si="36"/>
        <v>0</v>
      </c>
    </row>
    <row r="133" spans="1:10" ht="19.899999999999999" customHeight="1" x14ac:dyDescent="0.2">
      <c r="A133" s="584">
        <f t="shared" si="32"/>
        <v>0</v>
      </c>
      <c r="B133" s="544">
        <f t="shared" si="33"/>
        <v>0</v>
      </c>
      <c r="C133" s="544">
        <f>+Insumos!A47</f>
        <v>0</v>
      </c>
      <c r="D133" s="596">
        <f t="shared" si="34"/>
        <v>0</v>
      </c>
      <c r="E133" s="536"/>
      <c r="F133" s="538">
        <f t="shared" si="35"/>
        <v>0</v>
      </c>
      <c r="G133" s="538">
        <f t="shared" si="36"/>
        <v>0</v>
      </c>
    </row>
    <row r="134" spans="1:10" ht="19.899999999999999" customHeight="1" x14ac:dyDescent="0.2">
      <c r="A134" s="584">
        <f t="shared" si="32"/>
        <v>0</v>
      </c>
      <c r="B134" s="544">
        <f t="shared" si="33"/>
        <v>0</v>
      </c>
      <c r="C134" s="544">
        <f>+Insumos!A66</f>
        <v>0</v>
      </c>
      <c r="D134" s="596">
        <f t="shared" si="34"/>
        <v>0</v>
      </c>
      <c r="E134" s="536"/>
      <c r="F134" s="538">
        <f t="shared" si="35"/>
        <v>0</v>
      </c>
      <c r="G134" s="538">
        <f t="shared" si="36"/>
        <v>0</v>
      </c>
    </row>
    <row r="135" spans="1:10" ht="19.899999999999999" customHeight="1" x14ac:dyDescent="0.2">
      <c r="A135" s="584">
        <f t="shared" si="32"/>
        <v>0</v>
      </c>
      <c r="B135" s="544">
        <f t="shared" si="33"/>
        <v>0</v>
      </c>
      <c r="C135" s="544">
        <f>+Insumos!A50</f>
        <v>0</v>
      </c>
      <c r="D135" s="596">
        <f t="shared" si="34"/>
        <v>0</v>
      </c>
      <c r="E135" s="536"/>
      <c r="F135" s="538">
        <f>IFERROR(VLOOKUP(C135,T_Insumos,3,FALSE),0)</f>
        <v>0</v>
      </c>
      <c r="G135" s="538">
        <f t="shared" si="36"/>
        <v>0</v>
      </c>
      <c r="I135" s="737"/>
      <c r="J135" s="737"/>
    </row>
    <row r="136" spans="1:10" ht="19.899999999999999" customHeight="1" x14ac:dyDescent="0.2">
      <c r="A136" s="584">
        <f t="shared" si="32"/>
        <v>0</v>
      </c>
      <c r="B136" s="544">
        <f t="shared" si="33"/>
        <v>0</v>
      </c>
      <c r="C136" s="544">
        <f>+Insumos!A101</f>
        <v>0</v>
      </c>
      <c r="D136" s="596">
        <f t="shared" si="34"/>
        <v>0</v>
      </c>
      <c r="E136" s="536"/>
      <c r="F136" s="538">
        <f t="shared" si="35"/>
        <v>0</v>
      </c>
      <c r="G136" s="538">
        <f t="shared" si="36"/>
        <v>0</v>
      </c>
    </row>
    <row r="137" spans="1:10" ht="19.899999999999999" customHeight="1" x14ac:dyDescent="0.2">
      <c r="A137" s="584">
        <f t="shared" si="32"/>
        <v>0</v>
      </c>
      <c r="B137" s="544">
        <f t="shared" si="33"/>
        <v>0</v>
      </c>
      <c r="C137" s="544"/>
      <c r="D137" s="596">
        <f t="shared" si="34"/>
        <v>0</v>
      </c>
      <c r="E137" s="536"/>
      <c r="F137" s="538">
        <f t="shared" si="35"/>
        <v>0</v>
      </c>
      <c r="G137" s="538">
        <f t="shared" si="36"/>
        <v>0</v>
      </c>
      <c r="I137" s="749"/>
    </row>
    <row r="138" spans="1:10" ht="19.899999999999999" customHeight="1" x14ac:dyDescent="0.2">
      <c r="A138" s="584">
        <f t="shared" si="32"/>
        <v>0</v>
      </c>
      <c r="B138" s="544">
        <f t="shared" si="33"/>
        <v>0</v>
      </c>
      <c r="C138" s="544"/>
      <c r="D138" s="596">
        <f t="shared" si="34"/>
        <v>0</v>
      </c>
      <c r="E138" s="536"/>
      <c r="F138" s="538">
        <f t="shared" si="35"/>
        <v>0</v>
      </c>
      <c r="G138" s="538">
        <f t="shared" si="36"/>
        <v>0</v>
      </c>
    </row>
    <row r="139" spans="1:10" ht="19.899999999999999" customHeight="1" x14ac:dyDescent="0.2">
      <c r="A139" s="584">
        <f t="shared" si="32"/>
        <v>0</v>
      </c>
      <c r="B139" s="544">
        <f t="shared" si="33"/>
        <v>0</v>
      </c>
      <c r="C139" s="544"/>
      <c r="D139" s="596">
        <f t="shared" si="34"/>
        <v>0</v>
      </c>
      <c r="E139" s="536"/>
      <c r="F139" s="538">
        <f t="shared" si="35"/>
        <v>0</v>
      </c>
      <c r="G139" s="538">
        <f t="shared" si="36"/>
        <v>0</v>
      </c>
    </row>
    <row r="140" spans="1:10" ht="19.899999999999999" customHeight="1" x14ac:dyDescent="0.2">
      <c r="A140" s="582"/>
      <c r="B140" s="528"/>
      <c r="C140" s="528"/>
      <c r="D140" s="524"/>
      <c r="E140" s="525"/>
      <c r="F140" s="547" t="s">
        <v>29</v>
      </c>
      <c r="G140" s="588">
        <f>SUBTOTAL(9,G129:G139)</f>
        <v>0</v>
      </c>
      <c r="H140" s="732"/>
    </row>
    <row r="141" spans="1:10" ht="19.899999999999999" customHeight="1" x14ac:dyDescent="0.2">
      <c r="A141" s="582"/>
      <c r="B141" s="528"/>
      <c r="C141" s="520" t="s">
        <v>993</v>
      </c>
      <c r="D141" s="524"/>
      <c r="E141" s="525"/>
      <c r="F141" s="526"/>
      <c r="G141" s="583"/>
    </row>
    <row r="142" spans="1:10" ht="19.899999999999999" customHeight="1" x14ac:dyDescent="0.2">
      <c r="A142" s="793" t="s">
        <v>576</v>
      </c>
      <c r="B142" s="794"/>
      <c r="C142" s="795" t="s">
        <v>0</v>
      </c>
      <c r="D142" s="795" t="s">
        <v>1740</v>
      </c>
      <c r="E142" s="797" t="s">
        <v>24</v>
      </c>
      <c r="F142" s="799" t="s">
        <v>25</v>
      </c>
      <c r="G142" s="801" t="s">
        <v>26</v>
      </c>
    </row>
    <row r="143" spans="1:10" ht="19.899999999999999" customHeight="1" x14ac:dyDescent="0.2">
      <c r="A143" s="543" t="s">
        <v>577</v>
      </c>
      <c r="B143" s="543" t="s">
        <v>578</v>
      </c>
      <c r="C143" s="796"/>
      <c r="D143" s="796"/>
      <c r="E143" s="798"/>
      <c r="F143" s="800"/>
      <c r="G143" s="802"/>
    </row>
    <row r="144" spans="1:10" ht="19.899999999999999" customHeight="1" x14ac:dyDescent="0.2">
      <c r="A144" s="584">
        <f>IFERROR(VLOOKUP(C144,T_Insumos,4,FALSE),0)</f>
        <v>0</v>
      </c>
      <c r="B144" s="544">
        <f>IFERROR(VLOOKUP(C144,T_Insumos,5,FALSE),0)</f>
        <v>0</v>
      </c>
      <c r="C144" s="535"/>
      <c r="D144" s="596">
        <f>IF(C144=0,0,"$/tnkm")</f>
        <v>0</v>
      </c>
      <c r="E144" s="536"/>
      <c r="F144" s="538">
        <f>IFERROR(VLOOKUP(C144,T_Insumos,3,FALSE),0)</f>
        <v>0</v>
      </c>
      <c r="G144" s="538">
        <f>ROUND(E144*F144,2)</f>
        <v>0</v>
      </c>
    </row>
    <row r="145" spans="1:8" ht="19.899999999999999" customHeight="1" x14ac:dyDescent="0.2">
      <c r="A145" s="584">
        <f>IFERROR(VLOOKUP(C145,T_Insumos,4,FALSE),0)</f>
        <v>0</v>
      </c>
      <c r="B145" s="544">
        <f>IFERROR(VLOOKUP(C145,T_Insumos,5,FALSE),0)</f>
        <v>0</v>
      </c>
      <c r="C145" s="535"/>
      <c r="D145" s="596">
        <f>IF(C145=0,0,"$/tnkm")</f>
        <v>0</v>
      </c>
      <c r="E145" s="552"/>
      <c r="F145" s="538">
        <f>IFERROR(VLOOKUP(C145,T_Insumos,3,FALSE),0)</f>
        <v>0</v>
      </c>
      <c r="G145" s="538">
        <f t="shared" ref="G145" si="37">ROUND(E145*F145,2)</f>
        <v>0</v>
      </c>
    </row>
    <row r="146" spans="1:8" ht="19.899999999999999" customHeight="1" x14ac:dyDescent="0.2">
      <c r="A146" s="582"/>
      <c r="B146" s="528"/>
      <c r="C146" s="528"/>
      <c r="D146" s="524"/>
      <c r="E146" s="525"/>
      <c r="F146" s="547" t="s">
        <v>994</v>
      </c>
      <c r="G146" s="588">
        <f>SUBTOTAL(9,G144:G145)</f>
        <v>0</v>
      </c>
    </row>
    <row r="147" spans="1:8" ht="19.899999999999999" customHeight="1" x14ac:dyDescent="0.2">
      <c r="A147" s="585"/>
      <c r="B147" s="524"/>
      <c r="C147" s="528"/>
      <c r="D147" s="524"/>
      <c r="E147" s="525"/>
      <c r="F147" s="526"/>
      <c r="G147" s="583"/>
    </row>
    <row r="148" spans="1:8" ht="19.899999999999999" customHeight="1" x14ac:dyDescent="0.2">
      <c r="A148" s="647" t="str">
        <f>B82</f>
        <v>2.1</v>
      </c>
      <c r="B148" s="644" t="str">
        <f ca="1">C82</f>
        <v>Limpieza y Replanteo</v>
      </c>
      <c r="C148" s="524"/>
      <c r="D148" s="524" t="s">
        <v>1719</v>
      </c>
      <c r="E148" s="645"/>
      <c r="F148" s="646" t="str">
        <f ca="1">"$/"&amp;G82</f>
        <v>$/gl.</v>
      </c>
      <c r="G148" s="593">
        <f>SUBTOTAL(9,G105:G147)</f>
        <v>0</v>
      </c>
      <c r="H148" s="732"/>
    </row>
    <row r="149" spans="1:8" ht="19.899999999999999" customHeight="1" x14ac:dyDescent="0.2">
      <c r="A149" s="589"/>
      <c r="B149" s="590"/>
      <c r="C149" s="591"/>
      <c r="D149" s="591" t="s">
        <v>1915</v>
      </c>
      <c r="E149" s="592"/>
      <c r="F149" s="648" t="str">
        <f ca="1">"$/"&amp;G82</f>
        <v>$/gl.</v>
      </c>
      <c r="G149" s="733">
        <f>ROUND(G148*Coeficiente_Paso,2)</f>
        <v>0</v>
      </c>
    </row>
    <row r="150" spans="1:8" ht="19.899999999999999" customHeight="1" x14ac:dyDescent="0.2">
      <c r="A150" s="185"/>
      <c r="B150" s="185"/>
      <c r="C150" s="185"/>
      <c r="D150" s="185"/>
      <c r="E150" s="185"/>
      <c r="F150" s="185"/>
      <c r="G150" s="185"/>
    </row>
    <row r="151" spans="1:8" ht="19.899999999999999" customHeight="1" x14ac:dyDescent="0.2">
      <c r="A151" s="803" t="s">
        <v>31</v>
      </c>
      <c r="B151" s="804"/>
      <c r="C151" s="804"/>
      <c r="D151" s="804"/>
      <c r="E151" s="804"/>
      <c r="F151" s="804"/>
      <c r="G151" s="805"/>
    </row>
    <row r="152" spans="1:8" ht="19.899999999999999" customHeight="1" x14ac:dyDescent="0.2">
      <c r="A152" s="570" t="s">
        <v>711</v>
      </c>
      <c r="B152" s="518" t="str">
        <f>Comitente</f>
        <v>DEPARTAMENTO DE HIDRAULICA</v>
      </c>
      <c r="C152" s="519"/>
      <c r="D152" s="520"/>
      <c r="E152" s="520"/>
      <c r="F152" s="521"/>
      <c r="G152" s="571"/>
    </row>
    <row r="153" spans="1:8" ht="19.899999999999999" customHeight="1" x14ac:dyDescent="0.2">
      <c r="A153" s="570" t="s">
        <v>712</v>
      </c>
      <c r="B153" s="518">
        <f>Contratista</f>
        <v>0</v>
      </c>
      <c r="C153" s="522"/>
      <c r="D153" s="522"/>
      <c r="E153" s="522"/>
      <c r="F153" s="518"/>
      <c r="G153" s="572"/>
    </row>
    <row r="154" spans="1:8" ht="19.899999999999999" customHeight="1" x14ac:dyDescent="0.2">
      <c r="A154" s="570" t="s">
        <v>21</v>
      </c>
      <c r="B154" s="518" t="str">
        <f>Obra</f>
        <v>ENCAMISADO CANAL GENERAL COCHAGUAL</v>
      </c>
      <c r="C154" s="522"/>
      <c r="D154" s="522"/>
      <c r="E154" s="522"/>
      <c r="F154" s="518" t="s">
        <v>32</v>
      </c>
      <c r="G154" s="572">
        <f>Fecha_Base</f>
        <v>44319</v>
      </c>
    </row>
    <row r="155" spans="1:8" ht="19.899999999999999" customHeight="1" x14ac:dyDescent="0.2">
      <c r="A155" s="573" t="s">
        <v>710</v>
      </c>
      <c r="B155" s="523" t="str">
        <f>Ubicación</f>
        <v>DEPARTAMENTO SARMIENTO</v>
      </c>
      <c r="C155" s="523"/>
      <c r="D155" s="524"/>
      <c r="E155" s="525"/>
      <c r="F155" s="526"/>
      <c r="G155" s="574"/>
    </row>
    <row r="156" spans="1:8" ht="19.899999999999999" customHeight="1" x14ac:dyDescent="0.2">
      <c r="A156" s="573" t="s">
        <v>33</v>
      </c>
      <c r="B156" s="527">
        <f>IFERROR(VALUE(LEFT(B157,FIND(".",B157)-1)),"")</f>
        <v>2</v>
      </c>
      <c r="C156" s="528" t="str">
        <f ca="1">IFERROR(VLOOKUP(B156,T_Computo_Presupuesto,2,FALSE),0)</f>
        <v>CANAL GENERAL COCHAGUAL Progresiva 4080-4880</v>
      </c>
      <c r="D156" s="528"/>
      <c r="E156" s="525"/>
      <c r="F156" s="526"/>
      <c r="G156" s="574"/>
    </row>
    <row r="157" spans="1:8" ht="19.899999999999999" customHeight="1" x14ac:dyDescent="0.2">
      <c r="A157" s="573" t="s">
        <v>22</v>
      </c>
      <c r="B157" s="529" t="str">
        <f>IFERROR(VLOOKUP(COUNTIF($A$1:A157,"ANALISIS DE PRECIOS"),T_NumeroItem,2,FALSE),"")</f>
        <v>2.2</v>
      </c>
      <c r="C157" s="806" t="str">
        <f ca="1">IFERROR(VLOOKUP(B157,T_Computo_Presupuesto,2,FALSE),0)</f>
        <v>Relleno y compactacion de posibles oquedadas laterales</v>
      </c>
      <c r="D157" s="806"/>
      <c r="E157" s="806"/>
      <c r="F157" s="523" t="s">
        <v>23</v>
      </c>
      <c r="G157" s="575" t="str">
        <f ca="1">IFERROR(VLOOKUP(B157,T_Computo_Presupuesto,4,FALSE),0)</f>
        <v>m3</v>
      </c>
    </row>
    <row r="158" spans="1:8" ht="19.899999999999999" customHeight="1" x14ac:dyDescent="0.2">
      <c r="A158" s="573"/>
      <c r="B158" s="523"/>
      <c r="C158" s="528"/>
      <c r="D158" s="524"/>
      <c r="E158" s="525"/>
      <c r="F158" s="528"/>
      <c r="G158" s="576"/>
    </row>
    <row r="159" spans="1:8" ht="19.899999999999999" customHeight="1" x14ac:dyDescent="0.2">
      <c r="A159" s="577"/>
      <c r="B159" s="530"/>
      <c r="C159" s="531" t="s">
        <v>977</v>
      </c>
      <c r="D159" s="530"/>
      <c r="E159" s="530"/>
      <c r="F159" s="530"/>
      <c r="G159" s="578"/>
    </row>
    <row r="160" spans="1:8" ht="19.899999999999999" customHeight="1" x14ac:dyDescent="0.2">
      <c r="A160" s="573"/>
      <c r="B160" s="532"/>
      <c r="C160" s="528"/>
      <c r="D160" s="524"/>
      <c r="E160" s="525"/>
      <c r="F160" s="523"/>
      <c r="G160" s="575"/>
    </row>
    <row r="161" spans="1:7" ht="19.899999999999999" customHeight="1" x14ac:dyDescent="0.2">
      <c r="A161" s="573"/>
      <c r="B161" s="532"/>
      <c r="C161" s="533" t="s">
        <v>978</v>
      </c>
      <c r="D161" s="534" t="s">
        <v>24</v>
      </c>
      <c r="E161" s="534" t="s">
        <v>979</v>
      </c>
      <c r="F161" s="534" t="s">
        <v>980</v>
      </c>
      <c r="G161" s="533" t="s">
        <v>981</v>
      </c>
    </row>
    <row r="162" spans="1:7" ht="19.899999999999999" customHeight="1" x14ac:dyDescent="0.2">
      <c r="A162" s="573"/>
      <c r="B162" s="532"/>
      <c r="C162" s="535">
        <f>+Equipos!A14</f>
        <v>0</v>
      </c>
      <c r="D162" s="536"/>
      <c r="E162" s="537">
        <f t="shared" ref="E162:E171" si="38">IFERROR(VLOOKUP(C162,T_Equipos,4,FALSE),0)</f>
        <v>0</v>
      </c>
      <c r="F162" s="538">
        <f t="shared" ref="F162:F171" si="39">IFERROR(VLOOKUP(C162,T_Equipos,5,FALSE),0)</f>
        <v>0</v>
      </c>
      <c r="G162" s="538">
        <f>ROUND(D162*F162,2)</f>
        <v>0</v>
      </c>
    </row>
    <row r="163" spans="1:7" ht="19.899999999999999" customHeight="1" x14ac:dyDescent="0.2">
      <c r="A163" s="573"/>
      <c r="B163" s="532"/>
      <c r="C163" s="535">
        <f>+Equipos!A25</f>
        <v>0</v>
      </c>
      <c r="D163" s="536"/>
      <c r="E163" s="537">
        <f t="shared" si="38"/>
        <v>0</v>
      </c>
      <c r="F163" s="538">
        <f t="shared" si="39"/>
        <v>0</v>
      </c>
      <c r="G163" s="538">
        <f>ROUND(D163*F163,2)</f>
        <v>0</v>
      </c>
    </row>
    <row r="164" spans="1:7" ht="19.899999999999999" customHeight="1" x14ac:dyDescent="0.2">
      <c r="A164" s="573"/>
      <c r="B164" s="532"/>
      <c r="C164" s="535"/>
      <c r="D164" s="536"/>
      <c r="E164" s="537">
        <f t="shared" si="38"/>
        <v>0</v>
      </c>
      <c r="F164" s="538">
        <f t="shared" si="39"/>
        <v>0</v>
      </c>
      <c r="G164" s="538">
        <f>ROUND(D164*F164,2)</f>
        <v>0</v>
      </c>
    </row>
    <row r="165" spans="1:7" ht="19.899999999999999" customHeight="1" x14ac:dyDescent="0.2">
      <c r="A165" s="573"/>
      <c r="B165" s="532"/>
      <c r="C165" s="535"/>
      <c r="D165" s="536"/>
      <c r="E165" s="537">
        <f t="shared" si="38"/>
        <v>0</v>
      </c>
      <c r="F165" s="538">
        <f t="shared" si="39"/>
        <v>0</v>
      </c>
      <c r="G165" s="538">
        <f>ROUND(D165*F165,2)</f>
        <v>0</v>
      </c>
    </row>
    <row r="166" spans="1:7" ht="19.899999999999999" customHeight="1" x14ac:dyDescent="0.2">
      <c r="A166" s="573"/>
      <c r="B166" s="532"/>
      <c r="C166" s="535"/>
      <c r="D166" s="536"/>
      <c r="E166" s="537">
        <f t="shared" si="38"/>
        <v>0</v>
      </c>
      <c r="F166" s="538">
        <f t="shared" si="39"/>
        <v>0</v>
      </c>
      <c r="G166" s="538">
        <f t="shared" ref="G166:G171" si="40">ROUND(D166*F166,2)</f>
        <v>0</v>
      </c>
    </row>
    <row r="167" spans="1:7" ht="19.899999999999999" customHeight="1" x14ac:dyDescent="0.2">
      <c r="A167" s="573"/>
      <c r="B167" s="532"/>
      <c r="C167" s="535"/>
      <c r="D167" s="536"/>
      <c r="E167" s="537">
        <f t="shared" si="38"/>
        <v>0</v>
      </c>
      <c r="F167" s="538">
        <f t="shared" si="39"/>
        <v>0</v>
      </c>
      <c r="G167" s="538">
        <f t="shared" si="40"/>
        <v>0</v>
      </c>
    </row>
    <row r="168" spans="1:7" ht="19.899999999999999" customHeight="1" x14ac:dyDescent="0.2">
      <c r="A168" s="573"/>
      <c r="B168" s="532"/>
      <c r="C168" s="535"/>
      <c r="D168" s="536"/>
      <c r="E168" s="537">
        <f t="shared" si="38"/>
        <v>0</v>
      </c>
      <c r="F168" s="538">
        <f t="shared" si="39"/>
        <v>0</v>
      </c>
      <c r="G168" s="538">
        <f t="shared" si="40"/>
        <v>0</v>
      </c>
    </row>
    <row r="169" spans="1:7" ht="19.899999999999999" customHeight="1" x14ac:dyDescent="0.2">
      <c r="A169" s="573"/>
      <c r="B169" s="532"/>
      <c r="C169" s="535"/>
      <c r="D169" s="536"/>
      <c r="E169" s="537">
        <f t="shared" si="38"/>
        <v>0</v>
      </c>
      <c r="F169" s="538">
        <f t="shared" si="39"/>
        <v>0</v>
      </c>
      <c r="G169" s="538">
        <f t="shared" si="40"/>
        <v>0</v>
      </c>
    </row>
    <row r="170" spans="1:7" ht="19.899999999999999" customHeight="1" x14ac:dyDescent="0.2">
      <c r="A170" s="573"/>
      <c r="B170" s="532"/>
      <c r="C170" s="535"/>
      <c r="D170" s="536"/>
      <c r="E170" s="537">
        <f t="shared" si="38"/>
        <v>0</v>
      </c>
      <c r="F170" s="538">
        <f t="shared" si="39"/>
        <v>0</v>
      </c>
      <c r="G170" s="538">
        <f t="shared" si="40"/>
        <v>0</v>
      </c>
    </row>
    <row r="171" spans="1:7" ht="19.899999999999999" customHeight="1" x14ac:dyDescent="0.2">
      <c r="A171" s="573"/>
      <c r="B171" s="532"/>
      <c r="C171" s="535"/>
      <c r="D171" s="536"/>
      <c r="E171" s="537">
        <f t="shared" si="38"/>
        <v>0</v>
      </c>
      <c r="F171" s="538">
        <f t="shared" si="39"/>
        <v>0</v>
      </c>
      <c r="G171" s="538">
        <f t="shared" si="40"/>
        <v>0</v>
      </c>
    </row>
    <row r="172" spans="1:7" ht="19.899999999999999" customHeight="1" x14ac:dyDescent="0.2">
      <c r="A172" s="573"/>
      <c r="B172" s="532"/>
      <c r="C172" s="528"/>
      <c r="D172" s="528"/>
      <c r="E172" s="539"/>
      <c r="F172" s="523"/>
      <c r="G172" s="575"/>
    </row>
    <row r="173" spans="1:7" ht="19.899999999999999" customHeight="1" x14ac:dyDescent="0.2">
      <c r="A173" s="573"/>
      <c r="B173" s="528"/>
      <c r="C173" s="520" t="s">
        <v>982</v>
      </c>
      <c r="D173" s="523" t="s">
        <v>979</v>
      </c>
      <c r="E173" s="594">
        <f>SUMPRODUCT(D162:D171,E162:E171)</f>
        <v>0</v>
      </c>
      <c r="F173" s="523" t="s">
        <v>983</v>
      </c>
      <c r="G173" s="595">
        <f>SUM(G162:G171)</f>
        <v>0</v>
      </c>
    </row>
    <row r="174" spans="1:7" ht="19.899999999999999" customHeight="1" x14ac:dyDescent="0.2">
      <c r="A174" s="573"/>
      <c r="B174" s="532"/>
      <c r="C174" s="540"/>
      <c r="D174" s="539"/>
      <c r="E174" s="525"/>
      <c r="F174" s="523"/>
      <c r="G174" s="579"/>
    </row>
    <row r="175" spans="1:7" ht="19.899999999999999" customHeight="1" x14ac:dyDescent="0.2">
      <c r="A175" s="580"/>
      <c r="B175" s="532"/>
      <c r="C175" s="523" t="s">
        <v>984</v>
      </c>
      <c r="D175" s="541">
        <f>IFERROR(VLOOKUP(COUNTIF($A$1:A175,"ANALISIS DE PRECIOS"),T_Rendimiento_Equipo,5,FALSE),0)</f>
        <v>0</v>
      </c>
      <c r="E175" s="542" t="str">
        <f ca="1">G157&amp;"/día"</f>
        <v>m3/día</v>
      </c>
      <c r="F175" s="581"/>
      <c r="G175" s="575"/>
    </row>
    <row r="176" spans="1:7" ht="19.899999999999999" customHeight="1" x14ac:dyDescent="0.2">
      <c r="A176" s="573"/>
      <c r="B176" s="532"/>
      <c r="C176" s="528"/>
      <c r="D176" s="524"/>
      <c r="E176" s="525"/>
      <c r="F176" s="523"/>
      <c r="G176" s="575"/>
    </row>
    <row r="177" spans="1:7" ht="19.899999999999999" customHeight="1" x14ac:dyDescent="0.2">
      <c r="A177" s="793" t="s">
        <v>576</v>
      </c>
      <c r="B177" s="794"/>
      <c r="C177" s="795" t="s">
        <v>0</v>
      </c>
      <c r="D177" s="807" t="s">
        <v>1739</v>
      </c>
      <c r="E177" s="807" t="s">
        <v>1738</v>
      </c>
      <c r="F177" s="799" t="s">
        <v>985</v>
      </c>
      <c r="G177" s="801" t="s">
        <v>26</v>
      </c>
    </row>
    <row r="178" spans="1:7" ht="19.899999999999999" customHeight="1" x14ac:dyDescent="0.2">
      <c r="A178" s="543" t="s">
        <v>577</v>
      </c>
      <c r="B178" s="543" t="s">
        <v>578</v>
      </c>
      <c r="C178" s="796"/>
      <c r="D178" s="808"/>
      <c r="E178" s="798"/>
      <c r="F178" s="800"/>
      <c r="G178" s="802"/>
    </row>
    <row r="179" spans="1:7" ht="19.899999999999999" customHeight="1" x14ac:dyDescent="0.2">
      <c r="A179" s="582"/>
      <c r="B179" s="528"/>
      <c r="C179" s="520" t="s">
        <v>986</v>
      </c>
      <c r="D179" s="525"/>
      <c r="E179" s="525"/>
      <c r="F179" s="528"/>
      <c r="G179" s="583"/>
    </row>
    <row r="180" spans="1:7" ht="19.899999999999999" customHeight="1" x14ac:dyDescent="0.2">
      <c r="A180" s="584">
        <f t="shared" ref="A180:A188" si="41">IFERROR(VLOOKUP(C180,T_Insumos,4,FALSE),0)</f>
        <v>0</v>
      </c>
      <c r="B180" s="544">
        <f t="shared" ref="B180:B188" si="42">IFERROR(VLOOKUP(C180,T_Insumos,5,FALSE),0)</f>
        <v>0</v>
      </c>
      <c r="C180" s="535">
        <f>+C30</f>
        <v>0</v>
      </c>
      <c r="D180" s="545">
        <f t="shared" ref="D180:D188" si="43">IFERROR(VLOOKUP(C180,T_Insumos,3,FALSE),0)</f>
        <v>0</v>
      </c>
      <c r="E180" s="538">
        <f>D180*$G$173</f>
        <v>0</v>
      </c>
      <c r="F180" s="541">
        <f>IF(C180="",0,IFERROR(VLOOKUP(COUNTIF($A$1:A180,"ANALISIS DE PRECIOS"),T_Rendimiento_Equipo,5,FALSE),0))</f>
        <v>0</v>
      </c>
      <c r="G180" s="538">
        <f>IFERROR(ROUND(E180/F180,2),0)</f>
        <v>0</v>
      </c>
    </row>
    <row r="181" spans="1:7" ht="19.899999999999999" customHeight="1" x14ac:dyDescent="0.2">
      <c r="A181" s="584">
        <f t="shared" si="41"/>
        <v>0</v>
      </c>
      <c r="B181" s="544">
        <f t="shared" si="42"/>
        <v>0</v>
      </c>
      <c r="C181" s="535">
        <f t="shared" ref="C181:C183" si="44">+C31</f>
        <v>0</v>
      </c>
      <c r="D181" s="545">
        <f t="shared" si="43"/>
        <v>0</v>
      </c>
      <c r="E181" s="538">
        <f t="shared" ref="E181:E182" si="45">D181*$G$173</f>
        <v>0</v>
      </c>
      <c r="F181" s="541">
        <f>IF(C181="",0,IFERROR(VLOOKUP(COUNTIF($A$1:A181,"ANALISIS DE PRECIOS"),T_Rendimiento_Equipo,5,FALSE),0))</f>
        <v>0</v>
      </c>
      <c r="G181" s="538">
        <f t="shared" ref="G181:G188" si="46">IFERROR(ROUND(E181/F181,2),0)</f>
        <v>0</v>
      </c>
    </row>
    <row r="182" spans="1:7" ht="19.899999999999999" customHeight="1" x14ac:dyDescent="0.2">
      <c r="A182" s="584">
        <f t="shared" si="41"/>
        <v>0</v>
      </c>
      <c r="B182" s="544">
        <f t="shared" si="42"/>
        <v>0</v>
      </c>
      <c r="C182" s="535">
        <f t="shared" si="44"/>
        <v>0</v>
      </c>
      <c r="D182" s="545">
        <f t="shared" si="43"/>
        <v>0</v>
      </c>
      <c r="E182" s="538">
        <f t="shared" si="45"/>
        <v>0</v>
      </c>
      <c r="F182" s="541">
        <f>IF(C182="",0,IFERROR(VLOOKUP(COUNTIF($A$1:A182,"ANALISIS DE PRECIOS"),T_Rendimiento_Equipo,5,FALSE),0))</f>
        <v>0</v>
      </c>
      <c r="G182" s="538">
        <f t="shared" si="46"/>
        <v>0</v>
      </c>
    </row>
    <row r="183" spans="1:7" ht="19.899999999999999" customHeight="1" x14ac:dyDescent="0.2">
      <c r="A183" s="584">
        <f t="shared" si="41"/>
        <v>0</v>
      </c>
      <c r="B183" s="544">
        <f t="shared" si="42"/>
        <v>0</v>
      </c>
      <c r="C183" s="535">
        <f t="shared" si="44"/>
        <v>0</v>
      </c>
      <c r="D183" s="545">
        <f t="shared" si="43"/>
        <v>0</v>
      </c>
      <c r="E183" s="538">
        <f>D183*$E$173</f>
        <v>0</v>
      </c>
      <c r="F183" s="541">
        <f>IF(C183="",0,IFERROR(VLOOKUP(COUNTIF($A$1:A183,"ANALISIS DE PRECIOS"),T_Rendimiento_Equipo,5,FALSE),0))</f>
        <v>0</v>
      </c>
      <c r="G183" s="538">
        <f t="shared" si="46"/>
        <v>0</v>
      </c>
    </row>
    <row r="184" spans="1:7" ht="19.899999999999999" customHeight="1" x14ac:dyDescent="0.2">
      <c r="A184" s="584">
        <f t="shared" si="41"/>
        <v>0</v>
      </c>
      <c r="B184" s="544">
        <f t="shared" si="42"/>
        <v>0</v>
      </c>
      <c r="C184" s="546"/>
      <c r="D184" s="545">
        <f t="shared" si="43"/>
        <v>0</v>
      </c>
      <c r="E184" s="538"/>
      <c r="F184" s="541">
        <f>IF(C184="",0,IFERROR(VLOOKUP(COUNTIF($A$1:A184,"ANALISIS DE PRECIOS"),T_Rendimiento_Equipo,5,FALSE),0))</f>
        <v>0</v>
      </c>
      <c r="G184" s="538">
        <f t="shared" si="46"/>
        <v>0</v>
      </c>
    </row>
    <row r="185" spans="1:7" ht="19.899999999999999" customHeight="1" x14ac:dyDescent="0.2">
      <c r="A185" s="584">
        <f t="shared" si="41"/>
        <v>0</v>
      </c>
      <c r="B185" s="544">
        <f t="shared" si="42"/>
        <v>0</v>
      </c>
      <c r="C185" s="546"/>
      <c r="D185" s="545">
        <f t="shared" si="43"/>
        <v>0</v>
      </c>
      <c r="E185" s="538"/>
      <c r="F185" s="541">
        <f>IF(C185="",0,IFERROR(VLOOKUP(COUNTIF($A$1:A185,"ANALISIS DE PRECIOS"),T_Rendimiento_Equipo,5,FALSE),0))</f>
        <v>0</v>
      </c>
      <c r="G185" s="538">
        <f t="shared" si="46"/>
        <v>0</v>
      </c>
    </row>
    <row r="186" spans="1:7" ht="19.899999999999999" customHeight="1" x14ac:dyDescent="0.2">
      <c r="A186" s="584">
        <f t="shared" si="41"/>
        <v>0</v>
      </c>
      <c r="B186" s="544">
        <f t="shared" si="42"/>
        <v>0</v>
      </c>
      <c r="C186" s="546"/>
      <c r="D186" s="545">
        <f t="shared" si="43"/>
        <v>0</v>
      </c>
      <c r="E186" s="538"/>
      <c r="F186" s="541">
        <f>IF(C186="",0,IFERROR(VLOOKUP(COUNTIF($A$1:A186,"ANALISIS DE PRECIOS"),T_Rendimiento_Equipo,5,FALSE),0))</f>
        <v>0</v>
      </c>
      <c r="G186" s="538">
        <f t="shared" si="46"/>
        <v>0</v>
      </c>
    </row>
    <row r="187" spans="1:7" ht="19.899999999999999" customHeight="1" x14ac:dyDescent="0.2">
      <c r="A187" s="584">
        <f t="shared" si="41"/>
        <v>0</v>
      </c>
      <c r="B187" s="544">
        <f t="shared" si="42"/>
        <v>0</v>
      </c>
      <c r="C187" s="546"/>
      <c r="D187" s="545">
        <f t="shared" si="43"/>
        <v>0</v>
      </c>
      <c r="E187" s="538"/>
      <c r="F187" s="541">
        <f>IF(C187="",0,IFERROR(VLOOKUP(COUNTIF($A$1:A187,"ANALISIS DE PRECIOS"),T_Rendimiento_Equipo,5,FALSE),0))</f>
        <v>0</v>
      </c>
      <c r="G187" s="538">
        <f t="shared" si="46"/>
        <v>0</v>
      </c>
    </row>
    <row r="188" spans="1:7" ht="19.899999999999999" customHeight="1" x14ac:dyDescent="0.2">
      <c r="A188" s="584">
        <f t="shared" si="41"/>
        <v>0</v>
      </c>
      <c r="B188" s="544">
        <f t="shared" si="42"/>
        <v>0</v>
      </c>
      <c r="C188" s="535"/>
      <c r="D188" s="545">
        <f t="shared" si="43"/>
        <v>0</v>
      </c>
      <c r="E188" s="538"/>
      <c r="F188" s="541">
        <f>IF(C188="",0,IFERROR(VLOOKUP(COUNTIF($A$1:A188,"ANALISIS DE PRECIOS"),T_Rendimiento_Equipo,5,FALSE),0))</f>
        <v>0</v>
      </c>
      <c r="G188" s="538">
        <f t="shared" si="46"/>
        <v>0</v>
      </c>
    </row>
    <row r="189" spans="1:7" ht="19.899999999999999" customHeight="1" x14ac:dyDescent="0.2">
      <c r="A189" s="585"/>
      <c r="B189" s="524"/>
      <c r="C189" s="528"/>
      <c r="D189" s="524"/>
      <c r="E189" s="525"/>
      <c r="F189" s="547" t="s">
        <v>27</v>
      </c>
      <c r="G189" s="586">
        <f>SUBTOTAL(9,G180:G188)</f>
        <v>0</v>
      </c>
    </row>
    <row r="190" spans="1:7" ht="19.899999999999999" customHeight="1" x14ac:dyDescent="0.2">
      <c r="A190" s="582"/>
      <c r="B190" s="528"/>
      <c r="C190" s="520" t="s">
        <v>713</v>
      </c>
      <c r="D190" s="524"/>
      <c r="E190" s="525"/>
      <c r="F190" s="526"/>
      <c r="G190" s="583"/>
    </row>
    <row r="191" spans="1:7" ht="19.899999999999999" customHeight="1" x14ac:dyDescent="0.2">
      <c r="A191" s="793" t="s">
        <v>576</v>
      </c>
      <c r="B191" s="794"/>
      <c r="C191" s="795" t="s">
        <v>0</v>
      </c>
      <c r="D191" s="797" t="s">
        <v>24</v>
      </c>
      <c r="E191" s="797" t="s">
        <v>1718</v>
      </c>
      <c r="F191" s="799" t="s">
        <v>985</v>
      </c>
      <c r="G191" s="801" t="s">
        <v>26</v>
      </c>
    </row>
    <row r="192" spans="1:7" ht="19.899999999999999" customHeight="1" x14ac:dyDescent="0.2">
      <c r="A192" s="543" t="s">
        <v>577</v>
      </c>
      <c r="B192" s="543" t="s">
        <v>578</v>
      </c>
      <c r="C192" s="796"/>
      <c r="D192" s="798"/>
      <c r="E192" s="798"/>
      <c r="F192" s="800"/>
      <c r="G192" s="802"/>
    </row>
    <row r="193" spans="1:8" ht="19.899999999999999" customHeight="1" x14ac:dyDescent="0.2">
      <c r="A193" s="584" t="str">
        <f t="shared" ref="A193:A199" si="47">IFERROR(VLOOKUP(C193,T_Insumos,4,FALSE),0)</f>
        <v>IIEE-SJ - 1</v>
      </c>
      <c r="B193" s="544" t="str">
        <f t="shared" ref="B193:B199" si="48">IFERROR(VLOOKUP(C193,T_Insumos,5,FALSE),0)</f>
        <v>Mano de Obra</v>
      </c>
      <c r="C193" s="548" t="str">
        <f>+C43</f>
        <v>Mano de obra</v>
      </c>
      <c r="D193" s="541"/>
      <c r="E193" s="538">
        <f t="shared" ref="E193:E199" si="49">IFERROR(VLOOKUP(C193,T_Insumos,3,FALSE),0)</f>
        <v>0</v>
      </c>
      <c r="F193" s="541">
        <f>IF(C193="",0,IFERROR(VLOOKUP(COUNTIF($A$1:A193,"ANALISIS DE PRECIOS"),T_Rendimiento_Equipo,5,FALSE),0))</f>
        <v>0</v>
      </c>
      <c r="G193" s="538">
        <f>IFERROR(ROUND(D193*E193/F193,2),0)</f>
        <v>0</v>
      </c>
    </row>
    <row r="194" spans="1:8" ht="19.899999999999999" customHeight="1" x14ac:dyDescent="0.2">
      <c r="A194" s="584" t="str">
        <f t="shared" si="47"/>
        <v>INDEC-CM - 37510-11</v>
      </c>
      <c r="B194" s="544" t="str">
        <f t="shared" si="48"/>
        <v>Hormigón elaborado</v>
      </c>
      <c r="C194" s="548" t="str">
        <f t="shared" ref="C194:C196" si="50">+C44</f>
        <v>Hormigon Elaborado</v>
      </c>
      <c r="D194" s="541"/>
      <c r="E194" s="538">
        <f t="shared" si="49"/>
        <v>0</v>
      </c>
      <c r="F194" s="541">
        <f>IF(C194="",0,IFERROR(VLOOKUP(COUNTIF($A$1:A194,"ANALISIS DE PRECIOS"),T_Rendimiento_Equipo,5,FALSE),0))</f>
        <v>0</v>
      </c>
      <c r="G194" s="538">
        <f t="shared" ref="G194:G199" si="51">IFERROR(ROUND(D194*E194/F194,2),0)</f>
        <v>0</v>
      </c>
    </row>
    <row r="195" spans="1:8" ht="19.899999999999999" customHeight="1" x14ac:dyDescent="0.2">
      <c r="A195" s="584" t="str">
        <f t="shared" si="47"/>
        <v>INDEC-DCTO - Inciso j)</v>
      </c>
      <c r="B195" s="544" t="str">
        <f t="shared" si="48"/>
        <v>Equipo - Amortización de equipo</v>
      </c>
      <c r="C195" s="548" t="str">
        <f t="shared" si="50"/>
        <v>Equipo - Amortizacion de equipo</v>
      </c>
      <c r="D195" s="541"/>
      <c r="E195" s="538">
        <f t="shared" si="49"/>
        <v>0</v>
      </c>
      <c r="F195" s="541">
        <f>IF(C195="",0,IFERROR(VLOOKUP(COUNTIF($A$1:A195,"ANALISIS DE PRECIOS"),T_Rendimiento_Equipo,5,FALSE),0))</f>
        <v>0</v>
      </c>
      <c r="G195" s="538">
        <f t="shared" si="51"/>
        <v>0</v>
      </c>
    </row>
    <row r="196" spans="1:8" ht="19.899999999999999" customHeight="1" x14ac:dyDescent="0.2">
      <c r="A196" s="584" t="str">
        <f t="shared" si="47"/>
        <v>INDEC-CM - 41242-11</v>
      </c>
      <c r="B196" s="544" t="str">
        <f t="shared" si="48"/>
        <v>Acero aletado conformado, en barra</v>
      </c>
      <c r="C196" s="548" t="str">
        <f t="shared" si="50"/>
        <v>Hierro</v>
      </c>
      <c r="D196" s="541"/>
      <c r="E196" s="538">
        <f t="shared" si="49"/>
        <v>0</v>
      </c>
      <c r="F196" s="541">
        <f>IF(C196="",0,IFERROR(VLOOKUP(COUNTIF($A$1:A196,"ANALISIS DE PRECIOS"),T_Rendimiento_Equipo,5,FALSE),0))</f>
        <v>0</v>
      </c>
      <c r="G196" s="538">
        <f>IFERROR(ROUND(D196*E196/F196,2),0)</f>
        <v>0</v>
      </c>
    </row>
    <row r="197" spans="1:8" ht="19.899999999999999" customHeight="1" x14ac:dyDescent="0.2">
      <c r="A197" s="584">
        <f t="shared" si="47"/>
        <v>0</v>
      </c>
      <c r="B197" s="544">
        <f t="shared" si="48"/>
        <v>0</v>
      </c>
      <c r="C197" s="535"/>
      <c r="D197" s="541"/>
      <c r="E197" s="538">
        <f t="shared" si="49"/>
        <v>0</v>
      </c>
      <c r="F197" s="541">
        <f>IF(C197="",0,IFERROR(VLOOKUP(COUNTIF($A$1:A197,"ANALISIS DE PRECIOS"),T_Rendimiento_Equipo,5,FALSE),0))</f>
        <v>0</v>
      </c>
      <c r="G197" s="538">
        <f t="shared" si="51"/>
        <v>0</v>
      </c>
    </row>
    <row r="198" spans="1:8" ht="19.899999999999999" customHeight="1" x14ac:dyDescent="0.2">
      <c r="A198" s="584">
        <f t="shared" si="47"/>
        <v>0</v>
      </c>
      <c r="B198" s="544">
        <f t="shared" si="48"/>
        <v>0</v>
      </c>
      <c r="C198" s="535"/>
      <c r="D198" s="549"/>
      <c r="E198" s="538">
        <f t="shared" si="49"/>
        <v>0</v>
      </c>
      <c r="F198" s="541">
        <f>IF(C198="",0,IFERROR(VLOOKUP(COUNTIF($A$1:A198,"ANALISIS DE PRECIOS"),T_Rendimiento_Equipo,5,FALSE),0))</f>
        <v>0</v>
      </c>
      <c r="G198" s="538">
        <f t="shared" si="51"/>
        <v>0</v>
      </c>
    </row>
    <row r="199" spans="1:8" ht="19.899999999999999" customHeight="1" x14ac:dyDescent="0.2">
      <c r="A199" s="584">
        <f t="shared" si="47"/>
        <v>0</v>
      </c>
      <c r="B199" s="544">
        <f t="shared" si="48"/>
        <v>0</v>
      </c>
      <c r="C199" s="544"/>
      <c r="D199" s="550"/>
      <c r="E199" s="538">
        <f t="shared" si="49"/>
        <v>0</v>
      </c>
      <c r="F199" s="541">
        <f>IF(C199="",0,IFERROR(VLOOKUP(COUNTIF($A$1:A199,"ANALISIS DE PRECIOS"),T_Rendimiento_Equipo,5,FALSE),0))</f>
        <v>0</v>
      </c>
      <c r="G199" s="538">
        <f t="shared" si="51"/>
        <v>0</v>
      </c>
    </row>
    <row r="200" spans="1:8" ht="19.899999999999999" customHeight="1" x14ac:dyDescent="0.2">
      <c r="A200" s="585"/>
      <c r="B200" s="524"/>
      <c r="C200" s="528"/>
      <c r="D200" s="524"/>
      <c r="E200" s="525"/>
      <c r="F200" s="547" t="s">
        <v>28</v>
      </c>
      <c r="G200" s="587">
        <f>SUBTOTAL(9,G193:G199)</f>
        <v>0</v>
      </c>
      <c r="H200" s="734"/>
    </row>
    <row r="201" spans="1:8" ht="19.899999999999999" customHeight="1" x14ac:dyDescent="0.2">
      <c r="A201" s="582"/>
      <c r="B201" s="528"/>
      <c r="C201" s="520" t="s">
        <v>992</v>
      </c>
      <c r="D201" s="524"/>
      <c r="E201" s="525"/>
      <c r="F201" s="526"/>
      <c r="G201" s="583"/>
    </row>
    <row r="202" spans="1:8" ht="19.899999999999999" customHeight="1" x14ac:dyDescent="0.2">
      <c r="A202" s="793" t="s">
        <v>576</v>
      </c>
      <c r="B202" s="794"/>
      <c r="C202" s="795" t="s">
        <v>0</v>
      </c>
      <c r="D202" s="795" t="s">
        <v>1740</v>
      </c>
      <c r="E202" s="797" t="s">
        <v>24</v>
      </c>
      <c r="F202" s="799" t="s">
        <v>25</v>
      </c>
      <c r="G202" s="801" t="s">
        <v>26</v>
      </c>
    </row>
    <row r="203" spans="1:8" ht="19.899999999999999" customHeight="1" x14ac:dyDescent="0.2">
      <c r="A203" s="543" t="s">
        <v>577</v>
      </c>
      <c r="B203" s="543" t="s">
        <v>578</v>
      </c>
      <c r="C203" s="796"/>
      <c r="D203" s="796"/>
      <c r="E203" s="798"/>
      <c r="F203" s="800"/>
      <c r="G203" s="802"/>
    </row>
    <row r="204" spans="1:8" ht="19.899999999999999" customHeight="1" x14ac:dyDescent="0.2">
      <c r="A204" s="584">
        <f t="shared" ref="A204:A214" si="52">IFERROR(VLOOKUP(C204,T_Insumos,4,FALSE),0)</f>
        <v>0</v>
      </c>
      <c r="B204" s="544">
        <f t="shared" ref="B204:B214" si="53">IFERROR(VLOOKUP(C204,T_Insumos,5,FALSE),0)</f>
        <v>0</v>
      </c>
      <c r="C204" s="544"/>
      <c r="D204" s="596">
        <f t="shared" ref="D204:D214" si="54">IFERROR(VLOOKUP(C204,T_Insumos,2,FALSE),0)</f>
        <v>0</v>
      </c>
      <c r="E204" s="536"/>
      <c r="F204" s="538">
        <f t="shared" ref="F204:F214" si="55">IFERROR(VLOOKUP(C204,T_Insumos,3,FALSE),0)</f>
        <v>0</v>
      </c>
      <c r="G204" s="538">
        <f>ROUND(E204*F204,2)</f>
        <v>0</v>
      </c>
    </row>
    <row r="205" spans="1:8" ht="19.899999999999999" customHeight="1" x14ac:dyDescent="0.2">
      <c r="A205" s="584">
        <f t="shared" si="52"/>
        <v>0</v>
      </c>
      <c r="B205" s="544">
        <f t="shared" si="53"/>
        <v>0</v>
      </c>
      <c r="C205" s="544"/>
      <c r="D205" s="596">
        <f t="shared" si="54"/>
        <v>0</v>
      </c>
      <c r="E205" s="536"/>
      <c r="F205" s="538">
        <f t="shared" si="55"/>
        <v>0</v>
      </c>
      <c r="G205" s="538">
        <f t="shared" ref="G205:G214" si="56">ROUND(E205*F205,2)</f>
        <v>0</v>
      </c>
    </row>
    <row r="206" spans="1:8" ht="19.899999999999999" customHeight="1" x14ac:dyDescent="0.2">
      <c r="A206" s="584">
        <f t="shared" si="52"/>
        <v>0</v>
      </c>
      <c r="B206" s="544">
        <f t="shared" si="53"/>
        <v>0</v>
      </c>
      <c r="C206" s="544"/>
      <c r="D206" s="596">
        <f t="shared" si="54"/>
        <v>0</v>
      </c>
      <c r="E206" s="536"/>
      <c r="F206" s="538">
        <f t="shared" si="55"/>
        <v>0</v>
      </c>
      <c r="G206" s="538">
        <f t="shared" si="56"/>
        <v>0</v>
      </c>
    </row>
    <row r="207" spans="1:8" ht="19.899999999999999" customHeight="1" x14ac:dyDescent="0.2">
      <c r="A207" s="584">
        <f t="shared" si="52"/>
        <v>0</v>
      </c>
      <c r="B207" s="544">
        <f t="shared" si="53"/>
        <v>0</v>
      </c>
      <c r="C207" s="544"/>
      <c r="D207" s="596">
        <f t="shared" si="54"/>
        <v>0</v>
      </c>
      <c r="E207" s="536"/>
      <c r="F207" s="538">
        <f t="shared" si="55"/>
        <v>0</v>
      </c>
      <c r="G207" s="538">
        <f t="shared" si="56"/>
        <v>0</v>
      </c>
    </row>
    <row r="208" spans="1:8" ht="19.899999999999999" customHeight="1" x14ac:dyDescent="0.2">
      <c r="A208" s="584">
        <f t="shared" si="52"/>
        <v>0</v>
      </c>
      <c r="B208" s="544">
        <f t="shared" si="53"/>
        <v>0</v>
      </c>
      <c r="C208" s="544"/>
      <c r="D208" s="596">
        <f t="shared" si="54"/>
        <v>0</v>
      </c>
      <c r="E208" s="536"/>
      <c r="F208" s="538">
        <f t="shared" si="55"/>
        <v>0</v>
      </c>
      <c r="G208" s="538">
        <f t="shared" si="56"/>
        <v>0</v>
      </c>
    </row>
    <row r="209" spans="1:7" ht="19.899999999999999" customHeight="1" x14ac:dyDescent="0.2">
      <c r="A209" s="584">
        <f t="shared" si="52"/>
        <v>0</v>
      </c>
      <c r="B209" s="544">
        <f t="shared" si="53"/>
        <v>0</v>
      </c>
      <c r="C209" s="544"/>
      <c r="D209" s="596">
        <f t="shared" si="54"/>
        <v>0</v>
      </c>
      <c r="E209" s="536"/>
      <c r="F209" s="538">
        <f t="shared" si="55"/>
        <v>0</v>
      </c>
      <c r="G209" s="538">
        <f t="shared" si="56"/>
        <v>0</v>
      </c>
    </row>
    <row r="210" spans="1:7" ht="19.899999999999999" customHeight="1" x14ac:dyDescent="0.2">
      <c r="A210" s="584">
        <f t="shared" si="52"/>
        <v>0</v>
      </c>
      <c r="B210" s="544">
        <f t="shared" si="53"/>
        <v>0</v>
      </c>
      <c r="C210" s="544"/>
      <c r="D210" s="596">
        <f t="shared" si="54"/>
        <v>0</v>
      </c>
      <c r="E210" s="536"/>
      <c r="F210" s="538">
        <f t="shared" si="55"/>
        <v>0</v>
      </c>
      <c r="G210" s="538">
        <f t="shared" si="56"/>
        <v>0</v>
      </c>
    </row>
    <row r="211" spans="1:7" ht="19.899999999999999" customHeight="1" x14ac:dyDescent="0.2">
      <c r="A211" s="584">
        <f t="shared" si="52"/>
        <v>0</v>
      </c>
      <c r="B211" s="544">
        <f t="shared" si="53"/>
        <v>0</v>
      </c>
      <c r="C211" s="544"/>
      <c r="D211" s="596">
        <f t="shared" si="54"/>
        <v>0</v>
      </c>
      <c r="E211" s="536"/>
      <c r="F211" s="538">
        <f t="shared" si="55"/>
        <v>0</v>
      </c>
      <c r="G211" s="538">
        <f t="shared" si="56"/>
        <v>0</v>
      </c>
    </row>
    <row r="212" spans="1:7" ht="19.899999999999999" customHeight="1" x14ac:dyDescent="0.2">
      <c r="A212" s="584">
        <f t="shared" si="52"/>
        <v>0</v>
      </c>
      <c r="B212" s="544">
        <f t="shared" si="53"/>
        <v>0</v>
      </c>
      <c r="C212" s="544"/>
      <c r="D212" s="596">
        <f t="shared" si="54"/>
        <v>0</v>
      </c>
      <c r="E212" s="536"/>
      <c r="F212" s="538">
        <f t="shared" si="55"/>
        <v>0</v>
      </c>
      <c r="G212" s="538">
        <f t="shared" si="56"/>
        <v>0</v>
      </c>
    </row>
    <row r="213" spans="1:7" ht="19.899999999999999" customHeight="1" x14ac:dyDescent="0.2">
      <c r="A213" s="584">
        <f t="shared" si="52"/>
        <v>0</v>
      </c>
      <c r="B213" s="544">
        <f t="shared" si="53"/>
        <v>0</v>
      </c>
      <c r="C213" s="544"/>
      <c r="D213" s="596">
        <f t="shared" si="54"/>
        <v>0</v>
      </c>
      <c r="E213" s="536"/>
      <c r="F213" s="538">
        <f t="shared" si="55"/>
        <v>0</v>
      </c>
      <c r="G213" s="538">
        <f t="shared" si="56"/>
        <v>0</v>
      </c>
    </row>
    <row r="214" spans="1:7" ht="19.899999999999999" customHeight="1" x14ac:dyDescent="0.2">
      <c r="A214" s="584">
        <f t="shared" si="52"/>
        <v>0</v>
      </c>
      <c r="B214" s="544">
        <f t="shared" si="53"/>
        <v>0</v>
      </c>
      <c r="C214" s="544"/>
      <c r="D214" s="596">
        <f t="shared" si="54"/>
        <v>0</v>
      </c>
      <c r="E214" s="536"/>
      <c r="F214" s="538">
        <f t="shared" si="55"/>
        <v>0</v>
      </c>
      <c r="G214" s="538">
        <f t="shared" si="56"/>
        <v>0</v>
      </c>
    </row>
    <row r="215" spans="1:7" ht="19.899999999999999" customHeight="1" x14ac:dyDescent="0.2">
      <c r="A215" s="582"/>
      <c r="B215" s="528"/>
      <c r="C215" s="528"/>
      <c r="D215" s="524"/>
      <c r="E215" s="525"/>
      <c r="F215" s="547" t="s">
        <v>29</v>
      </c>
      <c r="G215" s="588">
        <f>SUBTOTAL(9,G204:G214)</f>
        <v>0</v>
      </c>
    </row>
    <row r="216" spans="1:7" ht="19.899999999999999" customHeight="1" x14ac:dyDescent="0.2">
      <c r="A216" s="582"/>
      <c r="B216" s="528"/>
      <c r="C216" s="520" t="s">
        <v>993</v>
      </c>
      <c r="D216" s="524"/>
      <c r="E216" s="525"/>
      <c r="F216" s="526"/>
      <c r="G216" s="583"/>
    </row>
    <row r="217" spans="1:7" ht="19.899999999999999" customHeight="1" x14ac:dyDescent="0.2">
      <c r="A217" s="793" t="s">
        <v>576</v>
      </c>
      <c r="B217" s="794"/>
      <c r="C217" s="795" t="s">
        <v>0</v>
      </c>
      <c r="D217" s="795" t="s">
        <v>1740</v>
      </c>
      <c r="E217" s="797" t="s">
        <v>24</v>
      </c>
      <c r="F217" s="799" t="s">
        <v>25</v>
      </c>
      <c r="G217" s="801" t="s">
        <v>26</v>
      </c>
    </row>
    <row r="218" spans="1:7" ht="19.899999999999999" customHeight="1" x14ac:dyDescent="0.2">
      <c r="A218" s="543" t="s">
        <v>577</v>
      </c>
      <c r="B218" s="543" t="s">
        <v>578</v>
      </c>
      <c r="C218" s="796"/>
      <c r="D218" s="796"/>
      <c r="E218" s="798"/>
      <c r="F218" s="800"/>
      <c r="G218" s="802"/>
    </row>
    <row r="219" spans="1:7" ht="19.899999999999999" customHeight="1" x14ac:dyDescent="0.2">
      <c r="A219" s="584">
        <f>IFERROR(VLOOKUP(C219,T_Insumos,4,FALSE),0)</f>
        <v>0</v>
      </c>
      <c r="B219" s="544">
        <f>IFERROR(VLOOKUP(C219,T_Insumos,5,FALSE),0)</f>
        <v>0</v>
      </c>
      <c r="C219" s="535"/>
      <c r="D219" s="596">
        <f>IF(C219=0,0,"$/tnkm")</f>
        <v>0</v>
      </c>
      <c r="E219" s="536"/>
      <c r="F219" s="538">
        <f>IFERROR(VLOOKUP(C219,T_Insumos,3,FALSE),0)</f>
        <v>0</v>
      </c>
      <c r="G219" s="538">
        <f>ROUND(E219*F219,2)</f>
        <v>0</v>
      </c>
    </row>
    <row r="220" spans="1:7" ht="19.899999999999999" customHeight="1" x14ac:dyDescent="0.2">
      <c r="A220" s="584">
        <f>IFERROR(VLOOKUP(C220,T_Insumos,4,FALSE),0)</f>
        <v>0</v>
      </c>
      <c r="B220" s="544">
        <f>IFERROR(VLOOKUP(C220,T_Insumos,5,FALSE),0)</f>
        <v>0</v>
      </c>
      <c r="C220" s="535"/>
      <c r="D220" s="596">
        <f>IF(C220=0,0,"$/tnkm")</f>
        <v>0</v>
      </c>
      <c r="E220" s="552"/>
      <c r="F220" s="538">
        <f>IFERROR(VLOOKUP(C220,T_Insumos,3,FALSE),0)</f>
        <v>0</v>
      </c>
      <c r="G220" s="538">
        <f t="shared" ref="G220" si="57">ROUND(E220*F220,2)</f>
        <v>0</v>
      </c>
    </row>
    <row r="221" spans="1:7" ht="19.899999999999999" customHeight="1" x14ac:dyDescent="0.2">
      <c r="A221" s="582"/>
      <c r="B221" s="528"/>
      <c r="C221" s="528"/>
      <c r="D221" s="524"/>
      <c r="E221" s="525"/>
      <c r="F221" s="547" t="s">
        <v>994</v>
      </c>
      <c r="G221" s="588">
        <f>SUBTOTAL(9,G219:G220)</f>
        <v>0</v>
      </c>
    </row>
    <row r="222" spans="1:7" ht="19.899999999999999" customHeight="1" x14ac:dyDescent="0.2">
      <c r="A222" s="585"/>
      <c r="B222" s="524"/>
      <c r="C222" s="528"/>
      <c r="D222" s="524"/>
      <c r="E222" s="525"/>
      <c r="F222" s="526"/>
      <c r="G222" s="583"/>
    </row>
    <row r="223" spans="1:7" ht="19.899999999999999" customHeight="1" x14ac:dyDescent="0.2">
      <c r="A223" s="647" t="str">
        <f>B157</f>
        <v>2.2</v>
      </c>
      <c r="B223" s="644" t="str">
        <f ca="1">C157</f>
        <v>Relleno y compactacion de posibles oquedadas laterales</v>
      </c>
      <c r="C223" s="524"/>
      <c r="D223" s="524" t="s">
        <v>1719</v>
      </c>
      <c r="E223" s="645"/>
      <c r="F223" s="646" t="str">
        <f ca="1">"$/"&amp;G157</f>
        <v>$/m3</v>
      </c>
      <c r="G223" s="593">
        <f>SUBTOTAL(9,G180:G222)</f>
        <v>0</v>
      </c>
    </row>
    <row r="224" spans="1:7" ht="19.899999999999999" customHeight="1" x14ac:dyDescent="0.2">
      <c r="A224" s="589"/>
      <c r="B224" s="590"/>
      <c r="C224" s="591"/>
      <c r="D224" s="591" t="s">
        <v>1915</v>
      </c>
      <c r="E224" s="592"/>
      <c r="F224" s="648" t="str">
        <f ca="1">"$/"&amp;G157</f>
        <v>$/m3</v>
      </c>
      <c r="G224" s="593">
        <f>ROUND(G223*Coeficiente_Paso,2)</f>
        <v>0</v>
      </c>
    </row>
    <row r="225" spans="1:7" ht="19.899999999999999" customHeight="1" x14ac:dyDescent="0.2">
      <c r="A225" s="185"/>
      <c r="B225" s="185"/>
      <c r="C225" s="185"/>
      <c r="D225" s="185"/>
      <c r="E225" s="185"/>
      <c r="F225" s="185"/>
      <c r="G225" s="185"/>
    </row>
    <row r="226" spans="1:7" ht="19.899999999999999" customHeight="1" x14ac:dyDescent="0.2">
      <c r="A226" s="803" t="s">
        <v>31</v>
      </c>
      <c r="B226" s="804"/>
      <c r="C226" s="804"/>
      <c r="D226" s="804"/>
      <c r="E226" s="804"/>
      <c r="F226" s="804"/>
      <c r="G226" s="805"/>
    </row>
    <row r="227" spans="1:7" ht="19.899999999999999" customHeight="1" x14ac:dyDescent="0.2">
      <c r="A227" s="570" t="s">
        <v>711</v>
      </c>
      <c r="B227" s="518" t="str">
        <f>Comitente</f>
        <v>DEPARTAMENTO DE HIDRAULICA</v>
      </c>
      <c r="C227" s="519"/>
      <c r="D227" s="520"/>
      <c r="E227" s="520"/>
      <c r="F227" s="521"/>
      <c r="G227" s="571"/>
    </row>
    <row r="228" spans="1:7" ht="19.899999999999999" customHeight="1" x14ac:dyDescent="0.2">
      <c r="A228" s="570" t="s">
        <v>712</v>
      </c>
      <c r="B228" s="518">
        <f>Contratista</f>
        <v>0</v>
      </c>
      <c r="C228" s="522"/>
      <c r="D228" s="522"/>
      <c r="E228" s="522"/>
      <c r="F228" s="518"/>
      <c r="G228" s="572"/>
    </row>
    <row r="229" spans="1:7" ht="19.899999999999999" customHeight="1" x14ac:dyDescent="0.2">
      <c r="A229" s="570" t="s">
        <v>21</v>
      </c>
      <c r="B229" s="518" t="str">
        <f>Obra</f>
        <v>ENCAMISADO CANAL GENERAL COCHAGUAL</v>
      </c>
      <c r="C229" s="522"/>
      <c r="D229" s="522"/>
      <c r="E229" s="522"/>
      <c r="F229" s="518" t="s">
        <v>32</v>
      </c>
      <c r="G229" s="572">
        <f>Fecha_Base</f>
        <v>44319</v>
      </c>
    </row>
    <row r="230" spans="1:7" ht="19.899999999999999" customHeight="1" x14ac:dyDescent="0.2">
      <c r="A230" s="573" t="s">
        <v>710</v>
      </c>
      <c r="B230" s="523" t="str">
        <f>Ubicación</f>
        <v>DEPARTAMENTO SARMIENTO</v>
      </c>
      <c r="C230" s="523"/>
      <c r="D230" s="524"/>
      <c r="E230" s="525"/>
      <c r="F230" s="526"/>
      <c r="G230" s="574"/>
    </row>
    <row r="231" spans="1:7" ht="19.899999999999999" customHeight="1" x14ac:dyDescent="0.2">
      <c r="A231" s="573" t="s">
        <v>33</v>
      </c>
      <c r="B231" s="527">
        <f>IFERROR(VALUE(LEFT(B232,FIND(".",B232)-1)),"")</f>
        <v>2</v>
      </c>
      <c r="C231" s="528" t="str">
        <f ca="1">IFERROR(VLOOKUP(B231,T_Computo_Presupuesto,2,FALSE),0)</f>
        <v>CANAL GENERAL COCHAGUAL Progresiva 4080-4880</v>
      </c>
      <c r="D231" s="528"/>
      <c r="E231" s="525"/>
      <c r="F231" s="526"/>
      <c r="G231" s="574"/>
    </row>
    <row r="232" spans="1:7" ht="19.899999999999999" customHeight="1" x14ac:dyDescent="0.2">
      <c r="A232" s="573" t="s">
        <v>22</v>
      </c>
      <c r="B232" s="529" t="str">
        <f>IFERROR(VLOOKUP(COUNTIF($A$1:A232,"ANALISIS DE PRECIOS"),T_NumeroItem,2,FALSE),"")</f>
        <v>2.3</v>
      </c>
      <c r="C232" s="806" t="str">
        <f ca="1">IFERROR(VLOOKUP(B232,T_Computo_Presupuesto,2,FALSE),0)</f>
        <v>Relleno y compactacion de posibles oquedades laterales con la adicion de una bolsa de cemento portland puzolanico por m3 de rellemo</v>
      </c>
      <c r="D232" s="806"/>
      <c r="E232" s="806"/>
      <c r="F232" s="523" t="s">
        <v>23</v>
      </c>
      <c r="G232" s="575" t="str">
        <f ca="1">IFERROR(VLOOKUP(B232,T_Computo_Presupuesto,4,FALSE),0)</f>
        <v>m3</v>
      </c>
    </row>
    <row r="233" spans="1:7" ht="19.899999999999999" customHeight="1" x14ac:dyDescent="0.2">
      <c r="A233" s="573"/>
      <c r="B233" s="523"/>
      <c r="C233" s="528"/>
      <c r="D233" s="524"/>
      <c r="E233" s="525"/>
      <c r="F233" s="528"/>
      <c r="G233" s="576"/>
    </row>
    <row r="234" spans="1:7" ht="19.899999999999999" customHeight="1" x14ac:dyDescent="0.2">
      <c r="A234" s="577"/>
      <c r="B234" s="530"/>
      <c r="C234" s="531" t="s">
        <v>977</v>
      </c>
      <c r="D234" s="530"/>
      <c r="E234" s="530"/>
      <c r="F234" s="530"/>
      <c r="G234" s="578"/>
    </row>
    <row r="235" spans="1:7" ht="19.899999999999999" customHeight="1" x14ac:dyDescent="0.2">
      <c r="A235" s="573"/>
      <c r="B235" s="532"/>
      <c r="C235" s="528"/>
      <c r="D235" s="524"/>
      <c r="E235" s="525"/>
      <c r="F235" s="523"/>
      <c r="G235" s="575"/>
    </row>
    <row r="236" spans="1:7" ht="19.899999999999999" customHeight="1" x14ac:dyDescent="0.2">
      <c r="A236" s="573"/>
      <c r="B236" s="532"/>
      <c r="C236" s="533" t="s">
        <v>978</v>
      </c>
      <c r="D236" s="534" t="s">
        <v>24</v>
      </c>
      <c r="E236" s="534" t="s">
        <v>979</v>
      </c>
      <c r="F236" s="534" t="s">
        <v>980</v>
      </c>
      <c r="G236" s="533" t="s">
        <v>981</v>
      </c>
    </row>
    <row r="237" spans="1:7" ht="19.899999999999999" customHeight="1" x14ac:dyDescent="0.2">
      <c r="A237" s="573"/>
      <c r="B237" s="532"/>
      <c r="C237" s="535">
        <f>+Equipos!A14</f>
        <v>0</v>
      </c>
      <c r="D237" s="536"/>
      <c r="E237" s="537">
        <f t="shared" ref="E237:E246" si="58">IFERROR(VLOOKUP(C237,T_Equipos,4,FALSE),0)</f>
        <v>0</v>
      </c>
      <c r="F237" s="538">
        <f t="shared" ref="F237:F246" si="59">IFERROR(VLOOKUP(C237,T_Equipos,5,FALSE),0)</f>
        <v>0</v>
      </c>
      <c r="G237" s="538">
        <f>ROUND(D237*F237,2)</f>
        <v>0</v>
      </c>
    </row>
    <row r="238" spans="1:7" ht="19.899999999999999" customHeight="1" x14ac:dyDescent="0.2">
      <c r="A238" s="573"/>
      <c r="B238" s="532"/>
      <c r="C238" s="535">
        <f>+Equipos!A15</f>
        <v>0</v>
      </c>
      <c r="D238" s="536"/>
      <c r="E238" s="537">
        <f t="shared" si="58"/>
        <v>0</v>
      </c>
      <c r="F238" s="538">
        <f t="shared" si="59"/>
        <v>0</v>
      </c>
      <c r="G238" s="538">
        <f>ROUND(D238*F238,2)</f>
        <v>0</v>
      </c>
    </row>
    <row r="239" spans="1:7" ht="19.899999999999999" customHeight="1" x14ac:dyDescent="0.2">
      <c r="A239" s="573"/>
      <c r="B239" s="532"/>
      <c r="C239" s="535">
        <f>+Equipos!A25</f>
        <v>0</v>
      </c>
      <c r="D239" s="536"/>
      <c r="E239" s="537">
        <f t="shared" si="58"/>
        <v>0</v>
      </c>
      <c r="F239" s="538">
        <f t="shared" si="59"/>
        <v>0</v>
      </c>
      <c r="G239" s="538">
        <f>ROUND(D239*F239,2)</f>
        <v>0</v>
      </c>
    </row>
    <row r="240" spans="1:7" ht="19.899999999999999" customHeight="1" x14ac:dyDescent="0.2">
      <c r="A240" s="573"/>
      <c r="B240" s="532"/>
      <c r="C240" s="535"/>
      <c r="D240" s="536"/>
      <c r="E240" s="537">
        <f t="shared" si="58"/>
        <v>0</v>
      </c>
      <c r="F240" s="538">
        <f t="shared" si="59"/>
        <v>0</v>
      </c>
      <c r="G240" s="538">
        <f>ROUND(D240*F240,2)</f>
        <v>0</v>
      </c>
    </row>
    <row r="241" spans="1:7" ht="19.899999999999999" customHeight="1" x14ac:dyDescent="0.2">
      <c r="A241" s="573"/>
      <c r="B241" s="532"/>
      <c r="C241" s="535"/>
      <c r="D241" s="536"/>
      <c r="E241" s="537">
        <f t="shared" si="58"/>
        <v>0</v>
      </c>
      <c r="F241" s="538">
        <f t="shared" si="59"/>
        <v>0</v>
      </c>
      <c r="G241" s="538">
        <f t="shared" ref="G241:G246" si="60">ROUND(D241*F241,2)</f>
        <v>0</v>
      </c>
    </row>
    <row r="242" spans="1:7" ht="19.899999999999999" customHeight="1" x14ac:dyDescent="0.2">
      <c r="A242" s="573"/>
      <c r="B242" s="532"/>
      <c r="C242" s="535"/>
      <c r="D242" s="536"/>
      <c r="E242" s="537">
        <f t="shared" si="58"/>
        <v>0</v>
      </c>
      <c r="F242" s="538">
        <f t="shared" si="59"/>
        <v>0</v>
      </c>
      <c r="G242" s="538">
        <f t="shared" si="60"/>
        <v>0</v>
      </c>
    </row>
    <row r="243" spans="1:7" ht="19.899999999999999" customHeight="1" x14ac:dyDescent="0.2">
      <c r="A243" s="573"/>
      <c r="B243" s="532"/>
      <c r="C243" s="535"/>
      <c r="D243" s="536"/>
      <c r="E243" s="537">
        <f t="shared" si="58"/>
        <v>0</v>
      </c>
      <c r="F243" s="538">
        <f t="shared" si="59"/>
        <v>0</v>
      </c>
      <c r="G243" s="538">
        <f t="shared" si="60"/>
        <v>0</v>
      </c>
    </row>
    <row r="244" spans="1:7" ht="19.899999999999999" customHeight="1" x14ac:dyDescent="0.2">
      <c r="A244" s="573"/>
      <c r="B244" s="532"/>
      <c r="C244" s="535"/>
      <c r="D244" s="536"/>
      <c r="E244" s="537">
        <f t="shared" si="58"/>
        <v>0</v>
      </c>
      <c r="F244" s="538">
        <f t="shared" si="59"/>
        <v>0</v>
      </c>
      <c r="G244" s="538">
        <f t="shared" si="60"/>
        <v>0</v>
      </c>
    </row>
    <row r="245" spans="1:7" ht="19.899999999999999" customHeight="1" x14ac:dyDescent="0.2">
      <c r="A245" s="573"/>
      <c r="B245" s="532"/>
      <c r="C245" s="535"/>
      <c r="D245" s="536"/>
      <c r="E245" s="537">
        <f t="shared" si="58"/>
        <v>0</v>
      </c>
      <c r="F245" s="538">
        <f t="shared" si="59"/>
        <v>0</v>
      </c>
      <c r="G245" s="538">
        <f t="shared" si="60"/>
        <v>0</v>
      </c>
    </row>
    <row r="246" spans="1:7" ht="19.899999999999999" customHeight="1" x14ac:dyDescent="0.2">
      <c r="A246" s="573"/>
      <c r="B246" s="532"/>
      <c r="C246" s="535"/>
      <c r="D246" s="536"/>
      <c r="E246" s="537">
        <f t="shared" si="58"/>
        <v>0</v>
      </c>
      <c r="F246" s="538">
        <f t="shared" si="59"/>
        <v>0</v>
      </c>
      <c r="G246" s="538">
        <f t="shared" si="60"/>
        <v>0</v>
      </c>
    </row>
    <row r="247" spans="1:7" ht="19.899999999999999" customHeight="1" x14ac:dyDescent="0.2">
      <c r="A247" s="573"/>
      <c r="B247" s="532"/>
      <c r="C247" s="528"/>
      <c r="D247" s="528"/>
      <c r="E247" s="539"/>
      <c r="F247" s="523"/>
      <c r="G247" s="575"/>
    </row>
    <row r="248" spans="1:7" ht="19.899999999999999" customHeight="1" x14ac:dyDescent="0.2">
      <c r="A248" s="573"/>
      <c r="B248" s="528"/>
      <c r="C248" s="520" t="s">
        <v>982</v>
      </c>
      <c r="D248" s="523" t="s">
        <v>979</v>
      </c>
      <c r="E248" s="594">
        <f>SUMPRODUCT(D237:D246,E237:E246)</f>
        <v>0</v>
      </c>
      <c r="F248" s="523" t="s">
        <v>983</v>
      </c>
      <c r="G248" s="595">
        <f>SUM(G237:G246)</f>
        <v>0</v>
      </c>
    </row>
    <row r="249" spans="1:7" ht="19.899999999999999" customHeight="1" x14ac:dyDescent="0.2">
      <c r="A249" s="573"/>
      <c r="B249" s="532"/>
      <c r="C249" s="540"/>
      <c r="D249" s="539"/>
      <c r="E249" s="525"/>
      <c r="F249" s="523"/>
      <c r="G249" s="579"/>
    </row>
    <row r="250" spans="1:7" ht="19.899999999999999" customHeight="1" x14ac:dyDescent="0.2">
      <c r="A250" s="580"/>
      <c r="B250" s="532"/>
      <c r="C250" s="523" t="s">
        <v>984</v>
      </c>
      <c r="D250" s="541">
        <f>IFERROR(VLOOKUP(COUNTIF($A$1:A250,"ANALISIS DE PRECIOS"),T_Rendimiento_Equipo,5,FALSE),0)</f>
        <v>0</v>
      </c>
      <c r="E250" s="542" t="str">
        <f ca="1">G232&amp;"/día"</f>
        <v>m3/día</v>
      </c>
      <c r="F250" s="581"/>
      <c r="G250" s="575"/>
    </row>
    <row r="251" spans="1:7" ht="19.899999999999999" customHeight="1" x14ac:dyDescent="0.2">
      <c r="A251" s="573"/>
      <c r="B251" s="532"/>
      <c r="C251" s="528"/>
      <c r="D251" s="524"/>
      <c r="E251" s="525"/>
      <c r="F251" s="523"/>
      <c r="G251" s="575"/>
    </row>
    <row r="252" spans="1:7" ht="19.899999999999999" customHeight="1" x14ac:dyDescent="0.2">
      <c r="A252" s="793" t="s">
        <v>576</v>
      </c>
      <c r="B252" s="794"/>
      <c r="C252" s="795" t="s">
        <v>0</v>
      </c>
      <c r="D252" s="807" t="s">
        <v>1739</v>
      </c>
      <c r="E252" s="807" t="s">
        <v>1738</v>
      </c>
      <c r="F252" s="799" t="s">
        <v>985</v>
      </c>
      <c r="G252" s="801" t="s">
        <v>26</v>
      </c>
    </row>
    <row r="253" spans="1:7" ht="19.899999999999999" customHeight="1" x14ac:dyDescent="0.2">
      <c r="A253" s="543" t="s">
        <v>577</v>
      </c>
      <c r="B253" s="543" t="s">
        <v>578</v>
      </c>
      <c r="C253" s="796"/>
      <c r="D253" s="808"/>
      <c r="E253" s="798"/>
      <c r="F253" s="800"/>
      <c r="G253" s="802"/>
    </row>
    <row r="254" spans="1:7" ht="19.899999999999999" customHeight="1" x14ac:dyDescent="0.2">
      <c r="A254" s="582"/>
      <c r="B254" s="528"/>
      <c r="C254" s="520" t="s">
        <v>986</v>
      </c>
      <c r="D254" s="525"/>
      <c r="E254" s="525"/>
      <c r="F254" s="528"/>
      <c r="G254" s="583"/>
    </row>
    <row r="255" spans="1:7" ht="19.899999999999999" customHeight="1" x14ac:dyDescent="0.2">
      <c r="A255" s="584">
        <f t="shared" ref="A255:A263" si="61">IFERROR(VLOOKUP(C255,T_Insumos,4,FALSE),0)</f>
        <v>0</v>
      </c>
      <c r="B255" s="544">
        <f t="shared" ref="B255:B263" si="62">IFERROR(VLOOKUP(C255,T_Insumos,5,FALSE),0)</f>
        <v>0</v>
      </c>
      <c r="C255" s="535">
        <f>+C30</f>
        <v>0</v>
      </c>
      <c r="D255" s="545">
        <f t="shared" ref="D255:D263" si="63">IFERROR(VLOOKUP(C255,T_Insumos,3,FALSE),0)</f>
        <v>0</v>
      </c>
      <c r="E255" s="538">
        <f>D255*$G$248</f>
        <v>0</v>
      </c>
      <c r="F255" s="541">
        <f>IF(C255="",0,IFERROR(VLOOKUP(COUNTIF($A$1:A255,"ANALISIS DE PRECIOS"),T_Rendimiento_Equipo,5,FALSE),0))</f>
        <v>0</v>
      </c>
      <c r="G255" s="538">
        <f>IFERROR(ROUND(E255/F255,2),0)</f>
        <v>0</v>
      </c>
    </row>
    <row r="256" spans="1:7" ht="19.899999999999999" customHeight="1" x14ac:dyDescent="0.2">
      <c r="A256" s="584">
        <f t="shared" si="61"/>
        <v>0</v>
      </c>
      <c r="B256" s="544">
        <f t="shared" si="62"/>
        <v>0</v>
      </c>
      <c r="C256" s="535">
        <f t="shared" ref="C256:C258" si="64">+C31</f>
        <v>0</v>
      </c>
      <c r="D256" s="545">
        <f t="shared" si="63"/>
        <v>0</v>
      </c>
      <c r="E256" s="538">
        <f t="shared" ref="E256:E257" si="65">D256*$G$248</f>
        <v>0</v>
      </c>
      <c r="F256" s="541">
        <f>IF(C256="",0,IFERROR(VLOOKUP(COUNTIF($A$1:A256,"ANALISIS DE PRECIOS"),T_Rendimiento_Equipo,5,FALSE),0))</f>
        <v>0</v>
      </c>
      <c r="G256" s="538">
        <f t="shared" ref="G256:G263" si="66">IFERROR(ROUND(E256/F256,2),0)</f>
        <v>0</v>
      </c>
    </row>
    <row r="257" spans="1:7" ht="19.899999999999999" customHeight="1" x14ac:dyDescent="0.2">
      <c r="A257" s="584">
        <f t="shared" si="61"/>
        <v>0</v>
      </c>
      <c r="B257" s="544">
        <f t="shared" si="62"/>
        <v>0</v>
      </c>
      <c r="C257" s="535">
        <f t="shared" si="64"/>
        <v>0</v>
      </c>
      <c r="D257" s="545">
        <f t="shared" si="63"/>
        <v>0</v>
      </c>
      <c r="E257" s="538">
        <f t="shared" si="65"/>
        <v>0</v>
      </c>
      <c r="F257" s="541">
        <f>IF(C257="",0,IFERROR(VLOOKUP(COUNTIF($A$1:A257,"ANALISIS DE PRECIOS"),T_Rendimiento_Equipo,5,FALSE),0))</f>
        <v>0</v>
      </c>
      <c r="G257" s="538">
        <f t="shared" si="66"/>
        <v>0</v>
      </c>
    </row>
    <row r="258" spans="1:7" ht="19.899999999999999" customHeight="1" x14ac:dyDescent="0.2">
      <c r="A258" s="584">
        <f t="shared" si="61"/>
        <v>0</v>
      </c>
      <c r="B258" s="544">
        <f t="shared" si="62"/>
        <v>0</v>
      </c>
      <c r="C258" s="535">
        <f t="shared" si="64"/>
        <v>0</v>
      </c>
      <c r="D258" s="545">
        <f t="shared" si="63"/>
        <v>0</v>
      </c>
      <c r="E258" s="538">
        <f>D258*$E$248</f>
        <v>0</v>
      </c>
      <c r="F258" s="541">
        <f>IF(C258="",0,IFERROR(VLOOKUP(COUNTIF($A$1:A258,"ANALISIS DE PRECIOS"),T_Rendimiento_Equipo,5,FALSE),0))</f>
        <v>0</v>
      </c>
      <c r="G258" s="538">
        <f t="shared" si="66"/>
        <v>0</v>
      </c>
    </row>
    <row r="259" spans="1:7" ht="19.899999999999999" customHeight="1" x14ac:dyDescent="0.2">
      <c r="A259" s="584">
        <f t="shared" si="61"/>
        <v>0</v>
      </c>
      <c r="B259" s="544">
        <f t="shared" si="62"/>
        <v>0</v>
      </c>
      <c r="C259" s="546"/>
      <c r="D259" s="545">
        <f t="shared" si="63"/>
        <v>0</v>
      </c>
      <c r="E259" s="538"/>
      <c r="F259" s="541">
        <f>IF(C259="",0,IFERROR(VLOOKUP(COUNTIF($A$1:A259,"ANALISIS DE PRECIOS"),T_Rendimiento_Equipo,5,FALSE),0))</f>
        <v>0</v>
      </c>
      <c r="G259" s="538">
        <f t="shared" si="66"/>
        <v>0</v>
      </c>
    </row>
    <row r="260" spans="1:7" ht="19.899999999999999" customHeight="1" x14ac:dyDescent="0.2">
      <c r="A260" s="584">
        <f t="shared" si="61"/>
        <v>0</v>
      </c>
      <c r="B260" s="544">
        <f t="shared" si="62"/>
        <v>0</v>
      </c>
      <c r="C260" s="546"/>
      <c r="D260" s="545">
        <f t="shared" si="63"/>
        <v>0</v>
      </c>
      <c r="E260" s="538"/>
      <c r="F260" s="541">
        <f>IF(C260="",0,IFERROR(VLOOKUP(COUNTIF($A$1:A260,"ANALISIS DE PRECIOS"),T_Rendimiento_Equipo,5,FALSE),0))</f>
        <v>0</v>
      </c>
      <c r="G260" s="538">
        <f t="shared" si="66"/>
        <v>0</v>
      </c>
    </row>
    <row r="261" spans="1:7" ht="19.899999999999999" customHeight="1" x14ac:dyDescent="0.2">
      <c r="A261" s="584">
        <f t="shared" si="61"/>
        <v>0</v>
      </c>
      <c r="B261" s="544">
        <f t="shared" si="62"/>
        <v>0</v>
      </c>
      <c r="C261" s="546"/>
      <c r="D261" s="545">
        <f t="shared" si="63"/>
        <v>0</v>
      </c>
      <c r="E261" s="538"/>
      <c r="F261" s="541">
        <f>IF(C261="",0,IFERROR(VLOOKUP(COUNTIF($A$1:A261,"ANALISIS DE PRECIOS"),T_Rendimiento_Equipo,5,FALSE),0))</f>
        <v>0</v>
      </c>
      <c r="G261" s="538">
        <f t="shared" si="66"/>
        <v>0</v>
      </c>
    </row>
    <row r="262" spans="1:7" ht="19.899999999999999" customHeight="1" x14ac:dyDescent="0.2">
      <c r="A262" s="584">
        <f t="shared" si="61"/>
        <v>0</v>
      </c>
      <c r="B262" s="544">
        <f t="shared" si="62"/>
        <v>0</v>
      </c>
      <c r="C262" s="546"/>
      <c r="D262" s="545">
        <f t="shared" si="63"/>
        <v>0</v>
      </c>
      <c r="E262" s="538"/>
      <c r="F262" s="541">
        <f>IF(C262="",0,IFERROR(VLOOKUP(COUNTIF($A$1:A262,"ANALISIS DE PRECIOS"),T_Rendimiento_Equipo,5,FALSE),0))</f>
        <v>0</v>
      </c>
      <c r="G262" s="538">
        <f t="shared" si="66"/>
        <v>0</v>
      </c>
    </row>
    <row r="263" spans="1:7" ht="19.899999999999999" customHeight="1" x14ac:dyDescent="0.2">
      <c r="A263" s="584">
        <f t="shared" si="61"/>
        <v>0</v>
      </c>
      <c r="B263" s="544">
        <f t="shared" si="62"/>
        <v>0</v>
      </c>
      <c r="C263" s="535"/>
      <c r="D263" s="545">
        <f t="shared" si="63"/>
        <v>0</v>
      </c>
      <c r="E263" s="538"/>
      <c r="F263" s="541">
        <f>IF(C263="",0,IFERROR(VLOOKUP(COUNTIF($A$1:A263,"ANALISIS DE PRECIOS"),T_Rendimiento_Equipo,5,FALSE),0))</f>
        <v>0</v>
      </c>
      <c r="G263" s="538">
        <f t="shared" si="66"/>
        <v>0</v>
      </c>
    </row>
    <row r="264" spans="1:7" ht="19.899999999999999" customHeight="1" x14ac:dyDescent="0.2">
      <c r="A264" s="585"/>
      <c r="B264" s="524"/>
      <c r="C264" s="528"/>
      <c r="D264" s="524"/>
      <c r="E264" s="525"/>
      <c r="F264" s="547" t="s">
        <v>27</v>
      </c>
      <c r="G264" s="586">
        <f>SUBTOTAL(9,G255:G263)</f>
        <v>0</v>
      </c>
    </row>
    <row r="265" spans="1:7" ht="19.899999999999999" customHeight="1" x14ac:dyDescent="0.2">
      <c r="A265" s="582"/>
      <c r="B265" s="528"/>
      <c r="C265" s="520" t="s">
        <v>713</v>
      </c>
      <c r="D265" s="524"/>
      <c r="E265" s="525"/>
      <c r="F265" s="526"/>
      <c r="G265" s="583"/>
    </row>
    <row r="266" spans="1:7" ht="19.899999999999999" customHeight="1" x14ac:dyDescent="0.2">
      <c r="A266" s="793" t="s">
        <v>576</v>
      </c>
      <c r="B266" s="794"/>
      <c r="C266" s="795" t="s">
        <v>0</v>
      </c>
      <c r="D266" s="797" t="s">
        <v>24</v>
      </c>
      <c r="E266" s="797" t="s">
        <v>1718</v>
      </c>
      <c r="F266" s="799" t="s">
        <v>985</v>
      </c>
      <c r="G266" s="801" t="s">
        <v>26</v>
      </c>
    </row>
    <row r="267" spans="1:7" ht="19.899999999999999" customHeight="1" x14ac:dyDescent="0.2">
      <c r="A267" s="543" t="s">
        <v>577</v>
      </c>
      <c r="B267" s="543" t="s">
        <v>578</v>
      </c>
      <c r="C267" s="796"/>
      <c r="D267" s="798"/>
      <c r="E267" s="798"/>
      <c r="F267" s="800"/>
      <c r="G267" s="802"/>
    </row>
    <row r="268" spans="1:7" ht="19.899999999999999" customHeight="1" x14ac:dyDescent="0.2">
      <c r="A268" s="584" t="str">
        <f t="shared" ref="A268:A274" si="67">IFERROR(VLOOKUP(C268,T_Insumos,4,FALSE),0)</f>
        <v>IIEE-SJ - 1</v>
      </c>
      <c r="B268" s="544" t="str">
        <f t="shared" ref="B268:B274" si="68">IFERROR(VLOOKUP(C268,T_Insumos,5,FALSE),0)</f>
        <v>Mano de Obra</v>
      </c>
      <c r="C268" s="548" t="str">
        <f>+C43</f>
        <v>Mano de obra</v>
      </c>
      <c r="D268" s="541"/>
      <c r="E268" s="538">
        <f t="shared" ref="E268:E274" si="69">IFERROR(VLOOKUP(C268,T_Insumos,3,FALSE),0)</f>
        <v>0</v>
      </c>
      <c r="F268" s="541">
        <f>IF(C268="",0,IFERROR(VLOOKUP(COUNTIF($A$1:A268,"ANALISIS DE PRECIOS"),T_Rendimiento_Equipo,5,FALSE),0))</f>
        <v>0</v>
      </c>
      <c r="G268" s="538">
        <f>IFERROR(ROUND(D268*E268/F268,2),0)</f>
        <v>0</v>
      </c>
    </row>
    <row r="269" spans="1:7" ht="19.899999999999999" customHeight="1" x14ac:dyDescent="0.2">
      <c r="A269" s="584" t="str">
        <f t="shared" si="67"/>
        <v>INDEC-CM - 37510-11</v>
      </c>
      <c r="B269" s="544" t="str">
        <f t="shared" si="68"/>
        <v>Hormigón elaborado</v>
      </c>
      <c r="C269" s="548" t="str">
        <f t="shared" ref="C269:C271" si="70">+C44</f>
        <v>Hormigon Elaborado</v>
      </c>
      <c r="D269" s="541"/>
      <c r="E269" s="538">
        <f t="shared" si="69"/>
        <v>0</v>
      </c>
      <c r="F269" s="541">
        <f>IF(C269="",0,IFERROR(VLOOKUP(COUNTIF($A$1:A269,"ANALISIS DE PRECIOS"),T_Rendimiento_Equipo,5,FALSE),0))</f>
        <v>0</v>
      </c>
      <c r="G269" s="538">
        <f t="shared" ref="G269:G274" si="71">IFERROR(ROUND(D269*E269/F269,2),0)</f>
        <v>0</v>
      </c>
    </row>
    <row r="270" spans="1:7" ht="19.899999999999999" customHeight="1" x14ac:dyDescent="0.2">
      <c r="A270" s="584" t="str">
        <f t="shared" si="67"/>
        <v>INDEC-DCTO - Inciso j)</v>
      </c>
      <c r="B270" s="544" t="str">
        <f t="shared" si="68"/>
        <v>Equipo - Amortización de equipo</v>
      </c>
      <c r="C270" s="548" t="str">
        <f t="shared" si="70"/>
        <v>Equipo - Amortizacion de equipo</v>
      </c>
      <c r="D270" s="541"/>
      <c r="E270" s="538">
        <f t="shared" si="69"/>
        <v>0</v>
      </c>
      <c r="F270" s="541">
        <f>IF(C270="",0,IFERROR(VLOOKUP(COUNTIF($A$1:A270,"ANALISIS DE PRECIOS"),T_Rendimiento_Equipo,5,FALSE),0))</f>
        <v>0</v>
      </c>
      <c r="G270" s="538">
        <f t="shared" si="71"/>
        <v>0</v>
      </c>
    </row>
    <row r="271" spans="1:7" ht="19.899999999999999" customHeight="1" x14ac:dyDescent="0.2">
      <c r="A271" s="584" t="str">
        <f t="shared" si="67"/>
        <v>INDEC-CM - 41242-11</v>
      </c>
      <c r="B271" s="544" t="str">
        <f t="shared" si="68"/>
        <v>Acero aletado conformado, en barra</v>
      </c>
      <c r="C271" s="548" t="str">
        <f t="shared" si="70"/>
        <v>Hierro</v>
      </c>
      <c r="D271" s="541"/>
      <c r="E271" s="538">
        <f t="shared" si="69"/>
        <v>0</v>
      </c>
      <c r="F271" s="541">
        <f>IF(C271="",0,IFERROR(VLOOKUP(COUNTIF($A$1:A271,"ANALISIS DE PRECIOS"),T_Rendimiento_Equipo,5,FALSE),0))</f>
        <v>0</v>
      </c>
      <c r="G271" s="538">
        <f>IFERROR(ROUND(D271*E271/F271,2),0)</f>
        <v>0</v>
      </c>
    </row>
    <row r="272" spans="1:7" ht="19.899999999999999" customHeight="1" x14ac:dyDescent="0.2">
      <c r="A272" s="584">
        <f t="shared" si="67"/>
        <v>0</v>
      </c>
      <c r="B272" s="544">
        <f t="shared" si="68"/>
        <v>0</v>
      </c>
      <c r="C272" s="535"/>
      <c r="D272" s="541"/>
      <c r="E272" s="538">
        <f t="shared" si="69"/>
        <v>0</v>
      </c>
      <c r="F272" s="541">
        <f>IF(C272="",0,IFERROR(VLOOKUP(COUNTIF($A$1:A272,"ANALISIS DE PRECIOS"),T_Rendimiento_Equipo,5,FALSE),0))</f>
        <v>0</v>
      </c>
      <c r="G272" s="538">
        <f t="shared" si="71"/>
        <v>0</v>
      </c>
    </row>
    <row r="273" spans="1:8" ht="19.899999999999999" customHeight="1" x14ac:dyDescent="0.2">
      <c r="A273" s="584">
        <f t="shared" si="67"/>
        <v>0</v>
      </c>
      <c r="B273" s="544">
        <f t="shared" si="68"/>
        <v>0</v>
      </c>
      <c r="C273" s="535"/>
      <c r="D273" s="549"/>
      <c r="E273" s="538">
        <f t="shared" si="69"/>
        <v>0</v>
      </c>
      <c r="F273" s="541">
        <f>IF(C273="",0,IFERROR(VLOOKUP(COUNTIF($A$1:A273,"ANALISIS DE PRECIOS"),T_Rendimiento_Equipo,5,FALSE),0))</f>
        <v>0</v>
      </c>
      <c r="G273" s="538">
        <f t="shared" si="71"/>
        <v>0</v>
      </c>
    </row>
    <row r="274" spans="1:8" ht="19.899999999999999" customHeight="1" x14ac:dyDescent="0.2">
      <c r="A274" s="584">
        <f t="shared" si="67"/>
        <v>0</v>
      </c>
      <c r="B274" s="544">
        <f t="shared" si="68"/>
        <v>0</v>
      </c>
      <c r="C274" s="544"/>
      <c r="D274" s="550"/>
      <c r="E274" s="538">
        <f t="shared" si="69"/>
        <v>0</v>
      </c>
      <c r="F274" s="541">
        <f>IF(C274="",0,IFERROR(VLOOKUP(COUNTIF($A$1:A274,"ANALISIS DE PRECIOS"),T_Rendimiento_Equipo,5,FALSE),0))</f>
        <v>0</v>
      </c>
      <c r="G274" s="538">
        <f t="shared" si="71"/>
        <v>0</v>
      </c>
    </row>
    <row r="275" spans="1:8" ht="19.899999999999999" customHeight="1" x14ac:dyDescent="0.2">
      <c r="A275" s="585"/>
      <c r="B275" s="524"/>
      <c r="C275" s="528"/>
      <c r="D275" s="524"/>
      <c r="E275" s="525"/>
      <c r="F275" s="547" t="s">
        <v>28</v>
      </c>
      <c r="G275" s="587">
        <f>SUBTOTAL(9,G268:G274)</f>
        <v>0</v>
      </c>
      <c r="H275" s="734"/>
    </row>
    <row r="276" spans="1:8" ht="19.899999999999999" customHeight="1" x14ac:dyDescent="0.2">
      <c r="A276" s="582"/>
      <c r="B276" s="528"/>
      <c r="C276" s="520" t="s">
        <v>992</v>
      </c>
      <c r="D276" s="524"/>
      <c r="E276" s="525"/>
      <c r="F276" s="526"/>
      <c r="G276" s="583"/>
    </row>
    <row r="277" spans="1:8" ht="19.899999999999999" customHeight="1" x14ac:dyDescent="0.2">
      <c r="A277" s="793" t="s">
        <v>576</v>
      </c>
      <c r="B277" s="794"/>
      <c r="C277" s="795" t="s">
        <v>0</v>
      </c>
      <c r="D277" s="795" t="s">
        <v>1740</v>
      </c>
      <c r="E277" s="797" t="s">
        <v>24</v>
      </c>
      <c r="F277" s="799" t="s">
        <v>25</v>
      </c>
      <c r="G277" s="801" t="s">
        <v>26</v>
      </c>
    </row>
    <row r="278" spans="1:8" ht="19.899999999999999" customHeight="1" x14ac:dyDescent="0.2">
      <c r="A278" s="543" t="s">
        <v>577</v>
      </c>
      <c r="B278" s="543" t="s">
        <v>578</v>
      </c>
      <c r="C278" s="796"/>
      <c r="D278" s="796"/>
      <c r="E278" s="798"/>
      <c r="F278" s="800"/>
      <c r="G278" s="802"/>
    </row>
    <row r="279" spans="1:8" ht="19.899999999999999" customHeight="1" x14ac:dyDescent="0.2">
      <c r="A279" s="584">
        <f t="shared" ref="A279:A289" si="72">IFERROR(VLOOKUP(C279,T_Insumos,4,FALSE),0)</f>
        <v>0</v>
      </c>
      <c r="B279" s="544">
        <f t="shared" ref="B279:B289" si="73">IFERROR(VLOOKUP(C279,T_Insumos,5,FALSE),0)</f>
        <v>0</v>
      </c>
      <c r="C279" s="544">
        <f>+Insumos!A107</f>
        <v>0</v>
      </c>
      <c r="D279" s="596">
        <f t="shared" ref="D279:D289" si="74">IFERROR(VLOOKUP(C279,T_Insumos,2,FALSE),0)</f>
        <v>0</v>
      </c>
      <c r="E279" s="536">
        <v>1</v>
      </c>
      <c r="F279" s="538">
        <f t="shared" ref="F279:F289" si="75">IFERROR(VLOOKUP(C279,T_Insumos,3,FALSE),0)</f>
        <v>0</v>
      </c>
      <c r="G279" s="538">
        <f>ROUND(E279*F279,2)</f>
        <v>0</v>
      </c>
    </row>
    <row r="280" spans="1:8" ht="19.899999999999999" customHeight="1" x14ac:dyDescent="0.2">
      <c r="A280" s="584">
        <f t="shared" si="72"/>
        <v>0</v>
      </c>
      <c r="B280" s="544">
        <f t="shared" si="73"/>
        <v>0</v>
      </c>
      <c r="C280" s="544"/>
      <c r="D280" s="596">
        <f t="shared" si="74"/>
        <v>0</v>
      </c>
      <c r="E280" s="536"/>
      <c r="F280" s="538">
        <f t="shared" si="75"/>
        <v>0</v>
      </c>
      <c r="G280" s="538">
        <f t="shared" ref="G280:G289" si="76">ROUND(E280*F280,2)</f>
        <v>0</v>
      </c>
    </row>
    <row r="281" spans="1:8" ht="19.899999999999999" customHeight="1" x14ac:dyDescent="0.2">
      <c r="A281" s="584">
        <f t="shared" si="72"/>
        <v>0</v>
      </c>
      <c r="B281" s="544">
        <f t="shared" si="73"/>
        <v>0</v>
      </c>
      <c r="C281" s="544"/>
      <c r="D281" s="596">
        <f t="shared" si="74"/>
        <v>0</v>
      </c>
      <c r="E281" s="536"/>
      <c r="F281" s="538">
        <f t="shared" si="75"/>
        <v>0</v>
      </c>
      <c r="G281" s="538">
        <f t="shared" si="76"/>
        <v>0</v>
      </c>
    </row>
    <row r="282" spans="1:8" ht="19.899999999999999" customHeight="1" x14ac:dyDescent="0.2">
      <c r="A282" s="584">
        <f t="shared" si="72"/>
        <v>0</v>
      </c>
      <c r="B282" s="544">
        <f t="shared" si="73"/>
        <v>0</v>
      </c>
      <c r="C282" s="544"/>
      <c r="D282" s="596">
        <f t="shared" si="74"/>
        <v>0</v>
      </c>
      <c r="E282" s="536"/>
      <c r="F282" s="538">
        <f t="shared" si="75"/>
        <v>0</v>
      </c>
      <c r="G282" s="538">
        <f t="shared" si="76"/>
        <v>0</v>
      </c>
    </row>
    <row r="283" spans="1:8" ht="19.899999999999999" customHeight="1" x14ac:dyDescent="0.2">
      <c r="A283" s="584">
        <f t="shared" si="72"/>
        <v>0</v>
      </c>
      <c r="B283" s="544">
        <f t="shared" si="73"/>
        <v>0</v>
      </c>
      <c r="C283" s="544"/>
      <c r="D283" s="596">
        <f t="shared" si="74"/>
        <v>0</v>
      </c>
      <c r="E283" s="536"/>
      <c r="F283" s="538">
        <f t="shared" si="75"/>
        <v>0</v>
      </c>
      <c r="G283" s="538">
        <f t="shared" si="76"/>
        <v>0</v>
      </c>
    </row>
    <row r="284" spans="1:8" ht="19.899999999999999" customHeight="1" x14ac:dyDescent="0.2">
      <c r="A284" s="584">
        <f t="shared" si="72"/>
        <v>0</v>
      </c>
      <c r="B284" s="544">
        <f t="shared" si="73"/>
        <v>0</v>
      </c>
      <c r="C284" s="544"/>
      <c r="D284" s="596">
        <f t="shared" si="74"/>
        <v>0</v>
      </c>
      <c r="E284" s="536"/>
      <c r="F284" s="538">
        <f t="shared" si="75"/>
        <v>0</v>
      </c>
      <c r="G284" s="538">
        <f t="shared" si="76"/>
        <v>0</v>
      </c>
    </row>
    <row r="285" spans="1:8" ht="19.899999999999999" customHeight="1" x14ac:dyDescent="0.2">
      <c r="A285" s="584">
        <f t="shared" si="72"/>
        <v>0</v>
      </c>
      <c r="B285" s="544">
        <f t="shared" si="73"/>
        <v>0</v>
      </c>
      <c r="C285" s="544"/>
      <c r="D285" s="596">
        <f t="shared" si="74"/>
        <v>0</v>
      </c>
      <c r="E285" s="536"/>
      <c r="F285" s="538">
        <f t="shared" si="75"/>
        <v>0</v>
      </c>
      <c r="G285" s="538">
        <f t="shared" si="76"/>
        <v>0</v>
      </c>
    </row>
    <row r="286" spans="1:8" ht="19.899999999999999" customHeight="1" x14ac:dyDescent="0.2">
      <c r="A286" s="584">
        <f t="shared" si="72"/>
        <v>0</v>
      </c>
      <c r="B286" s="544">
        <f t="shared" si="73"/>
        <v>0</v>
      </c>
      <c r="C286" s="544"/>
      <c r="D286" s="596">
        <f t="shared" si="74"/>
        <v>0</v>
      </c>
      <c r="E286" s="536"/>
      <c r="F286" s="538">
        <f t="shared" si="75"/>
        <v>0</v>
      </c>
      <c r="G286" s="538">
        <f t="shared" si="76"/>
        <v>0</v>
      </c>
    </row>
    <row r="287" spans="1:8" ht="19.899999999999999" customHeight="1" x14ac:dyDescent="0.2">
      <c r="A287" s="584">
        <f t="shared" si="72"/>
        <v>0</v>
      </c>
      <c r="B287" s="544">
        <f t="shared" si="73"/>
        <v>0</v>
      </c>
      <c r="C287" s="544"/>
      <c r="D287" s="596">
        <f t="shared" si="74"/>
        <v>0</v>
      </c>
      <c r="E287" s="536"/>
      <c r="F287" s="538">
        <f t="shared" si="75"/>
        <v>0</v>
      </c>
      <c r="G287" s="538">
        <f t="shared" si="76"/>
        <v>0</v>
      </c>
    </row>
    <row r="288" spans="1:8" ht="19.899999999999999" customHeight="1" x14ac:dyDescent="0.2">
      <c r="A288" s="584">
        <f t="shared" si="72"/>
        <v>0</v>
      </c>
      <c r="B288" s="544">
        <f t="shared" si="73"/>
        <v>0</v>
      </c>
      <c r="C288" s="544"/>
      <c r="D288" s="596">
        <f t="shared" si="74"/>
        <v>0</v>
      </c>
      <c r="E288" s="536"/>
      <c r="F288" s="538">
        <f t="shared" si="75"/>
        <v>0</v>
      </c>
      <c r="G288" s="538">
        <f t="shared" si="76"/>
        <v>0</v>
      </c>
    </row>
    <row r="289" spans="1:8" ht="19.899999999999999" customHeight="1" x14ac:dyDescent="0.2">
      <c r="A289" s="584">
        <f t="shared" si="72"/>
        <v>0</v>
      </c>
      <c r="B289" s="544">
        <f t="shared" si="73"/>
        <v>0</v>
      </c>
      <c r="C289" s="544"/>
      <c r="D289" s="596">
        <f t="shared" si="74"/>
        <v>0</v>
      </c>
      <c r="E289" s="536"/>
      <c r="F289" s="538">
        <f t="shared" si="75"/>
        <v>0</v>
      </c>
      <c r="G289" s="538">
        <f t="shared" si="76"/>
        <v>0</v>
      </c>
    </row>
    <row r="290" spans="1:8" ht="19.899999999999999" customHeight="1" x14ac:dyDescent="0.2">
      <c r="A290" s="582"/>
      <c r="B290" s="528"/>
      <c r="C290" s="528"/>
      <c r="D290" s="524"/>
      <c r="E290" s="525"/>
      <c r="F290" s="547" t="s">
        <v>29</v>
      </c>
      <c r="G290" s="588">
        <f>SUBTOTAL(9,G279:G289)</f>
        <v>0</v>
      </c>
    </row>
    <row r="291" spans="1:8" ht="19.899999999999999" customHeight="1" x14ac:dyDescent="0.2">
      <c r="A291" s="582"/>
      <c r="B291" s="528"/>
      <c r="C291" s="520" t="s">
        <v>993</v>
      </c>
      <c r="D291" s="524"/>
      <c r="E291" s="525"/>
      <c r="F291" s="526"/>
      <c r="G291" s="583"/>
    </row>
    <row r="292" spans="1:8" ht="19.899999999999999" customHeight="1" x14ac:dyDescent="0.2">
      <c r="A292" s="793" t="s">
        <v>576</v>
      </c>
      <c r="B292" s="794"/>
      <c r="C292" s="795" t="s">
        <v>0</v>
      </c>
      <c r="D292" s="795" t="s">
        <v>1740</v>
      </c>
      <c r="E292" s="797" t="s">
        <v>24</v>
      </c>
      <c r="F292" s="799" t="s">
        <v>25</v>
      </c>
      <c r="G292" s="801" t="s">
        <v>26</v>
      </c>
    </row>
    <row r="293" spans="1:8" ht="19.899999999999999" customHeight="1" x14ac:dyDescent="0.2">
      <c r="A293" s="543" t="s">
        <v>577</v>
      </c>
      <c r="B293" s="543" t="s">
        <v>578</v>
      </c>
      <c r="C293" s="796"/>
      <c r="D293" s="796"/>
      <c r="E293" s="798"/>
      <c r="F293" s="800"/>
      <c r="G293" s="802"/>
    </row>
    <row r="294" spans="1:8" ht="19.899999999999999" customHeight="1" x14ac:dyDescent="0.2">
      <c r="A294" s="584">
        <f>IFERROR(VLOOKUP(C294,T_Insumos,4,FALSE),0)</f>
        <v>0</v>
      </c>
      <c r="B294" s="544">
        <f>IFERROR(VLOOKUP(C294,T_Insumos,5,FALSE),0)</f>
        <v>0</v>
      </c>
      <c r="C294" s="535"/>
      <c r="D294" s="596">
        <f>IF(C294=0,0,"$/tnkm")</f>
        <v>0</v>
      </c>
      <c r="E294" s="536"/>
      <c r="F294" s="538">
        <f>IFERROR(VLOOKUP(C294,T_Insumos,3,FALSE),0)</f>
        <v>0</v>
      </c>
      <c r="G294" s="538">
        <f>ROUND(E294*F294,2)</f>
        <v>0</v>
      </c>
    </row>
    <row r="295" spans="1:8" ht="19.899999999999999" customHeight="1" x14ac:dyDescent="0.2">
      <c r="A295" s="584">
        <f>IFERROR(VLOOKUP(C295,T_Insumos,4,FALSE),0)</f>
        <v>0</v>
      </c>
      <c r="B295" s="544">
        <f>IFERROR(VLOOKUP(C295,T_Insumos,5,FALSE),0)</f>
        <v>0</v>
      </c>
      <c r="C295" s="535"/>
      <c r="D295" s="596">
        <f>IF(C295=0,0,"$/tnkm")</f>
        <v>0</v>
      </c>
      <c r="E295" s="552"/>
      <c r="F295" s="538">
        <f>IFERROR(VLOOKUP(C295,T_Insumos,3,FALSE),0)</f>
        <v>0</v>
      </c>
      <c r="G295" s="538">
        <f t="shared" ref="G295" si="77">ROUND(E295*F295,2)</f>
        <v>0</v>
      </c>
    </row>
    <row r="296" spans="1:8" ht="19.899999999999999" customHeight="1" x14ac:dyDescent="0.2">
      <c r="A296" s="582"/>
      <c r="B296" s="528"/>
      <c r="C296" s="528"/>
      <c r="D296" s="524"/>
      <c r="E296" s="525"/>
      <c r="F296" s="547" t="s">
        <v>994</v>
      </c>
      <c r="G296" s="588">
        <f>SUBTOTAL(9,G294:G295)</f>
        <v>0</v>
      </c>
    </row>
    <row r="297" spans="1:8" ht="19.899999999999999" customHeight="1" x14ac:dyDescent="0.2">
      <c r="A297" s="585"/>
      <c r="B297" s="524"/>
      <c r="C297" s="528"/>
      <c r="D297" s="524"/>
      <c r="E297" s="525"/>
      <c r="F297" s="526"/>
      <c r="G297" s="583"/>
    </row>
    <row r="298" spans="1:8" ht="19.899999999999999" customHeight="1" x14ac:dyDescent="0.2">
      <c r="A298" s="647" t="str">
        <f>B232</f>
        <v>2.3</v>
      </c>
      <c r="B298" s="644" t="str">
        <f ca="1">C232</f>
        <v>Relleno y compactacion de posibles oquedades laterales con la adicion de una bolsa de cemento portland puzolanico por m3 de rellemo</v>
      </c>
      <c r="C298" s="524"/>
      <c r="D298" s="524" t="s">
        <v>1719</v>
      </c>
      <c r="E298" s="645"/>
      <c r="F298" s="646" t="str">
        <f ca="1">"$/"&amp;G232</f>
        <v>$/m3</v>
      </c>
      <c r="G298" s="593">
        <f>SUBTOTAL(9,G255:G297)</f>
        <v>0</v>
      </c>
    </row>
    <row r="299" spans="1:8" ht="19.899999999999999" customHeight="1" x14ac:dyDescent="0.2">
      <c r="A299" s="589"/>
      <c r="B299" s="590"/>
      <c r="C299" s="591"/>
      <c r="D299" s="591" t="s">
        <v>1915</v>
      </c>
      <c r="E299" s="592"/>
      <c r="F299" s="648" t="str">
        <f ca="1">"$/"&amp;G232</f>
        <v>$/m3</v>
      </c>
      <c r="G299" s="593">
        <f>ROUND(G298*Coeficiente_Paso,2)</f>
        <v>0</v>
      </c>
    </row>
    <row r="300" spans="1:8" ht="19.899999999999999" customHeight="1" x14ac:dyDescent="0.2">
      <c r="A300" s="185"/>
      <c r="B300" s="185"/>
      <c r="C300" s="185"/>
      <c r="D300" s="185"/>
      <c r="E300" s="185"/>
      <c r="F300" s="185"/>
      <c r="G300" s="185"/>
    </row>
    <row r="301" spans="1:8" ht="19.899999999999999" customHeight="1" x14ac:dyDescent="0.2">
      <c r="A301" s="803" t="s">
        <v>31</v>
      </c>
      <c r="B301" s="804"/>
      <c r="C301" s="804"/>
      <c r="D301" s="804"/>
      <c r="E301" s="804"/>
      <c r="F301" s="804"/>
      <c r="G301" s="805"/>
      <c r="H301" s="516"/>
    </row>
    <row r="302" spans="1:8" ht="19.899999999999999" customHeight="1" x14ac:dyDescent="0.2">
      <c r="A302" s="570" t="s">
        <v>711</v>
      </c>
      <c r="B302" s="518" t="str">
        <f>Comitente</f>
        <v>DEPARTAMENTO DE HIDRAULICA</v>
      </c>
      <c r="C302" s="519"/>
      <c r="D302" s="520"/>
      <c r="E302" s="520"/>
      <c r="F302" s="521"/>
      <c r="G302" s="571"/>
      <c r="H302" s="516"/>
    </row>
    <row r="303" spans="1:8" ht="19.899999999999999" customHeight="1" x14ac:dyDescent="0.2">
      <c r="A303" s="570" t="s">
        <v>712</v>
      </c>
      <c r="B303" s="518">
        <f>Contratista</f>
        <v>0</v>
      </c>
      <c r="C303" s="522"/>
      <c r="D303" s="522"/>
      <c r="E303" s="522"/>
      <c r="F303" s="518"/>
      <c r="G303" s="572"/>
      <c r="H303" s="516"/>
    </row>
    <row r="304" spans="1:8" ht="19.899999999999999" customHeight="1" x14ac:dyDescent="0.2">
      <c r="A304" s="570" t="s">
        <v>21</v>
      </c>
      <c r="B304" s="518" t="str">
        <f>Obra</f>
        <v>ENCAMISADO CANAL GENERAL COCHAGUAL</v>
      </c>
      <c r="C304" s="522"/>
      <c r="D304" s="522"/>
      <c r="E304" s="522"/>
      <c r="F304" s="518" t="s">
        <v>32</v>
      </c>
      <c r="G304" s="572">
        <f>Fecha_Base</f>
        <v>44319</v>
      </c>
      <c r="H304" s="516"/>
    </row>
    <row r="305" spans="1:8" ht="19.899999999999999" customHeight="1" x14ac:dyDescent="0.2">
      <c r="A305" s="573" t="s">
        <v>710</v>
      </c>
      <c r="B305" s="523" t="str">
        <f>Ubicación</f>
        <v>DEPARTAMENTO SARMIENTO</v>
      </c>
      <c r="C305" s="523"/>
      <c r="D305" s="524"/>
      <c r="E305" s="525"/>
      <c r="F305" s="526"/>
      <c r="G305" s="574"/>
      <c r="H305" s="516"/>
    </row>
    <row r="306" spans="1:8" ht="19.899999999999999" customHeight="1" x14ac:dyDescent="0.2">
      <c r="A306" s="573" t="s">
        <v>33</v>
      </c>
      <c r="B306" s="527">
        <f>IFERROR(VALUE(LEFT(B307,FIND(".",B307)-1)),"")</f>
        <v>2</v>
      </c>
      <c r="C306" s="528" t="str">
        <f ca="1">IFERROR(VLOOKUP(B306,T_Computo_Presupuesto,2,FALSE),0)</f>
        <v>CANAL GENERAL COCHAGUAL Progresiva 4080-4880</v>
      </c>
      <c r="D306" s="528"/>
      <c r="E306" s="525"/>
      <c r="F306" s="526"/>
      <c r="G306" s="574"/>
      <c r="H306" s="516"/>
    </row>
    <row r="307" spans="1:8" ht="19.899999999999999" customHeight="1" x14ac:dyDescent="0.2">
      <c r="A307" s="573" t="s">
        <v>22</v>
      </c>
      <c r="B307" s="529" t="str">
        <f>IFERROR(VLOOKUP(COUNTIF($A$1:A307,"ANALISIS DE PRECIOS"),T_NumeroItem,2,FALSE),"")</f>
        <v>2.4</v>
      </c>
      <c r="C307" s="806" t="str">
        <f ca="1">IFERROR(VLOOKUP(B307,T_Computo_Presupuesto,2,FALSE),0)</f>
        <v>Hormigon de encamisado H-21</v>
      </c>
      <c r="D307" s="806"/>
      <c r="E307" s="806"/>
      <c r="F307" s="523" t="s">
        <v>23</v>
      </c>
      <c r="G307" s="575" t="str">
        <f ca="1">IFERROR(VLOOKUP(B307,T_Computo_Presupuesto,4,FALSE),0)</f>
        <v>m3</v>
      </c>
      <c r="H307" s="516"/>
    </row>
    <row r="308" spans="1:8" ht="19.899999999999999" customHeight="1" x14ac:dyDescent="0.2">
      <c r="A308" s="573"/>
      <c r="B308" s="523"/>
      <c r="C308" s="528"/>
      <c r="D308" s="524"/>
      <c r="E308" s="525"/>
      <c r="F308" s="528"/>
      <c r="G308" s="576"/>
      <c r="H308" s="516"/>
    </row>
    <row r="309" spans="1:8" ht="19.899999999999999" customHeight="1" x14ac:dyDescent="0.2">
      <c r="A309" s="577"/>
      <c r="B309" s="530"/>
      <c r="C309" s="531" t="s">
        <v>977</v>
      </c>
      <c r="D309" s="530"/>
      <c r="E309" s="530"/>
      <c r="F309" s="530"/>
      <c r="G309" s="578"/>
      <c r="H309" s="516"/>
    </row>
    <row r="310" spans="1:8" ht="19.899999999999999" customHeight="1" x14ac:dyDescent="0.2">
      <c r="A310" s="573"/>
      <c r="B310" s="532"/>
      <c r="C310" s="528"/>
      <c r="D310" s="524"/>
      <c r="E310" s="525"/>
      <c r="F310" s="523"/>
      <c r="G310" s="575"/>
      <c r="H310" s="516"/>
    </row>
    <row r="311" spans="1:8" ht="19.899999999999999" customHeight="1" x14ac:dyDescent="0.2">
      <c r="A311" s="573"/>
      <c r="B311" s="532"/>
      <c r="C311" s="533" t="s">
        <v>978</v>
      </c>
      <c r="D311" s="534" t="s">
        <v>24</v>
      </c>
      <c r="E311" s="534" t="s">
        <v>979</v>
      </c>
      <c r="F311" s="534" t="s">
        <v>980</v>
      </c>
      <c r="G311" s="533" t="s">
        <v>981</v>
      </c>
    </row>
    <row r="312" spans="1:8" ht="19.899999999999999" customHeight="1" x14ac:dyDescent="0.2">
      <c r="A312" s="573"/>
      <c r="B312" s="532"/>
      <c r="C312" s="535">
        <f>+C87</f>
        <v>0</v>
      </c>
      <c r="D312" s="535">
        <f>+D87</f>
        <v>0</v>
      </c>
      <c r="E312" s="537">
        <f t="shared" ref="E312:E321" si="78">IFERROR(VLOOKUP(C312,T_Equipos,4,FALSE),0)</f>
        <v>0</v>
      </c>
      <c r="F312" s="538">
        <f t="shared" ref="F312:F321" si="79">IFERROR(VLOOKUP(C312,T_Equipos,5,FALSE),0)</f>
        <v>0</v>
      </c>
      <c r="G312" s="538">
        <f>ROUND(D312*F312,2)</f>
        <v>0</v>
      </c>
    </row>
    <row r="313" spans="1:8" ht="19.899999999999999" customHeight="1" x14ac:dyDescent="0.2">
      <c r="A313" s="573"/>
      <c r="B313" s="532"/>
      <c r="C313" s="535">
        <f t="shared" ref="C313:D313" si="80">+C88</f>
        <v>0</v>
      </c>
      <c r="D313" s="535">
        <f t="shared" si="80"/>
        <v>0</v>
      </c>
      <c r="E313" s="537">
        <f t="shared" si="78"/>
        <v>0</v>
      </c>
      <c r="F313" s="538">
        <f t="shared" si="79"/>
        <v>0</v>
      </c>
      <c r="G313" s="538">
        <f>ROUND(D313*F313,2)</f>
        <v>0</v>
      </c>
    </row>
    <row r="314" spans="1:8" ht="19.899999999999999" customHeight="1" x14ac:dyDescent="0.2">
      <c r="A314" s="573"/>
      <c r="B314" s="532"/>
      <c r="C314" s="535">
        <f t="shared" ref="C314" si="81">+C89</f>
        <v>0</v>
      </c>
      <c r="D314" s="535"/>
      <c r="E314" s="537">
        <f t="shared" si="78"/>
        <v>0</v>
      </c>
      <c r="F314" s="538">
        <f t="shared" si="79"/>
        <v>0</v>
      </c>
      <c r="G314" s="538">
        <f>ROUND(D314*F314,2)</f>
        <v>0</v>
      </c>
    </row>
    <row r="315" spans="1:8" ht="19.899999999999999" customHeight="1" x14ac:dyDescent="0.2">
      <c r="A315" s="573"/>
      <c r="B315" s="532"/>
      <c r="C315" s="535">
        <f t="shared" ref="C315" si="82">+C90</f>
        <v>0</v>
      </c>
      <c r="D315" s="535"/>
      <c r="E315" s="537">
        <f t="shared" si="78"/>
        <v>0</v>
      </c>
      <c r="F315" s="538">
        <f t="shared" si="79"/>
        <v>0</v>
      </c>
      <c r="G315" s="538">
        <f>ROUND(D315*F315,2)</f>
        <v>0</v>
      </c>
    </row>
    <row r="316" spans="1:8" ht="19.899999999999999" customHeight="1" x14ac:dyDescent="0.2">
      <c r="A316" s="573"/>
      <c r="B316" s="532"/>
      <c r="C316" s="535">
        <f t="shared" ref="C316" si="83">+C91</f>
        <v>0</v>
      </c>
      <c r="D316" s="535"/>
      <c r="E316" s="537">
        <f t="shared" si="78"/>
        <v>0</v>
      </c>
      <c r="F316" s="538">
        <f t="shared" si="79"/>
        <v>0</v>
      </c>
      <c r="G316" s="538">
        <f t="shared" ref="G316:G321" si="84">ROUND(D316*F316,2)</f>
        <v>0</v>
      </c>
    </row>
    <row r="317" spans="1:8" ht="19.899999999999999" customHeight="1" x14ac:dyDescent="0.2">
      <c r="A317" s="573"/>
      <c r="B317" s="532"/>
      <c r="C317" s="535">
        <f t="shared" ref="C317" si="85">+C92</f>
        <v>0</v>
      </c>
      <c r="D317" s="535"/>
      <c r="E317" s="537">
        <f t="shared" si="78"/>
        <v>0</v>
      </c>
      <c r="F317" s="538">
        <f t="shared" si="79"/>
        <v>0</v>
      </c>
      <c r="G317" s="538">
        <f t="shared" si="84"/>
        <v>0</v>
      </c>
    </row>
    <row r="318" spans="1:8" ht="19.899999999999999" customHeight="1" x14ac:dyDescent="0.2">
      <c r="A318" s="573"/>
      <c r="B318" s="532"/>
      <c r="C318" s="535">
        <f t="shared" ref="C318:D318" si="86">+C93</f>
        <v>0</v>
      </c>
      <c r="D318" s="535">
        <f t="shared" si="86"/>
        <v>0</v>
      </c>
      <c r="E318" s="537">
        <f t="shared" si="78"/>
        <v>0</v>
      </c>
      <c r="F318" s="538">
        <f t="shared" si="79"/>
        <v>0</v>
      </c>
      <c r="G318" s="538">
        <f t="shared" si="84"/>
        <v>0</v>
      </c>
    </row>
    <row r="319" spans="1:8" ht="19.899999999999999" customHeight="1" x14ac:dyDescent="0.2">
      <c r="A319" s="573"/>
      <c r="B319" s="532"/>
      <c r="C319" s="535">
        <f t="shared" ref="C319:D319" si="87">+C94</f>
        <v>0</v>
      </c>
      <c r="D319" s="535">
        <f t="shared" si="87"/>
        <v>0</v>
      </c>
      <c r="E319" s="537">
        <f t="shared" si="78"/>
        <v>0</v>
      </c>
      <c r="F319" s="538">
        <f t="shared" si="79"/>
        <v>0</v>
      </c>
      <c r="G319" s="538">
        <f t="shared" si="84"/>
        <v>0</v>
      </c>
    </row>
    <row r="320" spans="1:8" ht="19.899999999999999" customHeight="1" x14ac:dyDescent="0.2">
      <c r="A320" s="573"/>
      <c r="B320" s="532"/>
      <c r="C320" s="535"/>
      <c r="D320" s="536"/>
      <c r="E320" s="537">
        <f t="shared" si="78"/>
        <v>0</v>
      </c>
      <c r="F320" s="538">
        <f t="shared" si="79"/>
        <v>0</v>
      </c>
      <c r="G320" s="538">
        <f t="shared" si="84"/>
        <v>0</v>
      </c>
    </row>
    <row r="321" spans="1:8" ht="19.899999999999999" customHeight="1" x14ac:dyDescent="0.2">
      <c r="A321" s="573"/>
      <c r="B321" s="532"/>
      <c r="C321" s="535"/>
      <c r="D321" s="536"/>
      <c r="E321" s="537">
        <f t="shared" si="78"/>
        <v>0</v>
      </c>
      <c r="F321" s="538">
        <f t="shared" si="79"/>
        <v>0</v>
      </c>
      <c r="G321" s="538">
        <f t="shared" si="84"/>
        <v>0</v>
      </c>
      <c r="H321" s="735">
        <f>+G339</f>
        <v>0</v>
      </c>
    </row>
    <row r="322" spans="1:8" ht="19.899999999999999" customHeight="1" x14ac:dyDescent="0.2">
      <c r="A322" s="573"/>
      <c r="B322" s="532"/>
      <c r="C322" s="528"/>
      <c r="D322" s="528"/>
      <c r="E322" s="539"/>
      <c r="F322" s="523"/>
      <c r="G322" s="575"/>
    </row>
    <row r="323" spans="1:8" ht="19.899999999999999" customHeight="1" x14ac:dyDescent="0.2">
      <c r="A323" s="573"/>
      <c r="B323" s="528"/>
      <c r="C323" s="520" t="s">
        <v>982</v>
      </c>
      <c r="D323" s="523" t="s">
        <v>979</v>
      </c>
      <c r="E323" s="594">
        <f>SUMPRODUCT(D312:D321,E312:E321)</f>
        <v>0</v>
      </c>
      <c r="F323" s="523" t="s">
        <v>983</v>
      </c>
      <c r="G323" s="595">
        <f>SUM(G312:G321)</f>
        <v>0</v>
      </c>
    </row>
    <row r="324" spans="1:8" ht="19.899999999999999" customHeight="1" x14ac:dyDescent="0.2">
      <c r="A324" s="573"/>
      <c r="B324" s="532"/>
      <c r="C324" s="540"/>
      <c r="D324" s="539"/>
      <c r="E324" s="525"/>
      <c r="F324" s="523"/>
      <c r="G324" s="579"/>
    </row>
    <row r="325" spans="1:8" ht="19.899999999999999" customHeight="1" x14ac:dyDescent="0.2">
      <c r="A325" s="580"/>
      <c r="B325" s="532"/>
      <c r="C325" s="523" t="s">
        <v>984</v>
      </c>
      <c r="D325" s="541">
        <f>IFERROR(VLOOKUP(COUNTIF($A$1:A325,"ANALISIS DE PRECIOS"),T_Rendimiento_Equipo,5,FALSE),0)</f>
        <v>0</v>
      </c>
      <c r="E325" s="542" t="str">
        <f ca="1">G307&amp;"/día"</f>
        <v>m3/día</v>
      </c>
      <c r="F325" s="581"/>
      <c r="G325" s="575"/>
    </row>
    <row r="326" spans="1:8" ht="19.899999999999999" customHeight="1" x14ac:dyDescent="0.2">
      <c r="A326" s="573"/>
      <c r="B326" s="532"/>
      <c r="C326" s="528"/>
      <c r="D326" s="524"/>
      <c r="E326" s="525"/>
      <c r="F326" s="523"/>
      <c r="G326" s="575"/>
    </row>
    <row r="327" spans="1:8" ht="19.899999999999999" customHeight="1" x14ac:dyDescent="0.2">
      <c r="A327" s="793" t="s">
        <v>576</v>
      </c>
      <c r="B327" s="794"/>
      <c r="C327" s="795" t="s">
        <v>0</v>
      </c>
      <c r="D327" s="807" t="s">
        <v>1739</v>
      </c>
      <c r="E327" s="807" t="s">
        <v>1738</v>
      </c>
      <c r="F327" s="799" t="s">
        <v>985</v>
      </c>
      <c r="G327" s="801" t="s">
        <v>26</v>
      </c>
    </row>
    <row r="328" spans="1:8" ht="19.899999999999999" customHeight="1" x14ac:dyDescent="0.2">
      <c r="A328" s="543" t="s">
        <v>577</v>
      </c>
      <c r="B328" s="543" t="s">
        <v>578</v>
      </c>
      <c r="C328" s="796"/>
      <c r="D328" s="808"/>
      <c r="E328" s="798"/>
      <c r="F328" s="800"/>
      <c r="G328" s="802"/>
    </row>
    <row r="329" spans="1:8" ht="19.899999999999999" customHeight="1" x14ac:dyDescent="0.2">
      <c r="A329" s="582"/>
      <c r="B329" s="528"/>
      <c r="C329" s="520" t="s">
        <v>986</v>
      </c>
      <c r="D329" s="525"/>
      <c r="E329" s="525"/>
      <c r="F329" s="528"/>
      <c r="G329" s="583"/>
    </row>
    <row r="330" spans="1:8" ht="19.899999999999999" customHeight="1" x14ac:dyDescent="0.2">
      <c r="A330" s="584">
        <f t="shared" ref="A330:A338" si="88">IFERROR(VLOOKUP(C330,T_Insumos,4,FALSE),0)</f>
        <v>0</v>
      </c>
      <c r="B330" s="544">
        <f t="shared" ref="B330:B338" si="89">IFERROR(VLOOKUP(C330,T_Insumos,5,FALSE),0)</f>
        <v>0</v>
      </c>
      <c r="C330" s="535">
        <f>+C30</f>
        <v>0</v>
      </c>
      <c r="D330" s="545">
        <f t="shared" ref="D330:D338" si="90">IFERROR(VLOOKUP(C330,T_Insumos,3,FALSE),0)</f>
        <v>0</v>
      </c>
      <c r="E330" s="538">
        <f>D330*$G$323</f>
        <v>0</v>
      </c>
      <c r="F330" s="541">
        <f>IF(C330="",0,IFERROR(VLOOKUP(COUNTIF($A$1:A330,"ANALISIS DE PRECIOS"),T_Rendimiento_Equipo,5,FALSE),0))</f>
        <v>0</v>
      </c>
      <c r="G330" s="538">
        <f>IFERROR(ROUND(E330/F330,2),0)</f>
        <v>0</v>
      </c>
    </row>
    <row r="331" spans="1:8" ht="19.899999999999999" customHeight="1" x14ac:dyDescent="0.2">
      <c r="A331" s="584">
        <f t="shared" si="88"/>
        <v>0</v>
      </c>
      <c r="B331" s="544">
        <f t="shared" si="89"/>
        <v>0</v>
      </c>
      <c r="C331" s="535">
        <f t="shared" ref="C331:C333" si="91">+C31</f>
        <v>0</v>
      </c>
      <c r="D331" s="545">
        <f t="shared" si="90"/>
        <v>0</v>
      </c>
      <c r="E331" s="538">
        <f t="shared" ref="E331:E332" si="92">D331*$G$323</f>
        <v>0</v>
      </c>
      <c r="F331" s="541">
        <f>IF(C331="",0,IFERROR(VLOOKUP(COUNTIF($A$1:A331,"ANALISIS DE PRECIOS"),T_Rendimiento_Equipo,5,FALSE),0))</f>
        <v>0</v>
      </c>
      <c r="G331" s="538">
        <f t="shared" ref="G331:G338" si="93">IFERROR(ROUND(E331/F331,2),0)</f>
        <v>0</v>
      </c>
    </row>
    <row r="332" spans="1:8" ht="19.899999999999999" customHeight="1" x14ac:dyDescent="0.2">
      <c r="A332" s="584">
        <f t="shared" si="88"/>
        <v>0</v>
      </c>
      <c r="B332" s="544">
        <f t="shared" si="89"/>
        <v>0</v>
      </c>
      <c r="C332" s="535">
        <f t="shared" si="91"/>
        <v>0</v>
      </c>
      <c r="D332" s="545">
        <f t="shared" si="90"/>
        <v>0</v>
      </c>
      <c r="E332" s="538">
        <f t="shared" si="92"/>
        <v>0</v>
      </c>
      <c r="F332" s="541">
        <f>IF(C332="",0,IFERROR(VLOOKUP(COUNTIF($A$1:A332,"ANALISIS DE PRECIOS"),T_Rendimiento_Equipo,5,FALSE),0))</f>
        <v>0</v>
      </c>
      <c r="G332" s="538">
        <f t="shared" si="93"/>
        <v>0</v>
      </c>
    </row>
    <row r="333" spans="1:8" ht="19.899999999999999" customHeight="1" x14ac:dyDescent="0.2">
      <c r="A333" s="584">
        <f t="shared" si="88"/>
        <v>0</v>
      </c>
      <c r="B333" s="544">
        <f t="shared" si="89"/>
        <v>0</v>
      </c>
      <c r="C333" s="535">
        <f t="shared" si="91"/>
        <v>0</v>
      </c>
      <c r="D333" s="545">
        <f t="shared" si="90"/>
        <v>0</v>
      </c>
      <c r="E333" s="538">
        <f>D333*$E$323</f>
        <v>0</v>
      </c>
      <c r="F333" s="541">
        <f>IF(C333="",0,IFERROR(VLOOKUP(COUNTIF($A$1:A333,"ANALISIS DE PRECIOS"),T_Rendimiento_Equipo,5,FALSE),0))</f>
        <v>0</v>
      </c>
      <c r="G333" s="538">
        <f t="shared" si="93"/>
        <v>0</v>
      </c>
    </row>
    <row r="334" spans="1:8" ht="19.899999999999999" customHeight="1" x14ac:dyDescent="0.2">
      <c r="A334" s="584">
        <f t="shared" si="88"/>
        <v>0</v>
      </c>
      <c r="B334" s="544">
        <f t="shared" si="89"/>
        <v>0</v>
      </c>
      <c r="C334" s="546"/>
      <c r="D334" s="545">
        <f t="shared" si="90"/>
        <v>0</v>
      </c>
      <c r="E334" s="538"/>
      <c r="F334" s="541">
        <f>IF(C334="",0,IFERROR(VLOOKUP(COUNTIF($A$1:A334,"ANALISIS DE PRECIOS"),T_Rendimiento_Equipo,5,FALSE),0))</f>
        <v>0</v>
      </c>
      <c r="G334" s="538">
        <f t="shared" si="93"/>
        <v>0</v>
      </c>
    </row>
    <row r="335" spans="1:8" ht="19.899999999999999" customHeight="1" x14ac:dyDescent="0.2">
      <c r="A335" s="584">
        <f t="shared" si="88"/>
        <v>0</v>
      </c>
      <c r="B335" s="544">
        <f t="shared" si="89"/>
        <v>0</v>
      </c>
      <c r="C335" s="546"/>
      <c r="D335" s="545">
        <f t="shared" si="90"/>
        <v>0</v>
      </c>
      <c r="E335" s="538"/>
      <c r="F335" s="541">
        <f>IF(C335="",0,IFERROR(VLOOKUP(COUNTIF($A$1:A335,"ANALISIS DE PRECIOS"),T_Rendimiento_Equipo,5,FALSE),0))</f>
        <v>0</v>
      </c>
      <c r="G335" s="538">
        <f t="shared" si="93"/>
        <v>0</v>
      </c>
    </row>
    <row r="336" spans="1:8" ht="19.899999999999999" customHeight="1" x14ac:dyDescent="0.2">
      <c r="A336" s="584">
        <f t="shared" si="88"/>
        <v>0</v>
      </c>
      <c r="B336" s="544">
        <f t="shared" si="89"/>
        <v>0</v>
      </c>
      <c r="C336" s="546"/>
      <c r="D336" s="545">
        <f t="shared" si="90"/>
        <v>0</v>
      </c>
      <c r="E336" s="538"/>
      <c r="F336" s="541">
        <f>IF(C336="",0,IFERROR(VLOOKUP(COUNTIF($A$1:A336,"ANALISIS DE PRECIOS"),T_Rendimiento_Equipo,5,FALSE),0))</f>
        <v>0</v>
      </c>
      <c r="G336" s="538">
        <f t="shared" si="93"/>
        <v>0</v>
      </c>
    </row>
    <row r="337" spans="1:7" ht="19.899999999999999" customHeight="1" x14ac:dyDescent="0.2">
      <c r="A337" s="584">
        <f t="shared" si="88"/>
        <v>0</v>
      </c>
      <c r="B337" s="544">
        <f t="shared" si="89"/>
        <v>0</v>
      </c>
      <c r="C337" s="546"/>
      <c r="D337" s="545">
        <f t="shared" si="90"/>
        <v>0</v>
      </c>
      <c r="E337" s="538"/>
      <c r="F337" s="541">
        <f>IF(C337="",0,IFERROR(VLOOKUP(COUNTIF($A$1:A337,"ANALISIS DE PRECIOS"),T_Rendimiento_Equipo,5,FALSE),0))</f>
        <v>0</v>
      </c>
      <c r="G337" s="538">
        <f t="shared" si="93"/>
        <v>0</v>
      </c>
    </row>
    <row r="338" spans="1:7" ht="19.899999999999999" customHeight="1" x14ac:dyDescent="0.2">
      <c r="A338" s="584">
        <f t="shared" si="88"/>
        <v>0</v>
      </c>
      <c r="B338" s="544">
        <f t="shared" si="89"/>
        <v>0</v>
      </c>
      <c r="C338" s="535"/>
      <c r="D338" s="545">
        <f t="shared" si="90"/>
        <v>0</v>
      </c>
      <c r="E338" s="538"/>
      <c r="F338" s="541">
        <f>IF(C338="",0,IFERROR(VLOOKUP(COUNTIF($A$1:A338,"ANALISIS DE PRECIOS"),T_Rendimiento_Equipo,5,FALSE),0))</f>
        <v>0</v>
      </c>
      <c r="G338" s="538">
        <f t="shared" si="93"/>
        <v>0</v>
      </c>
    </row>
    <row r="339" spans="1:7" ht="19.899999999999999" customHeight="1" x14ac:dyDescent="0.2">
      <c r="A339" s="585"/>
      <c r="B339" s="524"/>
      <c r="C339" s="528"/>
      <c r="D339" s="524"/>
      <c r="E339" s="525"/>
      <c r="F339" s="547" t="s">
        <v>27</v>
      </c>
      <c r="G339" s="586">
        <f>SUBTOTAL(9,G330:G338)</f>
        <v>0</v>
      </c>
    </row>
    <row r="340" spans="1:7" ht="19.899999999999999" customHeight="1" x14ac:dyDescent="0.2">
      <c r="A340" s="582"/>
      <c r="B340" s="528"/>
      <c r="C340" s="520" t="s">
        <v>713</v>
      </c>
      <c r="D340" s="524"/>
      <c r="E340" s="525"/>
      <c r="F340" s="526"/>
      <c r="G340" s="583"/>
    </row>
    <row r="341" spans="1:7" ht="19.899999999999999" customHeight="1" x14ac:dyDescent="0.2">
      <c r="A341" s="793" t="s">
        <v>576</v>
      </c>
      <c r="B341" s="794"/>
      <c r="C341" s="795" t="s">
        <v>0</v>
      </c>
      <c r="D341" s="797" t="s">
        <v>24</v>
      </c>
      <c r="E341" s="797" t="s">
        <v>1718</v>
      </c>
      <c r="F341" s="799" t="s">
        <v>985</v>
      </c>
      <c r="G341" s="801" t="s">
        <v>26</v>
      </c>
    </row>
    <row r="342" spans="1:7" ht="19.899999999999999" customHeight="1" x14ac:dyDescent="0.2">
      <c r="A342" s="543" t="s">
        <v>577</v>
      </c>
      <c r="B342" s="543" t="s">
        <v>578</v>
      </c>
      <c r="C342" s="796"/>
      <c r="D342" s="798"/>
      <c r="E342" s="798"/>
      <c r="F342" s="800"/>
      <c r="G342" s="802"/>
    </row>
    <row r="343" spans="1:7" ht="19.899999999999999" customHeight="1" x14ac:dyDescent="0.2">
      <c r="A343" s="584" t="str">
        <f t="shared" ref="A343:A349" si="94">IFERROR(VLOOKUP(C343,T_Insumos,4,FALSE),0)</f>
        <v>IIEE-SJ - 1</v>
      </c>
      <c r="B343" s="544" t="str">
        <f t="shared" ref="B343:B349" si="95">IFERROR(VLOOKUP(C343,T_Insumos,5,FALSE),0)</f>
        <v>Mano de Obra</v>
      </c>
      <c r="C343" s="535" t="str">
        <f t="shared" ref="C343:C346" si="96">+C118</f>
        <v>Mano de obra</v>
      </c>
      <c r="D343" s="541"/>
      <c r="E343" s="538">
        <f t="shared" ref="E343:E349" si="97">IFERROR(VLOOKUP(C343,T_Insumos,3,FALSE),0)</f>
        <v>0</v>
      </c>
      <c r="F343" s="541">
        <f>IF(C343="",0,IFERROR(VLOOKUP(COUNTIF($A$1:A343,"ANALISIS DE PRECIOS"),T_Rendimiento_Equipo,5,FALSE),0))</f>
        <v>0</v>
      </c>
      <c r="G343" s="538">
        <f>IFERROR(ROUND(D343*E343/F343,2),0)</f>
        <v>0</v>
      </c>
    </row>
    <row r="344" spans="1:7" ht="19.899999999999999" customHeight="1" x14ac:dyDescent="0.2">
      <c r="A344" s="584" t="str">
        <f t="shared" si="94"/>
        <v>INDEC-CM - 37510-11</v>
      </c>
      <c r="B344" s="544" t="str">
        <f t="shared" si="95"/>
        <v>Hormigón elaborado</v>
      </c>
      <c r="C344" s="535" t="str">
        <f t="shared" si="96"/>
        <v>Hormigon Elaborado</v>
      </c>
      <c r="D344" s="541">
        <v>1</v>
      </c>
      <c r="E344" s="538">
        <f t="shared" si="97"/>
        <v>0</v>
      </c>
      <c r="F344" s="541">
        <f>IF(C344="",0,IFERROR(VLOOKUP(COUNTIF($A$1:A344,"ANALISIS DE PRECIOS"),T_Rendimiento_Equipo,5,FALSE),0))</f>
        <v>0</v>
      </c>
      <c r="G344" s="538">
        <f>IFERROR(ROUND(D344*E344/F344,2),0)</f>
        <v>0</v>
      </c>
    </row>
    <row r="345" spans="1:7" ht="19.899999999999999" customHeight="1" x14ac:dyDescent="0.2">
      <c r="A345" s="584" t="str">
        <f t="shared" si="94"/>
        <v>INDEC-DCTO - Inciso j)</v>
      </c>
      <c r="B345" s="544" t="str">
        <f t="shared" si="95"/>
        <v>Equipo - Amortización de equipo</v>
      </c>
      <c r="C345" s="535" t="str">
        <f t="shared" si="96"/>
        <v>Equipo - Amortizacion de equipo</v>
      </c>
      <c r="D345" s="541"/>
      <c r="E345" s="538">
        <f t="shared" si="97"/>
        <v>0</v>
      </c>
      <c r="F345" s="541">
        <f>IF(C345="",0,IFERROR(VLOOKUP(COUNTIF($A$1:A345,"ANALISIS DE PRECIOS"),T_Rendimiento_Equipo,5,FALSE),0))</f>
        <v>0</v>
      </c>
      <c r="G345" s="538">
        <f t="shared" ref="G345:G349" si="98">IFERROR(ROUND(D345*E345/F345,2),0)</f>
        <v>0</v>
      </c>
    </row>
    <row r="346" spans="1:7" ht="19.899999999999999" customHeight="1" x14ac:dyDescent="0.2">
      <c r="A346" s="584" t="str">
        <f t="shared" si="94"/>
        <v>INDEC-CM - 41242-11</v>
      </c>
      <c r="B346" s="544" t="str">
        <f t="shared" si="95"/>
        <v>Acero aletado conformado, en barra</v>
      </c>
      <c r="C346" s="535" t="str">
        <f t="shared" si="96"/>
        <v>Hierro</v>
      </c>
      <c r="D346" s="541">
        <v>2</v>
      </c>
      <c r="E346" s="538">
        <f t="shared" si="97"/>
        <v>0</v>
      </c>
      <c r="F346" s="541">
        <f>IF(C346="",0,IFERROR(VLOOKUP(COUNTIF($A$1:A346,"ANALISIS DE PRECIOS"),T_Rendimiento_Equipo,5,FALSE),0))</f>
        <v>0</v>
      </c>
      <c r="G346" s="538">
        <f t="shared" si="98"/>
        <v>0</v>
      </c>
    </row>
    <row r="347" spans="1:7" ht="19.899999999999999" customHeight="1" x14ac:dyDescent="0.2">
      <c r="A347" s="584">
        <f t="shared" si="94"/>
        <v>0</v>
      </c>
      <c r="B347" s="544">
        <f t="shared" si="95"/>
        <v>0</v>
      </c>
      <c r="C347" s="535"/>
      <c r="D347" s="541"/>
      <c r="E347" s="538">
        <f t="shared" si="97"/>
        <v>0</v>
      </c>
      <c r="F347" s="541">
        <f>IF(C347="",0,IFERROR(VLOOKUP(COUNTIF($A$1:A347,"ANALISIS DE PRECIOS"),T_Rendimiento_Equipo,5,FALSE),0))</f>
        <v>0</v>
      </c>
      <c r="G347" s="538">
        <f t="shared" si="98"/>
        <v>0</v>
      </c>
    </row>
    <row r="348" spans="1:7" ht="19.899999999999999" customHeight="1" x14ac:dyDescent="0.2">
      <c r="A348" s="584">
        <f t="shared" si="94"/>
        <v>0</v>
      </c>
      <c r="B348" s="544">
        <f t="shared" si="95"/>
        <v>0</v>
      </c>
      <c r="C348" s="535"/>
      <c r="D348" s="549"/>
      <c r="E348" s="538">
        <f t="shared" si="97"/>
        <v>0</v>
      </c>
      <c r="F348" s="541">
        <f>IF(C348="",0,IFERROR(VLOOKUP(COUNTIF($A$1:A348,"ANALISIS DE PRECIOS"),T_Rendimiento_Equipo,5,FALSE),0))</f>
        <v>0</v>
      </c>
      <c r="G348" s="538">
        <f t="shared" si="98"/>
        <v>0</v>
      </c>
    </row>
    <row r="349" spans="1:7" ht="19.899999999999999" customHeight="1" x14ac:dyDescent="0.2">
      <c r="A349" s="584">
        <f t="shared" si="94"/>
        <v>0</v>
      </c>
      <c r="B349" s="544">
        <f t="shared" si="95"/>
        <v>0</v>
      </c>
      <c r="C349" s="544"/>
      <c r="D349" s="550"/>
      <c r="E349" s="538">
        <f t="shared" si="97"/>
        <v>0</v>
      </c>
      <c r="F349" s="541">
        <f>IF(C349="",0,IFERROR(VLOOKUP(COUNTIF($A$1:A349,"ANALISIS DE PRECIOS"),T_Rendimiento_Equipo,5,FALSE),0))</f>
        <v>0</v>
      </c>
      <c r="G349" s="538">
        <f t="shared" si="98"/>
        <v>0</v>
      </c>
    </row>
    <row r="350" spans="1:7" ht="19.899999999999999" customHeight="1" x14ac:dyDescent="0.2">
      <c r="A350" s="585"/>
      <c r="B350" s="524"/>
      <c r="C350" s="528"/>
      <c r="D350" s="524"/>
      <c r="E350" s="525"/>
      <c r="F350" s="547" t="s">
        <v>28</v>
      </c>
      <c r="G350" s="587">
        <f>SUBTOTAL(9,G343:G349)</f>
        <v>0</v>
      </c>
    </row>
    <row r="351" spans="1:7" ht="19.899999999999999" customHeight="1" x14ac:dyDescent="0.2">
      <c r="A351" s="582"/>
      <c r="B351" s="528"/>
      <c r="C351" s="520" t="s">
        <v>992</v>
      </c>
      <c r="D351" s="524"/>
      <c r="E351" s="525"/>
      <c r="F351" s="526"/>
      <c r="G351" s="583"/>
    </row>
    <row r="352" spans="1:7" ht="19.899999999999999" customHeight="1" x14ac:dyDescent="0.2">
      <c r="A352" s="793" t="s">
        <v>576</v>
      </c>
      <c r="B352" s="794"/>
      <c r="C352" s="795" t="s">
        <v>0</v>
      </c>
      <c r="D352" s="795" t="s">
        <v>1740</v>
      </c>
      <c r="E352" s="797" t="s">
        <v>24</v>
      </c>
      <c r="F352" s="799" t="s">
        <v>25</v>
      </c>
      <c r="G352" s="801" t="s">
        <v>26</v>
      </c>
    </row>
    <row r="353" spans="1:7" ht="19.899999999999999" customHeight="1" x14ac:dyDescent="0.2">
      <c r="A353" s="543" t="s">
        <v>577</v>
      </c>
      <c r="B353" s="543" t="s">
        <v>578</v>
      </c>
      <c r="C353" s="796"/>
      <c r="D353" s="796"/>
      <c r="E353" s="798"/>
      <c r="F353" s="800"/>
      <c r="G353" s="802"/>
    </row>
    <row r="354" spans="1:7" ht="19.899999999999999" customHeight="1" x14ac:dyDescent="0.2">
      <c r="A354" s="584">
        <f t="shared" ref="A354:A364" si="99">IFERROR(VLOOKUP(C354,T_Insumos,4,FALSE),0)</f>
        <v>0</v>
      </c>
      <c r="B354" s="544">
        <f t="shared" ref="B354:B364" si="100">IFERROR(VLOOKUP(C354,T_Insumos,5,FALSE),0)</f>
        <v>0</v>
      </c>
      <c r="C354" s="535">
        <f t="shared" ref="C354:C364" si="101">+C129</f>
        <v>0</v>
      </c>
      <c r="D354" s="596">
        <f t="shared" ref="D354:D364" si="102">IFERROR(VLOOKUP(C354,T_Insumos,2,FALSE),0)</f>
        <v>0</v>
      </c>
      <c r="E354" s="536">
        <v>0.31</v>
      </c>
      <c r="F354" s="538">
        <f t="shared" ref="F354:F364" si="103">IFERROR(VLOOKUP(C354,T_Insumos,3,FALSE),0)</f>
        <v>0</v>
      </c>
      <c r="G354" s="538">
        <f>ROUND(E354*F354,2)</f>
        <v>0</v>
      </c>
    </row>
    <row r="355" spans="1:7" s="551" customFormat="1" ht="19.899999999999999" customHeight="1" x14ac:dyDescent="0.2">
      <c r="A355" s="584">
        <f t="shared" si="99"/>
        <v>0</v>
      </c>
      <c r="B355" s="544">
        <f t="shared" si="100"/>
        <v>0</v>
      </c>
      <c r="C355" s="535">
        <f t="shared" si="101"/>
        <v>0</v>
      </c>
      <c r="D355" s="596">
        <f t="shared" si="102"/>
        <v>0</v>
      </c>
      <c r="E355" s="536">
        <v>0.65</v>
      </c>
      <c r="F355" s="538">
        <f t="shared" si="103"/>
        <v>0</v>
      </c>
      <c r="G355" s="538">
        <f t="shared" ref="G355:G364" si="104">ROUND(E355*F355,2)</f>
        <v>0</v>
      </c>
    </row>
    <row r="356" spans="1:7" ht="19.899999999999999" customHeight="1" x14ac:dyDescent="0.2">
      <c r="A356" s="584">
        <f t="shared" si="99"/>
        <v>0</v>
      </c>
      <c r="B356" s="544">
        <f t="shared" si="100"/>
        <v>0</v>
      </c>
      <c r="C356" s="535">
        <f t="shared" si="101"/>
        <v>0</v>
      </c>
      <c r="D356" s="596">
        <f t="shared" si="102"/>
        <v>0</v>
      </c>
      <c r="E356" s="536">
        <v>0.7</v>
      </c>
      <c r="F356" s="538">
        <f t="shared" si="103"/>
        <v>0</v>
      </c>
      <c r="G356" s="538">
        <f t="shared" si="104"/>
        <v>0</v>
      </c>
    </row>
    <row r="357" spans="1:7" ht="19.899999999999999" customHeight="1" x14ac:dyDescent="0.2">
      <c r="A357" s="584">
        <f t="shared" si="99"/>
        <v>0</v>
      </c>
      <c r="B357" s="544">
        <f t="shared" si="100"/>
        <v>0</v>
      </c>
      <c r="C357" s="535">
        <f t="shared" si="101"/>
        <v>0</v>
      </c>
      <c r="D357" s="596">
        <f t="shared" si="102"/>
        <v>0</v>
      </c>
      <c r="E357" s="536">
        <v>1</v>
      </c>
      <c r="F357" s="538">
        <f t="shared" si="103"/>
        <v>0</v>
      </c>
      <c r="G357" s="538">
        <f t="shared" si="104"/>
        <v>0</v>
      </c>
    </row>
    <row r="358" spans="1:7" ht="19.899999999999999" customHeight="1" x14ac:dyDescent="0.2">
      <c r="A358" s="584">
        <f t="shared" si="99"/>
        <v>0</v>
      </c>
      <c r="B358" s="544">
        <f t="shared" si="100"/>
        <v>0</v>
      </c>
      <c r="C358" s="535">
        <f t="shared" si="101"/>
        <v>0</v>
      </c>
      <c r="D358" s="596">
        <f t="shared" si="102"/>
        <v>0</v>
      </c>
      <c r="E358" s="536">
        <v>0.02</v>
      </c>
      <c r="F358" s="538">
        <f t="shared" si="103"/>
        <v>0</v>
      </c>
      <c r="G358" s="538">
        <f t="shared" si="104"/>
        <v>0</v>
      </c>
    </row>
    <row r="359" spans="1:7" ht="19.899999999999999" customHeight="1" x14ac:dyDescent="0.2">
      <c r="A359" s="584">
        <f t="shared" si="99"/>
        <v>0</v>
      </c>
      <c r="B359" s="544">
        <f t="shared" si="100"/>
        <v>0</v>
      </c>
      <c r="C359" s="535">
        <f t="shared" si="101"/>
        <v>0</v>
      </c>
      <c r="D359" s="596">
        <f t="shared" si="102"/>
        <v>0</v>
      </c>
      <c r="E359" s="536">
        <v>1</v>
      </c>
      <c r="F359" s="538">
        <f t="shared" si="103"/>
        <v>0</v>
      </c>
      <c r="G359" s="538">
        <f t="shared" si="104"/>
        <v>0</v>
      </c>
    </row>
    <row r="360" spans="1:7" ht="19.899999999999999" customHeight="1" x14ac:dyDescent="0.2">
      <c r="A360" s="584">
        <f t="shared" si="99"/>
        <v>0</v>
      </c>
      <c r="B360" s="544">
        <f t="shared" si="100"/>
        <v>0</v>
      </c>
      <c r="C360" s="535">
        <f t="shared" si="101"/>
        <v>0</v>
      </c>
      <c r="D360" s="596">
        <f t="shared" si="102"/>
        <v>0</v>
      </c>
      <c r="E360" s="536">
        <v>2</v>
      </c>
      <c r="F360" s="538">
        <f t="shared" si="103"/>
        <v>0</v>
      </c>
      <c r="G360" s="538">
        <f t="shared" si="104"/>
        <v>0</v>
      </c>
    </row>
    <row r="361" spans="1:7" ht="19.899999999999999" customHeight="1" x14ac:dyDescent="0.2">
      <c r="A361" s="584">
        <f t="shared" si="99"/>
        <v>0</v>
      </c>
      <c r="B361" s="544">
        <f t="shared" si="100"/>
        <v>0</v>
      </c>
      <c r="C361" s="535">
        <f t="shared" si="101"/>
        <v>0</v>
      </c>
      <c r="D361" s="596">
        <f t="shared" si="102"/>
        <v>0</v>
      </c>
      <c r="E361" s="536">
        <v>3</v>
      </c>
      <c r="F361" s="538">
        <f t="shared" si="103"/>
        <v>0</v>
      </c>
      <c r="G361" s="538">
        <f t="shared" si="104"/>
        <v>0</v>
      </c>
    </row>
    <row r="362" spans="1:7" ht="19.899999999999999" customHeight="1" x14ac:dyDescent="0.2">
      <c r="A362" s="584">
        <f t="shared" si="99"/>
        <v>0</v>
      </c>
      <c r="B362" s="544">
        <f t="shared" si="100"/>
        <v>0</v>
      </c>
      <c r="C362" s="535">
        <f t="shared" si="101"/>
        <v>0</v>
      </c>
      <c r="D362" s="596">
        <f t="shared" si="102"/>
        <v>0</v>
      </c>
      <c r="E362" s="536"/>
      <c r="F362" s="538">
        <f t="shared" si="103"/>
        <v>0</v>
      </c>
      <c r="G362" s="538">
        <f t="shared" si="104"/>
        <v>0</v>
      </c>
    </row>
    <row r="363" spans="1:7" ht="19.899999999999999" customHeight="1" x14ac:dyDescent="0.2">
      <c r="A363" s="584">
        <f t="shared" si="99"/>
        <v>0</v>
      </c>
      <c r="B363" s="544">
        <f t="shared" si="100"/>
        <v>0</v>
      </c>
      <c r="C363" s="535">
        <f t="shared" si="101"/>
        <v>0</v>
      </c>
      <c r="D363" s="596">
        <f t="shared" si="102"/>
        <v>0</v>
      </c>
      <c r="E363" s="536"/>
      <c r="F363" s="538">
        <f t="shared" si="103"/>
        <v>0</v>
      </c>
      <c r="G363" s="538">
        <f t="shared" si="104"/>
        <v>0</v>
      </c>
    </row>
    <row r="364" spans="1:7" ht="19.899999999999999" customHeight="1" x14ac:dyDescent="0.2">
      <c r="A364" s="584">
        <f t="shared" si="99"/>
        <v>0</v>
      </c>
      <c r="B364" s="544">
        <f t="shared" si="100"/>
        <v>0</v>
      </c>
      <c r="C364" s="535">
        <f t="shared" si="101"/>
        <v>0</v>
      </c>
      <c r="D364" s="596">
        <f t="shared" si="102"/>
        <v>0</v>
      </c>
      <c r="E364" s="536"/>
      <c r="F364" s="538">
        <f t="shared" si="103"/>
        <v>0</v>
      </c>
      <c r="G364" s="538">
        <f t="shared" si="104"/>
        <v>0</v>
      </c>
    </row>
    <row r="365" spans="1:7" ht="19.899999999999999" customHeight="1" x14ac:dyDescent="0.2">
      <c r="A365" s="582"/>
      <c r="B365" s="528"/>
      <c r="C365" s="528"/>
      <c r="D365" s="524"/>
      <c r="E365" s="525"/>
      <c r="F365" s="547" t="s">
        <v>29</v>
      </c>
      <c r="G365" s="588">
        <f>SUBTOTAL(9,G354:G364)</f>
        <v>0</v>
      </c>
    </row>
    <row r="366" spans="1:7" ht="19.899999999999999" customHeight="1" x14ac:dyDescent="0.2">
      <c r="A366" s="582"/>
      <c r="B366" s="528"/>
      <c r="C366" s="520" t="s">
        <v>993</v>
      </c>
      <c r="D366" s="524"/>
      <c r="E366" s="525"/>
      <c r="F366" s="526"/>
      <c r="G366" s="583"/>
    </row>
    <row r="367" spans="1:7" ht="19.899999999999999" customHeight="1" x14ac:dyDescent="0.2">
      <c r="A367" s="793" t="s">
        <v>576</v>
      </c>
      <c r="B367" s="794"/>
      <c r="C367" s="795" t="s">
        <v>0</v>
      </c>
      <c r="D367" s="795" t="s">
        <v>1740</v>
      </c>
      <c r="E367" s="797" t="s">
        <v>24</v>
      </c>
      <c r="F367" s="799" t="s">
        <v>25</v>
      </c>
      <c r="G367" s="801" t="s">
        <v>26</v>
      </c>
    </row>
    <row r="368" spans="1:7" ht="19.899999999999999" customHeight="1" x14ac:dyDescent="0.2">
      <c r="A368" s="543" t="s">
        <v>577</v>
      </c>
      <c r="B368" s="543" t="s">
        <v>578</v>
      </c>
      <c r="C368" s="796"/>
      <c r="D368" s="796"/>
      <c r="E368" s="798"/>
      <c r="F368" s="800"/>
      <c r="G368" s="802"/>
    </row>
    <row r="369" spans="1:8" ht="19.899999999999999" customHeight="1" x14ac:dyDescent="0.2">
      <c r="A369" s="584">
        <f>IFERROR(VLOOKUP(C369,T_Insumos,4,FALSE),0)</f>
        <v>0</v>
      </c>
      <c r="B369" s="544">
        <f>IFERROR(VLOOKUP(C369,T_Insumos,5,FALSE),0)</f>
        <v>0</v>
      </c>
      <c r="C369" s="535"/>
      <c r="D369" s="596">
        <f>IF(C369=0,0,"$/tnkm")</f>
        <v>0</v>
      </c>
      <c r="E369" s="536"/>
      <c r="F369" s="538">
        <f>IFERROR(VLOOKUP(C369,T_Insumos,3,FALSE),0)</f>
        <v>0</v>
      </c>
      <c r="G369" s="538">
        <f>ROUND(E369*F369,2)</f>
        <v>0</v>
      </c>
    </row>
    <row r="370" spans="1:8" ht="19.899999999999999" customHeight="1" x14ac:dyDescent="0.2">
      <c r="A370" s="584">
        <f>IFERROR(VLOOKUP(C370,T_Insumos,4,FALSE),0)</f>
        <v>0</v>
      </c>
      <c r="B370" s="544">
        <f>IFERROR(VLOOKUP(C370,T_Insumos,5,FALSE),0)</f>
        <v>0</v>
      </c>
      <c r="C370" s="535"/>
      <c r="D370" s="596">
        <f>IF(C370=0,0,"$/tnkm")</f>
        <v>0</v>
      </c>
      <c r="E370" s="552"/>
      <c r="F370" s="538">
        <f>IFERROR(VLOOKUP(C370,T_Insumos,3,FALSE),0)</f>
        <v>0</v>
      </c>
      <c r="G370" s="538">
        <f t="shared" ref="G370" si="105">ROUND(E370*F370,2)</f>
        <v>0</v>
      </c>
    </row>
    <row r="371" spans="1:8" ht="19.899999999999999" customHeight="1" x14ac:dyDescent="0.2">
      <c r="A371" s="582"/>
      <c r="B371" s="528"/>
      <c r="C371" s="528"/>
      <c r="D371" s="524"/>
      <c r="E371" s="525"/>
      <c r="F371" s="547" t="s">
        <v>994</v>
      </c>
      <c r="G371" s="588">
        <f>SUBTOTAL(9,G369:G370)</f>
        <v>0</v>
      </c>
      <c r="H371" s="516"/>
    </row>
    <row r="372" spans="1:8" ht="19.899999999999999" customHeight="1" x14ac:dyDescent="0.2">
      <c r="A372" s="585"/>
      <c r="B372" s="524"/>
      <c r="C372" s="528"/>
      <c r="D372" s="524"/>
      <c r="E372" s="525"/>
      <c r="F372" s="526"/>
      <c r="G372" s="583"/>
      <c r="H372" s="516"/>
    </row>
    <row r="373" spans="1:8" ht="19.899999999999999" customHeight="1" x14ac:dyDescent="0.2">
      <c r="A373" s="647" t="str">
        <f>B307</f>
        <v>2.4</v>
      </c>
      <c r="B373" s="644" t="str">
        <f ca="1">C307</f>
        <v>Hormigon de encamisado H-21</v>
      </c>
      <c r="C373" s="524"/>
      <c r="D373" s="524" t="s">
        <v>1719</v>
      </c>
      <c r="E373" s="645"/>
      <c r="F373" s="646" t="str">
        <f ca="1">"$/"&amp;G307</f>
        <v>$/m3</v>
      </c>
      <c r="G373" s="593">
        <f>SUBTOTAL(9,G330:G372)</f>
        <v>0</v>
      </c>
      <c r="H373" s="516"/>
    </row>
    <row r="374" spans="1:8" ht="19.899999999999999" customHeight="1" x14ac:dyDescent="0.2">
      <c r="A374" s="589"/>
      <c r="B374" s="590"/>
      <c r="C374" s="591"/>
      <c r="D374" s="591" t="s">
        <v>1915</v>
      </c>
      <c r="E374" s="592"/>
      <c r="F374" s="648" t="str">
        <f ca="1">"$/"&amp;G307</f>
        <v>$/m3</v>
      </c>
      <c r="G374" s="593">
        <f>ROUND(G373*Coeficiente_Paso,2)</f>
        <v>0</v>
      </c>
      <c r="H374" s="516"/>
    </row>
    <row r="375" spans="1:8" ht="19.899999999999999" customHeight="1" x14ac:dyDescent="0.2">
      <c r="A375" s="185"/>
      <c r="B375" s="185"/>
      <c r="C375" s="185"/>
      <c r="D375" s="185"/>
      <c r="E375" s="185"/>
      <c r="F375" s="185"/>
      <c r="G375" s="185"/>
      <c r="H375" s="516"/>
    </row>
    <row r="376" spans="1:8" ht="19.899999999999999" customHeight="1" x14ac:dyDescent="0.2">
      <c r="A376" s="803" t="s">
        <v>31</v>
      </c>
      <c r="B376" s="804"/>
      <c r="C376" s="804"/>
      <c r="D376" s="804"/>
      <c r="E376" s="804"/>
      <c r="F376" s="804"/>
      <c r="G376" s="805"/>
    </row>
    <row r="377" spans="1:8" ht="19.899999999999999" customHeight="1" x14ac:dyDescent="0.2">
      <c r="A377" s="570" t="s">
        <v>711</v>
      </c>
      <c r="B377" s="518" t="str">
        <f>Comitente</f>
        <v>DEPARTAMENTO DE HIDRAULICA</v>
      </c>
      <c r="C377" s="519"/>
      <c r="D377" s="520"/>
      <c r="E377" s="520"/>
      <c r="F377" s="521"/>
      <c r="G377" s="571"/>
    </row>
    <row r="378" spans="1:8" ht="19.899999999999999" customHeight="1" x14ac:dyDescent="0.2">
      <c r="A378" s="570" t="s">
        <v>712</v>
      </c>
      <c r="B378" s="518">
        <f>Contratista</f>
        <v>0</v>
      </c>
      <c r="C378" s="522"/>
      <c r="D378" s="522"/>
      <c r="E378" s="522"/>
      <c r="F378" s="518"/>
      <c r="G378" s="572"/>
    </row>
    <row r="379" spans="1:8" ht="19.899999999999999" customHeight="1" x14ac:dyDescent="0.2">
      <c r="A379" s="570" t="s">
        <v>21</v>
      </c>
      <c r="B379" s="518" t="str">
        <f>Obra</f>
        <v>ENCAMISADO CANAL GENERAL COCHAGUAL</v>
      </c>
      <c r="C379" s="522"/>
      <c r="D379" s="522"/>
      <c r="E379" s="522"/>
      <c r="F379" s="518" t="s">
        <v>32</v>
      </c>
      <c r="G379" s="572">
        <f>Fecha_Base</f>
        <v>44319</v>
      </c>
    </row>
    <row r="380" spans="1:8" ht="19.899999999999999" customHeight="1" x14ac:dyDescent="0.2">
      <c r="A380" s="573" t="s">
        <v>710</v>
      </c>
      <c r="B380" s="523" t="str">
        <f>Ubicación</f>
        <v>DEPARTAMENTO SARMIENTO</v>
      </c>
      <c r="C380" s="523"/>
      <c r="D380" s="524"/>
      <c r="E380" s="525"/>
      <c r="F380" s="526"/>
      <c r="G380" s="574"/>
    </row>
    <row r="381" spans="1:8" ht="19.899999999999999" customHeight="1" x14ac:dyDescent="0.2">
      <c r="A381" s="573" t="s">
        <v>33</v>
      </c>
      <c r="B381" s="527">
        <f>IFERROR(VALUE(LEFT(B382,FIND(".",B382)-1)),"")</f>
        <v>2</v>
      </c>
      <c r="C381" s="528" t="str">
        <f ca="1">IFERROR(VLOOKUP(B381,T_Computo_Presupuesto,2,FALSE),0)</f>
        <v>CANAL GENERAL COCHAGUAL Progresiva 4080-4880</v>
      </c>
      <c r="D381" s="528"/>
      <c r="E381" s="525"/>
      <c r="F381" s="526"/>
      <c r="G381" s="574"/>
    </row>
    <row r="382" spans="1:8" ht="19.899999999999999" customHeight="1" x14ac:dyDescent="0.2">
      <c r="A382" s="573" t="s">
        <v>22</v>
      </c>
      <c r="B382" s="529" t="str">
        <f>IFERROR(VLOOKUP(COUNTIF($A$1:A382,"ANALISIS DE PRECIOS"),T_NumeroItem,2,FALSE),"")</f>
        <v>2.5</v>
      </c>
      <c r="C382" s="806" t="str">
        <f ca="1">IFERROR(VLOOKUP(B382,T_Computo_Presupuesto,2,FALSE),0)</f>
        <v>Armadura colocada en obra</v>
      </c>
      <c r="D382" s="806"/>
      <c r="E382" s="806"/>
      <c r="F382" s="523" t="s">
        <v>23</v>
      </c>
      <c r="G382" s="575" t="str">
        <f ca="1">IFERROR(VLOOKUP(B382,T_Computo_Presupuesto,4,FALSE),0)</f>
        <v>t</v>
      </c>
    </row>
    <row r="383" spans="1:8" ht="19.899999999999999" customHeight="1" x14ac:dyDescent="0.2">
      <c r="A383" s="573"/>
      <c r="B383" s="523"/>
      <c r="C383" s="528"/>
      <c r="D383" s="524"/>
      <c r="E383" s="525"/>
      <c r="F383" s="528"/>
      <c r="G383" s="576"/>
    </row>
    <row r="384" spans="1:8" ht="19.899999999999999" customHeight="1" x14ac:dyDescent="0.2">
      <c r="A384" s="577"/>
      <c r="B384" s="530"/>
      <c r="C384" s="531" t="s">
        <v>977</v>
      </c>
      <c r="D384" s="530"/>
      <c r="E384" s="530"/>
      <c r="F384" s="530"/>
      <c r="G384" s="578"/>
    </row>
    <row r="385" spans="1:8" ht="19.899999999999999" customHeight="1" x14ac:dyDescent="0.2">
      <c r="A385" s="573"/>
      <c r="B385" s="532"/>
      <c r="C385" s="528"/>
      <c r="D385" s="524"/>
      <c r="E385" s="525"/>
      <c r="F385" s="523"/>
      <c r="G385" s="575"/>
    </row>
    <row r="386" spans="1:8" ht="19.899999999999999" customHeight="1" x14ac:dyDescent="0.2">
      <c r="A386" s="573"/>
      <c r="B386" s="532"/>
      <c r="C386" s="533" t="s">
        <v>978</v>
      </c>
      <c r="D386" s="534" t="s">
        <v>24</v>
      </c>
      <c r="E386" s="534" t="s">
        <v>979</v>
      </c>
      <c r="F386" s="534" t="s">
        <v>980</v>
      </c>
      <c r="G386" s="533" t="s">
        <v>981</v>
      </c>
    </row>
    <row r="387" spans="1:8" ht="19.899999999999999" customHeight="1" x14ac:dyDescent="0.2">
      <c r="A387" s="573"/>
      <c r="B387" s="532"/>
      <c r="C387" s="535">
        <f>+C87</f>
        <v>0</v>
      </c>
      <c r="D387" s="535">
        <f>+D87</f>
        <v>0</v>
      </c>
      <c r="E387" s="537">
        <f t="shared" ref="E387:E396" si="106">IFERROR(VLOOKUP(C387,T_Equipos,4,FALSE),0)</f>
        <v>0</v>
      </c>
      <c r="F387" s="538">
        <f t="shared" ref="F387:F396" si="107">IFERROR(VLOOKUP(C387,T_Equipos,5,FALSE),0)</f>
        <v>0</v>
      </c>
      <c r="G387" s="538">
        <f>ROUND(D387*F387,2)</f>
        <v>0</v>
      </c>
    </row>
    <row r="388" spans="1:8" ht="19.899999999999999" customHeight="1" x14ac:dyDescent="0.2">
      <c r="A388" s="573"/>
      <c r="B388" s="532"/>
      <c r="C388" s="535">
        <f t="shared" ref="C388:D388" si="108">+C88</f>
        <v>0</v>
      </c>
      <c r="D388" s="535">
        <f t="shared" si="108"/>
        <v>0</v>
      </c>
      <c r="E388" s="537">
        <f t="shared" si="106"/>
        <v>0</v>
      </c>
      <c r="F388" s="538">
        <f t="shared" si="107"/>
        <v>0</v>
      </c>
      <c r="G388" s="538">
        <f>ROUND(D388*F388,2)</f>
        <v>0</v>
      </c>
    </row>
    <row r="389" spans="1:8" ht="19.899999999999999" customHeight="1" x14ac:dyDescent="0.2">
      <c r="A389" s="573"/>
      <c r="B389" s="532"/>
      <c r="C389" s="535">
        <f t="shared" ref="C389" si="109">+C89</f>
        <v>0</v>
      </c>
      <c r="D389" s="535"/>
      <c r="E389" s="537">
        <f t="shared" si="106"/>
        <v>0</v>
      </c>
      <c r="F389" s="538">
        <f t="shared" si="107"/>
        <v>0</v>
      </c>
      <c r="G389" s="538">
        <f>ROUND(D389*F389,2)</f>
        <v>0</v>
      </c>
    </row>
    <row r="390" spans="1:8" ht="19.899999999999999" customHeight="1" x14ac:dyDescent="0.2">
      <c r="A390" s="573"/>
      <c r="B390" s="532"/>
      <c r="C390" s="535">
        <f t="shared" ref="C390:D390" si="110">+C90</f>
        <v>0</v>
      </c>
      <c r="D390" s="535">
        <f t="shared" si="110"/>
        <v>0</v>
      </c>
      <c r="E390" s="537">
        <f t="shared" si="106"/>
        <v>0</v>
      </c>
      <c r="F390" s="538">
        <f t="shared" si="107"/>
        <v>0</v>
      </c>
      <c r="G390" s="538">
        <f>ROUND(D390*F390,2)</f>
        <v>0</v>
      </c>
    </row>
    <row r="391" spans="1:8" ht="19.899999999999999" customHeight="1" x14ac:dyDescent="0.2">
      <c r="A391" s="573"/>
      <c r="B391" s="532"/>
      <c r="C391" s="535"/>
      <c r="D391" s="536"/>
      <c r="E391" s="537">
        <f t="shared" si="106"/>
        <v>0</v>
      </c>
      <c r="F391" s="538">
        <f t="shared" si="107"/>
        <v>0</v>
      </c>
      <c r="G391" s="538">
        <f t="shared" ref="G391:G396" si="111">ROUND(D391*F391,2)</f>
        <v>0</v>
      </c>
    </row>
    <row r="392" spans="1:8" ht="19.899999999999999" customHeight="1" x14ac:dyDescent="0.2">
      <c r="A392" s="573"/>
      <c r="B392" s="532"/>
      <c r="C392" s="535"/>
      <c r="D392" s="536"/>
      <c r="E392" s="537">
        <f t="shared" si="106"/>
        <v>0</v>
      </c>
      <c r="F392" s="538">
        <f t="shared" si="107"/>
        <v>0</v>
      </c>
      <c r="G392" s="538">
        <f t="shared" si="111"/>
        <v>0</v>
      </c>
    </row>
    <row r="393" spans="1:8" ht="19.899999999999999" customHeight="1" x14ac:dyDescent="0.2">
      <c r="A393" s="573"/>
      <c r="B393" s="532"/>
      <c r="C393" s="535"/>
      <c r="D393" s="536"/>
      <c r="E393" s="537">
        <f t="shared" si="106"/>
        <v>0</v>
      </c>
      <c r="F393" s="538">
        <f t="shared" si="107"/>
        <v>0</v>
      </c>
      <c r="G393" s="538">
        <f t="shared" si="111"/>
        <v>0</v>
      </c>
    </row>
    <row r="394" spans="1:8" ht="19.899999999999999" customHeight="1" x14ac:dyDescent="0.2">
      <c r="A394" s="573"/>
      <c r="B394" s="532"/>
      <c r="C394" s="535"/>
      <c r="D394" s="536"/>
      <c r="E394" s="537">
        <f t="shared" si="106"/>
        <v>0</v>
      </c>
      <c r="F394" s="538">
        <f t="shared" si="107"/>
        <v>0</v>
      </c>
      <c r="G394" s="538">
        <f t="shared" si="111"/>
        <v>0</v>
      </c>
    </row>
    <row r="395" spans="1:8" ht="19.899999999999999" customHeight="1" x14ac:dyDescent="0.2">
      <c r="A395" s="573"/>
      <c r="B395" s="532"/>
      <c r="C395" s="535"/>
      <c r="D395" s="536"/>
      <c r="E395" s="537">
        <f t="shared" si="106"/>
        <v>0</v>
      </c>
      <c r="F395" s="538">
        <f t="shared" si="107"/>
        <v>0</v>
      </c>
      <c r="G395" s="538">
        <f t="shared" si="111"/>
        <v>0</v>
      </c>
    </row>
    <row r="396" spans="1:8" ht="19.899999999999999" customHeight="1" x14ac:dyDescent="0.2">
      <c r="A396" s="573"/>
      <c r="B396" s="532"/>
      <c r="C396" s="535"/>
      <c r="D396" s="536"/>
      <c r="E396" s="537">
        <f t="shared" si="106"/>
        <v>0</v>
      </c>
      <c r="F396" s="538">
        <f t="shared" si="107"/>
        <v>0</v>
      </c>
      <c r="G396" s="538">
        <f t="shared" si="111"/>
        <v>0</v>
      </c>
      <c r="H396" s="735">
        <f>+G414</f>
        <v>0</v>
      </c>
    </row>
    <row r="397" spans="1:8" ht="19.899999999999999" customHeight="1" x14ac:dyDescent="0.2">
      <c r="A397" s="573"/>
      <c r="B397" s="532"/>
      <c r="C397" s="528"/>
      <c r="D397" s="528"/>
      <c r="E397" s="539"/>
      <c r="F397" s="523"/>
      <c r="G397" s="575"/>
    </row>
    <row r="398" spans="1:8" ht="19.899999999999999" customHeight="1" x14ac:dyDescent="0.2">
      <c r="A398" s="573"/>
      <c r="B398" s="528"/>
      <c r="C398" s="520" t="s">
        <v>982</v>
      </c>
      <c r="D398" s="523" t="s">
        <v>979</v>
      </c>
      <c r="E398" s="594">
        <f>SUMPRODUCT(D387:D396,E387:E396)</f>
        <v>0</v>
      </c>
      <c r="F398" s="523" t="s">
        <v>983</v>
      </c>
      <c r="G398" s="595">
        <f>SUM(G387:G396)</f>
        <v>0</v>
      </c>
    </row>
    <row r="399" spans="1:8" ht="19.899999999999999" customHeight="1" x14ac:dyDescent="0.2">
      <c r="A399" s="573"/>
      <c r="B399" s="532"/>
      <c r="C399" s="540"/>
      <c r="D399" s="539"/>
      <c r="E399" s="525"/>
      <c r="F399" s="523"/>
      <c r="G399" s="579"/>
    </row>
    <row r="400" spans="1:8" ht="19.899999999999999" customHeight="1" x14ac:dyDescent="0.2">
      <c r="A400" s="580"/>
      <c r="B400" s="532"/>
      <c r="C400" s="523" t="s">
        <v>984</v>
      </c>
      <c r="D400" s="541">
        <f>IFERROR(VLOOKUP(COUNTIF($A$1:A400,"ANALISIS DE PRECIOS"),T_Rendimiento_Equipo,5,FALSE),0)</f>
        <v>0</v>
      </c>
      <c r="E400" s="542" t="str">
        <f ca="1">G382&amp;"/día"</f>
        <v>t/día</v>
      </c>
      <c r="F400" s="581"/>
      <c r="G400" s="575"/>
    </row>
    <row r="401" spans="1:7" ht="19.899999999999999" customHeight="1" x14ac:dyDescent="0.2">
      <c r="A401" s="573"/>
      <c r="B401" s="532"/>
      <c r="C401" s="528"/>
      <c r="D401" s="524"/>
      <c r="E401" s="525"/>
      <c r="F401" s="523"/>
      <c r="G401" s="575"/>
    </row>
    <row r="402" spans="1:7" ht="19.899999999999999" customHeight="1" x14ac:dyDescent="0.2">
      <c r="A402" s="793" t="s">
        <v>576</v>
      </c>
      <c r="B402" s="794"/>
      <c r="C402" s="795" t="s">
        <v>0</v>
      </c>
      <c r="D402" s="807" t="s">
        <v>1739</v>
      </c>
      <c r="E402" s="807" t="s">
        <v>1738</v>
      </c>
      <c r="F402" s="799" t="s">
        <v>985</v>
      </c>
      <c r="G402" s="801" t="s">
        <v>26</v>
      </c>
    </row>
    <row r="403" spans="1:7" ht="19.899999999999999" customHeight="1" x14ac:dyDescent="0.2">
      <c r="A403" s="543" t="s">
        <v>577</v>
      </c>
      <c r="B403" s="543" t="s">
        <v>578</v>
      </c>
      <c r="C403" s="796"/>
      <c r="D403" s="808"/>
      <c r="E403" s="798"/>
      <c r="F403" s="800"/>
      <c r="G403" s="802"/>
    </row>
    <row r="404" spans="1:7" ht="19.899999999999999" customHeight="1" x14ac:dyDescent="0.2">
      <c r="A404" s="582"/>
      <c r="B404" s="528"/>
      <c r="C404" s="520" t="s">
        <v>986</v>
      </c>
      <c r="D404" s="525"/>
      <c r="E404" s="525"/>
      <c r="F404" s="528"/>
      <c r="G404" s="583"/>
    </row>
    <row r="405" spans="1:7" ht="19.899999999999999" customHeight="1" x14ac:dyDescent="0.2">
      <c r="A405" s="584">
        <f t="shared" ref="A405:A413" si="112">IFERROR(VLOOKUP(C405,T_Insumos,4,FALSE),0)</f>
        <v>0</v>
      </c>
      <c r="B405" s="544">
        <f t="shared" ref="B405:B413" si="113">IFERROR(VLOOKUP(C405,T_Insumos,5,FALSE),0)</f>
        <v>0</v>
      </c>
      <c r="C405" s="535">
        <f>+C30</f>
        <v>0</v>
      </c>
      <c r="D405" s="545">
        <f t="shared" ref="D405:D413" si="114">IFERROR(VLOOKUP(C405,T_Insumos,3,FALSE),0)</f>
        <v>0</v>
      </c>
      <c r="E405" s="538">
        <f>D405*$G$398</f>
        <v>0</v>
      </c>
      <c r="F405" s="541">
        <f>IF(C405="",0,IFERROR(VLOOKUP(COUNTIF($A$1:A405,"ANALISIS DE PRECIOS"),T_Rendimiento_Equipo,5,FALSE),0))</f>
        <v>0</v>
      </c>
      <c r="G405" s="538">
        <f>IFERROR(ROUND(E405/F405,2),0)</f>
        <v>0</v>
      </c>
    </row>
    <row r="406" spans="1:7" ht="19.899999999999999" customHeight="1" x14ac:dyDescent="0.2">
      <c r="A406" s="584">
        <f t="shared" si="112"/>
        <v>0</v>
      </c>
      <c r="B406" s="544">
        <f t="shared" si="113"/>
        <v>0</v>
      </c>
      <c r="C406" s="535">
        <f t="shared" ref="C406:C408" si="115">+C31</f>
        <v>0</v>
      </c>
      <c r="D406" s="545">
        <f t="shared" si="114"/>
        <v>0</v>
      </c>
      <c r="E406" s="538">
        <f t="shared" ref="E406:E407" si="116">D406*$G$398</f>
        <v>0</v>
      </c>
      <c r="F406" s="541">
        <f>IF(C406="",0,IFERROR(VLOOKUP(COUNTIF($A$1:A406,"ANALISIS DE PRECIOS"),T_Rendimiento_Equipo,5,FALSE),0))</f>
        <v>0</v>
      </c>
      <c r="G406" s="538">
        <f t="shared" ref="G406:G413" si="117">IFERROR(ROUND(E406/F406,2),0)</f>
        <v>0</v>
      </c>
    </row>
    <row r="407" spans="1:7" ht="19.899999999999999" customHeight="1" x14ac:dyDescent="0.2">
      <c r="A407" s="584">
        <f t="shared" si="112"/>
        <v>0</v>
      </c>
      <c r="B407" s="544">
        <f t="shared" si="113"/>
        <v>0</v>
      </c>
      <c r="C407" s="535">
        <f t="shared" si="115"/>
        <v>0</v>
      </c>
      <c r="D407" s="545">
        <f t="shared" si="114"/>
        <v>0</v>
      </c>
      <c r="E407" s="538">
        <f t="shared" si="116"/>
        <v>0</v>
      </c>
      <c r="F407" s="541">
        <f>IF(C407="",0,IFERROR(VLOOKUP(COUNTIF($A$1:A407,"ANALISIS DE PRECIOS"),T_Rendimiento_Equipo,5,FALSE),0))</f>
        <v>0</v>
      </c>
      <c r="G407" s="538">
        <f t="shared" si="117"/>
        <v>0</v>
      </c>
    </row>
    <row r="408" spans="1:7" ht="19.899999999999999" customHeight="1" x14ac:dyDescent="0.2">
      <c r="A408" s="584">
        <f t="shared" si="112"/>
        <v>0</v>
      </c>
      <c r="B408" s="544">
        <f t="shared" si="113"/>
        <v>0</v>
      </c>
      <c r="C408" s="535">
        <f t="shared" si="115"/>
        <v>0</v>
      </c>
      <c r="D408" s="545">
        <f t="shared" si="114"/>
        <v>0</v>
      </c>
      <c r="E408" s="538">
        <f>D408*$E$398</f>
        <v>0</v>
      </c>
      <c r="F408" s="541">
        <f>IF(C408="",0,IFERROR(VLOOKUP(COUNTIF($A$1:A408,"ANALISIS DE PRECIOS"),T_Rendimiento_Equipo,5,FALSE),0))</f>
        <v>0</v>
      </c>
      <c r="G408" s="538">
        <f t="shared" si="117"/>
        <v>0</v>
      </c>
    </row>
    <row r="409" spans="1:7" ht="19.899999999999999" customHeight="1" x14ac:dyDescent="0.2">
      <c r="A409" s="584">
        <f t="shared" si="112"/>
        <v>0</v>
      </c>
      <c r="B409" s="544">
        <f t="shared" si="113"/>
        <v>0</v>
      </c>
      <c r="C409" s="546"/>
      <c r="D409" s="545">
        <f t="shared" si="114"/>
        <v>0</v>
      </c>
      <c r="E409" s="538"/>
      <c r="F409" s="541">
        <f>IF(C409="",0,IFERROR(VLOOKUP(COUNTIF($A$1:A409,"ANALISIS DE PRECIOS"),T_Rendimiento_Equipo,5,FALSE),0))</f>
        <v>0</v>
      </c>
      <c r="G409" s="538">
        <f t="shared" si="117"/>
        <v>0</v>
      </c>
    </row>
    <row r="410" spans="1:7" ht="19.899999999999999" customHeight="1" x14ac:dyDescent="0.2">
      <c r="A410" s="584">
        <f t="shared" si="112"/>
        <v>0</v>
      </c>
      <c r="B410" s="544">
        <f t="shared" si="113"/>
        <v>0</v>
      </c>
      <c r="C410" s="546"/>
      <c r="D410" s="545">
        <f t="shared" si="114"/>
        <v>0</v>
      </c>
      <c r="E410" s="538"/>
      <c r="F410" s="541">
        <f>IF(C410="",0,IFERROR(VLOOKUP(COUNTIF($A$1:A410,"ANALISIS DE PRECIOS"),T_Rendimiento_Equipo,5,FALSE),0))</f>
        <v>0</v>
      </c>
      <c r="G410" s="538">
        <f t="shared" si="117"/>
        <v>0</v>
      </c>
    </row>
    <row r="411" spans="1:7" ht="19.899999999999999" customHeight="1" x14ac:dyDescent="0.2">
      <c r="A411" s="584">
        <f t="shared" si="112"/>
        <v>0</v>
      </c>
      <c r="B411" s="544">
        <f t="shared" si="113"/>
        <v>0</v>
      </c>
      <c r="C411" s="546"/>
      <c r="D411" s="545">
        <f t="shared" si="114"/>
        <v>0</v>
      </c>
      <c r="E411" s="538"/>
      <c r="F411" s="541">
        <f>IF(C411="",0,IFERROR(VLOOKUP(COUNTIF($A$1:A411,"ANALISIS DE PRECIOS"),T_Rendimiento_Equipo,5,FALSE),0))</f>
        <v>0</v>
      </c>
      <c r="G411" s="538">
        <f t="shared" si="117"/>
        <v>0</v>
      </c>
    </row>
    <row r="412" spans="1:7" ht="19.899999999999999" customHeight="1" x14ac:dyDescent="0.2">
      <c r="A412" s="584">
        <f t="shared" si="112"/>
        <v>0</v>
      </c>
      <c r="B412" s="544">
        <f t="shared" si="113"/>
        <v>0</v>
      </c>
      <c r="C412" s="546"/>
      <c r="D412" s="545">
        <f t="shared" si="114"/>
        <v>0</v>
      </c>
      <c r="E412" s="538"/>
      <c r="F412" s="541">
        <f>IF(C412="",0,IFERROR(VLOOKUP(COUNTIF($A$1:A412,"ANALISIS DE PRECIOS"),T_Rendimiento_Equipo,5,FALSE),0))</f>
        <v>0</v>
      </c>
      <c r="G412" s="538">
        <f t="shared" si="117"/>
        <v>0</v>
      </c>
    </row>
    <row r="413" spans="1:7" ht="19.899999999999999" customHeight="1" x14ac:dyDescent="0.2">
      <c r="A413" s="584">
        <f t="shared" si="112"/>
        <v>0</v>
      </c>
      <c r="B413" s="544">
        <f t="shared" si="113"/>
        <v>0</v>
      </c>
      <c r="C413" s="535"/>
      <c r="D413" s="545">
        <f t="shared" si="114"/>
        <v>0</v>
      </c>
      <c r="E413" s="538"/>
      <c r="F413" s="541">
        <f>IF(C413="",0,IFERROR(VLOOKUP(COUNTIF($A$1:A413,"ANALISIS DE PRECIOS"),T_Rendimiento_Equipo,5,FALSE),0))</f>
        <v>0</v>
      </c>
      <c r="G413" s="538">
        <f t="shared" si="117"/>
        <v>0</v>
      </c>
    </row>
    <row r="414" spans="1:7" ht="19.899999999999999" customHeight="1" x14ac:dyDescent="0.2">
      <c r="A414" s="585"/>
      <c r="B414" s="524"/>
      <c r="C414" s="528"/>
      <c r="D414" s="524"/>
      <c r="E414" s="525"/>
      <c r="F414" s="547" t="s">
        <v>27</v>
      </c>
      <c r="G414" s="586">
        <f>SUBTOTAL(9,G405:G413)</f>
        <v>0</v>
      </c>
    </row>
    <row r="415" spans="1:7" ht="19.899999999999999" customHeight="1" x14ac:dyDescent="0.2">
      <c r="A415" s="582"/>
      <c r="B415" s="528"/>
      <c r="C415" s="520" t="s">
        <v>713</v>
      </c>
      <c r="D415" s="524"/>
      <c r="E415" s="525"/>
      <c r="F415" s="526"/>
      <c r="G415" s="583"/>
    </row>
    <row r="416" spans="1:7" ht="19.899999999999999" customHeight="1" x14ac:dyDescent="0.2">
      <c r="A416" s="793" t="s">
        <v>576</v>
      </c>
      <c r="B416" s="794"/>
      <c r="C416" s="795" t="s">
        <v>0</v>
      </c>
      <c r="D416" s="797" t="s">
        <v>24</v>
      </c>
      <c r="E416" s="797" t="s">
        <v>1718</v>
      </c>
      <c r="F416" s="799" t="s">
        <v>985</v>
      </c>
      <c r="G416" s="801" t="s">
        <v>26</v>
      </c>
    </row>
    <row r="417" spans="1:7" ht="19.899999999999999" customHeight="1" x14ac:dyDescent="0.2">
      <c r="A417" s="543" t="s">
        <v>577</v>
      </c>
      <c r="B417" s="543" t="s">
        <v>578</v>
      </c>
      <c r="C417" s="796"/>
      <c r="D417" s="798"/>
      <c r="E417" s="798"/>
      <c r="F417" s="800"/>
      <c r="G417" s="802"/>
    </row>
    <row r="418" spans="1:7" ht="19.899999999999999" customHeight="1" x14ac:dyDescent="0.2">
      <c r="A418" s="584" t="str">
        <f t="shared" ref="A418:A424" si="118">IFERROR(VLOOKUP(C418,T_Insumos,4,FALSE),0)</f>
        <v>IIEE-SJ - 1</v>
      </c>
      <c r="B418" s="544" t="str">
        <f t="shared" ref="B418:B424" si="119">IFERROR(VLOOKUP(C418,T_Insumos,5,FALSE),0)</f>
        <v>Mano de Obra</v>
      </c>
      <c r="C418" s="548" t="str">
        <f>+C43</f>
        <v>Mano de obra</v>
      </c>
      <c r="D418" s="541"/>
      <c r="E418" s="538">
        <f t="shared" ref="E418:E424" si="120">IFERROR(VLOOKUP(C418,T_Insumos,3,FALSE),0)</f>
        <v>0</v>
      </c>
      <c r="F418" s="541">
        <f>IF(C418="",0,IFERROR(VLOOKUP(COUNTIF($A$1:A418,"ANALISIS DE PRECIOS"),T_Rendimiento_Equipo,5,FALSE),0))</f>
        <v>0</v>
      </c>
      <c r="G418" s="538">
        <f>IFERROR(ROUND(D418*E418/F418,2),0)</f>
        <v>0</v>
      </c>
    </row>
    <row r="419" spans="1:7" ht="19.899999999999999" customHeight="1" x14ac:dyDescent="0.2">
      <c r="A419" s="584" t="str">
        <f t="shared" si="118"/>
        <v>INDEC-CM - 37510-11</v>
      </c>
      <c r="B419" s="544" t="str">
        <f t="shared" si="119"/>
        <v>Hormigón elaborado</v>
      </c>
      <c r="C419" s="548" t="str">
        <f t="shared" ref="C419:C421" si="121">+C44</f>
        <v>Hormigon Elaborado</v>
      </c>
      <c r="D419" s="541">
        <v>2</v>
      </c>
      <c r="E419" s="538">
        <f t="shared" si="120"/>
        <v>0</v>
      </c>
      <c r="F419" s="541">
        <f>IF(C419="",0,IFERROR(VLOOKUP(COUNTIF($A$1:A419,"ANALISIS DE PRECIOS"),T_Rendimiento_Equipo,5,FALSE),0))</f>
        <v>0</v>
      </c>
      <c r="G419" s="538">
        <f>IFERROR(ROUND(D419*E419/F419,2),0)</f>
        <v>0</v>
      </c>
    </row>
    <row r="420" spans="1:7" ht="19.899999999999999" customHeight="1" x14ac:dyDescent="0.2">
      <c r="A420" s="584" t="str">
        <f t="shared" si="118"/>
        <v>INDEC-DCTO - Inciso j)</v>
      </c>
      <c r="B420" s="544" t="str">
        <f t="shared" si="119"/>
        <v>Equipo - Amortización de equipo</v>
      </c>
      <c r="C420" s="548" t="str">
        <f t="shared" si="121"/>
        <v>Equipo - Amortizacion de equipo</v>
      </c>
      <c r="D420" s="541"/>
      <c r="E420" s="538">
        <f t="shared" si="120"/>
        <v>0</v>
      </c>
      <c r="F420" s="541">
        <f>IF(C420="",0,IFERROR(VLOOKUP(COUNTIF($A$1:A420,"ANALISIS DE PRECIOS"),T_Rendimiento_Equipo,5,FALSE),0))</f>
        <v>0</v>
      </c>
      <c r="G420" s="538">
        <f t="shared" ref="G420:G424" si="122">IFERROR(ROUND(D420*E420/F420,2),0)</f>
        <v>0</v>
      </c>
    </row>
    <row r="421" spans="1:7" ht="19.899999999999999" customHeight="1" x14ac:dyDescent="0.2">
      <c r="A421" s="584" t="str">
        <f t="shared" si="118"/>
        <v>INDEC-CM - 41242-11</v>
      </c>
      <c r="B421" s="544" t="str">
        <f t="shared" si="119"/>
        <v>Acero aletado conformado, en barra</v>
      </c>
      <c r="C421" s="548" t="str">
        <f t="shared" si="121"/>
        <v>Hierro</v>
      </c>
      <c r="D421" s="541">
        <v>2</v>
      </c>
      <c r="E421" s="538">
        <f t="shared" si="120"/>
        <v>0</v>
      </c>
      <c r="F421" s="541">
        <f>IF(C421="",0,IFERROR(VLOOKUP(COUNTIF($A$1:A421,"ANALISIS DE PRECIOS"),T_Rendimiento_Equipo,5,FALSE),0))</f>
        <v>0</v>
      </c>
      <c r="G421" s="538">
        <f t="shared" si="122"/>
        <v>0</v>
      </c>
    </row>
    <row r="422" spans="1:7" ht="19.899999999999999" customHeight="1" x14ac:dyDescent="0.2">
      <c r="A422" s="584">
        <f t="shared" si="118"/>
        <v>0</v>
      </c>
      <c r="B422" s="544">
        <f t="shared" si="119"/>
        <v>0</v>
      </c>
      <c r="C422" s="535"/>
      <c r="D422" s="541"/>
      <c r="E422" s="538">
        <f t="shared" si="120"/>
        <v>0</v>
      </c>
      <c r="F422" s="541">
        <f>IF(C422="",0,IFERROR(VLOOKUP(COUNTIF($A$1:A422,"ANALISIS DE PRECIOS"),T_Rendimiento_Equipo,5,FALSE),0))</f>
        <v>0</v>
      </c>
      <c r="G422" s="538">
        <f t="shared" si="122"/>
        <v>0</v>
      </c>
    </row>
    <row r="423" spans="1:7" ht="19.899999999999999" customHeight="1" x14ac:dyDescent="0.2">
      <c r="A423" s="584">
        <f t="shared" si="118"/>
        <v>0</v>
      </c>
      <c r="B423" s="544">
        <f t="shared" si="119"/>
        <v>0</v>
      </c>
      <c r="C423" s="535"/>
      <c r="D423" s="549"/>
      <c r="E423" s="538">
        <f t="shared" si="120"/>
        <v>0</v>
      </c>
      <c r="F423" s="541">
        <f>IF(C423="",0,IFERROR(VLOOKUP(COUNTIF($A$1:A423,"ANALISIS DE PRECIOS"),T_Rendimiento_Equipo,5,FALSE),0))</f>
        <v>0</v>
      </c>
      <c r="G423" s="538">
        <f t="shared" si="122"/>
        <v>0</v>
      </c>
    </row>
    <row r="424" spans="1:7" ht="19.899999999999999" customHeight="1" x14ac:dyDescent="0.2">
      <c r="A424" s="584">
        <f t="shared" si="118"/>
        <v>0</v>
      </c>
      <c r="B424" s="544">
        <f t="shared" si="119"/>
        <v>0</v>
      </c>
      <c r="C424" s="544"/>
      <c r="D424" s="550"/>
      <c r="E424" s="538">
        <f t="shared" si="120"/>
        <v>0</v>
      </c>
      <c r="F424" s="541">
        <f>IF(C424="",0,IFERROR(VLOOKUP(COUNTIF($A$1:A424,"ANALISIS DE PRECIOS"),T_Rendimiento_Equipo,5,FALSE),0))</f>
        <v>0</v>
      </c>
      <c r="G424" s="538">
        <f t="shared" si="122"/>
        <v>0</v>
      </c>
    </row>
    <row r="425" spans="1:7" ht="19.899999999999999" customHeight="1" x14ac:dyDescent="0.2">
      <c r="A425" s="585"/>
      <c r="B425" s="524"/>
      <c r="C425" s="528"/>
      <c r="D425" s="524"/>
      <c r="E425" s="525"/>
      <c r="F425" s="547" t="s">
        <v>28</v>
      </c>
      <c r="G425" s="587">
        <f>SUBTOTAL(9,G418:G424)</f>
        <v>0</v>
      </c>
    </row>
    <row r="426" spans="1:7" ht="19.899999999999999" customHeight="1" x14ac:dyDescent="0.2">
      <c r="A426" s="582"/>
      <c r="B426" s="528"/>
      <c r="C426" s="520" t="s">
        <v>992</v>
      </c>
      <c r="D426" s="524"/>
      <c r="E426" s="525"/>
      <c r="F426" s="526"/>
      <c r="G426" s="583"/>
    </row>
    <row r="427" spans="1:7" ht="19.899999999999999" customHeight="1" x14ac:dyDescent="0.2">
      <c r="A427" s="793" t="s">
        <v>576</v>
      </c>
      <c r="B427" s="794"/>
      <c r="C427" s="795" t="s">
        <v>0</v>
      </c>
      <c r="D427" s="795" t="s">
        <v>1740</v>
      </c>
      <c r="E427" s="797" t="s">
        <v>24</v>
      </c>
      <c r="F427" s="799" t="s">
        <v>25</v>
      </c>
      <c r="G427" s="801" t="s">
        <v>26</v>
      </c>
    </row>
    <row r="428" spans="1:7" ht="19.899999999999999" customHeight="1" x14ac:dyDescent="0.2">
      <c r="A428" s="543" t="s">
        <v>577</v>
      </c>
      <c r="B428" s="543" t="s">
        <v>578</v>
      </c>
      <c r="C428" s="796"/>
      <c r="D428" s="796"/>
      <c r="E428" s="798"/>
      <c r="F428" s="800"/>
      <c r="G428" s="802"/>
    </row>
    <row r="429" spans="1:7" ht="19.899999999999999" customHeight="1" x14ac:dyDescent="0.2">
      <c r="A429" s="584">
        <f t="shared" ref="A429:A439" si="123">IFERROR(VLOOKUP(C429,T_Insumos,4,FALSE),0)</f>
        <v>0</v>
      </c>
      <c r="B429" s="544">
        <f t="shared" ref="B429:B439" si="124">IFERROR(VLOOKUP(C429,T_Insumos,5,FALSE),0)</f>
        <v>0</v>
      </c>
      <c r="C429" s="548" t="s">
        <v>305</v>
      </c>
      <c r="D429" s="596">
        <f t="shared" ref="D429:D439" si="125">IFERROR(VLOOKUP(C429,T_Insumos,2,FALSE),0)</f>
        <v>0</v>
      </c>
      <c r="E429" s="536">
        <v>0.35</v>
      </c>
      <c r="F429" s="538">
        <f t="shared" ref="F429:F439" si="126">IFERROR(VLOOKUP(C429,T_Insumos,3,FALSE),0)</f>
        <v>0</v>
      </c>
      <c r="G429" s="538">
        <f>ROUND(E429*F429,2)</f>
        <v>0</v>
      </c>
    </row>
    <row r="430" spans="1:7" ht="19.899999999999999" customHeight="1" x14ac:dyDescent="0.2">
      <c r="A430" s="584">
        <f t="shared" si="123"/>
        <v>0</v>
      </c>
      <c r="B430" s="544">
        <f t="shared" si="124"/>
        <v>0</v>
      </c>
      <c r="C430" s="544" t="s">
        <v>1596</v>
      </c>
      <c r="D430" s="596">
        <f t="shared" si="125"/>
        <v>0</v>
      </c>
      <c r="E430" s="536">
        <v>0.65</v>
      </c>
      <c r="F430" s="538">
        <f t="shared" si="126"/>
        <v>0</v>
      </c>
      <c r="G430" s="538">
        <f t="shared" ref="G430:G439" si="127">ROUND(E430*F430,2)</f>
        <v>0</v>
      </c>
    </row>
    <row r="431" spans="1:7" ht="19.899999999999999" customHeight="1" x14ac:dyDescent="0.2">
      <c r="A431" s="584">
        <f t="shared" si="123"/>
        <v>0</v>
      </c>
      <c r="B431" s="544">
        <f t="shared" si="124"/>
        <v>0</v>
      </c>
      <c r="C431" s="544" t="s">
        <v>1962</v>
      </c>
      <c r="D431" s="596">
        <f t="shared" si="125"/>
        <v>0</v>
      </c>
      <c r="E431" s="536">
        <v>0.7</v>
      </c>
      <c r="F431" s="538">
        <f t="shared" si="126"/>
        <v>0</v>
      </c>
      <c r="G431" s="538">
        <f t="shared" si="127"/>
        <v>0</v>
      </c>
    </row>
    <row r="432" spans="1:7" ht="19.899999999999999" customHeight="1" x14ac:dyDescent="0.2">
      <c r="A432" s="584">
        <f t="shared" si="123"/>
        <v>0</v>
      </c>
      <c r="B432" s="544">
        <f t="shared" si="124"/>
        <v>0</v>
      </c>
      <c r="C432" s="544" t="s">
        <v>325</v>
      </c>
      <c r="D432" s="596">
        <f t="shared" si="125"/>
        <v>0</v>
      </c>
      <c r="E432" s="536">
        <v>2</v>
      </c>
      <c r="F432" s="538">
        <f t="shared" si="126"/>
        <v>0</v>
      </c>
      <c r="G432" s="538">
        <f t="shared" si="127"/>
        <v>0</v>
      </c>
    </row>
    <row r="433" spans="1:7" ht="19.899999999999999" customHeight="1" x14ac:dyDescent="0.2">
      <c r="A433" s="584">
        <f t="shared" si="123"/>
        <v>0</v>
      </c>
      <c r="B433" s="544">
        <f t="shared" si="124"/>
        <v>0</v>
      </c>
      <c r="C433" s="544" t="s">
        <v>1703</v>
      </c>
      <c r="D433" s="596">
        <f t="shared" si="125"/>
        <v>0</v>
      </c>
      <c r="E433" s="536">
        <v>0.05</v>
      </c>
      <c r="F433" s="538">
        <f t="shared" si="126"/>
        <v>0</v>
      </c>
      <c r="G433" s="538">
        <f t="shared" si="127"/>
        <v>0</v>
      </c>
    </row>
    <row r="434" spans="1:7" ht="19.899999999999999" customHeight="1" x14ac:dyDescent="0.2">
      <c r="A434" s="584">
        <f t="shared" si="123"/>
        <v>0</v>
      </c>
      <c r="B434" s="544">
        <f t="shared" si="124"/>
        <v>0</v>
      </c>
      <c r="C434" s="544" t="s">
        <v>1705</v>
      </c>
      <c r="D434" s="596">
        <f t="shared" si="125"/>
        <v>0</v>
      </c>
      <c r="E434" s="536">
        <v>1</v>
      </c>
      <c r="F434" s="538">
        <f t="shared" si="126"/>
        <v>0</v>
      </c>
      <c r="G434" s="538">
        <f t="shared" si="127"/>
        <v>0</v>
      </c>
    </row>
    <row r="435" spans="1:7" ht="19.899999999999999" customHeight="1" x14ac:dyDescent="0.2">
      <c r="A435" s="584">
        <f t="shared" si="123"/>
        <v>0</v>
      </c>
      <c r="B435" s="544">
        <f t="shared" si="124"/>
        <v>0</v>
      </c>
      <c r="C435" s="544" t="s">
        <v>1704</v>
      </c>
      <c r="D435" s="596">
        <f t="shared" si="125"/>
        <v>0</v>
      </c>
      <c r="E435" s="536">
        <v>1</v>
      </c>
      <c r="F435" s="538">
        <f t="shared" si="126"/>
        <v>0</v>
      </c>
      <c r="G435" s="538">
        <f t="shared" si="127"/>
        <v>0</v>
      </c>
    </row>
    <row r="436" spans="1:7" ht="19.899999999999999" customHeight="1" x14ac:dyDescent="0.2">
      <c r="A436" s="584">
        <f t="shared" si="123"/>
        <v>0</v>
      </c>
      <c r="B436" s="544">
        <f t="shared" si="124"/>
        <v>0</v>
      </c>
      <c r="C436" s="544" t="s">
        <v>1963</v>
      </c>
      <c r="D436" s="596">
        <f t="shared" si="125"/>
        <v>0</v>
      </c>
      <c r="E436" s="536">
        <v>0.05</v>
      </c>
      <c r="F436" s="538">
        <f t="shared" si="126"/>
        <v>0</v>
      </c>
      <c r="G436" s="538">
        <f>ROUND(E436*F436,2)</f>
        <v>0</v>
      </c>
    </row>
    <row r="437" spans="1:7" ht="19.899999999999999" customHeight="1" x14ac:dyDescent="0.2">
      <c r="A437" s="584">
        <f t="shared" si="123"/>
        <v>0</v>
      </c>
      <c r="B437" s="544">
        <f t="shared" si="124"/>
        <v>0</v>
      </c>
      <c r="C437" s="544"/>
      <c r="D437" s="596">
        <f t="shared" si="125"/>
        <v>0</v>
      </c>
      <c r="E437" s="536"/>
      <c r="F437" s="538">
        <f t="shared" si="126"/>
        <v>0</v>
      </c>
      <c r="G437" s="538">
        <f t="shared" si="127"/>
        <v>0</v>
      </c>
    </row>
    <row r="438" spans="1:7" ht="19.899999999999999" customHeight="1" x14ac:dyDescent="0.2">
      <c r="A438" s="584">
        <f t="shared" si="123"/>
        <v>0</v>
      </c>
      <c r="B438" s="544">
        <f t="shared" si="124"/>
        <v>0</v>
      </c>
      <c r="C438" s="544"/>
      <c r="D438" s="596">
        <f t="shared" si="125"/>
        <v>0</v>
      </c>
      <c r="E438" s="536"/>
      <c r="F438" s="538">
        <f t="shared" si="126"/>
        <v>0</v>
      </c>
      <c r="G438" s="538">
        <f t="shared" si="127"/>
        <v>0</v>
      </c>
    </row>
    <row r="439" spans="1:7" ht="19.899999999999999" customHeight="1" x14ac:dyDescent="0.2">
      <c r="A439" s="584">
        <f t="shared" si="123"/>
        <v>0</v>
      </c>
      <c r="B439" s="544">
        <f t="shared" si="124"/>
        <v>0</v>
      </c>
      <c r="C439" s="544"/>
      <c r="D439" s="596">
        <f t="shared" si="125"/>
        <v>0</v>
      </c>
      <c r="E439" s="536"/>
      <c r="F439" s="538">
        <f t="shared" si="126"/>
        <v>0</v>
      </c>
      <c r="G439" s="538">
        <f t="shared" si="127"/>
        <v>0</v>
      </c>
    </row>
    <row r="440" spans="1:7" ht="19.899999999999999" customHeight="1" x14ac:dyDescent="0.2">
      <c r="A440" s="582"/>
      <c r="B440" s="528"/>
      <c r="C440" s="528"/>
      <c r="D440" s="524"/>
      <c r="E440" s="525"/>
      <c r="F440" s="547" t="s">
        <v>29</v>
      </c>
      <c r="G440" s="588">
        <f>SUBTOTAL(9,G429:G439)</f>
        <v>0</v>
      </c>
    </row>
    <row r="441" spans="1:7" ht="19.899999999999999" customHeight="1" x14ac:dyDescent="0.2">
      <c r="A441" s="582"/>
      <c r="B441" s="528"/>
      <c r="C441" s="520" t="s">
        <v>993</v>
      </c>
      <c r="D441" s="524"/>
      <c r="E441" s="525"/>
      <c r="F441" s="526"/>
      <c r="G441" s="583"/>
    </row>
    <row r="442" spans="1:7" ht="19.899999999999999" customHeight="1" x14ac:dyDescent="0.2">
      <c r="A442" s="793" t="s">
        <v>576</v>
      </c>
      <c r="B442" s="794"/>
      <c r="C442" s="795" t="s">
        <v>0</v>
      </c>
      <c r="D442" s="795" t="s">
        <v>1740</v>
      </c>
      <c r="E442" s="797" t="s">
        <v>24</v>
      </c>
      <c r="F442" s="799" t="s">
        <v>25</v>
      </c>
      <c r="G442" s="801" t="s">
        <v>26</v>
      </c>
    </row>
    <row r="443" spans="1:7" ht="19.899999999999999" customHeight="1" x14ac:dyDescent="0.2">
      <c r="A443" s="543" t="s">
        <v>577</v>
      </c>
      <c r="B443" s="543" t="s">
        <v>578</v>
      </c>
      <c r="C443" s="796"/>
      <c r="D443" s="796"/>
      <c r="E443" s="798"/>
      <c r="F443" s="800"/>
      <c r="G443" s="802"/>
    </row>
    <row r="444" spans="1:7" ht="19.899999999999999" customHeight="1" x14ac:dyDescent="0.2">
      <c r="A444" s="584">
        <f>IFERROR(VLOOKUP(C444,T_Insumos,4,FALSE),0)</f>
        <v>0</v>
      </c>
      <c r="B444" s="544">
        <f>IFERROR(VLOOKUP(C444,T_Insumos,5,FALSE),0)</f>
        <v>0</v>
      </c>
      <c r="C444" s="535"/>
      <c r="D444" s="596">
        <f>IF(C444=0,0,"$/tnkm")</f>
        <v>0</v>
      </c>
      <c r="E444" s="536"/>
      <c r="F444" s="538">
        <f>IFERROR(VLOOKUP(C444,T_Insumos,3,FALSE),0)</f>
        <v>0</v>
      </c>
      <c r="G444" s="538">
        <f>ROUND(E444*F444,2)</f>
        <v>0</v>
      </c>
    </row>
    <row r="445" spans="1:7" ht="19.899999999999999" customHeight="1" x14ac:dyDescent="0.2">
      <c r="A445" s="584">
        <f>IFERROR(VLOOKUP(C445,T_Insumos,4,FALSE),0)</f>
        <v>0</v>
      </c>
      <c r="B445" s="544">
        <f>IFERROR(VLOOKUP(C445,T_Insumos,5,FALSE),0)</f>
        <v>0</v>
      </c>
      <c r="C445" s="535"/>
      <c r="D445" s="596">
        <f>IF(C445=0,0,"$/tnkm")</f>
        <v>0</v>
      </c>
      <c r="E445" s="552"/>
      <c r="F445" s="538">
        <f>IFERROR(VLOOKUP(C445,T_Insumos,3,FALSE),0)</f>
        <v>0</v>
      </c>
      <c r="G445" s="538">
        <f t="shared" ref="G445" si="128">ROUND(E445*F445,2)</f>
        <v>0</v>
      </c>
    </row>
    <row r="446" spans="1:7" ht="19.899999999999999" customHeight="1" x14ac:dyDescent="0.2">
      <c r="A446" s="582"/>
      <c r="B446" s="528"/>
      <c r="C446" s="528"/>
      <c r="D446" s="524"/>
      <c r="E446" s="525"/>
      <c r="F446" s="547" t="s">
        <v>994</v>
      </c>
      <c r="G446" s="588">
        <f>SUBTOTAL(9,G444:G445)</f>
        <v>0</v>
      </c>
    </row>
    <row r="447" spans="1:7" ht="19.899999999999999" customHeight="1" x14ac:dyDescent="0.2">
      <c r="A447" s="585"/>
      <c r="B447" s="524"/>
      <c r="C447" s="528"/>
      <c r="D447" s="524"/>
      <c r="E447" s="525"/>
      <c r="F447" s="526"/>
      <c r="G447" s="583"/>
    </row>
    <row r="448" spans="1:7" ht="19.899999999999999" customHeight="1" x14ac:dyDescent="0.2">
      <c r="A448" s="647" t="str">
        <f>B382</f>
        <v>2.5</v>
      </c>
      <c r="B448" s="644" t="str">
        <f ca="1">C382</f>
        <v>Armadura colocada en obra</v>
      </c>
      <c r="C448" s="524"/>
      <c r="D448" s="524" t="s">
        <v>1719</v>
      </c>
      <c r="E448" s="645"/>
      <c r="F448" s="646" t="str">
        <f ca="1">"$/"&amp;G382</f>
        <v>$/t</v>
      </c>
      <c r="G448" s="593">
        <f>SUBTOTAL(9,G405:G447)</f>
        <v>0</v>
      </c>
    </row>
    <row r="449" spans="1:7" ht="19.899999999999999" customHeight="1" x14ac:dyDescent="0.2">
      <c r="A449" s="589"/>
      <c r="B449" s="590"/>
      <c r="C449" s="591"/>
      <c r="D449" s="591" t="s">
        <v>1915</v>
      </c>
      <c r="E449" s="592"/>
      <c r="F449" s="648" t="str">
        <f ca="1">"$/"&amp;G382</f>
        <v>$/t</v>
      </c>
      <c r="G449" s="593">
        <f>ROUND(G448*Coeficiente_Paso,2)</f>
        <v>0</v>
      </c>
    </row>
    <row r="450" spans="1:7" ht="19.899999999999999" customHeight="1" x14ac:dyDescent="0.2">
      <c r="A450" s="185"/>
      <c r="B450" s="185"/>
      <c r="C450" s="185"/>
      <c r="D450" s="185"/>
      <c r="E450" s="185"/>
      <c r="F450" s="185"/>
      <c r="G450" s="185"/>
    </row>
    <row r="451" spans="1:7" ht="19.899999999999999" customHeight="1" x14ac:dyDescent="0.2">
      <c r="A451" s="803" t="s">
        <v>31</v>
      </c>
      <c r="B451" s="804"/>
      <c r="C451" s="804"/>
      <c r="D451" s="804"/>
      <c r="E451" s="804"/>
      <c r="F451" s="804"/>
      <c r="G451" s="805"/>
    </row>
    <row r="452" spans="1:7" ht="19.899999999999999" customHeight="1" x14ac:dyDescent="0.2">
      <c r="A452" s="570" t="s">
        <v>711</v>
      </c>
      <c r="B452" s="518" t="str">
        <f>Comitente</f>
        <v>DEPARTAMENTO DE HIDRAULICA</v>
      </c>
      <c r="C452" s="519"/>
      <c r="D452" s="520"/>
      <c r="E452" s="520"/>
      <c r="F452" s="521"/>
      <c r="G452" s="571"/>
    </row>
    <row r="453" spans="1:7" ht="19.899999999999999" customHeight="1" x14ac:dyDescent="0.2">
      <c r="A453" s="570" t="s">
        <v>712</v>
      </c>
      <c r="B453" s="518">
        <f>Contratista</f>
        <v>0</v>
      </c>
      <c r="C453" s="522"/>
      <c r="D453" s="522"/>
      <c r="E453" s="522"/>
      <c r="F453" s="518"/>
      <c r="G453" s="572"/>
    </row>
    <row r="454" spans="1:7" ht="19.899999999999999" customHeight="1" x14ac:dyDescent="0.2">
      <c r="A454" s="570" t="s">
        <v>21</v>
      </c>
      <c r="B454" s="518" t="str">
        <f>Obra</f>
        <v>ENCAMISADO CANAL GENERAL COCHAGUAL</v>
      </c>
      <c r="C454" s="522"/>
      <c r="D454" s="522"/>
      <c r="E454" s="522"/>
      <c r="F454" s="518" t="s">
        <v>32</v>
      </c>
      <c r="G454" s="572">
        <f>Fecha_Base</f>
        <v>44319</v>
      </c>
    </row>
    <row r="455" spans="1:7" ht="19.899999999999999" customHeight="1" x14ac:dyDescent="0.2">
      <c r="A455" s="573" t="s">
        <v>710</v>
      </c>
      <c r="B455" s="523" t="str">
        <f>Ubicación</f>
        <v>DEPARTAMENTO SARMIENTO</v>
      </c>
      <c r="C455" s="523"/>
      <c r="D455" s="524"/>
      <c r="E455" s="525"/>
      <c r="F455" s="526"/>
      <c r="G455" s="574"/>
    </row>
    <row r="456" spans="1:7" ht="19.899999999999999" customHeight="1" x14ac:dyDescent="0.2">
      <c r="A456" s="573" t="s">
        <v>33</v>
      </c>
      <c r="B456" s="527">
        <f>IFERROR(VALUE(LEFT(B457,FIND(".",B457)-1)),"")</f>
        <v>2</v>
      </c>
      <c r="C456" s="528" t="str">
        <f ca="1">IFERROR(VLOOKUP(B456,T_Computo_Presupuesto,2,FALSE),0)</f>
        <v>CANAL GENERAL COCHAGUAL Progresiva 4080-4880</v>
      </c>
      <c r="D456" s="528"/>
      <c r="E456" s="525"/>
      <c r="F456" s="526"/>
      <c r="G456" s="574"/>
    </row>
    <row r="457" spans="1:7" ht="19.899999999999999" customHeight="1" x14ac:dyDescent="0.2">
      <c r="A457" s="573" t="s">
        <v>22</v>
      </c>
      <c r="B457" s="529" t="str">
        <f>IFERROR(VLOOKUP(COUNTIF($A$1:A457,"ANALISIS DE PRECIOS"),T_NumeroItem,2,FALSE),"")</f>
        <v>2.6</v>
      </c>
      <c r="C457" s="806" t="str">
        <f ca="1">IFERROR(VLOOKUP(B457,T_Computo_Presupuesto,2,FALSE),0)</f>
        <v>Juntas de contraccion y dilatacion</v>
      </c>
      <c r="D457" s="806"/>
      <c r="E457" s="806"/>
      <c r="F457" s="523" t="s">
        <v>23</v>
      </c>
      <c r="G457" s="575" t="str">
        <f ca="1">IFERROR(VLOOKUP(B457,T_Computo_Presupuesto,4,FALSE),0)</f>
        <v>m</v>
      </c>
    </row>
    <row r="458" spans="1:7" ht="19.899999999999999" customHeight="1" x14ac:dyDescent="0.2">
      <c r="A458" s="573"/>
      <c r="B458" s="523"/>
      <c r="C458" s="528"/>
      <c r="D458" s="524"/>
      <c r="E458" s="525"/>
      <c r="F458" s="528"/>
      <c r="G458" s="576"/>
    </row>
    <row r="459" spans="1:7" ht="19.899999999999999" customHeight="1" x14ac:dyDescent="0.2">
      <c r="A459" s="577"/>
      <c r="B459" s="530"/>
      <c r="C459" s="531" t="s">
        <v>977</v>
      </c>
      <c r="D459" s="530"/>
      <c r="E459" s="530"/>
      <c r="F459" s="530"/>
      <c r="G459" s="578"/>
    </row>
    <row r="460" spans="1:7" ht="19.899999999999999" customHeight="1" x14ac:dyDescent="0.2">
      <c r="A460" s="573"/>
      <c r="B460" s="532"/>
      <c r="C460" s="528"/>
      <c r="D460" s="524"/>
      <c r="E460" s="525"/>
      <c r="F460" s="523"/>
      <c r="G460" s="575"/>
    </row>
    <row r="461" spans="1:7" ht="19.899999999999999" customHeight="1" x14ac:dyDescent="0.2">
      <c r="A461" s="573"/>
      <c r="B461" s="532"/>
      <c r="C461" s="533" t="s">
        <v>978</v>
      </c>
      <c r="D461" s="534" t="s">
        <v>24</v>
      </c>
      <c r="E461" s="534" t="s">
        <v>979</v>
      </c>
      <c r="F461" s="534" t="s">
        <v>980</v>
      </c>
      <c r="G461" s="533" t="s">
        <v>981</v>
      </c>
    </row>
    <row r="462" spans="1:7" ht="19.899999999999999" customHeight="1" x14ac:dyDescent="0.2">
      <c r="A462" s="573"/>
      <c r="B462" s="532"/>
      <c r="C462" s="535">
        <f>+Equipos!A16</f>
        <v>0</v>
      </c>
      <c r="D462" s="536">
        <v>1</v>
      </c>
      <c r="E462" s="537">
        <f t="shared" ref="E462:E471" si="129">IFERROR(VLOOKUP(C462,T_Equipos,4,FALSE),0)</f>
        <v>0</v>
      </c>
      <c r="F462" s="538">
        <f t="shared" ref="F462:F471" si="130">IFERROR(VLOOKUP(C462,T_Equipos,5,FALSE),0)</f>
        <v>0</v>
      </c>
      <c r="G462" s="538">
        <f>ROUND(D462*F462,2)</f>
        <v>0</v>
      </c>
    </row>
    <row r="463" spans="1:7" ht="19.899999999999999" customHeight="1" x14ac:dyDescent="0.2">
      <c r="A463" s="573"/>
      <c r="B463" s="532"/>
      <c r="C463" s="535">
        <f>+Equipos!A13</f>
        <v>0</v>
      </c>
      <c r="D463" s="536">
        <v>0.5</v>
      </c>
      <c r="E463" s="537">
        <f t="shared" si="129"/>
        <v>0</v>
      </c>
      <c r="F463" s="538">
        <f t="shared" si="130"/>
        <v>0</v>
      </c>
      <c r="G463" s="538">
        <f>ROUND(D463*F463,2)</f>
        <v>0</v>
      </c>
    </row>
    <row r="464" spans="1:7" ht="19.899999999999999" customHeight="1" x14ac:dyDescent="0.2">
      <c r="A464" s="573"/>
      <c r="B464" s="532"/>
      <c r="C464" s="535">
        <f>+Equipos!A25</f>
        <v>0</v>
      </c>
      <c r="D464" s="536">
        <v>0.5</v>
      </c>
      <c r="E464" s="537">
        <f t="shared" si="129"/>
        <v>0</v>
      </c>
      <c r="F464" s="538">
        <f t="shared" si="130"/>
        <v>0</v>
      </c>
      <c r="G464" s="538">
        <f>ROUND(D464*F464,2)</f>
        <v>0</v>
      </c>
    </row>
    <row r="465" spans="1:7" ht="19.899999999999999" customHeight="1" x14ac:dyDescent="0.2">
      <c r="A465" s="573"/>
      <c r="B465" s="532"/>
      <c r="C465" s="535">
        <f>+Equipos!A33</f>
        <v>0</v>
      </c>
      <c r="D465" s="536">
        <v>1</v>
      </c>
      <c r="E465" s="537">
        <f t="shared" si="129"/>
        <v>0</v>
      </c>
      <c r="F465" s="538">
        <f t="shared" si="130"/>
        <v>0</v>
      </c>
      <c r="G465" s="538">
        <f>ROUND(D465*F465,2)</f>
        <v>0</v>
      </c>
    </row>
    <row r="466" spans="1:7" ht="19.899999999999999" customHeight="1" x14ac:dyDescent="0.2">
      <c r="A466" s="573"/>
      <c r="B466" s="532"/>
      <c r="C466" s="535">
        <f>+Equipos!A22</f>
        <v>0</v>
      </c>
      <c r="D466" s="731">
        <f>4800/75840</f>
        <v>6.3291139240506333E-2</v>
      </c>
      <c r="E466" s="537">
        <f t="shared" si="129"/>
        <v>0</v>
      </c>
      <c r="F466" s="538">
        <f t="shared" si="130"/>
        <v>0</v>
      </c>
      <c r="G466" s="538">
        <f t="shared" ref="G466:G471" si="131">ROUND(D466*F466,2)</f>
        <v>0</v>
      </c>
    </row>
    <row r="467" spans="1:7" ht="19.899999999999999" customHeight="1" x14ac:dyDescent="0.2">
      <c r="A467" s="573"/>
      <c r="B467" s="532"/>
      <c r="C467" s="535">
        <f>+Equipos!A18</f>
        <v>0</v>
      </c>
      <c r="D467" s="536">
        <v>2</v>
      </c>
      <c r="E467" s="537">
        <f t="shared" si="129"/>
        <v>0</v>
      </c>
      <c r="F467" s="538">
        <f t="shared" si="130"/>
        <v>0</v>
      </c>
      <c r="G467" s="538">
        <f t="shared" si="131"/>
        <v>0</v>
      </c>
    </row>
    <row r="468" spans="1:7" ht="19.899999999999999" customHeight="1" x14ac:dyDescent="0.2">
      <c r="A468" s="573"/>
      <c r="B468" s="532"/>
      <c r="C468" s="535"/>
      <c r="D468" s="536"/>
      <c r="E468" s="537">
        <f t="shared" si="129"/>
        <v>0</v>
      </c>
      <c r="F468" s="538">
        <f t="shared" si="130"/>
        <v>0</v>
      </c>
      <c r="G468" s="538">
        <f t="shared" si="131"/>
        <v>0</v>
      </c>
    </row>
    <row r="469" spans="1:7" ht="19.899999999999999" customHeight="1" x14ac:dyDescent="0.2">
      <c r="A469" s="573"/>
      <c r="B469" s="532"/>
      <c r="C469" s="535"/>
      <c r="D469" s="536"/>
      <c r="E469" s="537">
        <f t="shared" si="129"/>
        <v>0</v>
      </c>
      <c r="F469" s="538">
        <f t="shared" si="130"/>
        <v>0</v>
      </c>
      <c r="G469" s="538">
        <f t="shared" si="131"/>
        <v>0</v>
      </c>
    </row>
    <row r="470" spans="1:7" ht="19.899999999999999" customHeight="1" x14ac:dyDescent="0.2">
      <c r="A470" s="573"/>
      <c r="B470" s="532"/>
      <c r="C470" s="535"/>
      <c r="D470" s="536"/>
      <c r="E470" s="537">
        <f t="shared" si="129"/>
        <v>0</v>
      </c>
      <c r="F470" s="538">
        <f t="shared" si="130"/>
        <v>0</v>
      </c>
      <c r="G470" s="538">
        <f t="shared" si="131"/>
        <v>0</v>
      </c>
    </row>
    <row r="471" spans="1:7" ht="19.899999999999999" customHeight="1" x14ac:dyDescent="0.2">
      <c r="A471" s="573"/>
      <c r="B471" s="532"/>
      <c r="C471" s="535"/>
      <c r="D471" s="536"/>
      <c r="E471" s="537">
        <f t="shared" si="129"/>
        <v>0</v>
      </c>
      <c r="F471" s="538">
        <f t="shared" si="130"/>
        <v>0</v>
      </c>
      <c r="G471" s="538">
        <f t="shared" si="131"/>
        <v>0</v>
      </c>
    </row>
    <row r="472" spans="1:7" ht="19.899999999999999" customHeight="1" x14ac:dyDescent="0.2">
      <c r="A472" s="573"/>
      <c r="B472" s="532"/>
      <c r="C472" s="528"/>
      <c r="D472" s="528"/>
      <c r="E472" s="539"/>
      <c r="F472" s="523"/>
      <c r="G472" s="575"/>
    </row>
    <row r="473" spans="1:7" ht="19.899999999999999" customHeight="1" x14ac:dyDescent="0.2">
      <c r="A473" s="573"/>
      <c r="B473" s="528"/>
      <c r="C473" s="520" t="s">
        <v>982</v>
      </c>
      <c r="D473" s="523" t="s">
        <v>979</v>
      </c>
      <c r="E473" s="594">
        <f>SUMPRODUCT(D462:D471,E462:E471)</f>
        <v>0</v>
      </c>
      <c r="F473" s="523" t="s">
        <v>983</v>
      </c>
      <c r="G473" s="595">
        <f>SUM(G462:G471)</f>
        <v>0</v>
      </c>
    </row>
    <row r="474" spans="1:7" ht="19.899999999999999" customHeight="1" x14ac:dyDescent="0.2">
      <c r="A474" s="573"/>
      <c r="B474" s="532"/>
      <c r="C474" s="540"/>
      <c r="D474" s="539"/>
      <c r="E474" s="525"/>
      <c r="F474" s="523"/>
      <c r="G474" s="579"/>
    </row>
    <row r="475" spans="1:7" ht="19.899999999999999" customHeight="1" x14ac:dyDescent="0.2">
      <c r="A475" s="580"/>
      <c r="B475" s="532"/>
      <c r="C475" s="523" t="s">
        <v>984</v>
      </c>
      <c r="D475" s="541">
        <f>IFERROR(VLOOKUP(COUNTIF($A$1:A475,"ANALISIS DE PRECIOS"),T_Rendimiento_Equipo,5,FALSE),0)</f>
        <v>0</v>
      </c>
      <c r="E475" s="542" t="str">
        <f ca="1">G457&amp;"/día"</f>
        <v>m/día</v>
      </c>
      <c r="F475" s="581"/>
      <c r="G475" s="575"/>
    </row>
    <row r="476" spans="1:7" ht="19.899999999999999" customHeight="1" x14ac:dyDescent="0.2">
      <c r="A476" s="573"/>
      <c r="B476" s="532"/>
      <c r="C476" s="528"/>
      <c r="D476" s="524"/>
      <c r="E476" s="525"/>
      <c r="F476" s="523"/>
      <c r="G476" s="575"/>
    </row>
    <row r="477" spans="1:7" ht="19.899999999999999" customHeight="1" x14ac:dyDescent="0.2">
      <c r="A477" s="793" t="s">
        <v>576</v>
      </c>
      <c r="B477" s="794"/>
      <c r="C477" s="795" t="s">
        <v>0</v>
      </c>
      <c r="D477" s="807" t="s">
        <v>1739</v>
      </c>
      <c r="E477" s="807" t="s">
        <v>1738</v>
      </c>
      <c r="F477" s="799" t="s">
        <v>985</v>
      </c>
      <c r="G477" s="801" t="s">
        <v>26</v>
      </c>
    </row>
    <row r="478" spans="1:7" ht="19.899999999999999" customHeight="1" x14ac:dyDescent="0.2">
      <c r="A478" s="543" t="s">
        <v>577</v>
      </c>
      <c r="B478" s="543" t="s">
        <v>578</v>
      </c>
      <c r="C478" s="796"/>
      <c r="D478" s="808"/>
      <c r="E478" s="798"/>
      <c r="F478" s="800"/>
      <c r="G478" s="802"/>
    </row>
    <row r="479" spans="1:7" ht="19.899999999999999" customHeight="1" x14ac:dyDescent="0.2">
      <c r="A479" s="582"/>
      <c r="B479" s="528"/>
      <c r="C479" s="520" t="s">
        <v>986</v>
      </c>
      <c r="D479" s="525"/>
      <c r="E479" s="525"/>
      <c r="F479" s="528"/>
      <c r="G479" s="583"/>
    </row>
    <row r="480" spans="1:7" ht="19.899999999999999" customHeight="1" x14ac:dyDescent="0.2">
      <c r="A480" s="584">
        <f t="shared" ref="A480:A488" si="132">IFERROR(VLOOKUP(C480,T_Insumos,4,FALSE),0)</f>
        <v>0</v>
      </c>
      <c r="B480" s="544">
        <f t="shared" ref="B480:B488" si="133">IFERROR(VLOOKUP(C480,T_Insumos,5,FALSE),0)</f>
        <v>0</v>
      </c>
      <c r="C480" s="535">
        <f>+C30</f>
        <v>0</v>
      </c>
      <c r="D480" s="545">
        <f t="shared" ref="D480:D488" si="134">IFERROR(VLOOKUP(C480,T_Insumos,3,FALSE),0)</f>
        <v>0</v>
      </c>
      <c r="E480" s="538">
        <f>D480*$G$473</f>
        <v>0</v>
      </c>
      <c r="F480" s="541">
        <f>IF(C480="",0,IFERROR(VLOOKUP(COUNTIF($A$1:A480,"ANALISIS DE PRECIOS"),T_Rendimiento_Equipo,5,FALSE),0))</f>
        <v>0</v>
      </c>
      <c r="G480" s="538">
        <f>IFERROR(ROUND(E480/F480,2),0)</f>
        <v>0</v>
      </c>
    </row>
    <row r="481" spans="1:7" ht="19.899999999999999" customHeight="1" x14ac:dyDescent="0.2">
      <c r="A481" s="584">
        <f t="shared" si="132"/>
        <v>0</v>
      </c>
      <c r="B481" s="544">
        <f t="shared" si="133"/>
        <v>0</v>
      </c>
      <c r="C481" s="535">
        <f t="shared" ref="C481:C483" si="135">+C31</f>
        <v>0</v>
      </c>
      <c r="D481" s="545">
        <f t="shared" si="134"/>
        <v>0</v>
      </c>
      <c r="E481" s="538">
        <f t="shared" ref="E481:E482" si="136">D481*$G$473</f>
        <v>0</v>
      </c>
      <c r="F481" s="541">
        <f>IF(C481="",0,IFERROR(VLOOKUP(COUNTIF($A$1:A481,"ANALISIS DE PRECIOS"),T_Rendimiento_Equipo,5,FALSE),0))</f>
        <v>0</v>
      </c>
      <c r="G481" s="538">
        <f t="shared" ref="G481:G488" si="137">IFERROR(ROUND(E481/F481,2),0)</f>
        <v>0</v>
      </c>
    </row>
    <row r="482" spans="1:7" ht="19.899999999999999" customHeight="1" x14ac:dyDescent="0.2">
      <c r="A482" s="584">
        <f t="shared" si="132"/>
        <v>0</v>
      </c>
      <c r="B482" s="544">
        <f t="shared" si="133"/>
        <v>0</v>
      </c>
      <c r="C482" s="535">
        <f t="shared" si="135"/>
        <v>0</v>
      </c>
      <c r="D482" s="545">
        <f t="shared" si="134"/>
        <v>0</v>
      </c>
      <c r="E482" s="538">
        <f t="shared" si="136"/>
        <v>0</v>
      </c>
      <c r="F482" s="541">
        <f>IF(C482="",0,IFERROR(VLOOKUP(COUNTIF($A$1:A482,"ANALISIS DE PRECIOS"),T_Rendimiento_Equipo,5,FALSE),0))</f>
        <v>0</v>
      </c>
      <c r="G482" s="538">
        <f t="shared" si="137"/>
        <v>0</v>
      </c>
    </row>
    <row r="483" spans="1:7" ht="19.899999999999999" customHeight="1" x14ac:dyDescent="0.2">
      <c r="A483" s="584">
        <f t="shared" si="132"/>
        <v>0</v>
      </c>
      <c r="B483" s="544">
        <f t="shared" si="133"/>
        <v>0</v>
      </c>
      <c r="C483" s="535">
        <f t="shared" si="135"/>
        <v>0</v>
      </c>
      <c r="D483" s="545">
        <f t="shared" si="134"/>
        <v>0</v>
      </c>
      <c r="E483" s="538">
        <f>D483*$E$473</f>
        <v>0</v>
      </c>
      <c r="F483" s="541">
        <f>IF(C483="",0,IFERROR(VLOOKUP(COUNTIF($A$1:A483,"ANALISIS DE PRECIOS"),T_Rendimiento_Equipo,5,FALSE),0))</f>
        <v>0</v>
      </c>
      <c r="G483" s="538">
        <f t="shared" si="137"/>
        <v>0</v>
      </c>
    </row>
    <row r="484" spans="1:7" ht="19.899999999999999" customHeight="1" x14ac:dyDescent="0.2">
      <c r="A484" s="584">
        <f t="shared" si="132"/>
        <v>0</v>
      </c>
      <c r="B484" s="544">
        <f t="shared" si="133"/>
        <v>0</v>
      </c>
      <c r="C484" s="546"/>
      <c r="D484" s="545">
        <f t="shared" si="134"/>
        <v>0</v>
      </c>
      <c r="E484" s="538"/>
      <c r="F484" s="541">
        <f>IF(C484="",0,IFERROR(VLOOKUP(COUNTIF($A$1:A484,"ANALISIS DE PRECIOS"),T_Rendimiento_Equipo,5,FALSE),0))</f>
        <v>0</v>
      </c>
      <c r="G484" s="538">
        <f t="shared" si="137"/>
        <v>0</v>
      </c>
    </row>
    <row r="485" spans="1:7" ht="19.899999999999999" customHeight="1" x14ac:dyDescent="0.2">
      <c r="A485" s="584">
        <f t="shared" si="132"/>
        <v>0</v>
      </c>
      <c r="B485" s="544">
        <f t="shared" si="133"/>
        <v>0</v>
      </c>
      <c r="C485" s="546"/>
      <c r="D485" s="545">
        <f t="shared" si="134"/>
        <v>0</v>
      </c>
      <c r="E485" s="538"/>
      <c r="F485" s="541">
        <f>IF(C485="",0,IFERROR(VLOOKUP(COUNTIF($A$1:A485,"ANALISIS DE PRECIOS"),T_Rendimiento_Equipo,5,FALSE),0))</f>
        <v>0</v>
      </c>
      <c r="G485" s="538">
        <f t="shared" si="137"/>
        <v>0</v>
      </c>
    </row>
    <row r="486" spans="1:7" ht="19.899999999999999" customHeight="1" x14ac:dyDescent="0.2">
      <c r="A486" s="584">
        <f t="shared" si="132"/>
        <v>0</v>
      </c>
      <c r="B486" s="544">
        <f t="shared" si="133"/>
        <v>0</v>
      </c>
      <c r="C486" s="546"/>
      <c r="D486" s="545">
        <f t="shared" si="134"/>
        <v>0</v>
      </c>
      <c r="E486" s="538"/>
      <c r="F486" s="541">
        <f>IF(C486="",0,IFERROR(VLOOKUP(COUNTIF($A$1:A486,"ANALISIS DE PRECIOS"),T_Rendimiento_Equipo,5,FALSE),0))</f>
        <v>0</v>
      </c>
      <c r="G486" s="538">
        <f t="shared" si="137"/>
        <v>0</v>
      </c>
    </row>
    <row r="487" spans="1:7" ht="19.899999999999999" customHeight="1" x14ac:dyDescent="0.2">
      <c r="A487" s="584">
        <f t="shared" si="132"/>
        <v>0</v>
      </c>
      <c r="B487" s="544">
        <f t="shared" si="133"/>
        <v>0</v>
      </c>
      <c r="C487" s="546"/>
      <c r="D487" s="545">
        <f t="shared" si="134"/>
        <v>0</v>
      </c>
      <c r="E487" s="538"/>
      <c r="F487" s="541">
        <f>IF(C487="",0,IFERROR(VLOOKUP(COUNTIF($A$1:A487,"ANALISIS DE PRECIOS"),T_Rendimiento_Equipo,5,FALSE),0))</f>
        <v>0</v>
      </c>
      <c r="G487" s="538">
        <f t="shared" si="137"/>
        <v>0</v>
      </c>
    </row>
    <row r="488" spans="1:7" ht="19.899999999999999" customHeight="1" x14ac:dyDescent="0.2">
      <c r="A488" s="584">
        <f t="shared" si="132"/>
        <v>0</v>
      </c>
      <c r="B488" s="544">
        <f t="shared" si="133"/>
        <v>0</v>
      </c>
      <c r="C488" s="535"/>
      <c r="D488" s="545">
        <f t="shared" si="134"/>
        <v>0</v>
      </c>
      <c r="E488" s="538"/>
      <c r="F488" s="541">
        <f>IF(C488="",0,IFERROR(VLOOKUP(COUNTIF($A$1:A488,"ANALISIS DE PRECIOS"),T_Rendimiento_Equipo,5,FALSE),0))</f>
        <v>0</v>
      </c>
      <c r="G488" s="538">
        <f t="shared" si="137"/>
        <v>0</v>
      </c>
    </row>
    <row r="489" spans="1:7" ht="19.899999999999999" customHeight="1" x14ac:dyDescent="0.2">
      <c r="A489" s="585"/>
      <c r="B489" s="524"/>
      <c r="C489" s="528"/>
      <c r="D489" s="524"/>
      <c r="E489" s="525"/>
      <c r="F489" s="547" t="s">
        <v>27</v>
      </c>
      <c r="G489" s="586">
        <f>SUBTOTAL(9,G480:G488)</f>
        <v>0</v>
      </c>
    </row>
    <row r="490" spans="1:7" ht="19.899999999999999" customHeight="1" x14ac:dyDescent="0.2">
      <c r="A490" s="582"/>
      <c r="B490" s="528"/>
      <c r="C490" s="520" t="s">
        <v>713</v>
      </c>
      <c r="D490" s="524"/>
      <c r="E490" s="525"/>
      <c r="F490" s="526"/>
      <c r="G490" s="583"/>
    </row>
    <row r="491" spans="1:7" ht="19.899999999999999" customHeight="1" x14ac:dyDescent="0.2">
      <c r="A491" s="793" t="s">
        <v>576</v>
      </c>
      <c r="B491" s="794"/>
      <c r="C491" s="795" t="s">
        <v>0</v>
      </c>
      <c r="D491" s="797" t="s">
        <v>24</v>
      </c>
      <c r="E491" s="797" t="s">
        <v>1718</v>
      </c>
      <c r="F491" s="799" t="s">
        <v>985</v>
      </c>
      <c r="G491" s="801" t="s">
        <v>26</v>
      </c>
    </row>
    <row r="492" spans="1:7" ht="19.899999999999999" customHeight="1" x14ac:dyDescent="0.2">
      <c r="A492" s="543" t="s">
        <v>577</v>
      </c>
      <c r="B492" s="543" t="s">
        <v>578</v>
      </c>
      <c r="C492" s="796"/>
      <c r="D492" s="798"/>
      <c r="E492" s="798"/>
      <c r="F492" s="800"/>
      <c r="G492" s="802"/>
    </row>
    <row r="493" spans="1:7" ht="19.899999999999999" customHeight="1" x14ac:dyDescent="0.2">
      <c r="A493" s="584" t="str">
        <f t="shared" ref="A493:A499" si="138">IFERROR(VLOOKUP(C493,T_Insumos,4,FALSE),0)</f>
        <v>IIEE-SJ - 1</v>
      </c>
      <c r="B493" s="544" t="str">
        <f t="shared" ref="B493:B499" si="139">IFERROR(VLOOKUP(C493,T_Insumos,5,FALSE),0)</f>
        <v>Mano de Obra</v>
      </c>
      <c r="C493" s="548" t="str">
        <f>+C43</f>
        <v>Mano de obra</v>
      </c>
      <c r="D493" s="541"/>
      <c r="E493" s="538">
        <f t="shared" ref="E493:E499" si="140">IFERROR(VLOOKUP(C493,T_Insumos,3,FALSE),0)</f>
        <v>0</v>
      </c>
      <c r="F493" s="541">
        <f>IF(C493="",0,IFERROR(VLOOKUP(COUNTIF($A$1:A493,"ANALISIS DE PRECIOS"),T_Rendimiento_Equipo,5,FALSE),0))</f>
        <v>0</v>
      </c>
      <c r="G493" s="538">
        <f>IFERROR(ROUND(D493*E493/F493,2),0)</f>
        <v>0</v>
      </c>
    </row>
    <row r="494" spans="1:7" ht="19.899999999999999" customHeight="1" x14ac:dyDescent="0.2">
      <c r="A494" s="584" t="str">
        <f t="shared" si="138"/>
        <v>INDEC-CM - 37510-11</v>
      </c>
      <c r="B494" s="544" t="str">
        <f t="shared" si="139"/>
        <v>Hormigón elaborado</v>
      </c>
      <c r="C494" s="548" t="str">
        <f t="shared" ref="C494:C496" si="141">+C44</f>
        <v>Hormigon Elaborado</v>
      </c>
      <c r="D494" s="541">
        <v>3</v>
      </c>
      <c r="E494" s="538">
        <f t="shared" si="140"/>
        <v>0</v>
      </c>
      <c r="F494" s="541">
        <f>IF(C494="",0,IFERROR(VLOOKUP(COUNTIF($A$1:A494,"ANALISIS DE PRECIOS"),T_Rendimiento_Equipo,5,FALSE),0))</f>
        <v>0</v>
      </c>
      <c r="G494" s="538">
        <f t="shared" ref="G494:G499" si="142">IFERROR(ROUND(D494*E494/F494,2),0)</f>
        <v>0</v>
      </c>
    </row>
    <row r="495" spans="1:7" ht="19.899999999999999" customHeight="1" x14ac:dyDescent="0.2">
      <c r="A495" s="584" t="str">
        <f t="shared" si="138"/>
        <v>INDEC-DCTO - Inciso j)</v>
      </c>
      <c r="B495" s="544" t="str">
        <f t="shared" si="139"/>
        <v>Equipo - Amortización de equipo</v>
      </c>
      <c r="C495" s="548" t="str">
        <f t="shared" si="141"/>
        <v>Equipo - Amortizacion de equipo</v>
      </c>
      <c r="D495" s="541"/>
      <c r="E495" s="538">
        <f t="shared" si="140"/>
        <v>0</v>
      </c>
      <c r="F495" s="541">
        <f>IF(C495="",0,IFERROR(VLOOKUP(COUNTIF($A$1:A495,"ANALISIS DE PRECIOS"),T_Rendimiento_Equipo,5,FALSE),0))</f>
        <v>0</v>
      </c>
      <c r="G495" s="538">
        <f t="shared" si="142"/>
        <v>0</v>
      </c>
    </row>
    <row r="496" spans="1:7" ht="19.899999999999999" customHeight="1" x14ac:dyDescent="0.2">
      <c r="A496" s="584" t="str">
        <f t="shared" si="138"/>
        <v>INDEC-CM - 41242-11</v>
      </c>
      <c r="B496" s="544" t="str">
        <f t="shared" si="139"/>
        <v>Acero aletado conformado, en barra</v>
      </c>
      <c r="C496" s="548" t="str">
        <f t="shared" si="141"/>
        <v>Hierro</v>
      </c>
      <c r="D496" s="541">
        <v>8</v>
      </c>
      <c r="E496" s="538">
        <f t="shared" si="140"/>
        <v>0</v>
      </c>
      <c r="F496" s="541">
        <f>IF(C496="",0,IFERROR(VLOOKUP(COUNTIF($A$1:A496,"ANALISIS DE PRECIOS"),T_Rendimiento_Equipo,5,FALSE),0))</f>
        <v>0</v>
      </c>
      <c r="G496" s="538">
        <f>IFERROR(ROUND(D496*E496/F496,2),0)</f>
        <v>0</v>
      </c>
    </row>
    <row r="497" spans="1:7" ht="19.899999999999999" customHeight="1" x14ac:dyDescent="0.2">
      <c r="A497" s="584">
        <f t="shared" si="138"/>
        <v>0</v>
      </c>
      <c r="B497" s="544">
        <f t="shared" si="139"/>
        <v>0</v>
      </c>
      <c r="C497" s="535"/>
      <c r="D497" s="541"/>
      <c r="E497" s="538">
        <f t="shared" si="140"/>
        <v>0</v>
      </c>
      <c r="F497" s="541">
        <f>IF(C497="",0,IFERROR(VLOOKUP(COUNTIF($A$1:A497,"ANALISIS DE PRECIOS"),T_Rendimiento_Equipo,5,FALSE),0))</f>
        <v>0</v>
      </c>
      <c r="G497" s="538">
        <f t="shared" si="142"/>
        <v>0</v>
      </c>
    </row>
    <row r="498" spans="1:7" ht="19.899999999999999" customHeight="1" x14ac:dyDescent="0.2">
      <c r="A498" s="584">
        <f t="shared" si="138"/>
        <v>0</v>
      </c>
      <c r="B498" s="544">
        <f t="shared" si="139"/>
        <v>0</v>
      </c>
      <c r="C498" s="535"/>
      <c r="D498" s="549"/>
      <c r="E498" s="538">
        <f t="shared" si="140"/>
        <v>0</v>
      </c>
      <c r="F498" s="541">
        <f>IF(C498="",0,IFERROR(VLOOKUP(COUNTIF($A$1:A498,"ANALISIS DE PRECIOS"),T_Rendimiento_Equipo,5,FALSE),0))</f>
        <v>0</v>
      </c>
      <c r="G498" s="538">
        <f t="shared" si="142"/>
        <v>0</v>
      </c>
    </row>
    <row r="499" spans="1:7" ht="19.899999999999999" customHeight="1" x14ac:dyDescent="0.2">
      <c r="A499" s="584">
        <f t="shared" si="138"/>
        <v>0</v>
      </c>
      <c r="B499" s="544">
        <f t="shared" si="139"/>
        <v>0</v>
      </c>
      <c r="C499" s="544"/>
      <c r="D499" s="550"/>
      <c r="E499" s="538">
        <f t="shared" si="140"/>
        <v>0</v>
      </c>
      <c r="F499" s="541">
        <f>IF(C499="",0,IFERROR(VLOOKUP(COUNTIF($A$1:A499,"ANALISIS DE PRECIOS"),T_Rendimiento_Equipo,5,FALSE),0))</f>
        <v>0</v>
      </c>
      <c r="G499" s="538">
        <f t="shared" si="142"/>
        <v>0</v>
      </c>
    </row>
    <row r="500" spans="1:7" ht="19.899999999999999" customHeight="1" x14ac:dyDescent="0.2">
      <c r="A500" s="585"/>
      <c r="B500" s="524"/>
      <c r="C500" s="528"/>
      <c r="D500" s="524"/>
      <c r="E500" s="525"/>
      <c r="F500" s="547" t="s">
        <v>28</v>
      </c>
      <c r="G500" s="587">
        <f>SUBTOTAL(9,G493:G499)</f>
        <v>0</v>
      </c>
    </row>
    <row r="501" spans="1:7" ht="19.899999999999999" customHeight="1" x14ac:dyDescent="0.2">
      <c r="A501" s="582"/>
      <c r="B501" s="528"/>
      <c r="C501" s="520" t="s">
        <v>992</v>
      </c>
      <c r="D501" s="524"/>
      <c r="E501" s="525"/>
      <c r="F501" s="526"/>
      <c r="G501" s="583"/>
    </row>
    <row r="502" spans="1:7" ht="19.899999999999999" customHeight="1" x14ac:dyDescent="0.2">
      <c r="A502" s="793" t="s">
        <v>576</v>
      </c>
      <c r="B502" s="794"/>
      <c r="C502" s="795" t="s">
        <v>0</v>
      </c>
      <c r="D502" s="795" t="s">
        <v>1740</v>
      </c>
      <c r="E502" s="797" t="s">
        <v>24</v>
      </c>
      <c r="F502" s="799" t="s">
        <v>25</v>
      </c>
      <c r="G502" s="801" t="s">
        <v>26</v>
      </c>
    </row>
    <row r="503" spans="1:7" ht="19.899999999999999" customHeight="1" x14ac:dyDescent="0.2">
      <c r="A503" s="543" t="s">
        <v>577</v>
      </c>
      <c r="B503" s="543" t="s">
        <v>578</v>
      </c>
      <c r="C503" s="796"/>
      <c r="D503" s="796"/>
      <c r="E503" s="798"/>
      <c r="F503" s="800"/>
      <c r="G503" s="802"/>
    </row>
    <row r="504" spans="1:7" ht="19.899999999999999" customHeight="1" x14ac:dyDescent="0.2">
      <c r="A504" s="584">
        <f t="shared" ref="A504:A514" si="143">IFERROR(VLOOKUP(C504,T_Insumos,4,FALSE),0)</f>
        <v>0</v>
      </c>
      <c r="B504" s="544">
        <f t="shared" ref="B504:B514" si="144">IFERROR(VLOOKUP(C504,T_Insumos,5,FALSE),0)</f>
        <v>0</v>
      </c>
      <c r="C504" s="544">
        <f>+Insumos!A51</f>
        <v>0</v>
      </c>
      <c r="D504" s="596">
        <f t="shared" ref="D504:D514" si="145">IFERROR(VLOOKUP(C504,T_Insumos,2,FALSE),0)</f>
        <v>0</v>
      </c>
      <c r="E504" s="536"/>
      <c r="F504" s="538">
        <f t="shared" ref="F504:F514" si="146">IFERROR(VLOOKUP(C504,T_Insumos,3,FALSE),0)</f>
        <v>0</v>
      </c>
      <c r="G504" s="538">
        <f>ROUND(E504*F504,2)</f>
        <v>0</v>
      </c>
    </row>
    <row r="505" spans="1:7" ht="19.899999999999999" customHeight="1" x14ac:dyDescent="0.2">
      <c r="A505" s="584">
        <f t="shared" si="143"/>
        <v>0</v>
      </c>
      <c r="B505" s="544">
        <f t="shared" si="144"/>
        <v>0</v>
      </c>
      <c r="C505" s="544">
        <f>+Insumos!A93</f>
        <v>0</v>
      </c>
      <c r="D505" s="596">
        <f t="shared" si="145"/>
        <v>0</v>
      </c>
      <c r="E505" s="536"/>
      <c r="F505" s="538">
        <f t="shared" si="146"/>
        <v>0</v>
      </c>
      <c r="G505" s="538">
        <f>ROUND(E505*F505,2)</f>
        <v>0</v>
      </c>
    </row>
    <row r="506" spans="1:7" ht="19.899999999999999" customHeight="1" x14ac:dyDescent="0.2">
      <c r="A506" s="584">
        <f t="shared" si="143"/>
        <v>0</v>
      </c>
      <c r="B506" s="544">
        <f t="shared" si="144"/>
        <v>0</v>
      </c>
      <c r="C506" s="544"/>
      <c r="D506" s="596">
        <f t="shared" si="145"/>
        <v>0</v>
      </c>
      <c r="E506" s="536"/>
      <c r="F506" s="538">
        <f t="shared" si="146"/>
        <v>0</v>
      </c>
      <c r="G506" s="538">
        <f t="shared" ref="G506:G514" si="147">ROUND(E506*F506,2)</f>
        <v>0</v>
      </c>
    </row>
    <row r="507" spans="1:7" ht="19.899999999999999" customHeight="1" x14ac:dyDescent="0.2">
      <c r="A507" s="584">
        <f t="shared" si="143"/>
        <v>0</v>
      </c>
      <c r="B507" s="544">
        <f t="shared" si="144"/>
        <v>0</v>
      </c>
      <c r="C507" s="544"/>
      <c r="D507" s="596">
        <f t="shared" si="145"/>
        <v>0</v>
      </c>
      <c r="E507" s="536"/>
      <c r="F507" s="538">
        <f t="shared" si="146"/>
        <v>0</v>
      </c>
      <c r="G507" s="538">
        <f t="shared" si="147"/>
        <v>0</v>
      </c>
    </row>
    <row r="508" spans="1:7" ht="19.899999999999999" customHeight="1" x14ac:dyDescent="0.2">
      <c r="A508" s="584">
        <f t="shared" si="143"/>
        <v>0</v>
      </c>
      <c r="B508" s="544">
        <f t="shared" si="144"/>
        <v>0</v>
      </c>
      <c r="C508" s="544"/>
      <c r="D508" s="596">
        <f t="shared" si="145"/>
        <v>0</v>
      </c>
      <c r="E508" s="536"/>
      <c r="F508" s="538">
        <f t="shared" si="146"/>
        <v>0</v>
      </c>
      <c r="G508" s="538">
        <f t="shared" si="147"/>
        <v>0</v>
      </c>
    </row>
    <row r="509" spans="1:7" ht="19.899999999999999" customHeight="1" x14ac:dyDescent="0.2">
      <c r="A509" s="584">
        <f t="shared" si="143"/>
        <v>0</v>
      </c>
      <c r="B509" s="544">
        <f t="shared" si="144"/>
        <v>0</v>
      </c>
      <c r="C509" s="544"/>
      <c r="D509" s="596">
        <f t="shared" si="145"/>
        <v>0</v>
      </c>
      <c r="E509" s="536"/>
      <c r="F509" s="538">
        <f t="shared" si="146"/>
        <v>0</v>
      </c>
      <c r="G509" s="538">
        <f t="shared" si="147"/>
        <v>0</v>
      </c>
    </row>
    <row r="510" spans="1:7" ht="19.899999999999999" customHeight="1" x14ac:dyDescent="0.2">
      <c r="A510" s="584">
        <f t="shared" si="143"/>
        <v>0</v>
      </c>
      <c r="B510" s="544">
        <f t="shared" si="144"/>
        <v>0</v>
      </c>
      <c r="C510" s="544"/>
      <c r="D510" s="596">
        <f t="shared" si="145"/>
        <v>0</v>
      </c>
      <c r="E510" s="536"/>
      <c r="F510" s="538">
        <f t="shared" si="146"/>
        <v>0</v>
      </c>
      <c r="G510" s="538">
        <f t="shared" si="147"/>
        <v>0</v>
      </c>
    </row>
    <row r="511" spans="1:7" ht="19.899999999999999" customHeight="1" x14ac:dyDescent="0.2">
      <c r="A511" s="584">
        <f t="shared" si="143"/>
        <v>0</v>
      </c>
      <c r="B511" s="544">
        <f t="shared" si="144"/>
        <v>0</v>
      </c>
      <c r="C511" s="544"/>
      <c r="D511" s="596">
        <f t="shared" si="145"/>
        <v>0</v>
      </c>
      <c r="E511" s="536"/>
      <c r="F511" s="538">
        <f t="shared" si="146"/>
        <v>0</v>
      </c>
      <c r="G511" s="538">
        <f t="shared" si="147"/>
        <v>0</v>
      </c>
    </row>
    <row r="512" spans="1:7" ht="19.899999999999999" customHeight="1" x14ac:dyDescent="0.2">
      <c r="A512" s="584">
        <f t="shared" si="143"/>
        <v>0</v>
      </c>
      <c r="B512" s="544">
        <f t="shared" si="144"/>
        <v>0</v>
      </c>
      <c r="C512" s="544"/>
      <c r="D512" s="596">
        <f t="shared" si="145"/>
        <v>0</v>
      </c>
      <c r="E512" s="536"/>
      <c r="F512" s="538">
        <f t="shared" si="146"/>
        <v>0</v>
      </c>
      <c r="G512" s="538">
        <f t="shared" si="147"/>
        <v>0</v>
      </c>
    </row>
    <row r="513" spans="1:7" ht="19.899999999999999" customHeight="1" x14ac:dyDescent="0.2">
      <c r="A513" s="584">
        <f t="shared" si="143"/>
        <v>0</v>
      </c>
      <c r="B513" s="544">
        <f t="shared" si="144"/>
        <v>0</v>
      </c>
      <c r="C513" s="544"/>
      <c r="D513" s="596">
        <f t="shared" si="145"/>
        <v>0</v>
      </c>
      <c r="E513" s="536"/>
      <c r="F513" s="538">
        <f t="shared" si="146"/>
        <v>0</v>
      </c>
      <c r="G513" s="538">
        <f t="shared" si="147"/>
        <v>0</v>
      </c>
    </row>
    <row r="514" spans="1:7" ht="19.899999999999999" customHeight="1" x14ac:dyDescent="0.2">
      <c r="A514" s="584">
        <f t="shared" si="143"/>
        <v>0</v>
      </c>
      <c r="B514" s="544">
        <f t="shared" si="144"/>
        <v>0</v>
      </c>
      <c r="C514" s="544"/>
      <c r="D514" s="596">
        <f t="shared" si="145"/>
        <v>0</v>
      </c>
      <c r="E514" s="536"/>
      <c r="F514" s="538">
        <f t="shared" si="146"/>
        <v>0</v>
      </c>
      <c r="G514" s="538">
        <f t="shared" si="147"/>
        <v>0</v>
      </c>
    </row>
    <row r="515" spans="1:7" ht="19.899999999999999" customHeight="1" x14ac:dyDescent="0.2">
      <c r="A515" s="582"/>
      <c r="B515" s="528"/>
      <c r="C515" s="528"/>
      <c r="D515" s="524"/>
      <c r="E515" s="525"/>
      <c r="F515" s="547" t="s">
        <v>29</v>
      </c>
      <c r="G515" s="588">
        <f>SUBTOTAL(9,G504:G514)</f>
        <v>0</v>
      </c>
    </row>
    <row r="516" spans="1:7" ht="19.899999999999999" customHeight="1" x14ac:dyDescent="0.2">
      <c r="A516" s="582"/>
      <c r="B516" s="528"/>
      <c r="C516" s="520" t="s">
        <v>993</v>
      </c>
      <c r="D516" s="524"/>
      <c r="E516" s="525"/>
      <c r="F516" s="526"/>
      <c r="G516" s="583"/>
    </row>
    <row r="517" spans="1:7" ht="19.899999999999999" customHeight="1" x14ac:dyDescent="0.2">
      <c r="A517" s="793" t="s">
        <v>576</v>
      </c>
      <c r="B517" s="794"/>
      <c r="C517" s="795" t="s">
        <v>0</v>
      </c>
      <c r="D517" s="795" t="s">
        <v>1740</v>
      </c>
      <c r="E517" s="797" t="s">
        <v>24</v>
      </c>
      <c r="F517" s="799" t="s">
        <v>25</v>
      </c>
      <c r="G517" s="801" t="s">
        <v>26</v>
      </c>
    </row>
    <row r="518" spans="1:7" ht="19.899999999999999" customHeight="1" x14ac:dyDescent="0.2">
      <c r="A518" s="543" t="s">
        <v>577</v>
      </c>
      <c r="B518" s="543" t="s">
        <v>578</v>
      </c>
      <c r="C518" s="796"/>
      <c r="D518" s="796"/>
      <c r="E518" s="798"/>
      <c r="F518" s="800"/>
      <c r="G518" s="802"/>
    </row>
    <row r="519" spans="1:7" ht="19.899999999999999" customHeight="1" x14ac:dyDescent="0.2">
      <c r="A519" s="584">
        <f>IFERROR(VLOOKUP(C519,T_Insumos,4,FALSE),0)</f>
        <v>0</v>
      </c>
      <c r="B519" s="544">
        <f>IFERROR(VLOOKUP(C519,T_Insumos,5,FALSE),0)</f>
        <v>0</v>
      </c>
      <c r="C519" s="535"/>
      <c r="D519" s="596">
        <f>IF(C519=0,0,"$/tnkm")</f>
        <v>0</v>
      </c>
      <c r="E519" s="536"/>
      <c r="F519" s="538">
        <f>IFERROR(VLOOKUP(C519,T_Insumos,3,FALSE),0)</f>
        <v>0</v>
      </c>
      <c r="G519" s="538">
        <f>ROUND(E519*F519,2)</f>
        <v>0</v>
      </c>
    </row>
    <row r="520" spans="1:7" ht="19.899999999999999" customHeight="1" x14ac:dyDescent="0.2">
      <c r="A520" s="584">
        <f>IFERROR(VLOOKUP(C520,T_Insumos,4,FALSE),0)</f>
        <v>0</v>
      </c>
      <c r="B520" s="544">
        <f>IFERROR(VLOOKUP(C520,T_Insumos,5,FALSE),0)</f>
        <v>0</v>
      </c>
      <c r="C520" s="535"/>
      <c r="D520" s="596">
        <f>IF(C520=0,0,"$/tnkm")</f>
        <v>0</v>
      </c>
      <c r="E520" s="552"/>
      <c r="F520" s="538">
        <f>IFERROR(VLOOKUP(C520,T_Insumos,3,FALSE),0)</f>
        <v>0</v>
      </c>
      <c r="G520" s="538">
        <f t="shared" ref="G520" si="148">ROUND(E520*F520,2)</f>
        <v>0</v>
      </c>
    </row>
    <row r="521" spans="1:7" ht="19.899999999999999" customHeight="1" x14ac:dyDescent="0.2">
      <c r="A521" s="582"/>
      <c r="B521" s="528"/>
      <c r="C521" s="528"/>
      <c r="D521" s="524"/>
      <c r="E521" s="525"/>
      <c r="F521" s="547" t="s">
        <v>994</v>
      </c>
      <c r="G521" s="588">
        <f>SUBTOTAL(9,G519:G520)</f>
        <v>0</v>
      </c>
    </row>
    <row r="522" spans="1:7" ht="19.899999999999999" customHeight="1" x14ac:dyDescent="0.2">
      <c r="A522" s="585"/>
      <c r="B522" s="524"/>
      <c r="C522" s="528"/>
      <c r="D522" s="524"/>
      <c r="E522" s="525"/>
      <c r="F522" s="526"/>
      <c r="G522" s="583"/>
    </row>
    <row r="523" spans="1:7" ht="19.899999999999999" customHeight="1" x14ac:dyDescent="0.2">
      <c r="A523" s="647" t="str">
        <f>B457</f>
        <v>2.6</v>
      </c>
      <c r="B523" s="644" t="str">
        <f ca="1">C457</f>
        <v>Juntas de contraccion y dilatacion</v>
      </c>
      <c r="C523" s="524"/>
      <c r="D523" s="524" t="s">
        <v>1719</v>
      </c>
      <c r="E523" s="645"/>
      <c r="F523" s="646" t="str">
        <f ca="1">"$/"&amp;G457</f>
        <v>$/m</v>
      </c>
      <c r="G523" s="593">
        <f>SUBTOTAL(9,G480:G522)</f>
        <v>0</v>
      </c>
    </row>
    <row r="524" spans="1:7" ht="19.899999999999999" customHeight="1" x14ac:dyDescent="0.2">
      <c r="A524" s="589"/>
      <c r="B524" s="590"/>
      <c r="C524" s="591"/>
      <c r="D524" s="591" t="s">
        <v>1915</v>
      </c>
      <c r="E524" s="592"/>
      <c r="F524" s="648" t="str">
        <f ca="1">"$/"&amp;G457</f>
        <v>$/m</v>
      </c>
      <c r="G524" s="593">
        <f>ROUND(G523*Coeficiente_Paso,2)</f>
        <v>0</v>
      </c>
    </row>
    <row r="525" spans="1:7" ht="19.899999999999999" customHeight="1" x14ac:dyDescent="0.2">
      <c r="A525" s="185"/>
      <c r="B525" s="185"/>
      <c r="C525" s="185"/>
      <c r="D525" s="185"/>
      <c r="E525" s="185"/>
      <c r="F525" s="185"/>
      <c r="G525" s="185"/>
    </row>
    <row r="526" spans="1:7" ht="19.899999999999999" customHeight="1" x14ac:dyDescent="0.2">
      <c r="A526" s="803" t="s">
        <v>31</v>
      </c>
      <c r="B526" s="804"/>
      <c r="C526" s="804"/>
      <c r="D526" s="804"/>
      <c r="E526" s="804"/>
      <c r="F526" s="804"/>
      <c r="G526" s="805"/>
    </row>
    <row r="527" spans="1:7" ht="19.899999999999999" customHeight="1" x14ac:dyDescent="0.2">
      <c r="A527" s="570" t="s">
        <v>711</v>
      </c>
      <c r="B527" s="518" t="str">
        <f>Comitente</f>
        <v>DEPARTAMENTO DE HIDRAULICA</v>
      </c>
      <c r="C527" s="519"/>
      <c r="D527" s="520"/>
      <c r="E527" s="520"/>
      <c r="F527" s="521"/>
      <c r="G527" s="571"/>
    </row>
    <row r="528" spans="1:7" ht="19.899999999999999" customHeight="1" x14ac:dyDescent="0.2">
      <c r="A528" s="570" t="s">
        <v>712</v>
      </c>
      <c r="B528" s="518">
        <f>Contratista</f>
        <v>0</v>
      </c>
      <c r="C528" s="522"/>
      <c r="D528" s="522"/>
      <c r="E528" s="522"/>
      <c r="F528" s="518"/>
      <c r="G528" s="572"/>
    </row>
    <row r="529" spans="1:7" ht="19.899999999999999" customHeight="1" x14ac:dyDescent="0.2">
      <c r="A529" s="570" t="s">
        <v>21</v>
      </c>
      <c r="B529" s="518" t="str">
        <f>Obra</f>
        <v>ENCAMISADO CANAL GENERAL COCHAGUAL</v>
      </c>
      <c r="C529" s="522"/>
      <c r="D529" s="522"/>
      <c r="E529" s="522"/>
      <c r="F529" s="518" t="s">
        <v>32</v>
      </c>
      <c r="G529" s="572">
        <f>Fecha_Base</f>
        <v>44319</v>
      </c>
    </row>
    <row r="530" spans="1:7" ht="19.899999999999999" customHeight="1" x14ac:dyDescent="0.2">
      <c r="A530" s="573" t="s">
        <v>710</v>
      </c>
      <c r="B530" s="523" t="str">
        <f>Ubicación</f>
        <v>DEPARTAMENTO SARMIENTO</v>
      </c>
      <c r="C530" s="523"/>
      <c r="D530" s="524"/>
      <c r="E530" s="525"/>
      <c r="F530" s="526"/>
      <c r="G530" s="574"/>
    </row>
    <row r="531" spans="1:7" ht="19.899999999999999" customHeight="1" x14ac:dyDescent="0.2">
      <c r="A531" s="573" t="s">
        <v>33</v>
      </c>
      <c r="B531" s="527">
        <f>IFERROR(VALUE(LEFT(B532,FIND(".",B532)-1)),"")</f>
        <v>3</v>
      </c>
      <c r="C531" s="528" t="str">
        <f ca="1">IFERROR(VLOOKUP(B531,T_Computo_Presupuesto,2,FALSE),0)</f>
        <v>CANAL GENERAL COCHAGUAL Progresiva 9860-10860</v>
      </c>
      <c r="D531" s="528"/>
      <c r="E531" s="525"/>
      <c r="F531" s="526"/>
      <c r="G531" s="574"/>
    </row>
    <row r="532" spans="1:7" ht="19.899999999999999" customHeight="1" x14ac:dyDescent="0.2">
      <c r="A532" s="573" t="s">
        <v>22</v>
      </c>
      <c r="B532" s="529" t="str">
        <f>IFERROR(VLOOKUP(COUNTIF($A$1:A532,"ANALISIS DE PRECIOS"),T_NumeroItem,2,FALSE),"")</f>
        <v>3.1</v>
      </c>
      <c r="C532" s="806" t="str">
        <f ca="1">IFERROR(VLOOKUP(B532,T_Computo_Presupuesto,2,FALSE),0)</f>
        <v>Limpieza y Replanteo</v>
      </c>
      <c r="D532" s="806"/>
      <c r="E532" s="806"/>
      <c r="F532" s="523" t="s">
        <v>23</v>
      </c>
      <c r="G532" s="575" t="str">
        <f ca="1">IFERROR(VLOOKUP(B532,T_Computo_Presupuesto,4,FALSE),0)</f>
        <v>gl.</v>
      </c>
    </row>
    <row r="533" spans="1:7" ht="19.899999999999999" customHeight="1" x14ac:dyDescent="0.2">
      <c r="A533" s="573"/>
      <c r="B533" s="523"/>
      <c r="C533" s="528"/>
      <c r="D533" s="524"/>
      <c r="E533" s="525"/>
      <c r="F533" s="528"/>
      <c r="G533" s="576"/>
    </row>
    <row r="534" spans="1:7" ht="19.899999999999999" customHeight="1" x14ac:dyDescent="0.2">
      <c r="A534" s="577"/>
      <c r="B534" s="530"/>
      <c r="C534" s="531" t="s">
        <v>977</v>
      </c>
      <c r="D534" s="530"/>
      <c r="E534" s="530"/>
      <c r="F534" s="530"/>
      <c r="G534" s="578"/>
    </row>
    <row r="535" spans="1:7" ht="19.899999999999999" customHeight="1" x14ac:dyDescent="0.2">
      <c r="A535" s="573"/>
      <c r="B535" s="532"/>
      <c r="C535" s="528"/>
      <c r="D535" s="524"/>
      <c r="E535" s="525"/>
      <c r="F535" s="523"/>
      <c r="G535" s="575"/>
    </row>
    <row r="536" spans="1:7" ht="19.899999999999999" customHeight="1" x14ac:dyDescent="0.2">
      <c r="A536" s="573"/>
      <c r="B536" s="532"/>
      <c r="C536" s="533" t="s">
        <v>978</v>
      </c>
      <c r="D536" s="534" t="s">
        <v>24</v>
      </c>
      <c r="E536" s="534" t="s">
        <v>979</v>
      </c>
      <c r="F536" s="534" t="s">
        <v>980</v>
      </c>
      <c r="G536" s="533" t="s">
        <v>981</v>
      </c>
    </row>
    <row r="537" spans="1:7" ht="19.899999999999999" customHeight="1" x14ac:dyDescent="0.2">
      <c r="A537" s="573"/>
      <c r="B537" s="532"/>
      <c r="C537" s="535">
        <f>+Equipos!A14</f>
        <v>0</v>
      </c>
      <c r="D537" s="536"/>
      <c r="E537" s="537">
        <f t="shared" ref="E537:E546" si="149">IFERROR(VLOOKUP(C537,T_Equipos,4,FALSE),0)</f>
        <v>0</v>
      </c>
      <c r="F537" s="538">
        <f t="shared" ref="F537:F546" si="150">IFERROR(VLOOKUP(C537,T_Equipos,5,FALSE),0)</f>
        <v>0</v>
      </c>
      <c r="G537" s="538">
        <f>ROUND(D537*F537,2)</f>
        <v>0</v>
      </c>
    </row>
    <row r="538" spans="1:7" ht="19.899999999999999" customHeight="1" x14ac:dyDescent="0.2">
      <c r="A538" s="573"/>
      <c r="B538" s="532"/>
      <c r="C538" s="535">
        <f>+Equipos!A25</f>
        <v>0</v>
      </c>
      <c r="D538" s="536"/>
      <c r="E538" s="537">
        <f t="shared" si="149"/>
        <v>0</v>
      </c>
      <c r="F538" s="538">
        <f t="shared" si="150"/>
        <v>0</v>
      </c>
      <c r="G538" s="538">
        <f>ROUND(D538*F538,2)</f>
        <v>0</v>
      </c>
    </row>
    <row r="539" spans="1:7" ht="19.899999999999999" customHeight="1" x14ac:dyDescent="0.2">
      <c r="A539" s="573"/>
      <c r="B539" s="532"/>
      <c r="C539" s="535"/>
      <c r="D539" s="536"/>
      <c r="E539" s="537">
        <f t="shared" si="149"/>
        <v>0</v>
      </c>
      <c r="F539" s="538">
        <f t="shared" si="150"/>
        <v>0</v>
      </c>
      <c r="G539" s="538">
        <f>ROUND(D539*F539,2)</f>
        <v>0</v>
      </c>
    </row>
    <row r="540" spans="1:7" ht="19.899999999999999" customHeight="1" x14ac:dyDescent="0.2">
      <c r="A540" s="573"/>
      <c r="B540" s="532"/>
      <c r="C540" s="535"/>
      <c r="D540" s="536"/>
      <c r="E540" s="537">
        <f t="shared" si="149"/>
        <v>0</v>
      </c>
      <c r="F540" s="538">
        <f t="shared" si="150"/>
        <v>0</v>
      </c>
      <c r="G540" s="538">
        <f>ROUND(D540*F540,2)</f>
        <v>0</v>
      </c>
    </row>
    <row r="541" spans="1:7" ht="19.899999999999999" customHeight="1" x14ac:dyDescent="0.2">
      <c r="A541" s="573"/>
      <c r="B541" s="532"/>
      <c r="C541" s="535"/>
      <c r="D541" s="536"/>
      <c r="E541" s="537">
        <f t="shared" si="149"/>
        <v>0</v>
      </c>
      <c r="F541" s="538">
        <f t="shared" si="150"/>
        <v>0</v>
      </c>
      <c r="G541" s="538">
        <f t="shared" ref="G541:G546" si="151">ROUND(D541*F541,2)</f>
        <v>0</v>
      </c>
    </row>
    <row r="542" spans="1:7" ht="19.899999999999999" customHeight="1" x14ac:dyDescent="0.2">
      <c r="A542" s="573"/>
      <c r="B542" s="532"/>
      <c r="C542" s="535"/>
      <c r="D542" s="536"/>
      <c r="E542" s="537">
        <f t="shared" si="149"/>
        <v>0</v>
      </c>
      <c r="F542" s="538">
        <f t="shared" si="150"/>
        <v>0</v>
      </c>
      <c r="G542" s="538">
        <f t="shared" si="151"/>
        <v>0</v>
      </c>
    </row>
    <row r="543" spans="1:7" ht="19.899999999999999" customHeight="1" x14ac:dyDescent="0.2">
      <c r="A543" s="573"/>
      <c r="B543" s="532"/>
      <c r="C543" s="535"/>
      <c r="D543" s="536"/>
      <c r="E543" s="537">
        <f t="shared" si="149"/>
        <v>0</v>
      </c>
      <c r="F543" s="538">
        <f t="shared" si="150"/>
        <v>0</v>
      </c>
      <c r="G543" s="538">
        <f t="shared" si="151"/>
        <v>0</v>
      </c>
    </row>
    <row r="544" spans="1:7" ht="19.899999999999999" customHeight="1" x14ac:dyDescent="0.2">
      <c r="A544" s="573"/>
      <c r="B544" s="532"/>
      <c r="C544" s="535"/>
      <c r="D544" s="536"/>
      <c r="E544" s="537">
        <f t="shared" si="149"/>
        <v>0</v>
      </c>
      <c r="F544" s="538">
        <f t="shared" si="150"/>
        <v>0</v>
      </c>
      <c r="G544" s="538">
        <f t="shared" si="151"/>
        <v>0</v>
      </c>
    </row>
    <row r="545" spans="1:7" ht="19.899999999999999" customHeight="1" x14ac:dyDescent="0.2">
      <c r="A545" s="573"/>
      <c r="B545" s="532"/>
      <c r="C545" s="535"/>
      <c r="D545" s="536"/>
      <c r="E545" s="537">
        <f t="shared" si="149"/>
        <v>0</v>
      </c>
      <c r="F545" s="538">
        <f t="shared" si="150"/>
        <v>0</v>
      </c>
      <c r="G545" s="538">
        <f t="shared" si="151"/>
        <v>0</v>
      </c>
    </row>
    <row r="546" spans="1:7" ht="19.899999999999999" customHeight="1" x14ac:dyDescent="0.2">
      <c r="A546" s="573"/>
      <c r="B546" s="532"/>
      <c r="C546" s="535"/>
      <c r="D546" s="536"/>
      <c r="E546" s="537">
        <f t="shared" si="149"/>
        <v>0</v>
      </c>
      <c r="F546" s="538">
        <f t="shared" si="150"/>
        <v>0</v>
      </c>
      <c r="G546" s="538">
        <f t="shared" si="151"/>
        <v>0</v>
      </c>
    </row>
    <row r="547" spans="1:7" ht="19.899999999999999" customHeight="1" x14ac:dyDescent="0.2">
      <c r="A547" s="573"/>
      <c r="B547" s="532"/>
      <c r="C547" s="528"/>
      <c r="D547" s="528"/>
      <c r="E547" s="539"/>
      <c r="F547" s="523"/>
      <c r="G547" s="575"/>
    </row>
    <row r="548" spans="1:7" ht="19.899999999999999" customHeight="1" x14ac:dyDescent="0.2">
      <c r="A548" s="573"/>
      <c r="B548" s="528"/>
      <c r="C548" s="520" t="s">
        <v>982</v>
      </c>
      <c r="D548" s="523" t="s">
        <v>979</v>
      </c>
      <c r="E548" s="594">
        <f>SUMPRODUCT(D537:D546,E537:E546)</f>
        <v>0</v>
      </c>
      <c r="F548" s="523" t="s">
        <v>983</v>
      </c>
      <c r="G548" s="595">
        <f>SUM(G537:G546)</f>
        <v>0</v>
      </c>
    </row>
    <row r="549" spans="1:7" ht="19.899999999999999" customHeight="1" x14ac:dyDescent="0.2">
      <c r="A549" s="573"/>
      <c r="B549" s="532"/>
      <c r="C549" s="540"/>
      <c r="D549" s="539"/>
      <c r="E549" s="525"/>
      <c r="F549" s="523"/>
      <c r="G549" s="579"/>
    </row>
    <row r="550" spans="1:7" ht="19.899999999999999" customHeight="1" x14ac:dyDescent="0.2">
      <c r="A550" s="580"/>
      <c r="B550" s="532"/>
      <c r="C550" s="523" t="s">
        <v>984</v>
      </c>
      <c r="D550" s="541">
        <f>IFERROR(VLOOKUP(COUNTIF($A$1:A550,"ANALISIS DE PRECIOS"),T_Rendimiento_Equipo,5,FALSE),0)</f>
        <v>0</v>
      </c>
      <c r="E550" s="542" t="str">
        <f ca="1">G532&amp;"/día"</f>
        <v>gl./día</v>
      </c>
      <c r="F550" s="581"/>
      <c r="G550" s="575"/>
    </row>
    <row r="551" spans="1:7" ht="19.899999999999999" customHeight="1" x14ac:dyDescent="0.2">
      <c r="A551" s="573"/>
      <c r="B551" s="532"/>
      <c r="C551" s="528"/>
      <c r="D551" s="524"/>
      <c r="E551" s="525"/>
      <c r="F551" s="523"/>
      <c r="G551" s="575"/>
    </row>
    <row r="552" spans="1:7" ht="19.899999999999999" customHeight="1" x14ac:dyDescent="0.2">
      <c r="A552" s="793" t="s">
        <v>576</v>
      </c>
      <c r="B552" s="794"/>
      <c r="C552" s="795" t="s">
        <v>0</v>
      </c>
      <c r="D552" s="807" t="s">
        <v>1739</v>
      </c>
      <c r="E552" s="807" t="s">
        <v>1738</v>
      </c>
      <c r="F552" s="799" t="s">
        <v>985</v>
      </c>
      <c r="G552" s="801" t="s">
        <v>26</v>
      </c>
    </row>
    <row r="553" spans="1:7" ht="19.899999999999999" customHeight="1" x14ac:dyDescent="0.2">
      <c r="A553" s="543" t="s">
        <v>577</v>
      </c>
      <c r="B553" s="543" t="s">
        <v>578</v>
      </c>
      <c r="C553" s="796"/>
      <c r="D553" s="808"/>
      <c r="E553" s="798"/>
      <c r="F553" s="800"/>
      <c r="G553" s="802"/>
    </row>
    <row r="554" spans="1:7" ht="19.899999999999999" customHeight="1" x14ac:dyDescent="0.2">
      <c r="A554" s="582"/>
      <c r="B554" s="528"/>
      <c r="C554" s="520" t="s">
        <v>986</v>
      </c>
      <c r="D554" s="525"/>
      <c r="E554" s="525"/>
      <c r="F554" s="528"/>
      <c r="G554" s="583"/>
    </row>
    <row r="555" spans="1:7" ht="19.899999999999999" customHeight="1" x14ac:dyDescent="0.2">
      <c r="A555" s="584">
        <f t="shared" ref="A555:A563" si="152">IFERROR(VLOOKUP(C555,T_Insumos,4,FALSE),0)</f>
        <v>0</v>
      </c>
      <c r="B555" s="544">
        <f t="shared" ref="B555:B563" si="153">IFERROR(VLOOKUP(C555,T_Insumos,5,FALSE),0)</f>
        <v>0</v>
      </c>
      <c r="C555" s="535">
        <f>+C30</f>
        <v>0</v>
      </c>
      <c r="D555" s="545">
        <f t="shared" ref="D555:D563" si="154">IFERROR(VLOOKUP(C555,T_Insumos,3,FALSE),0)</f>
        <v>0</v>
      </c>
      <c r="E555" s="538">
        <f>D555*$G$548</f>
        <v>0</v>
      </c>
      <c r="F555" s="541">
        <f>IF(C555="",0,IFERROR(VLOOKUP(COUNTIF($A$1:A555,"ANALISIS DE PRECIOS"),T_Rendimiento_Equipo,5,FALSE),0))</f>
        <v>0</v>
      </c>
      <c r="G555" s="538">
        <f>IFERROR(ROUND(E555/F555,2),0)</f>
        <v>0</v>
      </c>
    </row>
    <row r="556" spans="1:7" ht="19.899999999999999" customHeight="1" x14ac:dyDescent="0.2">
      <c r="A556" s="584">
        <f t="shared" si="152"/>
        <v>0</v>
      </c>
      <c r="B556" s="544">
        <f t="shared" si="153"/>
        <v>0</v>
      </c>
      <c r="C556" s="535">
        <f t="shared" ref="C556:C558" si="155">+C31</f>
        <v>0</v>
      </c>
      <c r="D556" s="545">
        <f t="shared" si="154"/>
        <v>0</v>
      </c>
      <c r="E556" s="538">
        <f t="shared" ref="E556:E557" si="156">D556*$G$548</f>
        <v>0</v>
      </c>
      <c r="F556" s="541">
        <f>IF(C556="",0,IFERROR(VLOOKUP(COUNTIF($A$1:A556,"ANALISIS DE PRECIOS"),T_Rendimiento_Equipo,5,FALSE),0))</f>
        <v>0</v>
      </c>
      <c r="G556" s="538">
        <f t="shared" ref="G556:G563" si="157">IFERROR(ROUND(E556/F556,2),0)</f>
        <v>0</v>
      </c>
    </row>
    <row r="557" spans="1:7" ht="19.899999999999999" customHeight="1" x14ac:dyDescent="0.2">
      <c r="A557" s="584">
        <f t="shared" si="152"/>
        <v>0</v>
      </c>
      <c r="B557" s="544">
        <f t="shared" si="153"/>
        <v>0</v>
      </c>
      <c r="C557" s="535">
        <f t="shared" si="155"/>
        <v>0</v>
      </c>
      <c r="D557" s="545">
        <f t="shared" si="154"/>
        <v>0</v>
      </c>
      <c r="E557" s="538">
        <f t="shared" si="156"/>
        <v>0</v>
      </c>
      <c r="F557" s="541">
        <f>IF(C557="",0,IFERROR(VLOOKUP(COUNTIF($A$1:A557,"ANALISIS DE PRECIOS"),T_Rendimiento_Equipo,5,FALSE),0))</f>
        <v>0</v>
      </c>
      <c r="G557" s="538">
        <f t="shared" si="157"/>
        <v>0</v>
      </c>
    </row>
    <row r="558" spans="1:7" ht="19.899999999999999" customHeight="1" x14ac:dyDescent="0.2">
      <c r="A558" s="584">
        <f t="shared" si="152"/>
        <v>0</v>
      </c>
      <c r="B558" s="544">
        <f t="shared" si="153"/>
        <v>0</v>
      </c>
      <c r="C558" s="535">
        <f t="shared" si="155"/>
        <v>0</v>
      </c>
      <c r="D558" s="545">
        <f t="shared" si="154"/>
        <v>0</v>
      </c>
      <c r="E558" s="538">
        <f>D558*$E$548</f>
        <v>0</v>
      </c>
      <c r="F558" s="541">
        <f>IF(C558="",0,IFERROR(VLOOKUP(COUNTIF($A$1:A558,"ANALISIS DE PRECIOS"),T_Rendimiento_Equipo,5,FALSE),0))</f>
        <v>0</v>
      </c>
      <c r="G558" s="538">
        <f t="shared" si="157"/>
        <v>0</v>
      </c>
    </row>
    <row r="559" spans="1:7" ht="19.899999999999999" customHeight="1" x14ac:dyDescent="0.2">
      <c r="A559" s="584">
        <f t="shared" si="152"/>
        <v>0</v>
      </c>
      <c r="B559" s="544">
        <f t="shared" si="153"/>
        <v>0</v>
      </c>
      <c r="C559" s="546"/>
      <c r="D559" s="545">
        <f t="shared" si="154"/>
        <v>0</v>
      </c>
      <c r="E559" s="538"/>
      <c r="F559" s="541">
        <f>IF(C559="",0,IFERROR(VLOOKUP(COUNTIF($A$1:A559,"ANALISIS DE PRECIOS"),T_Rendimiento_Equipo,5,FALSE),0))</f>
        <v>0</v>
      </c>
      <c r="G559" s="538">
        <f t="shared" si="157"/>
        <v>0</v>
      </c>
    </row>
    <row r="560" spans="1:7" ht="19.899999999999999" customHeight="1" x14ac:dyDescent="0.2">
      <c r="A560" s="584">
        <f t="shared" si="152"/>
        <v>0</v>
      </c>
      <c r="B560" s="544">
        <f t="shared" si="153"/>
        <v>0</v>
      </c>
      <c r="C560" s="546"/>
      <c r="D560" s="545">
        <f t="shared" si="154"/>
        <v>0</v>
      </c>
      <c r="E560" s="538"/>
      <c r="F560" s="541">
        <f>IF(C560="",0,IFERROR(VLOOKUP(COUNTIF($A$1:A560,"ANALISIS DE PRECIOS"),T_Rendimiento_Equipo,5,FALSE),0))</f>
        <v>0</v>
      </c>
      <c r="G560" s="538">
        <f t="shared" si="157"/>
        <v>0</v>
      </c>
    </row>
    <row r="561" spans="1:7" ht="19.899999999999999" customHeight="1" x14ac:dyDescent="0.2">
      <c r="A561" s="584">
        <f t="shared" si="152"/>
        <v>0</v>
      </c>
      <c r="B561" s="544">
        <f t="shared" si="153"/>
        <v>0</v>
      </c>
      <c r="C561" s="546"/>
      <c r="D561" s="545">
        <f t="shared" si="154"/>
        <v>0</v>
      </c>
      <c r="E561" s="538"/>
      <c r="F561" s="541">
        <f>IF(C561="",0,IFERROR(VLOOKUP(COUNTIF($A$1:A561,"ANALISIS DE PRECIOS"),T_Rendimiento_Equipo,5,FALSE),0))</f>
        <v>0</v>
      </c>
      <c r="G561" s="538">
        <f t="shared" si="157"/>
        <v>0</v>
      </c>
    </row>
    <row r="562" spans="1:7" ht="19.899999999999999" customHeight="1" x14ac:dyDescent="0.2">
      <c r="A562" s="584">
        <f t="shared" si="152"/>
        <v>0</v>
      </c>
      <c r="B562" s="544">
        <f t="shared" si="153"/>
        <v>0</v>
      </c>
      <c r="C562" s="546"/>
      <c r="D562" s="545">
        <f t="shared" si="154"/>
        <v>0</v>
      </c>
      <c r="E562" s="538"/>
      <c r="F562" s="541">
        <f>IF(C562="",0,IFERROR(VLOOKUP(COUNTIF($A$1:A562,"ANALISIS DE PRECIOS"),T_Rendimiento_Equipo,5,FALSE),0))</f>
        <v>0</v>
      </c>
      <c r="G562" s="538">
        <f t="shared" si="157"/>
        <v>0</v>
      </c>
    </row>
    <row r="563" spans="1:7" ht="19.899999999999999" customHeight="1" x14ac:dyDescent="0.2">
      <c r="A563" s="584">
        <f t="shared" si="152"/>
        <v>0</v>
      </c>
      <c r="B563" s="544">
        <f t="shared" si="153"/>
        <v>0</v>
      </c>
      <c r="C563" s="535"/>
      <c r="D563" s="545">
        <f t="shared" si="154"/>
        <v>0</v>
      </c>
      <c r="E563" s="538"/>
      <c r="F563" s="541">
        <f>IF(C563="",0,IFERROR(VLOOKUP(COUNTIF($A$1:A563,"ANALISIS DE PRECIOS"),T_Rendimiento_Equipo,5,FALSE),0))</f>
        <v>0</v>
      </c>
      <c r="G563" s="538">
        <f t="shared" si="157"/>
        <v>0</v>
      </c>
    </row>
    <row r="564" spans="1:7" ht="19.899999999999999" customHeight="1" x14ac:dyDescent="0.2">
      <c r="A564" s="585"/>
      <c r="B564" s="524"/>
      <c r="C564" s="528"/>
      <c r="D564" s="524"/>
      <c r="E564" s="525"/>
      <c r="F564" s="547" t="s">
        <v>27</v>
      </c>
      <c r="G564" s="586">
        <f>SUBTOTAL(9,G555:G563)</f>
        <v>0</v>
      </c>
    </row>
    <row r="565" spans="1:7" ht="19.899999999999999" customHeight="1" x14ac:dyDescent="0.2">
      <c r="A565" s="582"/>
      <c r="B565" s="528"/>
      <c r="C565" s="520" t="s">
        <v>713</v>
      </c>
      <c r="D565" s="524"/>
      <c r="E565" s="525"/>
      <c r="F565" s="526"/>
      <c r="G565" s="583"/>
    </row>
    <row r="566" spans="1:7" ht="19.899999999999999" customHeight="1" x14ac:dyDescent="0.2">
      <c r="A566" s="793" t="s">
        <v>576</v>
      </c>
      <c r="B566" s="794"/>
      <c r="C566" s="795" t="s">
        <v>0</v>
      </c>
      <c r="D566" s="797" t="s">
        <v>24</v>
      </c>
      <c r="E566" s="797" t="s">
        <v>1718</v>
      </c>
      <c r="F566" s="799" t="s">
        <v>985</v>
      </c>
      <c r="G566" s="801" t="s">
        <v>26</v>
      </c>
    </row>
    <row r="567" spans="1:7" ht="19.899999999999999" customHeight="1" x14ac:dyDescent="0.2">
      <c r="A567" s="543" t="s">
        <v>577</v>
      </c>
      <c r="B567" s="543" t="s">
        <v>578</v>
      </c>
      <c r="C567" s="796"/>
      <c r="D567" s="798"/>
      <c r="E567" s="798"/>
      <c r="F567" s="800"/>
      <c r="G567" s="802"/>
    </row>
    <row r="568" spans="1:7" ht="19.899999999999999" customHeight="1" x14ac:dyDescent="0.2">
      <c r="A568" s="584" t="str">
        <f t="shared" ref="A568:A574" si="158">IFERROR(VLOOKUP(C568,T_Insumos,4,FALSE),0)</f>
        <v>IIEE-SJ - 1</v>
      </c>
      <c r="B568" s="544" t="str">
        <f t="shared" ref="B568:B574" si="159">IFERROR(VLOOKUP(C568,T_Insumos,5,FALSE),0)</f>
        <v>Mano de Obra</v>
      </c>
      <c r="C568" s="548" t="str">
        <f>+C43</f>
        <v>Mano de obra</v>
      </c>
      <c r="D568" s="541"/>
      <c r="E568" s="538">
        <f t="shared" ref="E568:E574" si="160">IFERROR(VLOOKUP(C568,T_Insumos,3,FALSE),0)</f>
        <v>0</v>
      </c>
      <c r="F568" s="541">
        <f>IF(C568="",0,IFERROR(VLOOKUP(COUNTIF($A$1:A568,"ANALISIS DE PRECIOS"),T_Rendimiento_Equipo,5,FALSE),0))</f>
        <v>0</v>
      </c>
      <c r="G568" s="538">
        <f>IFERROR(ROUND(D568*E568/F568,2),0)</f>
        <v>0</v>
      </c>
    </row>
    <row r="569" spans="1:7" ht="19.899999999999999" customHeight="1" x14ac:dyDescent="0.2">
      <c r="A569" s="584" t="str">
        <f t="shared" si="158"/>
        <v>INDEC-CM - 37510-11</v>
      </c>
      <c r="B569" s="544" t="str">
        <f t="shared" si="159"/>
        <v>Hormigón elaborado</v>
      </c>
      <c r="C569" s="548" t="str">
        <f t="shared" ref="C569:C571" si="161">+C44</f>
        <v>Hormigon Elaborado</v>
      </c>
      <c r="D569" s="541"/>
      <c r="E569" s="538">
        <f t="shared" si="160"/>
        <v>0</v>
      </c>
      <c r="F569" s="541">
        <f>IF(C569="",0,IFERROR(VLOOKUP(COUNTIF($A$1:A569,"ANALISIS DE PRECIOS"),T_Rendimiento_Equipo,5,FALSE),0))</f>
        <v>0</v>
      </c>
      <c r="G569" s="538">
        <f t="shared" ref="G569:G574" si="162">IFERROR(ROUND(D569*E569/F569,2),0)</f>
        <v>0</v>
      </c>
    </row>
    <row r="570" spans="1:7" ht="19.899999999999999" customHeight="1" x14ac:dyDescent="0.2">
      <c r="A570" s="584" t="str">
        <f t="shared" si="158"/>
        <v>INDEC-DCTO - Inciso j)</v>
      </c>
      <c r="B570" s="544" t="str">
        <f t="shared" si="159"/>
        <v>Equipo - Amortización de equipo</v>
      </c>
      <c r="C570" s="548" t="str">
        <f t="shared" si="161"/>
        <v>Equipo - Amortizacion de equipo</v>
      </c>
      <c r="D570" s="541"/>
      <c r="E570" s="538">
        <f t="shared" si="160"/>
        <v>0</v>
      </c>
      <c r="F570" s="541">
        <f>IF(C570="",0,IFERROR(VLOOKUP(COUNTIF($A$1:A570,"ANALISIS DE PRECIOS"),T_Rendimiento_Equipo,5,FALSE),0))</f>
        <v>0</v>
      </c>
      <c r="G570" s="538">
        <f t="shared" si="162"/>
        <v>0</v>
      </c>
    </row>
    <row r="571" spans="1:7" ht="19.899999999999999" customHeight="1" x14ac:dyDescent="0.2">
      <c r="A571" s="584" t="str">
        <f t="shared" si="158"/>
        <v>INDEC-CM - 41242-11</v>
      </c>
      <c r="B571" s="544" t="str">
        <f t="shared" si="159"/>
        <v>Acero aletado conformado, en barra</v>
      </c>
      <c r="C571" s="548" t="str">
        <f t="shared" si="161"/>
        <v>Hierro</v>
      </c>
      <c r="D571" s="541"/>
      <c r="E571" s="538">
        <f t="shared" si="160"/>
        <v>0</v>
      </c>
      <c r="F571" s="541">
        <f>IF(C571="",0,IFERROR(VLOOKUP(COUNTIF($A$1:A571,"ANALISIS DE PRECIOS"),T_Rendimiento_Equipo,5,FALSE),0))</f>
        <v>0</v>
      </c>
      <c r="G571" s="538">
        <f t="shared" si="162"/>
        <v>0</v>
      </c>
    </row>
    <row r="572" spans="1:7" ht="19.899999999999999" customHeight="1" x14ac:dyDescent="0.2">
      <c r="A572" s="584">
        <f t="shared" si="158"/>
        <v>0</v>
      </c>
      <c r="B572" s="544">
        <f t="shared" si="159"/>
        <v>0</v>
      </c>
      <c r="C572" s="535"/>
      <c r="D572" s="541"/>
      <c r="E572" s="538">
        <f t="shared" si="160"/>
        <v>0</v>
      </c>
      <c r="F572" s="541">
        <f>IF(C572="",0,IFERROR(VLOOKUP(COUNTIF($A$1:A572,"ANALISIS DE PRECIOS"),T_Rendimiento_Equipo,5,FALSE),0))</f>
        <v>0</v>
      </c>
      <c r="G572" s="538">
        <f t="shared" si="162"/>
        <v>0</v>
      </c>
    </row>
    <row r="573" spans="1:7" ht="19.899999999999999" customHeight="1" x14ac:dyDescent="0.2">
      <c r="A573" s="584">
        <f t="shared" si="158"/>
        <v>0</v>
      </c>
      <c r="B573" s="544">
        <f t="shared" si="159"/>
        <v>0</v>
      </c>
      <c r="C573" s="535"/>
      <c r="D573" s="549"/>
      <c r="E573" s="538">
        <f t="shared" si="160"/>
        <v>0</v>
      </c>
      <c r="F573" s="541">
        <f>IF(C573="",0,IFERROR(VLOOKUP(COUNTIF($A$1:A573,"ANALISIS DE PRECIOS"),T_Rendimiento_Equipo,5,FALSE),0))</f>
        <v>0</v>
      </c>
      <c r="G573" s="538">
        <f t="shared" si="162"/>
        <v>0</v>
      </c>
    </row>
    <row r="574" spans="1:7" ht="19.899999999999999" customHeight="1" x14ac:dyDescent="0.2">
      <c r="A574" s="584">
        <f t="shared" si="158"/>
        <v>0</v>
      </c>
      <c r="B574" s="544">
        <f t="shared" si="159"/>
        <v>0</v>
      </c>
      <c r="C574" s="544"/>
      <c r="D574" s="550"/>
      <c r="E574" s="538">
        <f t="shared" si="160"/>
        <v>0</v>
      </c>
      <c r="F574" s="541">
        <f>IF(C574="",0,IFERROR(VLOOKUP(COUNTIF($A$1:A574,"ANALISIS DE PRECIOS"),T_Rendimiento_Equipo,5,FALSE),0))</f>
        <v>0</v>
      </c>
      <c r="G574" s="538">
        <f t="shared" si="162"/>
        <v>0</v>
      </c>
    </row>
    <row r="575" spans="1:7" ht="19.899999999999999" customHeight="1" x14ac:dyDescent="0.2">
      <c r="A575" s="585"/>
      <c r="B575" s="524"/>
      <c r="C575" s="528"/>
      <c r="D575" s="524"/>
      <c r="E575" s="525"/>
      <c r="F575" s="547" t="s">
        <v>28</v>
      </c>
      <c r="G575" s="587">
        <f>SUBTOTAL(9,G568:G574)</f>
        <v>0</v>
      </c>
    </row>
    <row r="576" spans="1:7" ht="19.899999999999999" customHeight="1" x14ac:dyDescent="0.2">
      <c r="A576" s="582"/>
      <c r="B576" s="528"/>
      <c r="C576" s="520" t="s">
        <v>992</v>
      </c>
      <c r="D576" s="524"/>
      <c r="E576" s="525"/>
      <c r="F576" s="526"/>
      <c r="G576" s="583"/>
    </row>
    <row r="577" spans="1:7" ht="19.899999999999999" customHeight="1" x14ac:dyDescent="0.2">
      <c r="A577" s="793" t="s">
        <v>576</v>
      </c>
      <c r="B577" s="794"/>
      <c r="C577" s="795" t="s">
        <v>0</v>
      </c>
      <c r="D577" s="795" t="s">
        <v>1740</v>
      </c>
      <c r="E577" s="797" t="s">
        <v>24</v>
      </c>
      <c r="F577" s="799" t="s">
        <v>25</v>
      </c>
      <c r="G577" s="801" t="s">
        <v>26</v>
      </c>
    </row>
    <row r="578" spans="1:7" ht="19.899999999999999" customHeight="1" x14ac:dyDescent="0.2">
      <c r="A578" s="543" t="s">
        <v>577</v>
      </c>
      <c r="B578" s="543" t="s">
        <v>578</v>
      </c>
      <c r="C578" s="796"/>
      <c r="D578" s="796"/>
      <c r="E578" s="798"/>
      <c r="F578" s="800"/>
      <c r="G578" s="802"/>
    </row>
    <row r="579" spans="1:7" ht="19.899999999999999" customHeight="1" x14ac:dyDescent="0.2">
      <c r="A579" s="584">
        <f t="shared" ref="A579:A589" si="163">IFERROR(VLOOKUP(C579,T_Insumos,4,FALSE),0)</f>
        <v>0</v>
      </c>
      <c r="B579" s="544">
        <f t="shared" ref="B579:B589" si="164">IFERROR(VLOOKUP(C579,T_Insumos,5,FALSE),0)</f>
        <v>0</v>
      </c>
      <c r="C579" s="544"/>
      <c r="D579" s="596">
        <f t="shared" ref="D579:D589" si="165">IFERROR(VLOOKUP(C579,T_Insumos,2,FALSE),0)</f>
        <v>0</v>
      </c>
      <c r="E579" s="536"/>
      <c r="F579" s="538">
        <f t="shared" ref="F579:F589" si="166">IFERROR(VLOOKUP(C579,T_Insumos,3,FALSE),0)</f>
        <v>0</v>
      </c>
      <c r="G579" s="538">
        <f>ROUND(E579*F579,2)</f>
        <v>0</v>
      </c>
    </row>
    <row r="580" spans="1:7" ht="19.899999999999999" customHeight="1" x14ac:dyDescent="0.2">
      <c r="A580" s="584">
        <f t="shared" si="163"/>
        <v>0</v>
      </c>
      <c r="B580" s="544">
        <f t="shared" si="164"/>
        <v>0</v>
      </c>
      <c r="C580" s="544"/>
      <c r="D580" s="596">
        <f t="shared" si="165"/>
        <v>0</v>
      </c>
      <c r="E580" s="536"/>
      <c r="F580" s="538">
        <f t="shared" si="166"/>
        <v>0</v>
      </c>
      <c r="G580" s="538">
        <f t="shared" ref="G580:G589" si="167">ROUND(E580*F580,2)</f>
        <v>0</v>
      </c>
    </row>
    <row r="581" spans="1:7" ht="19.899999999999999" customHeight="1" x14ac:dyDescent="0.2">
      <c r="A581" s="584">
        <f t="shared" si="163"/>
        <v>0</v>
      </c>
      <c r="B581" s="544">
        <f t="shared" si="164"/>
        <v>0</v>
      </c>
      <c r="C581" s="544"/>
      <c r="D581" s="596">
        <f t="shared" si="165"/>
        <v>0</v>
      </c>
      <c r="E581" s="536"/>
      <c r="F581" s="538">
        <f t="shared" si="166"/>
        <v>0</v>
      </c>
      <c r="G581" s="538">
        <f t="shared" si="167"/>
        <v>0</v>
      </c>
    </row>
    <row r="582" spans="1:7" ht="19.899999999999999" customHeight="1" x14ac:dyDescent="0.2">
      <c r="A582" s="584">
        <f t="shared" si="163"/>
        <v>0</v>
      </c>
      <c r="B582" s="544">
        <f t="shared" si="164"/>
        <v>0</v>
      </c>
      <c r="C582" s="544"/>
      <c r="D582" s="596">
        <f t="shared" si="165"/>
        <v>0</v>
      </c>
      <c r="E582" s="536"/>
      <c r="F582" s="538">
        <f t="shared" si="166"/>
        <v>0</v>
      </c>
      <c r="G582" s="538">
        <f t="shared" si="167"/>
        <v>0</v>
      </c>
    </row>
    <row r="583" spans="1:7" ht="19.899999999999999" customHeight="1" x14ac:dyDescent="0.2">
      <c r="A583" s="584">
        <f t="shared" si="163"/>
        <v>0</v>
      </c>
      <c r="B583" s="544">
        <f t="shared" si="164"/>
        <v>0</v>
      </c>
      <c r="C583" s="544"/>
      <c r="D583" s="596">
        <f t="shared" si="165"/>
        <v>0</v>
      </c>
      <c r="E583" s="536"/>
      <c r="F583" s="538">
        <f t="shared" si="166"/>
        <v>0</v>
      </c>
      <c r="G583" s="538">
        <f t="shared" si="167"/>
        <v>0</v>
      </c>
    </row>
    <row r="584" spans="1:7" ht="19.899999999999999" customHeight="1" x14ac:dyDescent="0.2">
      <c r="A584" s="584">
        <f t="shared" si="163"/>
        <v>0</v>
      </c>
      <c r="B584" s="544">
        <f t="shared" si="164"/>
        <v>0</v>
      </c>
      <c r="C584" s="544"/>
      <c r="D584" s="596">
        <f t="shared" si="165"/>
        <v>0</v>
      </c>
      <c r="E584" s="536"/>
      <c r="F584" s="538">
        <f t="shared" si="166"/>
        <v>0</v>
      </c>
      <c r="G584" s="538">
        <f t="shared" si="167"/>
        <v>0</v>
      </c>
    </row>
    <row r="585" spans="1:7" ht="19.899999999999999" customHeight="1" x14ac:dyDescent="0.2">
      <c r="A585" s="584">
        <f t="shared" si="163"/>
        <v>0</v>
      </c>
      <c r="B585" s="544">
        <f t="shared" si="164"/>
        <v>0</v>
      </c>
      <c r="C585" s="544"/>
      <c r="D585" s="596">
        <f t="shared" si="165"/>
        <v>0</v>
      </c>
      <c r="E585" s="536"/>
      <c r="F585" s="538">
        <f t="shared" si="166"/>
        <v>0</v>
      </c>
      <c r="G585" s="538">
        <f t="shared" si="167"/>
        <v>0</v>
      </c>
    </row>
    <row r="586" spans="1:7" ht="19.899999999999999" customHeight="1" x14ac:dyDescent="0.2">
      <c r="A586" s="584">
        <f t="shared" si="163"/>
        <v>0</v>
      </c>
      <c r="B586" s="544">
        <f t="shared" si="164"/>
        <v>0</v>
      </c>
      <c r="C586" s="544"/>
      <c r="D586" s="596">
        <f t="shared" si="165"/>
        <v>0</v>
      </c>
      <c r="E586" s="536"/>
      <c r="F586" s="538">
        <f t="shared" si="166"/>
        <v>0</v>
      </c>
      <c r="G586" s="538">
        <f t="shared" si="167"/>
        <v>0</v>
      </c>
    </row>
    <row r="587" spans="1:7" ht="19.899999999999999" customHeight="1" x14ac:dyDescent="0.2">
      <c r="A587" s="584">
        <f t="shared" si="163"/>
        <v>0</v>
      </c>
      <c r="B587" s="544">
        <f t="shared" si="164"/>
        <v>0</v>
      </c>
      <c r="C587" s="544"/>
      <c r="D587" s="596">
        <f t="shared" si="165"/>
        <v>0</v>
      </c>
      <c r="E587" s="536"/>
      <c r="F587" s="538">
        <f t="shared" si="166"/>
        <v>0</v>
      </c>
      <c r="G587" s="538">
        <f t="shared" si="167"/>
        <v>0</v>
      </c>
    </row>
    <row r="588" spans="1:7" ht="19.899999999999999" customHeight="1" x14ac:dyDescent="0.2">
      <c r="A588" s="584">
        <f t="shared" si="163"/>
        <v>0</v>
      </c>
      <c r="B588" s="544">
        <f t="shared" si="164"/>
        <v>0</v>
      </c>
      <c r="C588" s="544"/>
      <c r="D588" s="596">
        <f t="shared" si="165"/>
        <v>0</v>
      </c>
      <c r="E588" s="536"/>
      <c r="F588" s="538">
        <f t="shared" si="166"/>
        <v>0</v>
      </c>
      <c r="G588" s="538">
        <f t="shared" si="167"/>
        <v>0</v>
      </c>
    </row>
    <row r="589" spans="1:7" ht="19.899999999999999" customHeight="1" x14ac:dyDescent="0.2">
      <c r="A589" s="584">
        <f t="shared" si="163"/>
        <v>0</v>
      </c>
      <c r="B589" s="544">
        <f t="shared" si="164"/>
        <v>0</v>
      </c>
      <c r="C589" s="544"/>
      <c r="D589" s="596">
        <f t="shared" si="165"/>
        <v>0</v>
      </c>
      <c r="E589" s="536"/>
      <c r="F589" s="538">
        <f t="shared" si="166"/>
        <v>0</v>
      </c>
      <c r="G589" s="538">
        <f t="shared" si="167"/>
        <v>0</v>
      </c>
    </row>
    <row r="590" spans="1:7" ht="19.899999999999999" customHeight="1" x14ac:dyDescent="0.2">
      <c r="A590" s="582"/>
      <c r="B590" s="528"/>
      <c r="C590" s="528"/>
      <c r="D590" s="524"/>
      <c r="E590" s="525"/>
      <c r="F590" s="547" t="s">
        <v>29</v>
      </c>
      <c r="G590" s="588">
        <f>SUBTOTAL(9,G579:G589)</f>
        <v>0</v>
      </c>
    </row>
    <row r="591" spans="1:7" ht="19.899999999999999" customHeight="1" x14ac:dyDescent="0.2">
      <c r="A591" s="582"/>
      <c r="B591" s="528"/>
      <c r="C591" s="520" t="s">
        <v>993</v>
      </c>
      <c r="D591" s="524"/>
      <c r="E591" s="525"/>
      <c r="F591" s="526"/>
      <c r="G591" s="583"/>
    </row>
    <row r="592" spans="1:7" ht="19.899999999999999" customHeight="1" x14ac:dyDescent="0.2">
      <c r="A592" s="793" t="s">
        <v>576</v>
      </c>
      <c r="B592" s="794"/>
      <c r="C592" s="795" t="s">
        <v>0</v>
      </c>
      <c r="D592" s="795" t="s">
        <v>1740</v>
      </c>
      <c r="E592" s="797" t="s">
        <v>24</v>
      </c>
      <c r="F592" s="799" t="s">
        <v>25</v>
      </c>
      <c r="G592" s="801" t="s">
        <v>26</v>
      </c>
    </row>
    <row r="593" spans="1:8" ht="19.899999999999999" customHeight="1" x14ac:dyDescent="0.2">
      <c r="A593" s="543" t="s">
        <v>577</v>
      </c>
      <c r="B593" s="543" t="s">
        <v>578</v>
      </c>
      <c r="C593" s="796"/>
      <c r="D593" s="796"/>
      <c r="E593" s="798"/>
      <c r="F593" s="800"/>
      <c r="G593" s="802"/>
    </row>
    <row r="594" spans="1:8" ht="19.899999999999999" customHeight="1" x14ac:dyDescent="0.2">
      <c r="A594" s="584">
        <f>IFERROR(VLOOKUP(C594,T_Insumos,4,FALSE),0)</f>
        <v>0</v>
      </c>
      <c r="B594" s="544">
        <f>IFERROR(VLOOKUP(C594,T_Insumos,5,FALSE),0)</f>
        <v>0</v>
      </c>
      <c r="C594" s="535"/>
      <c r="D594" s="596">
        <f>IF(C594=0,0,"$/tnkm")</f>
        <v>0</v>
      </c>
      <c r="E594" s="536"/>
      <c r="F594" s="538">
        <f>IFERROR(VLOOKUP(C594,T_Insumos,3,FALSE),0)</f>
        <v>0</v>
      </c>
      <c r="G594" s="538">
        <f>ROUND(E594*F594,2)</f>
        <v>0</v>
      </c>
    </row>
    <row r="595" spans="1:8" ht="19.899999999999999" customHeight="1" x14ac:dyDescent="0.2">
      <c r="A595" s="584">
        <f>IFERROR(VLOOKUP(C595,T_Insumos,4,FALSE),0)</f>
        <v>0</v>
      </c>
      <c r="B595" s="544">
        <f>IFERROR(VLOOKUP(C595,T_Insumos,5,FALSE),0)</f>
        <v>0</v>
      </c>
      <c r="C595" s="535"/>
      <c r="D595" s="596">
        <f>IF(C595=0,0,"$/tnkm")</f>
        <v>0</v>
      </c>
      <c r="E595" s="552"/>
      <c r="F595" s="538">
        <f>IFERROR(VLOOKUP(C595,T_Insumos,3,FALSE),0)</f>
        <v>0</v>
      </c>
      <c r="G595" s="538">
        <f t="shared" ref="G595" si="168">ROUND(E595*F595,2)</f>
        <v>0</v>
      </c>
    </row>
    <row r="596" spans="1:8" ht="19.899999999999999" customHeight="1" x14ac:dyDescent="0.2">
      <c r="A596" s="582"/>
      <c r="B596" s="528"/>
      <c r="C596" s="528"/>
      <c r="D596" s="524"/>
      <c r="E596" s="525"/>
      <c r="F596" s="547" t="s">
        <v>994</v>
      </c>
      <c r="G596" s="588">
        <f>SUBTOTAL(9,G594:G595)</f>
        <v>0</v>
      </c>
    </row>
    <row r="597" spans="1:8" ht="19.899999999999999" customHeight="1" x14ac:dyDescent="0.2">
      <c r="A597" s="585"/>
      <c r="B597" s="524"/>
      <c r="C597" s="528"/>
      <c r="D597" s="524"/>
      <c r="E597" s="525"/>
      <c r="F597" s="526"/>
      <c r="G597" s="583"/>
    </row>
    <row r="598" spans="1:8" ht="19.899999999999999" customHeight="1" x14ac:dyDescent="0.2">
      <c r="A598" s="647" t="str">
        <f>B532</f>
        <v>3.1</v>
      </c>
      <c r="B598" s="644" t="str">
        <f ca="1">C532</f>
        <v>Limpieza y Replanteo</v>
      </c>
      <c r="C598" s="524"/>
      <c r="D598" s="524" t="s">
        <v>1719</v>
      </c>
      <c r="E598" s="645"/>
      <c r="F598" s="646" t="str">
        <f ca="1">"$/"&amp;G532</f>
        <v>$/gl.</v>
      </c>
      <c r="G598" s="593">
        <f>SUBTOTAL(9,G555:G597)</f>
        <v>0</v>
      </c>
    </row>
    <row r="599" spans="1:8" ht="19.899999999999999" customHeight="1" x14ac:dyDescent="0.2">
      <c r="A599" s="589"/>
      <c r="B599" s="590"/>
      <c r="C599" s="591"/>
      <c r="D599" s="591" t="s">
        <v>1915</v>
      </c>
      <c r="E599" s="592"/>
      <c r="F599" s="648" t="str">
        <f ca="1">"$/"&amp;G532</f>
        <v>$/gl.</v>
      </c>
      <c r="G599" s="593">
        <f>ROUND(G598*Coeficiente_Paso,2)</f>
        <v>0</v>
      </c>
    </row>
    <row r="600" spans="1:8" ht="19.899999999999999" customHeight="1" x14ac:dyDescent="0.2">
      <c r="A600" s="185"/>
      <c r="B600" s="185"/>
      <c r="C600" s="185"/>
      <c r="D600" s="185"/>
      <c r="E600" s="185"/>
      <c r="F600" s="185"/>
      <c r="G600" s="185"/>
    </row>
    <row r="601" spans="1:8" ht="19.899999999999999" customHeight="1" x14ac:dyDescent="0.2">
      <c r="A601" s="803" t="s">
        <v>31</v>
      </c>
      <c r="B601" s="804"/>
      <c r="C601" s="804"/>
      <c r="D601" s="804"/>
      <c r="E601" s="804"/>
      <c r="F601" s="804"/>
      <c r="G601" s="805"/>
      <c r="H601" s="516"/>
    </row>
    <row r="602" spans="1:8" ht="19.899999999999999" customHeight="1" x14ac:dyDescent="0.2">
      <c r="A602" s="570" t="s">
        <v>711</v>
      </c>
      <c r="B602" s="518" t="str">
        <f>Comitente</f>
        <v>DEPARTAMENTO DE HIDRAULICA</v>
      </c>
      <c r="C602" s="519"/>
      <c r="D602" s="520"/>
      <c r="E602" s="520"/>
      <c r="F602" s="521"/>
      <c r="G602" s="571"/>
      <c r="H602" s="516"/>
    </row>
    <row r="603" spans="1:8" ht="19.899999999999999" customHeight="1" x14ac:dyDescent="0.2">
      <c r="A603" s="570" t="s">
        <v>712</v>
      </c>
      <c r="B603" s="518">
        <f>Contratista</f>
        <v>0</v>
      </c>
      <c r="C603" s="522"/>
      <c r="D603" s="522"/>
      <c r="E603" s="522"/>
      <c r="F603" s="518"/>
      <c r="G603" s="572"/>
      <c r="H603" s="516"/>
    </row>
    <row r="604" spans="1:8" ht="19.899999999999999" customHeight="1" x14ac:dyDescent="0.2">
      <c r="A604" s="570" t="s">
        <v>21</v>
      </c>
      <c r="B604" s="518" t="str">
        <f>Obra</f>
        <v>ENCAMISADO CANAL GENERAL COCHAGUAL</v>
      </c>
      <c r="C604" s="522"/>
      <c r="D604" s="522"/>
      <c r="E604" s="522"/>
      <c r="F604" s="518" t="s">
        <v>32</v>
      </c>
      <c r="G604" s="572">
        <f>Fecha_Base</f>
        <v>44319</v>
      </c>
      <c r="H604" s="516"/>
    </row>
    <row r="605" spans="1:8" ht="19.899999999999999" customHeight="1" x14ac:dyDescent="0.2">
      <c r="A605" s="573" t="s">
        <v>710</v>
      </c>
      <c r="B605" s="523" t="str">
        <f>Ubicación</f>
        <v>DEPARTAMENTO SARMIENTO</v>
      </c>
      <c r="C605" s="523"/>
      <c r="D605" s="524"/>
      <c r="E605" s="525"/>
      <c r="F605" s="526"/>
      <c r="G605" s="574"/>
      <c r="H605" s="516"/>
    </row>
    <row r="606" spans="1:8" ht="19.899999999999999" customHeight="1" x14ac:dyDescent="0.2">
      <c r="A606" s="573" t="s">
        <v>33</v>
      </c>
      <c r="B606" s="527">
        <f>IFERROR(VALUE(LEFT(B607,FIND(".",B607)-1)),"")</f>
        <v>3</v>
      </c>
      <c r="C606" s="528" t="str">
        <f ca="1">IFERROR(VLOOKUP(B606,T_Computo_Presupuesto,2,FALSE),0)</f>
        <v>CANAL GENERAL COCHAGUAL Progresiva 9860-10860</v>
      </c>
      <c r="D606" s="528"/>
      <c r="E606" s="525"/>
      <c r="F606" s="526"/>
      <c r="G606" s="574"/>
      <c r="H606" s="516"/>
    </row>
    <row r="607" spans="1:8" ht="19.899999999999999" customHeight="1" x14ac:dyDescent="0.2">
      <c r="A607" s="573" t="s">
        <v>22</v>
      </c>
      <c r="B607" s="529" t="str">
        <f>IFERROR(VLOOKUP(COUNTIF($A$1:A607,"ANALISIS DE PRECIOS"),T_NumeroItem,2,FALSE),"")</f>
        <v>3.2</v>
      </c>
      <c r="C607" s="806" t="str">
        <f ca="1">IFERROR(VLOOKUP(B607,T_Computo_Presupuesto,2,FALSE),0)</f>
        <v>Relleno y compactacion de posibles oquedadas laterales</v>
      </c>
      <c r="D607" s="806"/>
      <c r="E607" s="806"/>
      <c r="F607" s="523" t="s">
        <v>23</v>
      </c>
      <c r="G607" s="575" t="str">
        <f ca="1">IFERROR(VLOOKUP(B607,T_Computo_Presupuesto,4,FALSE),0)</f>
        <v>m3</v>
      </c>
      <c r="H607" s="516"/>
    </row>
    <row r="608" spans="1:8" ht="19.899999999999999" customHeight="1" x14ac:dyDescent="0.2">
      <c r="A608" s="573"/>
      <c r="B608" s="523"/>
      <c r="C608" s="528"/>
      <c r="D608" s="524"/>
      <c r="E608" s="525"/>
      <c r="F608" s="528"/>
      <c r="G608" s="576"/>
      <c r="H608" s="516"/>
    </row>
    <row r="609" spans="1:8" ht="19.899999999999999" customHeight="1" x14ac:dyDescent="0.2">
      <c r="A609" s="577"/>
      <c r="B609" s="530"/>
      <c r="C609" s="531" t="s">
        <v>977</v>
      </c>
      <c r="D609" s="530"/>
      <c r="E609" s="530"/>
      <c r="F609" s="530"/>
      <c r="G609" s="578"/>
      <c r="H609" s="516"/>
    </row>
    <row r="610" spans="1:8" ht="19.899999999999999" customHeight="1" x14ac:dyDescent="0.2">
      <c r="A610" s="573"/>
      <c r="B610" s="532"/>
      <c r="C610" s="528"/>
      <c r="D610" s="524"/>
      <c r="E610" s="525"/>
      <c r="F610" s="523"/>
      <c r="G610" s="575"/>
      <c r="H610" s="516"/>
    </row>
    <row r="611" spans="1:8" ht="19.899999999999999" customHeight="1" x14ac:dyDescent="0.2">
      <c r="A611" s="573"/>
      <c r="B611" s="532"/>
      <c r="C611" s="533" t="s">
        <v>978</v>
      </c>
      <c r="D611" s="534" t="s">
        <v>24</v>
      </c>
      <c r="E611" s="534" t="s">
        <v>979</v>
      </c>
      <c r="F611" s="534" t="s">
        <v>980</v>
      </c>
      <c r="G611" s="533" t="s">
        <v>981</v>
      </c>
    </row>
    <row r="612" spans="1:8" ht="19.899999999999999" customHeight="1" x14ac:dyDescent="0.2">
      <c r="A612" s="573"/>
      <c r="B612" s="532"/>
      <c r="C612" s="535">
        <f>+Equipos!A16</f>
        <v>0</v>
      </c>
      <c r="D612" s="536"/>
      <c r="E612" s="537">
        <f t="shared" ref="E612:E621" si="169">IFERROR(VLOOKUP(C612,T_Equipos,4,FALSE),0)</f>
        <v>0</v>
      </c>
      <c r="F612" s="538">
        <f t="shared" ref="F612:F621" si="170">IFERROR(VLOOKUP(C612,T_Equipos,5,FALSE),0)</f>
        <v>0</v>
      </c>
      <c r="G612" s="538">
        <f>ROUND(D612*F612,2)</f>
        <v>0</v>
      </c>
    </row>
    <row r="613" spans="1:8" ht="19.899999999999999" customHeight="1" x14ac:dyDescent="0.2">
      <c r="A613" s="573"/>
      <c r="B613" s="532"/>
      <c r="C613" s="535">
        <f>+Equipos!A13</f>
        <v>0</v>
      </c>
      <c r="D613" s="536"/>
      <c r="E613" s="537">
        <f t="shared" si="169"/>
        <v>0</v>
      </c>
      <c r="F613" s="538">
        <f t="shared" si="170"/>
        <v>0</v>
      </c>
      <c r="G613" s="538">
        <f>ROUND(D613*F613,2)</f>
        <v>0</v>
      </c>
    </row>
    <row r="614" spans="1:8" ht="19.899999999999999" customHeight="1" x14ac:dyDescent="0.2">
      <c r="A614" s="573"/>
      <c r="B614" s="532"/>
      <c r="C614" s="535">
        <f>+Equipos!A25</f>
        <v>0</v>
      </c>
      <c r="D614" s="536"/>
      <c r="E614" s="537">
        <f t="shared" si="169"/>
        <v>0</v>
      </c>
      <c r="F614" s="538">
        <f t="shared" si="170"/>
        <v>0</v>
      </c>
      <c r="G614" s="538">
        <f>ROUND(D614*F614,2)</f>
        <v>0</v>
      </c>
    </row>
    <row r="615" spans="1:8" ht="19.899999999999999" customHeight="1" x14ac:dyDescent="0.2">
      <c r="A615" s="573"/>
      <c r="B615" s="532"/>
      <c r="C615" s="535">
        <f>+Equipos!A19</f>
        <v>0</v>
      </c>
      <c r="D615" s="536"/>
      <c r="E615" s="537">
        <f t="shared" si="169"/>
        <v>0</v>
      </c>
      <c r="F615" s="538">
        <f t="shared" si="170"/>
        <v>0</v>
      </c>
      <c r="G615" s="538">
        <f>ROUND(D615*F615,2)</f>
        <v>0</v>
      </c>
    </row>
    <row r="616" spans="1:8" ht="19.899999999999999" customHeight="1" x14ac:dyDescent="0.2">
      <c r="A616" s="573"/>
      <c r="B616" s="532"/>
      <c r="C616" s="535">
        <f>+Equipos!A22</f>
        <v>0</v>
      </c>
      <c r="D616" s="736"/>
      <c r="E616" s="537">
        <f t="shared" si="169"/>
        <v>0</v>
      </c>
      <c r="F616" s="538">
        <f t="shared" si="170"/>
        <v>0</v>
      </c>
      <c r="G616" s="538">
        <f t="shared" ref="G616:G621" si="171">ROUND(D616*F616,2)</f>
        <v>0</v>
      </c>
    </row>
    <row r="617" spans="1:8" ht="19.899999999999999" customHeight="1" x14ac:dyDescent="0.2">
      <c r="A617" s="573"/>
      <c r="B617" s="532"/>
      <c r="C617" s="535"/>
      <c r="D617" s="536"/>
      <c r="E617" s="537">
        <f t="shared" si="169"/>
        <v>0</v>
      </c>
      <c r="F617" s="538">
        <f t="shared" si="170"/>
        <v>0</v>
      </c>
      <c r="G617" s="538">
        <f t="shared" si="171"/>
        <v>0</v>
      </c>
    </row>
    <row r="618" spans="1:8" ht="19.899999999999999" customHeight="1" x14ac:dyDescent="0.2">
      <c r="A618" s="573"/>
      <c r="B618" s="532"/>
      <c r="C618" s="535"/>
      <c r="D618" s="536"/>
      <c r="E618" s="537">
        <f t="shared" si="169"/>
        <v>0</v>
      </c>
      <c r="F618" s="538">
        <f t="shared" si="170"/>
        <v>0</v>
      </c>
      <c r="G618" s="538">
        <f t="shared" si="171"/>
        <v>0</v>
      </c>
    </row>
    <row r="619" spans="1:8" ht="19.899999999999999" customHeight="1" x14ac:dyDescent="0.2">
      <c r="A619" s="573"/>
      <c r="B619" s="532"/>
      <c r="C619" s="535"/>
      <c r="D619" s="536"/>
      <c r="E619" s="537">
        <f t="shared" si="169"/>
        <v>0</v>
      </c>
      <c r="F619" s="538">
        <f t="shared" si="170"/>
        <v>0</v>
      </c>
      <c r="G619" s="538">
        <f t="shared" si="171"/>
        <v>0</v>
      </c>
    </row>
    <row r="620" spans="1:8" ht="19.899999999999999" customHeight="1" x14ac:dyDescent="0.2">
      <c r="A620" s="573"/>
      <c r="B620" s="532"/>
      <c r="C620" s="535"/>
      <c r="D620" s="536"/>
      <c r="E620" s="537">
        <f t="shared" si="169"/>
        <v>0</v>
      </c>
      <c r="F620" s="538">
        <f t="shared" si="170"/>
        <v>0</v>
      </c>
      <c r="G620" s="538">
        <f t="shared" si="171"/>
        <v>0</v>
      </c>
    </row>
    <row r="621" spans="1:8" ht="19.899999999999999" customHeight="1" x14ac:dyDescent="0.2">
      <c r="A621" s="573"/>
      <c r="B621" s="532"/>
      <c r="C621" s="535"/>
      <c r="D621" s="536"/>
      <c r="E621" s="537">
        <f t="shared" si="169"/>
        <v>0</v>
      </c>
      <c r="F621" s="538">
        <f t="shared" si="170"/>
        <v>0</v>
      </c>
      <c r="G621" s="538">
        <f t="shared" si="171"/>
        <v>0</v>
      </c>
    </row>
    <row r="622" spans="1:8" ht="19.899999999999999" customHeight="1" x14ac:dyDescent="0.2">
      <c r="A622" s="573"/>
      <c r="B622" s="532"/>
      <c r="C622" s="528"/>
      <c r="D622" s="528"/>
      <c r="E622" s="539"/>
      <c r="F622" s="523"/>
      <c r="G622" s="575"/>
    </row>
    <row r="623" spans="1:8" ht="19.899999999999999" customHeight="1" x14ac:dyDescent="0.2">
      <c r="A623" s="573"/>
      <c r="B623" s="528"/>
      <c r="C623" s="520" t="s">
        <v>982</v>
      </c>
      <c r="D623" s="523" t="s">
        <v>979</v>
      </c>
      <c r="E623" s="594">
        <f>SUMPRODUCT(D612:D621,E612:E621)</f>
        <v>0</v>
      </c>
      <c r="F623" s="523" t="s">
        <v>983</v>
      </c>
      <c r="G623" s="595">
        <f>SUM(G612:G621)</f>
        <v>0</v>
      </c>
    </row>
    <row r="624" spans="1:8" ht="19.899999999999999" customHeight="1" x14ac:dyDescent="0.2">
      <c r="A624" s="573"/>
      <c r="B624" s="532"/>
      <c r="C624" s="540"/>
      <c r="D624" s="539"/>
      <c r="E624" s="525"/>
      <c r="F624" s="523"/>
      <c r="G624" s="579"/>
    </row>
    <row r="625" spans="1:7" ht="19.899999999999999" customHeight="1" x14ac:dyDescent="0.2">
      <c r="A625" s="580"/>
      <c r="B625" s="532"/>
      <c r="C625" s="523" t="s">
        <v>984</v>
      </c>
      <c r="D625" s="541">
        <f>IFERROR(VLOOKUP(COUNTIF($A$1:A625,"ANALISIS DE PRECIOS"),T_Rendimiento_Equipo,5,FALSE),0)</f>
        <v>0</v>
      </c>
      <c r="E625" s="542" t="str">
        <f ca="1">G607&amp;"/día"</f>
        <v>m3/día</v>
      </c>
      <c r="F625" s="581"/>
      <c r="G625" s="575"/>
    </row>
    <row r="626" spans="1:7" ht="19.899999999999999" customHeight="1" x14ac:dyDescent="0.2">
      <c r="A626" s="573"/>
      <c r="B626" s="532"/>
      <c r="C626" s="528"/>
      <c r="D626" s="524"/>
      <c r="E626" s="525"/>
      <c r="F626" s="523"/>
      <c r="G626" s="575"/>
    </row>
    <row r="627" spans="1:7" ht="19.899999999999999" customHeight="1" x14ac:dyDescent="0.2">
      <c r="A627" s="793" t="s">
        <v>576</v>
      </c>
      <c r="B627" s="794"/>
      <c r="C627" s="795" t="s">
        <v>0</v>
      </c>
      <c r="D627" s="807" t="s">
        <v>1739</v>
      </c>
      <c r="E627" s="807" t="s">
        <v>1738</v>
      </c>
      <c r="F627" s="799" t="s">
        <v>985</v>
      </c>
      <c r="G627" s="801" t="s">
        <v>26</v>
      </c>
    </row>
    <row r="628" spans="1:7" ht="19.899999999999999" customHeight="1" x14ac:dyDescent="0.2">
      <c r="A628" s="543" t="s">
        <v>577</v>
      </c>
      <c r="B628" s="543" t="s">
        <v>578</v>
      </c>
      <c r="C628" s="796"/>
      <c r="D628" s="808"/>
      <c r="E628" s="798"/>
      <c r="F628" s="800"/>
      <c r="G628" s="802"/>
    </row>
    <row r="629" spans="1:7" ht="19.899999999999999" customHeight="1" x14ac:dyDescent="0.2">
      <c r="A629" s="582"/>
      <c r="B629" s="528"/>
      <c r="C629" s="520" t="s">
        <v>986</v>
      </c>
      <c r="D629" s="525"/>
      <c r="E629" s="525"/>
      <c r="F629" s="528"/>
      <c r="G629" s="583"/>
    </row>
    <row r="630" spans="1:7" ht="19.899999999999999" customHeight="1" x14ac:dyDescent="0.2">
      <c r="A630" s="584">
        <f t="shared" ref="A630:A638" si="172">IFERROR(VLOOKUP(C630,T_Insumos,4,FALSE),0)</f>
        <v>0</v>
      </c>
      <c r="B630" s="544">
        <f t="shared" ref="B630:B638" si="173">IFERROR(VLOOKUP(C630,T_Insumos,5,FALSE),0)</f>
        <v>0</v>
      </c>
      <c r="C630" s="535">
        <f>+C30</f>
        <v>0</v>
      </c>
      <c r="D630" s="545">
        <f t="shared" ref="D630:D638" si="174">IFERROR(VLOOKUP(C630,T_Insumos,3,FALSE),0)</f>
        <v>0</v>
      </c>
      <c r="E630" s="538">
        <f>D630*$G$623</f>
        <v>0</v>
      </c>
      <c r="F630" s="541">
        <f>IF(C630="",0,IFERROR(VLOOKUP(COUNTIF($A$1:A630,"ANALISIS DE PRECIOS"),T_Rendimiento_Equipo,5,FALSE),0))</f>
        <v>0</v>
      </c>
      <c r="G630" s="538">
        <f>IFERROR(ROUND(E630/F630,2),0)</f>
        <v>0</v>
      </c>
    </row>
    <row r="631" spans="1:7" ht="19.899999999999999" customHeight="1" x14ac:dyDescent="0.2">
      <c r="A631" s="584">
        <f t="shared" si="172"/>
        <v>0</v>
      </c>
      <c r="B631" s="544">
        <f t="shared" si="173"/>
        <v>0</v>
      </c>
      <c r="C631" s="535">
        <f t="shared" ref="C631:C633" si="175">+C31</f>
        <v>0</v>
      </c>
      <c r="D631" s="545">
        <f t="shared" si="174"/>
        <v>0</v>
      </c>
      <c r="E631" s="538">
        <f t="shared" ref="E631:E632" si="176">D631*$G$623</f>
        <v>0</v>
      </c>
      <c r="F631" s="541">
        <f>IF(C631="",0,IFERROR(VLOOKUP(COUNTIF($A$1:A631,"ANALISIS DE PRECIOS"),T_Rendimiento_Equipo,5,FALSE),0))</f>
        <v>0</v>
      </c>
      <c r="G631" s="538">
        <f t="shared" ref="G631:G638" si="177">IFERROR(ROUND(E631/F631,2),0)</f>
        <v>0</v>
      </c>
    </row>
    <row r="632" spans="1:7" ht="19.899999999999999" customHeight="1" x14ac:dyDescent="0.2">
      <c r="A632" s="584">
        <f t="shared" si="172"/>
        <v>0</v>
      </c>
      <c r="B632" s="544">
        <f t="shared" si="173"/>
        <v>0</v>
      </c>
      <c r="C632" s="535">
        <f t="shared" si="175"/>
        <v>0</v>
      </c>
      <c r="D632" s="545">
        <f t="shared" si="174"/>
        <v>0</v>
      </c>
      <c r="E632" s="538">
        <f t="shared" si="176"/>
        <v>0</v>
      </c>
      <c r="F632" s="541">
        <f>IF(C632="",0,IFERROR(VLOOKUP(COUNTIF($A$1:A632,"ANALISIS DE PRECIOS"),T_Rendimiento_Equipo,5,FALSE),0))</f>
        <v>0</v>
      </c>
      <c r="G632" s="538">
        <f t="shared" si="177"/>
        <v>0</v>
      </c>
    </row>
    <row r="633" spans="1:7" ht="19.899999999999999" customHeight="1" x14ac:dyDescent="0.2">
      <c r="A633" s="584">
        <f t="shared" si="172"/>
        <v>0</v>
      </c>
      <c r="B633" s="544">
        <f t="shared" si="173"/>
        <v>0</v>
      </c>
      <c r="C633" s="535">
        <f t="shared" si="175"/>
        <v>0</v>
      </c>
      <c r="D633" s="545">
        <f t="shared" si="174"/>
        <v>0</v>
      </c>
      <c r="E633" s="538">
        <f>D633*$E$623</f>
        <v>0</v>
      </c>
      <c r="F633" s="541">
        <f>IF(C633="",0,IFERROR(VLOOKUP(COUNTIF($A$1:A633,"ANALISIS DE PRECIOS"),T_Rendimiento_Equipo,5,FALSE),0))</f>
        <v>0</v>
      </c>
      <c r="G633" s="538">
        <f t="shared" si="177"/>
        <v>0</v>
      </c>
    </row>
    <row r="634" spans="1:7" ht="19.899999999999999" customHeight="1" x14ac:dyDescent="0.2">
      <c r="A634" s="584">
        <f t="shared" si="172"/>
        <v>0</v>
      </c>
      <c r="B634" s="544">
        <f t="shared" si="173"/>
        <v>0</v>
      </c>
      <c r="C634" s="546"/>
      <c r="D634" s="545">
        <f t="shared" si="174"/>
        <v>0</v>
      </c>
      <c r="E634" s="538"/>
      <c r="F634" s="541">
        <f>IF(C634="",0,IFERROR(VLOOKUP(COUNTIF($A$1:A634,"ANALISIS DE PRECIOS"),T_Rendimiento_Equipo,5,FALSE),0))</f>
        <v>0</v>
      </c>
      <c r="G634" s="538">
        <f t="shared" si="177"/>
        <v>0</v>
      </c>
    </row>
    <row r="635" spans="1:7" ht="19.899999999999999" customHeight="1" x14ac:dyDescent="0.2">
      <c r="A635" s="584">
        <f t="shared" si="172"/>
        <v>0</v>
      </c>
      <c r="B635" s="544">
        <f t="shared" si="173"/>
        <v>0</v>
      </c>
      <c r="C635" s="546"/>
      <c r="D635" s="545">
        <f t="shared" si="174"/>
        <v>0</v>
      </c>
      <c r="E635" s="538"/>
      <c r="F635" s="541">
        <f>IF(C635="",0,IFERROR(VLOOKUP(COUNTIF($A$1:A635,"ANALISIS DE PRECIOS"),T_Rendimiento_Equipo,5,FALSE),0))</f>
        <v>0</v>
      </c>
      <c r="G635" s="538">
        <f t="shared" si="177"/>
        <v>0</v>
      </c>
    </row>
    <row r="636" spans="1:7" ht="19.899999999999999" customHeight="1" x14ac:dyDescent="0.2">
      <c r="A636" s="584">
        <f t="shared" si="172"/>
        <v>0</v>
      </c>
      <c r="B636" s="544">
        <f t="shared" si="173"/>
        <v>0</v>
      </c>
      <c r="C636" s="546"/>
      <c r="D636" s="545">
        <f t="shared" si="174"/>
        <v>0</v>
      </c>
      <c r="E636" s="538"/>
      <c r="F636" s="541">
        <f>IF(C636="",0,IFERROR(VLOOKUP(COUNTIF($A$1:A636,"ANALISIS DE PRECIOS"),T_Rendimiento_Equipo,5,FALSE),0))</f>
        <v>0</v>
      </c>
      <c r="G636" s="538">
        <f t="shared" si="177"/>
        <v>0</v>
      </c>
    </row>
    <row r="637" spans="1:7" ht="19.899999999999999" customHeight="1" x14ac:dyDescent="0.2">
      <c r="A637" s="584">
        <f t="shared" si="172"/>
        <v>0</v>
      </c>
      <c r="B637" s="544">
        <f t="shared" si="173"/>
        <v>0</v>
      </c>
      <c r="C637" s="546"/>
      <c r="D637" s="545">
        <f t="shared" si="174"/>
        <v>0</v>
      </c>
      <c r="E637" s="538"/>
      <c r="F637" s="541">
        <f>IF(C637="",0,IFERROR(VLOOKUP(COUNTIF($A$1:A637,"ANALISIS DE PRECIOS"),T_Rendimiento_Equipo,5,FALSE),0))</f>
        <v>0</v>
      </c>
      <c r="G637" s="538">
        <f t="shared" si="177"/>
        <v>0</v>
      </c>
    </row>
    <row r="638" spans="1:7" ht="19.899999999999999" customHeight="1" x14ac:dyDescent="0.2">
      <c r="A638" s="584">
        <f t="shared" si="172"/>
        <v>0</v>
      </c>
      <c r="B638" s="544">
        <f t="shared" si="173"/>
        <v>0</v>
      </c>
      <c r="C638" s="535"/>
      <c r="D638" s="545">
        <f t="shared" si="174"/>
        <v>0</v>
      </c>
      <c r="E638" s="538"/>
      <c r="F638" s="541">
        <f>IF(C638="",0,IFERROR(VLOOKUP(COUNTIF($A$1:A638,"ANALISIS DE PRECIOS"),T_Rendimiento_Equipo,5,FALSE),0))</f>
        <v>0</v>
      </c>
      <c r="G638" s="538">
        <f t="shared" si="177"/>
        <v>0</v>
      </c>
    </row>
    <row r="639" spans="1:7" ht="19.899999999999999" customHeight="1" x14ac:dyDescent="0.2">
      <c r="A639" s="585"/>
      <c r="B639" s="524"/>
      <c r="C639" s="528"/>
      <c r="D639" s="524"/>
      <c r="E639" s="525"/>
      <c r="F639" s="547" t="s">
        <v>27</v>
      </c>
      <c r="G639" s="586">
        <f>SUBTOTAL(9,G630:G638)</f>
        <v>0</v>
      </c>
    </row>
    <row r="640" spans="1:7" ht="19.899999999999999" customHeight="1" x14ac:dyDescent="0.2">
      <c r="A640" s="582"/>
      <c r="B640" s="528"/>
      <c r="C640" s="520" t="s">
        <v>713</v>
      </c>
      <c r="D640" s="524"/>
      <c r="E640" s="525"/>
      <c r="F640" s="526"/>
      <c r="G640" s="583"/>
    </row>
    <row r="641" spans="1:7" ht="19.899999999999999" customHeight="1" x14ac:dyDescent="0.2">
      <c r="A641" s="793" t="s">
        <v>576</v>
      </c>
      <c r="B641" s="794"/>
      <c r="C641" s="795" t="s">
        <v>0</v>
      </c>
      <c r="D641" s="797" t="s">
        <v>24</v>
      </c>
      <c r="E641" s="797" t="s">
        <v>1718</v>
      </c>
      <c r="F641" s="799" t="s">
        <v>985</v>
      </c>
      <c r="G641" s="801" t="s">
        <v>26</v>
      </c>
    </row>
    <row r="642" spans="1:7" ht="19.899999999999999" customHeight="1" x14ac:dyDescent="0.2">
      <c r="A642" s="543" t="s">
        <v>577</v>
      </c>
      <c r="B642" s="543" t="s">
        <v>578</v>
      </c>
      <c r="C642" s="796"/>
      <c r="D642" s="798"/>
      <c r="E642" s="798"/>
      <c r="F642" s="800"/>
      <c r="G642" s="802"/>
    </row>
    <row r="643" spans="1:7" ht="19.899999999999999" customHeight="1" x14ac:dyDescent="0.2">
      <c r="A643" s="584" t="str">
        <f t="shared" ref="A643:A649" si="178">IFERROR(VLOOKUP(C643,T_Insumos,4,FALSE),0)</f>
        <v>IIEE-SJ - 1</v>
      </c>
      <c r="B643" s="544" t="str">
        <f t="shared" ref="B643:B649" si="179">IFERROR(VLOOKUP(C643,T_Insumos,5,FALSE),0)</f>
        <v>Mano de Obra</v>
      </c>
      <c r="C643" s="548" t="str">
        <f>+C43</f>
        <v>Mano de obra</v>
      </c>
      <c r="D643" s="541"/>
      <c r="E643" s="538">
        <f t="shared" ref="E643:E649" si="180">IFERROR(VLOOKUP(C643,T_Insumos,3,FALSE),0)</f>
        <v>0</v>
      </c>
      <c r="F643" s="541">
        <f>IF(C643="",0,IFERROR(VLOOKUP(COUNTIF($A$1:A643,"ANALISIS DE PRECIOS"),T_Rendimiento_Equipo,5,FALSE),0))</f>
        <v>0</v>
      </c>
      <c r="G643" s="538">
        <f>IFERROR(ROUND(D643*E643/F643,2),0)</f>
        <v>0</v>
      </c>
    </row>
    <row r="644" spans="1:7" ht="19.899999999999999" customHeight="1" x14ac:dyDescent="0.2">
      <c r="A644" s="584" t="str">
        <f t="shared" si="178"/>
        <v>INDEC-CM - 37510-11</v>
      </c>
      <c r="B644" s="544" t="str">
        <f t="shared" si="179"/>
        <v>Hormigón elaborado</v>
      </c>
      <c r="C644" s="548" t="str">
        <f t="shared" ref="C644:C646" si="181">+C44</f>
        <v>Hormigon Elaborado</v>
      </c>
      <c r="D644" s="541"/>
      <c r="E644" s="538">
        <f t="shared" si="180"/>
        <v>0</v>
      </c>
      <c r="F644" s="541">
        <f>IF(C644="",0,IFERROR(VLOOKUP(COUNTIF($A$1:A644,"ANALISIS DE PRECIOS"),T_Rendimiento_Equipo,5,FALSE),0))</f>
        <v>0</v>
      </c>
      <c r="G644" s="538">
        <f t="shared" ref="G644:G649" si="182">IFERROR(ROUND(D644*E644/F644,2),0)</f>
        <v>0</v>
      </c>
    </row>
    <row r="645" spans="1:7" ht="19.899999999999999" customHeight="1" x14ac:dyDescent="0.2">
      <c r="A645" s="584" t="str">
        <f t="shared" si="178"/>
        <v>INDEC-DCTO - Inciso j)</v>
      </c>
      <c r="B645" s="544" t="str">
        <f t="shared" si="179"/>
        <v>Equipo - Amortización de equipo</v>
      </c>
      <c r="C645" s="548" t="str">
        <f t="shared" si="181"/>
        <v>Equipo - Amortizacion de equipo</v>
      </c>
      <c r="D645" s="541"/>
      <c r="E645" s="538">
        <f t="shared" si="180"/>
        <v>0</v>
      </c>
      <c r="F645" s="541">
        <f>IF(C645="",0,IFERROR(VLOOKUP(COUNTIF($A$1:A645,"ANALISIS DE PRECIOS"),T_Rendimiento_Equipo,5,FALSE),0))</f>
        <v>0</v>
      </c>
      <c r="G645" s="538">
        <f t="shared" si="182"/>
        <v>0</v>
      </c>
    </row>
    <row r="646" spans="1:7" ht="19.899999999999999" customHeight="1" x14ac:dyDescent="0.2">
      <c r="A646" s="584" t="str">
        <f t="shared" si="178"/>
        <v>INDEC-CM - 41242-11</v>
      </c>
      <c r="B646" s="544" t="str">
        <f t="shared" si="179"/>
        <v>Acero aletado conformado, en barra</v>
      </c>
      <c r="C646" s="548" t="str">
        <f t="shared" si="181"/>
        <v>Hierro</v>
      </c>
      <c r="D646" s="541"/>
      <c r="E646" s="538">
        <f t="shared" si="180"/>
        <v>0</v>
      </c>
      <c r="F646" s="541">
        <f>IF(C646="",0,IFERROR(VLOOKUP(COUNTIF($A$1:A646,"ANALISIS DE PRECIOS"),T_Rendimiento_Equipo,5,FALSE),0))</f>
        <v>0</v>
      </c>
      <c r="G646" s="538">
        <f t="shared" si="182"/>
        <v>0</v>
      </c>
    </row>
    <row r="647" spans="1:7" ht="19.899999999999999" customHeight="1" x14ac:dyDescent="0.2">
      <c r="A647" s="584">
        <f t="shared" si="178"/>
        <v>0</v>
      </c>
      <c r="B647" s="544">
        <f t="shared" si="179"/>
        <v>0</v>
      </c>
      <c r="C647" s="535"/>
      <c r="D647" s="541"/>
      <c r="E647" s="538">
        <f t="shared" si="180"/>
        <v>0</v>
      </c>
      <c r="F647" s="541">
        <f>IF(C647="",0,IFERROR(VLOOKUP(COUNTIF($A$1:A647,"ANALISIS DE PRECIOS"),T_Rendimiento_Equipo,5,FALSE),0))</f>
        <v>0</v>
      </c>
      <c r="G647" s="538">
        <f t="shared" si="182"/>
        <v>0</v>
      </c>
    </row>
    <row r="648" spans="1:7" ht="19.899999999999999" customHeight="1" x14ac:dyDescent="0.2">
      <c r="A648" s="584">
        <f t="shared" si="178"/>
        <v>0</v>
      </c>
      <c r="B648" s="544">
        <f t="shared" si="179"/>
        <v>0</v>
      </c>
      <c r="C648" s="535"/>
      <c r="D648" s="549"/>
      <c r="E648" s="538">
        <f t="shared" si="180"/>
        <v>0</v>
      </c>
      <c r="F648" s="541">
        <f>IF(C648="",0,IFERROR(VLOOKUP(COUNTIF($A$1:A648,"ANALISIS DE PRECIOS"),T_Rendimiento_Equipo,5,FALSE),0))</f>
        <v>0</v>
      </c>
      <c r="G648" s="538">
        <f t="shared" si="182"/>
        <v>0</v>
      </c>
    </row>
    <row r="649" spans="1:7" ht="19.899999999999999" customHeight="1" x14ac:dyDescent="0.2">
      <c r="A649" s="584">
        <f t="shared" si="178"/>
        <v>0</v>
      </c>
      <c r="B649" s="544">
        <f t="shared" si="179"/>
        <v>0</v>
      </c>
      <c r="C649" s="544"/>
      <c r="D649" s="550"/>
      <c r="E649" s="538">
        <f t="shared" si="180"/>
        <v>0</v>
      </c>
      <c r="F649" s="541">
        <f>IF(C649="",0,IFERROR(VLOOKUP(COUNTIF($A$1:A649,"ANALISIS DE PRECIOS"),T_Rendimiento_Equipo,5,FALSE),0))</f>
        <v>0</v>
      </c>
      <c r="G649" s="538">
        <f t="shared" si="182"/>
        <v>0</v>
      </c>
    </row>
    <row r="650" spans="1:7" ht="19.899999999999999" customHeight="1" x14ac:dyDescent="0.2">
      <c r="A650" s="585"/>
      <c r="B650" s="524"/>
      <c r="C650" s="528"/>
      <c r="D650" s="524"/>
      <c r="E650" s="525"/>
      <c r="F650" s="547" t="s">
        <v>28</v>
      </c>
      <c r="G650" s="587">
        <f>SUBTOTAL(9,G643:G649)</f>
        <v>0</v>
      </c>
    </row>
    <row r="651" spans="1:7" ht="19.899999999999999" customHeight="1" x14ac:dyDescent="0.2">
      <c r="A651" s="582"/>
      <c r="B651" s="528"/>
      <c r="C651" s="520" t="s">
        <v>992</v>
      </c>
      <c r="D651" s="524"/>
      <c r="E651" s="525"/>
      <c r="F651" s="526"/>
      <c r="G651" s="583"/>
    </row>
    <row r="652" spans="1:7" ht="19.899999999999999" customHeight="1" x14ac:dyDescent="0.2">
      <c r="A652" s="793" t="s">
        <v>576</v>
      </c>
      <c r="B652" s="794"/>
      <c r="C652" s="795" t="s">
        <v>0</v>
      </c>
      <c r="D652" s="795" t="s">
        <v>1740</v>
      </c>
      <c r="E652" s="797" t="s">
        <v>24</v>
      </c>
      <c r="F652" s="799" t="s">
        <v>25</v>
      </c>
      <c r="G652" s="801" t="s">
        <v>26</v>
      </c>
    </row>
    <row r="653" spans="1:7" ht="19.899999999999999" customHeight="1" x14ac:dyDescent="0.2">
      <c r="A653" s="543" t="s">
        <v>577</v>
      </c>
      <c r="B653" s="543" t="s">
        <v>578</v>
      </c>
      <c r="C653" s="796"/>
      <c r="D653" s="796"/>
      <c r="E653" s="798"/>
      <c r="F653" s="800"/>
      <c r="G653" s="802"/>
    </row>
    <row r="654" spans="1:7" ht="19.899999999999999" customHeight="1" x14ac:dyDescent="0.2">
      <c r="A654" s="584">
        <f t="shared" ref="A654:A664" si="183">IFERROR(VLOOKUP(C654,T_Insumos,4,FALSE),0)</f>
        <v>0</v>
      </c>
      <c r="B654" s="544">
        <f t="shared" ref="B654:B664" si="184">IFERROR(VLOOKUP(C654,T_Insumos,5,FALSE),0)</f>
        <v>0</v>
      </c>
      <c r="C654" s="544"/>
      <c r="D654" s="596">
        <f t="shared" ref="D654:D664" si="185">IFERROR(VLOOKUP(C654,T_Insumos,2,FALSE),0)</f>
        <v>0</v>
      </c>
      <c r="E654" s="536"/>
      <c r="F654" s="538">
        <f t="shared" ref="F654:F664" si="186">IFERROR(VLOOKUP(C654,T_Insumos,3,FALSE),0)</f>
        <v>0</v>
      </c>
      <c r="G654" s="538">
        <f>ROUND(E654*F654,2)</f>
        <v>0</v>
      </c>
    </row>
    <row r="655" spans="1:7" s="551" customFormat="1" ht="19.899999999999999" customHeight="1" x14ac:dyDescent="0.2">
      <c r="A655" s="584">
        <f t="shared" si="183"/>
        <v>0</v>
      </c>
      <c r="B655" s="544">
        <f t="shared" si="184"/>
        <v>0</v>
      </c>
      <c r="C655" s="544"/>
      <c r="D655" s="596">
        <f t="shared" si="185"/>
        <v>0</v>
      </c>
      <c r="E655" s="536"/>
      <c r="F655" s="538">
        <f t="shared" si="186"/>
        <v>0</v>
      </c>
      <c r="G655" s="538">
        <f t="shared" ref="G655:G664" si="187">ROUND(E655*F655,2)</f>
        <v>0</v>
      </c>
    </row>
    <row r="656" spans="1:7" ht="19.899999999999999" customHeight="1" x14ac:dyDescent="0.2">
      <c r="A656" s="584">
        <f t="shared" si="183"/>
        <v>0</v>
      </c>
      <c r="B656" s="544">
        <f t="shared" si="184"/>
        <v>0</v>
      </c>
      <c r="C656" s="544"/>
      <c r="D656" s="596">
        <f t="shared" si="185"/>
        <v>0</v>
      </c>
      <c r="E656" s="536"/>
      <c r="F656" s="538">
        <f t="shared" si="186"/>
        <v>0</v>
      </c>
      <c r="G656" s="538">
        <f t="shared" si="187"/>
        <v>0</v>
      </c>
    </row>
    <row r="657" spans="1:8" ht="19.899999999999999" customHeight="1" x14ac:dyDescent="0.2">
      <c r="A657" s="584">
        <f t="shared" si="183"/>
        <v>0</v>
      </c>
      <c r="B657" s="544">
        <f t="shared" si="184"/>
        <v>0</v>
      </c>
      <c r="C657" s="544"/>
      <c r="D657" s="596">
        <f t="shared" si="185"/>
        <v>0</v>
      </c>
      <c r="E657" s="536"/>
      <c r="F657" s="538">
        <f t="shared" si="186"/>
        <v>0</v>
      </c>
      <c r="G657" s="538">
        <f t="shared" si="187"/>
        <v>0</v>
      </c>
    </row>
    <row r="658" spans="1:8" ht="19.899999999999999" customHeight="1" x14ac:dyDescent="0.2">
      <c r="A658" s="584">
        <f t="shared" si="183"/>
        <v>0</v>
      </c>
      <c r="B658" s="544">
        <f t="shared" si="184"/>
        <v>0</v>
      </c>
      <c r="C658" s="544"/>
      <c r="D658" s="596">
        <f t="shared" si="185"/>
        <v>0</v>
      </c>
      <c r="E658" s="536"/>
      <c r="F658" s="538">
        <f t="shared" si="186"/>
        <v>0</v>
      </c>
      <c r="G658" s="538">
        <f t="shared" si="187"/>
        <v>0</v>
      </c>
    </row>
    <row r="659" spans="1:8" ht="19.899999999999999" customHeight="1" x14ac:dyDescent="0.2">
      <c r="A659" s="584">
        <f t="shared" si="183"/>
        <v>0</v>
      </c>
      <c r="B659" s="544">
        <f t="shared" si="184"/>
        <v>0</v>
      </c>
      <c r="C659" s="544"/>
      <c r="D659" s="596">
        <f t="shared" si="185"/>
        <v>0</v>
      </c>
      <c r="E659" s="536"/>
      <c r="F659" s="538">
        <f t="shared" si="186"/>
        <v>0</v>
      </c>
      <c r="G659" s="538">
        <f t="shared" si="187"/>
        <v>0</v>
      </c>
    </row>
    <row r="660" spans="1:8" ht="19.899999999999999" customHeight="1" x14ac:dyDescent="0.2">
      <c r="A660" s="584">
        <f t="shared" si="183"/>
        <v>0</v>
      </c>
      <c r="B660" s="544">
        <f t="shared" si="184"/>
        <v>0</v>
      </c>
      <c r="C660" s="544"/>
      <c r="D660" s="596">
        <f t="shared" si="185"/>
        <v>0</v>
      </c>
      <c r="E660" s="536"/>
      <c r="F660" s="538">
        <f t="shared" si="186"/>
        <v>0</v>
      </c>
      <c r="G660" s="538">
        <f t="shared" si="187"/>
        <v>0</v>
      </c>
    </row>
    <row r="661" spans="1:8" ht="19.899999999999999" customHeight="1" x14ac:dyDescent="0.2">
      <c r="A661" s="584">
        <f t="shared" si="183"/>
        <v>0</v>
      </c>
      <c r="B661" s="544">
        <f t="shared" si="184"/>
        <v>0</v>
      </c>
      <c r="C661" s="544"/>
      <c r="D661" s="596">
        <f t="shared" si="185"/>
        <v>0</v>
      </c>
      <c r="E661" s="536"/>
      <c r="F661" s="538">
        <f t="shared" si="186"/>
        <v>0</v>
      </c>
      <c r="G661" s="538">
        <f t="shared" si="187"/>
        <v>0</v>
      </c>
    </row>
    <row r="662" spans="1:8" ht="19.899999999999999" customHeight="1" x14ac:dyDescent="0.2">
      <c r="A662" s="584">
        <f t="shared" si="183"/>
        <v>0</v>
      </c>
      <c r="B662" s="544">
        <f t="shared" si="184"/>
        <v>0</v>
      </c>
      <c r="C662" s="544"/>
      <c r="D662" s="596">
        <f t="shared" si="185"/>
        <v>0</v>
      </c>
      <c r="E662" s="536"/>
      <c r="F662" s="538">
        <f t="shared" si="186"/>
        <v>0</v>
      </c>
      <c r="G662" s="538">
        <f t="shared" si="187"/>
        <v>0</v>
      </c>
    </row>
    <row r="663" spans="1:8" ht="19.899999999999999" customHeight="1" x14ac:dyDescent="0.2">
      <c r="A663" s="584">
        <f t="shared" si="183"/>
        <v>0</v>
      </c>
      <c r="B663" s="544">
        <f t="shared" si="184"/>
        <v>0</v>
      </c>
      <c r="C663" s="544"/>
      <c r="D663" s="596">
        <f t="shared" si="185"/>
        <v>0</v>
      </c>
      <c r="E663" s="536"/>
      <c r="F663" s="538">
        <f t="shared" si="186"/>
        <v>0</v>
      </c>
      <c r="G663" s="538">
        <f t="shared" si="187"/>
        <v>0</v>
      </c>
    </row>
    <row r="664" spans="1:8" ht="19.899999999999999" customHeight="1" x14ac:dyDescent="0.2">
      <c r="A664" s="584">
        <f t="shared" si="183"/>
        <v>0</v>
      </c>
      <c r="B664" s="544">
        <f t="shared" si="184"/>
        <v>0</v>
      </c>
      <c r="C664" s="544"/>
      <c r="D664" s="596">
        <f t="shared" si="185"/>
        <v>0</v>
      </c>
      <c r="E664" s="536"/>
      <c r="F664" s="538">
        <f t="shared" si="186"/>
        <v>0</v>
      </c>
      <c r="G664" s="538">
        <f t="shared" si="187"/>
        <v>0</v>
      </c>
    </row>
    <row r="665" spans="1:8" ht="19.899999999999999" customHeight="1" x14ac:dyDescent="0.2">
      <c r="A665" s="582"/>
      <c r="B665" s="528"/>
      <c r="C665" s="528"/>
      <c r="D665" s="524"/>
      <c r="E665" s="525"/>
      <c r="F665" s="547" t="s">
        <v>29</v>
      </c>
      <c r="G665" s="588">
        <f>SUBTOTAL(9,G654:G664)</f>
        <v>0</v>
      </c>
    </row>
    <row r="666" spans="1:8" ht="19.899999999999999" customHeight="1" x14ac:dyDescent="0.2">
      <c r="A666" s="582"/>
      <c r="B666" s="528"/>
      <c r="C666" s="520" t="s">
        <v>993</v>
      </c>
      <c r="D666" s="524"/>
      <c r="E666" s="525"/>
      <c r="F666" s="526"/>
      <c r="G666" s="583"/>
    </row>
    <row r="667" spans="1:8" ht="19.899999999999999" customHeight="1" x14ac:dyDescent="0.2">
      <c r="A667" s="793" t="s">
        <v>576</v>
      </c>
      <c r="B667" s="794"/>
      <c r="C667" s="795" t="s">
        <v>0</v>
      </c>
      <c r="D667" s="795" t="s">
        <v>1740</v>
      </c>
      <c r="E667" s="797" t="s">
        <v>24</v>
      </c>
      <c r="F667" s="799" t="s">
        <v>25</v>
      </c>
      <c r="G667" s="801" t="s">
        <v>26</v>
      </c>
    </row>
    <row r="668" spans="1:8" ht="19.899999999999999" customHeight="1" x14ac:dyDescent="0.2">
      <c r="A668" s="543" t="s">
        <v>577</v>
      </c>
      <c r="B668" s="543" t="s">
        <v>578</v>
      </c>
      <c r="C668" s="796"/>
      <c r="D668" s="796"/>
      <c r="E668" s="798"/>
      <c r="F668" s="800"/>
      <c r="G668" s="802"/>
    </row>
    <row r="669" spans="1:8" ht="19.899999999999999" customHeight="1" x14ac:dyDescent="0.2">
      <c r="A669" s="584">
        <f>IFERROR(VLOOKUP(C669,T_Insumos,4,FALSE),0)</f>
        <v>0</v>
      </c>
      <c r="B669" s="544">
        <f>IFERROR(VLOOKUP(C669,T_Insumos,5,FALSE),0)</f>
        <v>0</v>
      </c>
      <c r="C669" s="535"/>
      <c r="D669" s="596">
        <f>IF(C669=0,0,"$/tnkm")</f>
        <v>0</v>
      </c>
      <c r="E669" s="536"/>
      <c r="F669" s="538">
        <f>IFERROR(VLOOKUP(C669,T_Insumos,3,FALSE),0)</f>
        <v>0</v>
      </c>
      <c r="G669" s="538">
        <f>ROUND(E669*F669,2)</f>
        <v>0</v>
      </c>
    </row>
    <row r="670" spans="1:8" ht="19.899999999999999" customHeight="1" x14ac:dyDescent="0.2">
      <c r="A670" s="584">
        <f>IFERROR(VLOOKUP(C670,T_Insumos,4,FALSE),0)</f>
        <v>0</v>
      </c>
      <c r="B670" s="544">
        <f>IFERROR(VLOOKUP(C670,T_Insumos,5,FALSE),0)</f>
        <v>0</v>
      </c>
      <c r="C670" s="535"/>
      <c r="D670" s="596">
        <f>IF(C670=0,0,"$/tnkm")</f>
        <v>0</v>
      </c>
      <c r="E670" s="552"/>
      <c r="F670" s="538">
        <f>IFERROR(VLOOKUP(C670,T_Insumos,3,FALSE),0)</f>
        <v>0</v>
      </c>
      <c r="G670" s="538">
        <f t="shared" ref="G670" si="188">ROUND(E670*F670,2)</f>
        <v>0</v>
      </c>
    </row>
    <row r="671" spans="1:8" ht="19.899999999999999" customHeight="1" x14ac:dyDescent="0.2">
      <c r="A671" s="582"/>
      <c r="B671" s="528"/>
      <c r="C671" s="528"/>
      <c r="D671" s="524"/>
      <c r="E671" s="525"/>
      <c r="F671" s="547" t="s">
        <v>994</v>
      </c>
      <c r="G671" s="588">
        <f>SUBTOTAL(9,G669:G670)</f>
        <v>0</v>
      </c>
      <c r="H671" s="516"/>
    </row>
    <row r="672" spans="1:8" ht="19.899999999999999" customHeight="1" x14ac:dyDescent="0.2">
      <c r="A672" s="585"/>
      <c r="B672" s="524"/>
      <c r="C672" s="528"/>
      <c r="D672" s="524"/>
      <c r="E672" s="525"/>
      <c r="F672" s="526"/>
      <c r="G672" s="583"/>
      <c r="H672" s="516"/>
    </row>
    <row r="673" spans="1:8" ht="19.899999999999999" customHeight="1" x14ac:dyDescent="0.2">
      <c r="A673" s="647" t="str">
        <f>B607</f>
        <v>3.2</v>
      </c>
      <c r="B673" s="644" t="str">
        <f ca="1">C607</f>
        <v>Relleno y compactacion de posibles oquedadas laterales</v>
      </c>
      <c r="C673" s="524"/>
      <c r="D673" s="524" t="s">
        <v>1719</v>
      </c>
      <c r="E673" s="645"/>
      <c r="F673" s="646" t="str">
        <f ca="1">"$/"&amp;G607</f>
        <v>$/m3</v>
      </c>
      <c r="G673" s="593">
        <f>SUBTOTAL(9,G630:G672)</f>
        <v>0</v>
      </c>
      <c r="H673" s="516"/>
    </row>
    <row r="674" spans="1:8" ht="19.899999999999999" customHeight="1" x14ac:dyDescent="0.2">
      <c r="A674" s="589"/>
      <c r="B674" s="590"/>
      <c r="C674" s="591"/>
      <c r="D674" s="591" t="s">
        <v>1915</v>
      </c>
      <c r="E674" s="592"/>
      <c r="F674" s="648" t="str">
        <f ca="1">"$/"&amp;G607</f>
        <v>$/m3</v>
      </c>
      <c r="G674" s="593">
        <f>ROUND(G673*Coeficiente_Paso,2)</f>
        <v>0</v>
      </c>
      <c r="H674" s="516"/>
    </row>
    <row r="675" spans="1:8" ht="19.899999999999999" customHeight="1" x14ac:dyDescent="0.2">
      <c r="A675" s="185"/>
      <c r="B675" s="185"/>
      <c r="C675" s="185"/>
      <c r="D675" s="185"/>
      <c r="E675" s="185"/>
      <c r="F675" s="185"/>
      <c r="G675" s="185"/>
      <c r="H675" s="516"/>
    </row>
    <row r="676" spans="1:8" ht="19.899999999999999" customHeight="1" x14ac:dyDescent="0.2">
      <c r="A676" s="803" t="s">
        <v>31</v>
      </c>
      <c r="B676" s="804"/>
      <c r="C676" s="804"/>
      <c r="D676" s="804"/>
      <c r="E676" s="804"/>
      <c r="F676" s="804"/>
      <c r="G676" s="805"/>
    </row>
    <row r="677" spans="1:8" ht="19.899999999999999" customHeight="1" x14ac:dyDescent="0.2">
      <c r="A677" s="570" t="s">
        <v>711</v>
      </c>
      <c r="B677" s="518" t="str">
        <f>Comitente</f>
        <v>DEPARTAMENTO DE HIDRAULICA</v>
      </c>
      <c r="C677" s="519"/>
      <c r="D677" s="520"/>
      <c r="E677" s="520"/>
      <c r="F677" s="521"/>
      <c r="G677" s="571"/>
    </row>
    <row r="678" spans="1:8" ht="19.899999999999999" customHeight="1" x14ac:dyDescent="0.2">
      <c r="A678" s="570" t="s">
        <v>712</v>
      </c>
      <c r="B678" s="518">
        <f>Contratista</f>
        <v>0</v>
      </c>
      <c r="C678" s="522"/>
      <c r="D678" s="522"/>
      <c r="E678" s="522"/>
      <c r="F678" s="518"/>
      <c r="G678" s="572"/>
    </row>
    <row r="679" spans="1:8" ht="19.899999999999999" customHeight="1" x14ac:dyDescent="0.2">
      <c r="A679" s="570" t="s">
        <v>21</v>
      </c>
      <c r="B679" s="518" t="str">
        <f>Obra</f>
        <v>ENCAMISADO CANAL GENERAL COCHAGUAL</v>
      </c>
      <c r="C679" s="522"/>
      <c r="D679" s="522"/>
      <c r="E679" s="522"/>
      <c r="F679" s="518" t="s">
        <v>32</v>
      </c>
      <c r="G679" s="572">
        <f>Fecha_Base</f>
        <v>44319</v>
      </c>
    </row>
    <row r="680" spans="1:8" ht="19.899999999999999" customHeight="1" x14ac:dyDescent="0.2">
      <c r="A680" s="573" t="s">
        <v>710</v>
      </c>
      <c r="B680" s="523" t="str">
        <f>Ubicación</f>
        <v>DEPARTAMENTO SARMIENTO</v>
      </c>
      <c r="C680" s="523"/>
      <c r="D680" s="524"/>
      <c r="E680" s="525"/>
      <c r="F680" s="526"/>
      <c r="G680" s="574"/>
    </row>
    <row r="681" spans="1:8" ht="19.899999999999999" customHeight="1" x14ac:dyDescent="0.2">
      <c r="A681" s="573" t="s">
        <v>33</v>
      </c>
      <c r="B681" s="527">
        <f>IFERROR(VALUE(LEFT(B682,FIND(".",B682)-1)),"")</f>
        <v>3</v>
      </c>
      <c r="C681" s="528" t="str">
        <f ca="1">IFERROR(VLOOKUP(B681,T_Computo_Presupuesto,2,FALSE),0)</f>
        <v>CANAL GENERAL COCHAGUAL Progresiva 9860-10860</v>
      </c>
      <c r="D681" s="528"/>
      <c r="E681" s="525"/>
      <c r="F681" s="526"/>
      <c r="G681" s="574"/>
    </row>
    <row r="682" spans="1:8" ht="19.899999999999999" customHeight="1" x14ac:dyDescent="0.2">
      <c r="A682" s="573" t="s">
        <v>22</v>
      </c>
      <c r="B682" s="529" t="str">
        <f>IFERROR(VLOOKUP(COUNTIF($A$1:A682,"ANALISIS DE PRECIOS"),T_NumeroItem,2,FALSE),"")</f>
        <v>3.3</v>
      </c>
      <c r="C682" s="806" t="str">
        <f ca="1">IFERROR(VLOOKUP(B682,T_Computo_Presupuesto,2,FALSE),0)</f>
        <v>Relleno y compactacion de posibles oquedades laterales con la adicion de una bolsa de cemento portland puzolanico por m3 de rellemo</v>
      </c>
      <c r="D682" s="806"/>
      <c r="E682" s="806"/>
      <c r="F682" s="523" t="s">
        <v>23</v>
      </c>
      <c r="G682" s="575" t="str">
        <f ca="1">IFERROR(VLOOKUP(B682,T_Computo_Presupuesto,4,FALSE),0)</f>
        <v>m3</v>
      </c>
    </row>
    <row r="683" spans="1:8" ht="19.899999999999999" customHeight="1" x14ac:dyDescent="0.2">
      <c r="A683" s="573"/>
      <c r="B683" s="523"/>
      <c r="C683" s="528"/>
      <c r="D683" s="524"/>
      <c r="E683" s="525"/>
      <c r="F683" s="528"/>
      <c r="G683" s="576"/>
    </row>
    <row r="684" spans="1:8" ht="19.899999999999999" customHeight="1" x14ac:dyDescent="0.2">
      <c r="A684" s="577"/>
      <c r="B684" s="530"/>
      <c r="C684" s="531" t="s">
        <v>977</v>
      </c>
      <c r="D684" s="530"/>
      <c r="E684" s="530"/>
      <c r="F684" s="530"/>
      <c r="G684" s="578"/>
    </row>
    <row r="685" spans="1:8" ht="19.899999999999999" customHeight="1" x14ac:dyDescent="0.2">
      <c r="A685" s="573"/>
      <c r="B685" s="532"/>
      <c r="C685" s="528"/>
      <c r="D685" s="524"/>
      <c r="E685" s="525"/>
      <c r="F685" s="523"/>
      <c r="G685" s="575"/>
    </row>
    <row r="686" spans="1:8" ht="19.899999999999999" customHeight="1" x14ac:dyDescent="0.2">
      <c r="A686" s="573"/>
      <c r="B686" s="532"/>
      <c r="C686" s="533" t="s">
        <v>978</v>
      </c>
      <c r="D686" s="534" t="s">
        <v>24</v>
      </c>
      <c r="E686" s="534" t="s">
        <v>979</v>
      </c>
      <c r="F686" s="534" t="s">
        <v>980</v>
      </c>
      <c r="G686" s="533" t="s">
        <v>981</v>
      </c>
    </row>
    <row r="687" spans="1:8" ht="19.899999999999999" customHeight="1" x14ac:dyDescent="0.2">
      <c r="A687" s="573"/>
      <c r="B687" s="532"/>
      <c r="C687" s="535">
        <f>+C87</f>
        <v>0</v>
      </c>
      <c r="D687" s="535"/>
      <c r="E687" s="537">
        <f t="shared" ref="E687:E696" si="189">IFERROR(VLOOKUP(C687,T_Equipos,4,FALSE),0)</f>
        <v>0</v>
      </c>
      <c r="F687" s="538">
        <f t="shared" ref="F687:F696" si="190">IFERROR(VLOOKUP(C687,T_Equipos,5,FALSE),0)</f>
        <v>0</v>
      </c>
      <c r="G687" s="538">
        <f>ROUND(D687*F687,2)</f>
        <v>0</v>
      </c>
    </row>
    <row r="688" spans="1:8" ht="19.899999999999999" customHeight="1" x14ac:dyDescent="0.2">
      <c r="A688" s="573"/>
      <c r="B688" s="532"/>
      <c r="C688" s="535">
        <f t="shared" ref="C688:C689" si="191">+C88</f>
        <v>0</v>
      </c>
      <c r="D688" s="535"/>
      <c r="E688" s="537">
        <f t="shared" si="189"/>
        <v>0</v>
      </c>
      <c r="F688" s="538">
        <f t="shared" si="190"/>
        <v>0</v>
      </c>
      <c r="G688" s="538">
        <f>ROUND(D688*F688,2)</f>
        <v>0</v>
      </c>
    </row>
    <row r="689" spans="1:8" ht="19.899999999999999" customHeight="1" x14ac:dyDescent="0.2">
      <c r="A689" s="573"/>
      <c r="B689" s="532"/>
      <c r="C689" s="535">
        <f t="shared" si="191"/>
        <v>0</v>
      </c>
      <c r="D689" s="535"/>
      <c r="E689" s="537">
        <f t="shared" si="189"/>
        <v>0</v>
      </c>
      <c r="F689" s="538">
        <f t="shared" si="190"/>
        <v>0</v>
      </c>
      <c r="G689" s="538">
        <f>ROUND(D689*F689,2)</f>
        <v>0</v>
      </c>
    </row>
    <row r="690" spans="1:8" ht="19.899999999999999" customHeight="1" x14ac:dyDescent="0.2">
      <c r="A690" s="573"/>
      <c r="B690" s="532"/>
      <c r="C690" s="535"/>
      <c r="D690" s="535"/>
      <c r="E690" s="537">
        <f t="shared" si="189"/>
        <v>0</v>
      </c>
      <c r="F690" s="538">
        <f t="shared" si="190"/>
        <v>0</v>
      </c>
      <c r="G690" s="538">
        <f>ROUND(D690*F690,2)</f>
        <v>0</v>
      </c>
    </row>
    <row r="691" spans="1:8" ht="19.899999999999999" customHeight="1" x14ac:dyDescent="0.2">
      <c r="A691" s="573"/>
      <c r="B691" s="532"/>
      <c r="C691" s="535"/>
      <c r="D691" s="535"/>
      <c r="E691" s="537">
        <f t="shared" si="189"/>
        <v>0</v>
      </c>
      <c r="F691" s="538">
        <f t="shared" si="190"/>
        <v>0</v>
      </c>
      <c r="G691" s="538">
        <f t="shared" ref="G691:G696" si="192">ROUND(D691*F691,2)</f>
        <v>0</v>
      </c>
    </row>
    <row r="692" spans="1:8" ht="19.899999999999999" customHeight="1" x14ac:dyDescent="0.2">
      <c r="A692" s="573"/>
      <c r="B692" s="532"/>
      <c r="C692" s="535"/>
      <c r="D692" s="536"/>
      <c r="E692" s="537">
        <f t="shared" si="189"/>
        <v>0</v>
      </c>
      <c r="F692" s="538">
        <f t="shared" si="190"/>
        <v>0</v>
      </c>
      <c r="G692" s="538">
        <f t="shared" si="192"/>
        <v>0</v>
      </c>
    </row>
    <row r="693" spans="1:8" ht="19.899999999999999" customHeight="1" x14ac:dyDescent="0.2">
      <c r="A693" s="573"/>
      <c r="B693" s="532"/>
      <c r="C693" s="535"/>
      <c r="D693" s="536"/>
      <c r="E693" s="537">
        <f t="shared" si="189"/>
        <v>0</v>
      </c>
      <c r="F693" s="538">
        <f t="shared" si="190"/>
        <v>0</v>
      </c>
      <c r="G693" s="538">
        <f t="shared" si="192"/>
        <v>0</v>
      </c>
    </row>
    <row r="694" spans="1:8" ht="19.899999999999999" customHeight="1" x14ac:dyDescent="0.2">
      <c r="A694" s="573"/>
      <c r="B694" s="532"/>
      <c r="C694" s="535"/>
      <c r="D694" s="536"/>
      <c r="E694" s="537">
        <f t="shared" si="189"/>
        <v>0</v>
      </c>
      <c r="F694" s="538">
        <f t="shared" si="190"/>
        <v>0</v>
      </c>
      <c r="G694" s="538">
        <f t="shared" si="192"/>
        <v>0</v>
      </c>
    </row>
    <row r="695" spans="1:8" ht="19.899999999999999" customHeight="1" x14ac:dyDescent="0.2">
      <c r="A695" s="573"/>
      <c r="B695" s="532"/>
      <c r="C695" s="535"/>
      <c r="D695" s="536"/>
      <c r="E695" s="537">
        <f t="shared" si="189"/>
        <v>0</v>
      </c>
      <c r="F695" s="538">
        <f t="shared" si="190"/>
        <v>0</v>
      </c>
      <c r="G695" s="538">
        <f t="shared" si="192"/>
        <v>0</v>
      </c>
    </row>
    <row r="696" spans="1:8" ht="19.899999999999999" customHeight="1" x14ac:dyDescent="0.2">
      <c r="A696" s="573"/>
      <c r="B696" s="532"/>
      <c r="C696" s="535"/>
      <c r="D696" s="536"/>
      <c r="E696" s="537">
        <f t="shared" si="189"/>
        <v>0</v>
      </c>
      <c r="F696" s="538">
        <f t="shared" si="190"/>
        <v>0</v>
      </c>
      <c r="G696" s="538">
        <f t="shared" si="192"/>
        <v>0</v>
      </c>
      <c r="H696" s="735"/>
    </row>
    <row r="697" spans="1:8" ht="19.899999999999999" customHeight="1" x14ac:dyDescent="0.2">
      <c r="A697" s="573"/>
      <c r="B697" s="532"/>
      <c r="C697" s="528"/>
      <c r="D697" s="528"/>
      <c r="E697" s="539"/>
      <c r="F697" s="523"/>
      <c r="G697" s="575"/>
    </row>
    <row r="698" spans="1:8" ht="19.899999999999999" customHeight="1" x14ac:dyDescent="0.2">
      <c r="A698" s="573"/>
      <c r="B698" s="528"/>
      <c r="C698" s="520" t="s">
        <v>982</v>
      </c>
      <c r="D698" s="523" t="s">
        <v>979</v>
      </c>
      <c r="E698" s="594">
        <f>SUMPRODUCT(D687:D696,E687:E696)</f>
        <v>0</v>
      </c>
      <c r="F698" s="523" t="s">
        <v>983</v>
      </c>
      <c r="G698" s="595">
        <f>SUM(G687:G696)</f>
        <v>0</v>
      </c>
    </row>
    <row r="699" spans="1:8" ht="19.899999999999999" customHeight="1" x14ac:dyDescent="0.2">
      <c r="A699" s="573"/>
      <c r="B699" s="532"/>
      <c r="C699" s="540"/>
      <c r="D699" s="539"/>
      <c r="E699" s="525"/>
      <c r="F699" s="523"/>
      <c r="G699" s="579"/>
    </row>
    <row r="700" spans="1:8" ht="19.899999999999999" customHeight="1" x14ac:dyDescent="0.2">
      <c r="A700" s="580"/>
      <c r="B700" s="532"/>
      <c r="C700" s="523" t="s">
        <v>984</v>
      </c>
      <c r="D700" s="541">
        <f>IFERROR(VLOOKUP(COUNTIF($A$1:A700,"ANALISIS DE PRECIOS"),T_Rendimiento_Equipo,5,FALSE),0)</f>
        <v>0</v>
      </c>
      <c r="E700" s="542" t="str">
        <f ca="1">G682&amp;"/día"</f>
        <v>m3/día</v>
      </c>
      <c r="F700" s="581"/>
      <c r="G700" s="575"/>
    </row>
    <row r="701" spans="1:8" ht="19.899999999999999" customHeight="1" x14ac:dyDescent="0.2">
      <c r="A701" s="573"/>
      <c r="B701" s="532"/>
      <c r="C701" s="528"/>
      <c r="D701" s="524"/>
      <c r="E701" s="525"/>
      <c r="F701" s="523"/>
      <c r="G701" s="575"/>
    </row>
    <row r="702" spans="1:8" ht="19.899999999999999" customHeight="1" x14ac:dyDescent="0.2">
      <c r="A702" s="793" t="s">
        <v>576</v>
      </c>
      <c r="B702" s="794"/>
      <c r="C702" s="795" t="s">
        <v>0</v>
      </c>
      <c r="D702" s="807" t="s">
        <v>1739</v>
      </c>
      <c r="E702" s="807" t="s">
        <v>1738</v>
      </c>
      <c r="F702" s="799" t="s">
        <v>985</v>
      </c>
      <c r="G702" s="801" t="s">
        <v>26</v>
      </c>
    </row>
    <row r="703" spans="1:8" ht="19.899999999999999" customHeight="1" x14ac:dyDescent="0.2">
      <c r="A703" s="543" t="s">
        <v>577</v>
      </c>
      <c r="B703" s="543" t="s">
        <v>578</v>
      </c>
      <c r="C703" s="796"/>
      <c r="D703" s="808"/>
      <c r="E703" s="798"/>
      <c r="F703" s="800"/>
      <c r="G703" s="802"/>
    </row>
    <row r="704" spans="1:8" ht="19.899999999999999" customHeight="1" x14ac:dyDescent="0.2">
      <c r="A704" s="582"/>
      <c r="B704" s="528"/>
      <c r="C704" s="520" t="s">
        <v>986</v>
      </c>
      <c r="D704" s="525"/>
      <c r="E704" s="525"/>
      <c r="F704" s="528"/>
      <c r="G704" s="583"/>
    </row>
    <row r="705" spans="1:7" ht="19.899999999999999" customHeight="1" x14ac:dyDescent="0.2">
      <c r="A705" s="584">
        <f t="shared" ref="A705:A713" si="193">IFERROR(VLOOKUP(C705,T_Insumos,4,FALSE),0)</f>
        <v>0</v>
      </c>
      <c r="B705" s="544">
        <f t="shared" ref="B705:B713" si="194">IFERROR(VLOOKUP(C705,T_Insumos,5,FALSE),0)</f>
        <v>0</v>
      </c>
      <c r="C705" s="535">
        <f>+C30</f>
        <v>0</v>
      </c>
      <c r="D705" s="545">
        <f t="shared" ref="D705:D713" si="195">IFERROR(VLOOKUP(C705,T_Insumos,3,FALSE),0)</f>
        <v>0</v>
      </c>
      <c r="E705" s="538">
        <f>D705*$G$698</f>
        <v>0</v>
      </c>
      <c r="F705" s="541">
        <f>IF(C705="",0,IFERROR(VLOOKUP(COUNTIF($A$1:A705,"ANALISIS DE PRECIOS"),T_Rendimiento_Equipo,5,FALSE),0))</f>
        <v>0</v>
      </c>
      <c r="G705" s="538">
        <f>IFERROR(ROUND(E705/F705,2),0)</f>
        <v>0</v>
      </c>
    </row>
    <row r="706" spans="1:7" ht="19.899999999999999" customHeight="1" x14ac:dyDescent="0.2">
      <c r="A706" s="584">
        <f t="shared" si="193"/>
        <v>0</v>
      </c>
      <c r="B706" s="544">
        <f t="shared" si="194"/>
        <v>0</v>
      </c>
      <c r="C706" s="535">
        <f t="shared" ref="C706:C708" si="196">+C31</f>
        <v>0</v>
      </c>
      <c r="D706" s="545">
        <f t="shared" si="195"/>
        <v>0</v>
      </c>
      <c r="E706" s="538">
        <f t="shared" ref="E706:E707" si="197">D706*$G$698</f>
        <v>0</v>
      </c>
      <c r="F706" s="541">
        <f>IF(C706="",0,IFERROR(VLOOKUP(COUNTIF($A$1:A706,"ANALISIS DE PRECIOS"),T_Rendimiento_Equipo,5,FALSE),0))</f>
        <v>0</v>
      </c>
      <c r="G706" s="538">
        <f t="shared" ref="G706:G713" si="198">IFERROR(ROUND(E706/F706,2),0)</f>
        <v>0</v>
      </c>
    </row>
    <row r="707" spans="1:7" ht="19.899999999999999" customHeight="1" x14ac:dyDescent="0.2">
      <c r="A707" s="584">
        <f t="shared" si="193"/>
        <v>0</v>
      </c>
      <c r="B707" s="544">
        <f t="shared" si="194"/>
        <v>0</v>
      </c>
      <c r="C707" s="535">
        <f t="shared" si="196"/>
        <v>0</v>
      </c>
      <c r="D707" s="545">
        <f t="shared" si="195"/>
        <v>0</v>
      </c>
      <c r="E707" s="538">
        <f t="shared" si="197"/>
        <v>0</v>
      </c>
      <c r="F707" s="541">
        <f>IF(C707="",0,IFERROR(VLOOKUP(COUNTIF($A$1:A707,"ANALISIS DE PRECIOS"),T_Rendimiento_Equipo,5,FALSE),0))</f>
        <v>0</v>
      </c>
      <c r="G707" s="538">
        <f t="shared" si="198"/>
        <v>0</v>
      </c>
    </row>
    <row r="708" spans="1:7" ht="19.899999999999999" customHeight="1" x14ac:dyDescent="0.2">
      <c r="A708" s="584">
        <f t="shared" si="193"/>
        <v>0</v>
      </c>
      <c r="B708" s="544">
        <f t="shared" si="194"/>
        <v>0</v>
      </c>
      <c r="C708" s="535">
        <f t="shared" si="196"/>
        <v>0</v>
      </c>
      <c r="D708" s="545">
        <f t="shared" si="195"/>
        <v>0</v>
      </c>
      <c r="E708" s="538">
        <f>D708*$E$698</f>
        <v>0</v>
      </c>
      <c r="F708" s="541">
        <f>IF(C708="",0,IFERROR(VLOOKUP(COUNTIF($A$1:A708,"ANALISIS DE PRECIOS"),T_Rendimiento_Equipo,5,FALSE),0))</f>
        <v>0</v>
      </c>
      <c r="G708" s="538">
        <f t="shared" si="198"/>
        <v>0</v>
      </c>
    </row>
    <row r="709" spans="1:7" ht="19.899999999999999" customHeight="1" x14ac:dyDescent="0.2">
      <c r="A709" s="584">
        <f t="shared" si="193"/>
        <v>0</v>
      </c>
      <c r="B709" s="544">
        <f t="shared" si="194"/>
        <v>0</v>
      </c>
      <c r="C709" s="546"/>
      <c r="D709" s="545">
        <f t="shared" si="195"/>
        <v>0</v>
      </c>
      <c r="E709" s="538"/>
      <c r="F709" s="541">
        <f>IF(C709="",0,IFERROR(VLOOKUP(COUNTIF($A$1:A709,"ANALISIS DE PRECIOS"),T_Rendimiento_Equipo,5,FALSE),0))</f>
        <v>0</v>
      </c>
      <c r="G709" s="538">
        <f t="shared" si="198"/>
        <v>0</v>
      </c>
    </row>
    <row r="710" spans="1:7" ht="19.899999999999999" customHeight="1" x14ac:dyDescent="0.2">
      <c r="A710" s="584">
        <f t="shared" si="193"/>
        <v>0</v>
      </c>
      <c r="B710" s="544">
        <f t="shared" si="194"/>
        <v>0</v>
      </c>
      <c r="C710" s="546"/>
      <c r="D710" s="545">
        <f t="shared" si="195"/>
        <v>0</v>
      </c>
      <c r="E710" s="538"/>
      <c r="F710" s="541">
        <f>IF(C710="",0,IFERROR(VLOOKUP(COUNTIF($A$1:A710,"ANALISIS DE PRECIOS"),T_Rendimiento_Equipo,5,FALSE),0))</f>
        <v>0</v>
      </c>
      <c r="G710" s="538">
        <f t="shared" si="198"/>
        <v>0</v>
      </c>
    </row>
    <row r="711" spans="1:7" ht="19.899999999999999" customHeight="1" x14ac:dyDescent="0.2">
      <c r="A711" s="584">
        <f t="shared" si="193"/>
        <v>0</v>
      </c>
      <c r="B711" s="544">
        <f t="shared" si="194"/>
        <v>0</v>
      </c>
      <c r="C711" s="546"/>
      <c r="D711" s="545">
        <f t="shared" si="195"/>
        <v>0</v>
      </c>
      <c r="E711" s="538"/>
      <c r="F711" s="541">
        <f>IF(C711="",0,IFERROR(VLOOKUP(COUNTIF($A$1:A711,"ANALISIS DE PRECIOS"),T_Rendimiento_Equipo,5,FALSE),0))</f>
        <v>0</v>
      </c>
      <c r="G711" s="538">
        <f t="shared" si="198"/>
        <v>0</v>
      </c>
    </row>
    <row r="712" spans="1:7" ht="19.899999999999999" customHeight="1" x14ac:dyDescent="0.2">
      <c r="A712" s="584">
        <f t="shared" si="193"/>
        <v>0</v>
      </c>
      <c r="B712" s="544">
        <f t="shared" si="194"/>
        <v>0</v>
      </c>
      <c r="C712" s="546"/>
      <c r="D712" s="545">
        <f t="shared" si="195"/>
        <v>0</v>
      </c>
      <c r="E712" s="538"/>
      <c r="F712" s="541">
        <f>IF(C712="",0,IFERROR(VLOOKUP(COUNTIF($A$1:A712,"ANALISIS DE PRECIOS"),T_Rendimiento_Equipo,5,FALSE),0))</f>
        <v>0</v>
      </c>
      <c r="G712" s="538">
        <f t="shared" si="198"/>
        <v>0</v>
      </c>
    </row>
    <row r="713" spans="1:7" ht="19.899999999999999" customHeight="1" x14ac:dyDescent="0.2">
      <c r="A713" s="584">
        <f t="shared" si="193"/>
        <v>0</v>
      </c>
      <c r="B713" s="544">
        <f t="shared" si="194"/>
        <v>0</v>
      </c>
      <c r="C713" s="535"/>
      <c r="D713" s="545">
        <f t="shared" si="195"/>
        <v>0</v>
      </c>
      <c r="E713" s="538"/>
      <c r="F713" s="541">
        <f>IF(C713="",0,IFERROR(VLOOKUP(COUNTIF($A$1:A713,"ANALISIS DE PRECIOS"),T_Rendimiento_Equipo,5,FALSE),0))</f>
        <v>0</v>
      </c>
      <c r="G713" s="538">
        <f t="shared" si="198"/>
        <v>0</v>
      </c>
    </row>
    <row r="714" spans="1:7" ht="19.899999999999999" customHeight="1" x14ac:dyDescent="0.2">
      <c r="A714" s="585"/>
      <c r="B714" s="524"/>
      <c r="C714" s="528"/>
      <c r="D714" s="524"/>
      <c r="E714" s="525"/>
      <c r="F714" s="547" t="s">
        <v>27</v>
      </c>
      <c r="G714" s="586">
        <f>SUBTOTAL(9,G705:G713)</f>
        <v>0</v>
      </c>
    </row>
    <row r="715" spans="1:7" ht="19.899999999999999" customHeight="1" x14ac:dyDescent="0.2">
      <c r="A715" s="582"/>
      <c r="B715" s="528"/>
      <c r="C715" s="520" t="s">
        <v>713</v>
      </c>
      <c r="D715" s="524"/>
      <c r="E715" s="525"/>
      <c r="F715" s="526"/>
      <c r="G715" s="583"/>
    </row>
    <row r="716" spans="1:7" ht="19.899999999999999" customHeight="1" x14ac:dyDescent="0.2">
      <c r="A716" s="793" t="s">
        <v>576</v>
      </c>
      <c r="B716" s="794"/>
      <c r="C716" s="795" t="s">
        <v>0</v>
      </c>
      <c r="D716" s="797" t="s">
        <v>24</v>
      </c>
      <c r="E716" s="797" t="s">
        <v>1718</v>
      </c>
      <c r="F716" s="799" t="s">
        <v>985</v>
      </c>
      <c r="G716" s="801" t="s">
        <v>26</v>
      </c>
    </row>
    <row r="717" spans="1:7" ht="19.899999999999999" customHeight="1" x14ac:dyDescent="0.2">
      <c r="A717" s="543" t="s">
        <v>577</v>
      </c>
      <c r="B717" s="543" t="s">
        <v>578</v>
      </c>
      <c r="C717" s="796"/>
      <c r="D717" s="798"/>
      <c r="E717" s="798"/>
      <c r="F717" s="800"/>
      <c r="G717" s="802"/>
    </row>
    <row r="718" spans="1:7" ht="19.899999999999999" customHeight="1" x14ac:dyDescent="0.2">
      <c r="A718" s="584" t="str">
        <f t="shared" ref="A718:A724" si="199">IFERROR(VLOOKUP(C718,T_Insumos,4,FALSE),0)</f>
        <v>IIEE-SJ - 1</v>
      </c>
      <c r="B718" s="544" t="str">
        <f t="shared" ref="B718:B724" si="200">IFERROR(VLOOKUP(C718,T_Insumos,5,FALSE),0)</f>
        <v>Mano de Obra</v>
      </c>
      <c r="C718" s="548" t="str">
        <f>+C43</f>
        <v>Mano de obra</v>
      </c>
      <c r="D718" s="541"/>
      <c r="E718" s="538">
        <f t="shared" ref="E718:E724" si="201">IFERROR(VLOOKUP(C718,T_Insumos,3,FALSE),0)</f>
        <v>0</v>
      </c>
      <c r="F718" s="541">
        <f>IF(C718="",0,IFERROR(VLOOKUP(COUNTIF($A$1:A718,"ANALISIS DE PRECIOS"),T_Rendimiento_Equipo,5,FALSE),0))</f>
        <v>0</v>
      </c>
      <c r="G718" s="538">
        <f>IFERROR(ROUND(D718*E718/F718,2),0)</f>
        <v>0</v>
      </c>
    </row>
    <row r="719" spans="1:7" ht="19.899999999999999" customHeight="1" x14ac:dyDescent="0.2">
      <c r="A719" s="584" t="str">
        <f t="shared" si="199"/>
        <v>INDEC-CM - 37510-11</v>
      </c>
      <c r="B719" s="544" t="str">
        <f t="shared" si="200"/>
        <v>Hormigón elaborado</v>
      </c>
      <c r="C719" s="548" t="str">
        <f t="shared" ref="C719:C721" si="202">+C44</f>
        <v>Hormigon Elaborado</v>
      </c>
      <c r="D719" s="541"/>
      <c r="E719" s="538">
        <f t="shared" si="201"/>
        <v>0</v>
      </c>
      <c r="F719" s="541">
        <f>IF(C719="",0,IFERROR(VLOOKUP(COUNTIF($A$1:A719,"ANALISIS DE PRECIOS"),T_Rendimiento_Equipo,5,FALSE),0))</f>
        <v>0</v>
      </c>
      <c r="G719" s="538">
        <f t="shared" ref="G719:G724" si="203">IFERROR(ROUND(D719*E719/F719,2),0)</f>
        <v>0</v>
      </c>
    </row>
    <row r="720" spans="1:7" ht="19.899999999999999" customHeight="1" x14ac:dyDescent="0.2">
      <c r="A720" s="584" t="str">
        <f t="shared" si="199"/>
        <v>INDEC-DCTO - Inciso j)</v>
      </c>
      <c r="B720" s="544" t="str">
        <f t="shared" si="200"/>
        <v>Equipo - Amortización de equipo</v>
      </c>
      <c r="C720" s="548" t="str">
        <f t="shared" si="202"/>
        <v>Equipo - Amortizacion de equipo</v>
      </c>
      <c r="D720" s="541"/>
      <c r="E720" s="538">
        <f t="shared" si="201"/>
        <v>0</v>
      </c>
      <c r="F720" s="541">
        <f>IF(C720="",0,IFERROR(VLOOKUP(COUNTIF($A$1:A720,"ANALISIS DE PRECIOS"),T_Rendimiento_Equipo,5,FALSE),0))</f>
        <v>0</v>
      </c>
      <c r="G720" s="538">
        <f t="shared" si="203"/>
        <v>0</v>
      </c>
    </row>
    <row r="721" spans="1:7" ht="19.899999999999999" customHeight="1" x14ac:dyDescent="0.2">
      <c r="A721" s="584" t="str">
        <f t="shared" si="199"/>
        <v>INDEC-CM - 41242-11</v>
      </c>
      <c r="B721" s="544" t="str">
        <f t="shared" si="200"/>
        <v>Acero aletado conformado, en barra</v>
      </c>
      <c r="C721" s="548" t="str">
        <f t="shared" si="202"/>
        <v>Hierro</v>
      </c>
      <c r="D721" s="541"/>
      <c r="E721" s="538">
        <f t="shared" si="201"/>
        <v>0</v>
      </c>
      <c r="F721" s="541">
        <f>IF(C721="",0,IFERROR(VLOOKUP(COUNTIF($A$1:A721,"ANALISIS DE PRECIOS"),T_Rendimiento_Equipo,5,FALSE),0))</f>
        <v>0</v>
      </c>
      <c r="G721" s="538">
        <f t="shared" si="203"/>
        <v>0</v>
      </c>
    </row>
    <row r="722" spans="1:7" ht="19.899999999999999" customHeight="1" x14ac:dyDescent="0.2">
      <c r="A722" s="584">
        <f t="shared" si="199"/>
        <v>0</v>
      </c>
      <c r="B722" s="544">
        <f t="shared" si="200"/>
        <v>0</v>
      </c>
      <c r="C722" s="535"/>
      <c r="D722" s="541"/>
      <c r="E722" s="538">
        <f t="shared" si="201"/>
        <v>0</v>
      </c>
      <c r="F722" s="541">
        <f>IF(C722="",0,IFERROR(VLOOKUP(COUNTIF($A$1:A722,"ANALISIS DE PRECIOS"),T_Rendimiento_Equipo,5,FALSE),0))</f>
        <v>0</v>
      </c>
      <c r="G722" s="538">
        <f t="shared" si="203"/>
        <v>0</v>
      </c>
    </row>
    <row r="723" spans="1:7" ht="19.899999999999999" customHeight="1" x14ac:dyDescent="0.2">
      <c r="A723" s="584">
        <f t="shared" si="199"/>
        <v>0</v>
      </c>
      <c r="B723" s="544">
        <f t="shared" si="200"/>
        <v>0</v>
      </c>
      <c r="C723" s="535"/>
      <c r="D723" s="549"/>
      <c r="E723" s="538">
        <f t="shared" si="201"/>
        <v>0</v>
      </c>
      <c r="F723" s="541">
        <f>IF(C723="",0,IFERROR(VLOOKUP(COUNTIF($A$1:A723,"ANALISIS DE PRECIOS"),T_Rendimiento_Equipo,5,FALSE),0))</f>
        <v>0</v>
      </c>
      <c r="G723" s="538">
        <f t="shared" si="203"/>
        <v>0</v>
      </c>
    </row>
    <row r="724" spans="1:7" ht="19.899999999999999" customHeight="1" x14ac:dyDescent="0.2">
      <c r="A724" s="584">
        <f t="shared" si="199"/>
        <v>0</v>
      </c>
      <c r="B724" s="544">
        <f t="shared" si="200"/>
        <v>0</v>
      </c>
      <c r="C724" s="544"/>
      <c r="D724" s="550"/>
      <c r="E724" s="538">
        <f t="shared" si="201"/>
        <v>0</v>
      </c>
      <c r="F724" s="541">
        <f>IF(C724="",0,IFERROR(VLOOKUP(COUNTIF($A$1:A724,"ANALISIS DE PRECIOS"),T_Rendimiento_Equipo,5,FALSE),0))</f>
        <v>0</v>
      </c>
      <c r="G724" s="538">
        <f t="shared" si="203"/>
        <v>0</v>
      </c>
    </row>
    <row r="725" spans="1:7" ht="19.899999999999999" customHeight="1" x14ac:dyDescent="0.2">
      <c r="A725" s="585"/>
      <c r="B725" s="524"/>
      <c r="C725" s="528"/>
      <c r="D725" s="524"/>
      <c r="E725" s="525"/>
      <c r="F725" s="547" t="s">
        <v>28</v>
      </c>
      <c r="G725" s="587">
        <f>SUBTOTAL(9,G718:G724)</f>
        <v>0</v>
      </c>
    </row>
    <row r="726" spans="1:7" ht="19.899999999999999" customHeight="1" x14ac:dyDescent="0.2">
      <c r="A726" s="582"/>
      <c r="B726" s="528"/>
      <c r="C726" s="520" t="s">
        <v>992</v>
      </c>
      <c r="D726" s="524"/>
      <c r="E726" s="525"/>
      <c r="F726" s="526"/>
      <c r="G726" s="583"/>
    </row>
    <row r="727" spans="1:7" ht="19.899999999999999" customHeight="1" x14ac:dyDescent="0.2">
      <c r="A727" s="793" t="s">
        <v>576</v>
      </c>
      <c r="B727" s="794"/>
      <c r="C727" s="795" t="s">
        <v>0</v>
      </c>
      <c r="D727" s="795" t="s">
        <v>1740</v>
      </c>
      <c r="E727" s="797" t="s">
        <v>24</v>
      </c>
      <c r="F727" s="799" t="s">
        <v>25</v>
      </c>
      <c r="G727" s="801" t="s">
        <v>26</v>
      </c>
    </row>
    <row r="728" spans="1:7" ht="19.899999999999999" customHeight="1" x14ac:dyDescent="0.2">
      <c r="A728" s="543" t="s">
        <v>577</v>
      </c>
      <c r="B728" s="543" t="s">
        <v>578</v>
      </c>
      <c r="C728" s="796"/>
      <c r="D728" s="796"/>
      <c r="E728" s="798"/>
      <c r="F728" s="800"/>
      <c r="G728" s="802"/>
    </row>
    <row r="729" spans="1:7" ht="19.899999999999999" customHeight="1" x14ac:dyDescent="0.2">
      <c r="A729" s="584">
        <f t="shared" ref="A729:A739" si="204">IFERROR(VLOOKUP(C729,T_Insumos,4,FALSE),0)</f>
        <v>0</v>
      </c>
      <c r="B729" s="544">
        <f t="shared" ref="B729:B739" si="205">IFERROR(VLOOKUP(C729,T_Insumos,5,FALSE),0)</f>
        <v>0</v>
      </c>
      <c r="C729" s="544">
        <f>+C129</f>
        <v>0</v>
      </c>
      <c r="D729" s="596">
        <f t="shared" ref="D729:D739" si="206">IFERROR(VLOOKUP(C729,T_Insumos,2,FALSE),0)</f>
        <v>0</v>
      </c>
      <c r="E729" s="536"/>
      <c r="F729" s="538">
        <f t="shared" ref="F729:F739" si="207">IFERROR(VLOOKUP(C729,T_Insumos,3,FALSE),0)</f>
        <v>0</v>
      </c>
      <c r="G729" s="538">
        <f>ROUND(E729*F729,2)</f>
        <v>0</v>
      </c>
    </row>
    <row r="730" spans="1:7" ht="19.899999999999999" customHeight="1" x14ac:dyDescent="0.2">
      <c r="A730" s="584">
        <f t="shared" si="204"/>
        <v>0</v>
      </c>
      <c r="B730" s="544">
        <f t="shared" si="205"/>
        <v>0</v>
      </c>
      <c r="C730" s="544">
        <f t="shared" ref="C730:C738" si="208">+C130</f>
        <v>0</v>
      </c>
      <c r="D730" s="596">
        <f t="shared" si="206"/>
        <v>0</v>
      </c>
      <c r="E730" s="536"/>
      <c r="F730" s="538">
        <f t="shared" si="207"/>
        <v>0</v>
      </c>
      <c r="G730" s="538">
        <f t="shared" ref="G730:G739" si="209">ROUND(E730*F730,2)</f>
        <v>0</v>
      </c>
    </row>
    <row r="731" spans="1:7" ht="19.899999999999999" customHeight="1" x14ac:dyDescent="0.2">
      <c r="A731" s="584">
        <f t="shared" si="204"/>
        <v>0</v>
      </c>
      <c r="B731" s="544">
        <f t="shared" si="205"/>
        <v>0</v>
      </c>
      <c r="C731" s="544">
        <f t="shared" si="208"/>
        <v>0</v>
      </c>
      <c r="D731" s="596">
        <f t="shared" si="206"/>
        <v>0</v>
      </c>
      <c r="E731" s="536"/>
      <c r="F731" s="538">
        <f t="shared" si="207"/>
        <v>0</v>
      </c>
      <c r="G731" s="538">
        <f t="shared" si="209"/>
        <v>0</v>
      </c>
    </row>
    <row r="732" spans="1:7" ht="19.899999999999999" customHeight="1" x14ac:dyDescent="0.2">
      <c r="A732" s="584">
        <f t="shared" si="204"/>
        <v>0</v>
      </c>
      <c r="B732" s="544">
        <f t="shared" si="205"/>
        <v>0</v>
      </c>
      <c r="C732" s="544">
        <f t="shared" si="208"/>
        <v>0</v>
      </c>
      <c r="D732" s="596">
        <f t="shared" si="206"/>
        <v>0</v>
      </c>
      <c r="E732" s="536"/>
      <c r="F732" s="538">
        <f t="shared" si="207"/>
        <v>0</v>
      </c>
      <c r="G732" s="538">
        <f t="shared" si="209"/>
        <v>0</v>
      </c>
    </row>
    <row r="733" spans="1:7" ht="19.899999999999999" customHeight="1" x14ac:dyDescent="0.2">
      <c r="A733" s="584">
        <f t="shared" si="204"/>
        <v>0</v>
      </c>
      <c r="B733" s="544">
        <f t="shared" si="205"/>
        <v>0</v>
      </c>
      <c r="C733" s="544">
        <f t="shared" si="208"/>
        <v>0</v>
      </c>
      <c r="D733" s="596">
        <f t="shared" si="206"/>
        <v>0</v>
      </c>
      <c r="E733" s="536"/>
      <c r="F733" s="538">
        <f t="shared" si="207"/>
        <v>0</v>
      </c>
      <c r="G733" s="538">
        <f t="shared" si="209"/>
        <v>0</v>
      </c>
    </row>
    <row r="734" spans="1:7" ht="19.899999999999999" customHeight="1" x14ac:dyDescent="0.2">
      <c r="A734" s="584">
        <f t="shared" si="204"/>
        <v>0</v>
      </c>
      <c r="B734" s="544">
        <f t="shared" si="205"/>
        <v>0</v>
      </c>
      <c r="C734" s="544">
        <f t="shared" si="208"/>
        <v>0</v>
      </c>
      <c r="D734" s="596">
        <f t="shared" si="206"/>
        <v>0</v>
      </c>
      <c r="E734" s="536"/>
      <c r="F734" s="538">
        <f t="shared" si="207"/>
        <v>0</v>
      </c>
      <c r="G734" s="538">
        <f t="shared" si="209"/>
        <v>0</v>
      </c>
    </row>
    <row r="735" spans="1:7" ht="19.899999999999999" customHeight="1" x14ac:dyDescent="0.2">
      <c r="A735" s="584">
        <f t="shared" si="204"/>
        <v>0</v>
      </c>
      <c r="B735" s="544">
        <f t="shared" si="205"/>
        <v>0</v>
      </c>
      <c r="C735" s="544">
        <f t="shared" si="208"/>
        <v>0</v>
      </c>
      <c r="D735" s="596">
        <f t="shared" si="206"/>
        <v>0</v>
      </c>
      <c r="E735" s="536"/>
      <c r="F735" s="538">
        <f t="shared" si="207"/>
        <v>0</v>
      </c>
      <c r="G735" s="538">
        <f t="shared" si="209"/>
        <v>0</v>
      </c>
    </row>
    <row r="736" spans="1:7" ht="19.899999999999999" customHeight="1" x14ac:dyDescent="0.2">
      <c r="A736" s="584">
        <f t="shared" si="204"/>
        <v>0</v>
      </c>
      <c r="B736" s="544">
        <f t="shared" si="205"/>
        <v>0</v>
      </c>
      <c r="C736" s="544">
        <f t="shared" si="208"/>
        <v>0</v>
      </c>
      <c r="D736" s="596">
        <f t="shared" si="206"/>
        <v>0</v>
      </c>
      <c r="E736" s="536"/>
      <c r="F736" s="538">
        <f t="shared" si="207"/>
        <v>0</v>
      </c>
      <c r="G736" s="538">
        <f t="shared" si="209"/>
        <v>0</v>
      </c>
    </row>
    <row r="737" spans="1:7" ht="19.899999999999999" customHeight="1" x14ac:dyDescent="0.2">
      <c r="A737" s="584">
        <f t="shared" si="204"/>
        <v>0</v>
      </c>
      <c r="B737" s="544">
        <f t="shared" si="205"/>
        <v>0</v>
      </c>
      <c r="C737" s="544">
        <f t="shared" si="208"/>
        <v>0</v>
      </c>
      <c r="D737" s="596">
        <f t="shared" si="206"/>
        <v>0</v>
      </c>
      <c r="E737" s="536"/>
      <c r="F737" s="538">
        <f t="shared" si="207"/>
        <v>0</v>
      </c>
      <c r="G737" s="538">
        <f t="shared" si="209"/>
        <v>0</v>
      </c>
    </row>
    <row r="738" spans="1:7" ht="19.899999999999999" customHeight="1" x14ac:dyDescent="0.2">
      <c r="A738" s="584">
        <f t="shared" si="204"/>
        <v>0</v>
      </c>
      <c r="B738" s="544">
        <f t="shared" si="205"/>
        <v>0</v>
      </c>
      <c r="C738" s="544">
        <f t="shared" si="208"/>
        <v>0</v>
      </c>
      <c r="D738" s="596">
        <f t="shared" si="206"/>
        <v>0</v>
      </c>
      <c r="E738" s="536"/>
      <c r="F738" s="538">
        <f t="shared" si="207"/>
        <v>0</v>
      </c>
      <c r="G738" s="538">
        <f t="shared" si="209"/>
        <v>0</v>
      </c>
    </row>
    <row r="739" spans="1:7" ht="19.899999999999999" customHeight="1" x14ac:dyDescent="0.2">
      <c r="A739" s="584">
        <f t="shared" si="204"/>
        <v>0</v>
      </c>
      <c r="B739" s="544">
        <f t="shared" si="205"/>
        <v>0</v>
      </c>
      <c r="C739" s="544"/>
      <c r="D739" s="596">
        <f t="shared" si="206"/>
        <v>0</v>
      </c>
      <c r="E739" s="536"/>
      <c r="F739" s="538">
        <f t="shared" si="207"/>
        <v>0</v>
      </c>
      <c r="G739" s="538">
        <f t="shared" si="209"/>
        <v>0</v>
      </c>
    </row>
    <row r="740" spans="1:7" ht="19.899999999999999" customHeight="1" x14ac:dyDescent="0.2">
      <c r="A740" s="582"/>
      <c r="B740" s="528"/>
      <c r="C740" s="528"/>
      <c r="D740" s="524"/>
      <c r="E740" s="525"/>
      <c r="F740" s="547" t="s">
        <v>29</v>
      </c>
      <c r="G740" s="588">
        <f>SUBTOTAL(9,G729:G739)</f>
        <v>0</v>
      </c>
    </row>
    <row r="741" spans="1:7" ht="19.899999999999999" customHeight="1" x14ac:dyDescent="0.2">
      <c r="A741" s="582"/>
      <c r="B741" s="528"/>
      <c r="C741" s="520" t="s">
        <v>993</v>
      </c>
      <c r="D741" s="524"/>
      <c r="E741" s="525"/>
      <c r="F741" s="526"/>
      <c r="G741" s="583"/>
    </row>
    <row r="742" spans="1:7" ht="19.899999999999999" customHeight="1" x14ac:dyDescent="0.2">
      <c r="A742" s="793" t="s">
        <v>576</v>
      </c>
      <c r="B742" s="794"/>
      <c r="C742" s="795" t="s">
        <v>0</v>
      </c>
      <c r="D742" s="795" t="s">
        <v>1740</v>
      </c>
      <c r="E742" s="797" t="s">
        <v>24</v>
      </c>
      <c r="F742" s="799" t="s">
        <v>25</v>
      </c>
      <c r="G742" s="801" t="s">
        <v>26</v>
      </c>
    </row>
    <row r="743" spans="1:7" ht="19.899999999999999" customHeight="1" x14ac:dyDescent="0.2">
      <c r="A743" s="543" t="s">
        <v>577</v>
      </c>
      <c r="B743" s="543" t="s">
        <v>578</v>
      </c>
      <c r="C743" s="796"/>
      <c r="D743" s="796"/>
      <c r="E743" s="798"/>
      <c r="F743" s="800"/>
      <c r="G743" s="802"/>
    </row>
    <row r="744" spans="1:7" ht="19.899999999999999" customHeight="1" x14ac:dyDescent="0.2">
      <c r="A744" s="584">
        <f>IFERROR(VLOOKUP(C744,T_Insumos,4,FALSE),0)</f>
        <v>0</v>
      </c>
      <c r="B744" s="544">
        <f>IFERROR(VLOOKUP(C744,T_Insumos,5,FALSE),0)</f>
        <v>0</v>
      </c>
      <c r="C744" s="535"/>
      <c r="D744" s="596">
        <f>IF(C744=0,0,"$/tnkm")</f>
        <v>0</v>
      </c>
      <c r="E744" s="536"/>
      <c r="F744" s="538">
        <f>IFERROR(VLOOKUP(C744,T_Insumos,3,FALSE),0)</f>
        <v>0</v>
      </c>
      <c r="G744" s="538">
        <f>ROUND(E744*F744,2)</f>
        <v>0</v>
      </c>
    </row>
    <row r="745" spans="1:7" ht="19.899999999999999" customHeight="1" x14ac:dyDescent="0.2">
      <c r="A745" s="584">
        <f>IFERROR(VLOOKUP(C745,T_Insumos,4,FALSE),0)</f>
        <v>0</v>
      </c>
      <c r="B745" s="544">
        <f>IFERROR(VLOOKUP(C745,T_Insumos,5,FALSE),0)</f>
        <v>0</v>
      </c>
      <c r="C745" s="535"/>
      <c r="D745" s="596">
        <f>IF(C745=0,0,"$/tnkm")</f>
        <v>0</v>
      </c>
      <c r="E745" s="552"/>
      <c r="F745" s="538">
        <f>IFERROR(VLOOKUP(C745,T_Insumos,3,FALSE),0)</f>
        <v>0</v>
      </c>
      <c r="G745" s="538">
        <f t="shared" ref="G745" si="210">ROUND(E745*F745,2)</f>
        <v>0</v>
      </c>
    </row>
    <row r="746" spans="1:7" ht="19.899999999999999" customHeight="1" x14ac:dyDescent="0.2">
      <c r="A746" s="582"/>
      <c r="B746" s="528"/>
      <c r="C746" s="528"/>
      <c r="D746" s="524"/>
      <c r="E746" s="525"/>
      <c r="F746" s="547" t="s">
        <v>994</v>
      </c>
      <c r="G746" s="588">
        <f>SUBTOTAL(9,G744:G745)</f>
        <v>0</v>
      </c>
    </row>
    <row r="747" spans="1:7" ht="19.899999999999999" customHeight="1" x14ac:dyDescent="0.2">
      <c r="A747" s="585"/>
      <c r="B747" s="524"/>
      <c r="C747" s="528"/>
      <c r="D747" s="524"/>
      <c r="E747" s="525"/>
      <c r="F747" s="526"/>
      <c r="G747" s="583"/>
    </row>
    <row r="748" spans="1:7" ht="19.899999999999999" customHeight="1" x14ac:dyDescent="0.2">
      <c r="A748" s="647" t="str">
        <f>B682</f>
        <v>3.3</v>
      </c>
      <c r="B748" s="644" t="str">
        <f ca="1">C682</f>
        <v>Relleno y compactacion de posibles oquedades laterales con la adicion de una bolsa de cemento portland puzolanico por m3 de rellemo</v>
      </c>
      <c r="C748" s="524"/>
      <c r="D748" s="524" t="s">
        <v>1719</v>
      </c>
      <c r="E748" s="645"/>
      <c r="F748" s="646" t="str">
        <f ca="1">"$/"&amp;G682</f>
        <v>$/m3</v>
      </c>
      <c r="G748" s="593">
        <f>SUBTOTAL(9,G705:G747)</f>
        <v>0</v>
      </c>
    </row>
    <row r="749" spans="1:7" ht="19.899999999999999" customHeight="1" x14ac:dyDescent="0.2">
      <c r="A749" s="589"/>
      <c r="B749" s="590"/>
      <c r="C749" s="591"/>
      <c r="D749" s="591" t="s">
        <v>1915</v>
      </c>
      <c r="E749" s="592"/>
      <c r="F749" s="648" t="str">
        <f ca="1">"$/"&amp;G682</f>
        <v>$/m3</v>
      </c>
      <c r="G749" s="593">
        <f>ROUND(G748*Coeficiente_Paso,2)</f>
        <v>0</v>
      </c>
    </row>
    <row r="750" spans="1:7" ht="19.899999999999999" customHeight="1" x14ac:dyDescent="0.2">
      <c r="A750" s="185"/>
      <c r="B750" s="185"/>
      <c r="C750" s="185"/>
      <c r="D750" s="185"/>
      <c r="E750" s="185"/>
      <c r="F750" s="185"/>
      <c r="G750" s="185"/>
    </row>
    <row r="751" spans="1:7" ht="19.899999999999999" customHeight="1" x14ac:dyDescent="0.2">
      <c r="A751" s="803" t="s">
        <v>31</v>
      </c>
      <c r="B751" s="804"/>
      <c r="C751" s="804"/>
      <c r="D751" s="804"/>
      <c r="E751" s="804"/>
      <c r="F751" s="804"/>
      <c r="G751" s="805"/>
    </row>
    <row r="752" spans="1:7" ht="19.899999999999999" customHeight="1" x14ac:dyDescent="0.2">
      <c r="A752" s="570" t="s">
        <v>711</v>
      </c>
      <c r="B752" s="518" t="str">
        <f>Comitente</f>
        <v>DEPARTAMENTO DE HIDRAULICA</v>
      </c>
      <c r="C752" s="519"/>
      <c r="D752" s="520"/>
      <c r="E752" s="520"/>
      <c r="F752" s="521"/>
      <c r="G752" s="571"/>
    </row>
    <row r="753" spans="1:7" ht="19.899999999999999" customHeight="1" x14ac:dyDescent="0.2">
      <c r="A753" s="570" t="s">
        <v>712</v>
      </c>
      <c r="B753" s="518">
        <f>Contratista</f>
        <v>0</v>
      </c>
      <c r="C753" s="522"/>
      <c r="D753" s="522"/>
      <c r="E753" s="522"/>
      <c r="F753" s="518"/>
      <c r="G753" s="572"/>
    </row>
    <row r="754" spans="1:7" ht="19.899999999999999" customHeight="1" x14ac:dyDescent="0.2">
      <c r="A754" s="570" t="s">
        <v>21</v>
      </c>
      <c r="B754" s="518" t="str">
        <f>Obra</f>
        <v>ENCAMISADO CANAL GENERAL COCHAGUAL</v>
      </c>
      <c r="C754" s="522"/>
      <c r="D754" s="522"/>
      <c r="E754" s="522"/>
      <c r="F754" s="518" t="s">
        <v>32</v>
      </c>
      <c r="G754" s="572">
        <f>Fecha_Base</f>
        <v>44319</v>
      </c>
    </row>
    <row r="755" spans="1:7" ht="19.899999999999999" customHeight="1" x14ac:dyDescent="0.2">
      <c r="A755" s="573" t="s">
        <v>710</v>
      </c>
      <c r="B755" s="523" t="str">
        <f>Ubicación</f>
        <v>DEPARTAMENTO SARMIENTO</v>
      </c>
      <c r="C755" s="523"/>
      <c r="D755" s="524"/>
      <c r="E755" s="525"/>
      <c r="F755" s="526"/>
      <c r="G755" s="574"/>
    </row>
    <row r="756" spans="1:7" ht="19.899999999999999" customHeight="1" x14ac:dyDescent="0.2">
      <c r="A756" s="573" t="s">
        <v>33</v>
      </c>
      <c r="B756" s="527">
        <f>IFERROR(VALUE(LEFT(B757,FIND(".",B757)-1)),"")</f>
        <v>3</v>
      </c>
      <c r="C756" s="528" t="str">
        <f ca="1">IFERROR(VLOOKUP(B756,T_Computo_Presupuesto,2,FALSE),0)</f>
        <v>CANAL GENERAL COCHAGUAL Progresiva 9860-10860</v>
      </c>
      <c r="D756" s="528"/>
      <c r="E756" s="525"/>
      <c r="F756" s="526"/>
      <c r="G756" s="574"/>
    </row>
    <row r="757" spans="1:7" ht="19.899999999999999" customHeight="1" x14ac:dyDescent="0.2">
      <c r="A757" s="573" t="s">
        <v>22</v>
      </c>
      <c r="B757" s="529" t="str">
        <f>IFERROR(VLOOKUP(COUNTIF($A$1:A757,"ANALISIS DE PRECIOS"),T_NumeroItem,2,FALSE),"")</f>
        <v>3.4</v>
      </c>
      <c r="C757" s="806" t="str">
        <f ca="1">IFERROR(VLOOKUP(B757,T_Computo_Presupuesto,2,FALSE),0)</f>
        <v>Hormigon de encamisado H-21</v>
      </c>
      <c r="D757" s="806"/>
      <c r="E757" s="806"/>
      <c r="F757" s="523" t="s">
        <v>23</v>
      </c>
      <c r="G757" s="575" t="str">
        <f ca="1">IFERROR(VLOOKUP(B757,T_Computo_Presupuesto,4,FALSE),0)</f>
        <v>m3</v>
      </c>
    </row>
    <row r="758" spans="1:7" ht="19.899999999999999" customHeight="1" x14ac:dyDescent="0.2">
      <c r="A758" s="573"/>
      <c r="B758" s="523"/>
      <c r="C758" s="528"/>
      <c r="D758" s="524"/>
      <c r="E758" s="525"/>
      <c r="F758" s="528"/>
      <c r="G758" s="576"/>
    </row>
    <row r="759" spans="1:7" ht="19.899999999999999" customHeight="1" x14ac:dyDescent="0.2">
      <c r="A759" s="577"/>
      <c r="B759" s="530"/>
      <c r="C759" s="531" t="s">
        <v>977</v>
      </c>
      <c r="D759" s="530"/>
      <c r="E759" s="530"/>
      <c r="F759" s="530"/>
      <c r="G759" s="578"/>
    </row>
    <row r="760" spans="1:7" ht="19.899999999999999" customHeight="1" x14ac:dyDescent="0.2">
      <c r="A760" s="573"/>
      <c r="B760" s="532"/>
      <c r="C760" s="528"/>
      <c r="D760" s="524"/>
      <c r="E760" s="525"/>
      <c r="F760" s="523"/>
      <c r="G760" s="575"/>
    </row>
    <row r="761" spans="1:7" ht="19.899999999999999" customHeight="1" x14ac:dyDescent="0.2">
      <c r="A761" s="573"/>
      <c r="B761" s="532"/>
      <c r="C761" s="533" t="s">
        <v>978</v>
      </c>
      <c r="D761" s="534" t="s">
        <v>24</v>
      </c>
      <c r="E761" s="534" t="s">
        <v>979</v>
      </c>
      <c r="F761" s="534" t="s">
        <v>980</v>
      </c>
      <c r="G761" s="533" t="s">
        <v>981</v>
      </c>
    </row>
    <row r="762" spans="1:7" ht="19.899999999999999" customHeight="1" x14ac:dyDescent="0.2">
      <c r="A762" s="573"/>
      <c r="B762" s="532"/>
      <c r="C762" s="535">
        <f>+Equipos!A16</f>
        <v>0</v>
      </c>
      <c r="D762" s="536"/>
      <c r="E762" s="537">
        <f t="shared" ref="E762:E771" si="211">IFERROR(VLOOKUP(C762,T_Equipos,4,FALSE),0)</f>
        <v>0</v>
      </c>
      <c r="F762" s="538">
        <f t="shared" ref="F762:F771" si="212">IFERROR(VLOOKUP(C762,T_Equipos,5,FALSE),0)</f>
        <v>0</v>
      </c>
      <c r="G762" s="538">
        <f>ROUND(D762*F762,2)</f>
        <v>0</v>
      </c>
    </row>
    <row r="763" spans="1:7" ht="19.899999999999999" customHeight="1" x14ac:dyDescent="0.2">
      <c r="A763" s="573"/>
      <c r="B763" s="532"/>
      <c r="C763" s="535">
        <f>+Equipos!A19</f>
        <v>0</v>
      </c>
      <c r="D763" s="536"/>
      <c r="E763" s="537">
        <f t="shared" si="211"/>
        <v>0</v>
      </c>
      <c r="F763" s="538">
        <f t="shared" si="212"/>
        <v>0</v>
      </c>
      <c r="G763" s="538">
        <f>ROUND(D763*F763,2)</f>
        <v>0</v>
      </c>
    </row>
    <row r="764" spans="1:7" ht="19.899999999999999" customHeight="1" x14ac:dyDescent="0.2">
      <c r="A764" s="573"/>
      <c r="B764" s="532"/>
      <c r="C764" s="535">
        <f>+Equipos!A31</f>
        <v>0</v>
      </c>
      <c r="D764" s="536"/>
      <c r="E764" s="537">
        <f t="shared" si="211"/>
        <v>0</v>
      </c>
      <c r="F764" s="538">
        <f t="shared" si="212"/>
        <v>0</v>
      </c>
      <c r="G764" s="538">
        <f>ROUND(D764*F764,2)</f>
        <v>0</v>
      </c>
    </row>
    <row r="765" spans="1:7" ht="19.899999999999999" customHeight="1" x14ac:dyDescent="0.2">
      <c r="A765" s="573"/>
      <c r="B765" s="532"/>
      <c r="C765" s="535">
        <f>+Equipos!A22</f>
        <v>0</v>
      </c>
      <c r="D765" s="536"/>
      <c r="E765" s="537">
        <f t="shared" si="211"/>
        <v>0</v>
      </c>
      <c r="F765" s="538">
        <f t="shared" si="212"/>
        <v>0</v>
      </c>
      <c r="G765" s="538">
        <f>ROUND(D765*F765,2)</f>
        <v>0</v>
      </c>
    </row>
    <row r="766" spans="1:7" ht="19.899999999999999" customHeight="1" x14ac:dyDescent="0.2">
      <c r="A766" s="573"/>
      <c r="B766" s="532"/>
      <c r="C766" s="535"/>
      <c r="D766" s="536"/>
      <c r="E766" s="537">
        <f t="shared" si="211"/>
        <v>0</v>
      </c>
      <c r="F766" s="538">
        <f t="shared" si="212"/>
        <v>0</v>
      </c>
      <c r="G766" s="538">
        <f t="shared" ref="G766:G771" si="213">ROUND(D766*F766,2)</f>
        <v>0</v>
      </c>
    </row>
    <row r="767" spans="1:7" ht="19.899999999999999" customHeight="1" x14ac:dyDescent="0.2">
      <c r="A767" s="573"/>
      <c r="B767" s="532"/>
      <c r="C767" s="535"/>
      <c r="D767" s="536"/>
      <c r="E767" s="537">
        <f t="shared" si="211"/>
        <v>0</v>
      </c>
      <c r="F767" s="538">
        <f t="shared" si="212"/>
        <v>0</v>
      </c>
      <c r="G767" s="538">
        <f t="shared" si="213"/>
        <v>0</v>
      </c>
    </row>
    <row r="768" spans="1:7" ht="19.899999999999999" customHeight="1" x14ac:dyDescent="0.2">
      <c r="A768" s="573"/>
      <c r="B768" s="532"/>
      <c r="C768" s="535"/>
      <c r="D768" s="536"/>
      <c r="E768" s="537">
        <f t="shared" si="211"/>
        <v>0</v>
      </c>
      <c r="F768" s="538">
        <f t="shared" si="212"/>
        <v>0</v>
      </c>
      <c r="G768" s="538">
        <f t="shared" si="213"/>
        <v>0</v>
      </c>
    </row>
    <row r="769" spans="1:7" ht="19.899999999999999" customHeight="1" x14ac:dyDescent="0.2">
      <c r="A769" s="573"/>
      <c r="B769" s="532"/>
      <c r="C769" s="535"/>
      <c r="D769" s="536"/>
      <c r="E769" s="537">
        <f t="shared" si="211"/>
        <v>0</v>
      </c>
      <c r="F769" s="538">
        <f t="shared" si="212"/>
        <v>0</v>
      </c>
      <c r="G769" s="538">
        <f t="shared" si="213"/>
        <v>0</v>
      </c>
    </row>
    <row r="770" spans="1:7" ht="19.899999999999999" customHeight="1" x14ac:dyDescent="0.2">
      <c r="A770" s="573"/>
      <c r="B770" s="532"/>
      <c r="C770" s="535"/>
      <c r="D770" s="536"/>
      <c r="E770" s="537">
        <f t="shared" si="211"/>
        <v>0</v>
      </c>
      <c r="F770" s="538">
        <f t="shared" si="212"/>
        <v>0</v>
      </c>
      <c r="G770" s="538">
        <f t="shared" si="213"/>
        <v>0</v>
      </c>
    </row>
    <row r="771" spans="1:7" ht="19.899999999999999" customHeight="1" x14ac:dyDescent="0.2">
      <c r="A771" s="573"/>
      <c r="B771" s="532"/>
      <c r="C771" s="535"/>
      <c r="D771" s="536"/>
      <c r="E771" s="537">
        <f t="shared" si="211"/>
        <v>0</v>
      </c>
      <c r="F771" s="538">
        <f t="shared" si="212"/>
        <v>0</v>
      </c>
      <c r="G771" s="538">
        <f t="shared" si="213"/>
        <v>0</v>
      </c>
    </row>
    <row r="772" spans="1:7" ht="19.899999999999999" customHeight="1" x14ac:dyDescent="0.2">
      <c r="A772" s="573"/>
      <c r="B772" s="532"/>
      <c r="C772" s="528"/>
      <c r="D772" s="528"/>
      <c r="E772" s="539"/>
      <c r="F772" s="523"/>
      <c r="G772" s="575"/>
    </row>
    <row r="773" spans="1:7" ht="19.899999999999999" customHeight="1" x14ac:dyDescent="0.2">
      <c r="A773" s="573"/>
      <c r="B773" s="528"/>
      <c r="C773" s="520" t="s">
        <v>982</v>
      </c>
      <c r="D773" s="523" t="s">
        <v>979</v>
      </c>
      <c r="E773" s="594">
        <f>SUMPRODUCT(D762:D771,E762:E771)</f>
        <v>0</v>
      </c>
      <c r="F773" s="523" t="s">
        <v>983</v>
      </c>
      <c r="G773" s="595">
        <f>SUM(G762:G771)</f>
        <v>0</v>
      </c>
    </row>
    <row r="774" spans="1:7" ht="19.899999999999999" customHeight="1" x14ac:dyDescent="0.2">
      <c r="A774" s="573"/>
      <c r="B774" s="532"/>
      <c r="C774" s="540"/>
      <c r="D774" s="539"/>
      <c r="E774" s="525"/>
      <c r="F774" s="523"/>
      <c r="G774" s="579"/>
    </row>
    <row r="775" spans="1:7" ht="19.899999999999999" customHeight="1" x14ac:dyDescent="0.2">
      <c r="A775" s="580"/>
      <c r="B775" s="532"/>
      <c r="C775" s="523" t="s">
        <v>984</v>
      </c>
      <c r="D775" s="541">
        <f>IFERROR(VLOOKUP(COUNTIF($A$1:A775,"ANALISIS DE PRECIOS"),T_Rendimiento_Equipo,5,FALSE),0)</f>
        <v>0</v>
      </c>
      <c r="E775" s="542" t="str">
        <f ca="1">G757&amp;"/día"</f>
        <v>m3/día</v>
      </c>
      <c r="F775" s="581"/>
      <c r="G775" s="575"/>
    </row>
    <row r="776" spans="1:7" ht="19.899999999999999" customHeight="1" x14ac:dyDescent="0.2">
      <c r="A776" s="573"/>
      <c r="B776" s="532"/>
      <c r="C776" s="528"/>
      <c r="D776" s="524"/>
      <c r="E776" s="525"/>
      <c r="F776" s="523"/>
      <c r="G776" s="575"/>
    </row>
    <row r="777" spans="1:7" ht="19.899999999999999" customHeight="1" x14ac:dyDescent="0.2">
      <c r="A777" s="793" t="s">
        <v>576</v>
      </c>
      <c r="B777" s="794"/>
      <c r="C777" s="795" t="s">
        <v>0</v>
      </c>
      <c r="D777" s="807" t="s">
        <v>1739</v>
      </c>
      <c r="E777" s="807" t="s">
        <v>1738</v>
      </c>
      <c r="F777" s="799" t="s">
        <v>985</v>
      </c>
      <c r="G777" s="801" t="s">
        <v>26</v>
      </c>
    </row>
    <row r="778" spans="1:7" ht="19.899999999999999" customHeight="1" x14ac:dyDescent="0.2">
      <c r="A778" s="543" t="s">
        <v>577</v>
      </c>
      <c r="B778" s="543" t="s">
        <v>578</v>
      </c>
      <c r="C778" s="796"/>
      <c r="D778" s="808"/>
      <c r="E778" s="798"/>
      <c r="F778" s="800"/>
      <c r="G778" s="802"/>
    </row>
    <row r="779" spans="1:7" ht="19.899999999999999" customHeight="1" x14ac:dyDescent="0.2">
      <c r="A779" s="582"/>
      <c r="B779" s="528"/>
      <c r="C779" s="520" t="s">
        <v>986</v>
      </c>
      <c r="D779" s="525"/>
      <c r="E779" s="525"/>
      <c r="F779" s="528"/>
      <c r="G779" s="583"/>
    </row>
    <row r="780" spans="1:7" ht="19.899999999999999" customHeight="1" x14ac:dyDescent="0.2">
      <c r="A780" s="584">
        <f t="shared" ref="A780:A788" si="214">IFERROR(VLOOKUP(C780,T_Insumos,4,FALSE),0)</f>
        <v>0</v>
      </c>
      <c r="B780" s="544">
        <f t="shared" ref="B780:B788" si="215">IFERROR(VLOOKUP(C780,T_Insumos,5,FALSE),0)</f>
        <v>0</v>
      </c>
      <c r="C780" s="535">
        <f>+C30</f>
        <v>0</v>
      </c>
      <c r="D780" s="545">
        <f t="shared" ref="D780:D788" si="216">IFERROR(VLOOKUP(C780,T_Insumos,3,FALSE),0)</f>
        <v>0</v>
      </c>
      <c r="E780" s="538">
        <f>D780*$G$773</f>
        <v>0</v>
      </c>
      <c r="F780" s="541">
        <f>IF(C780="",0,IFERROR(VLOOKUP(COUNTIF($A$1:A780,"ANALISIS DE PRECIOS"),T_Rendimiento_Equipo,5,FALSE),0))</f>
        <v>0</v>
      </c>
      <c r="G780" s="538">
        <f>IFERROR(ROUND(E780/F780,2),0)</f>
        <v>0</v>
      </c>
    </row>
    <row r="781" spans="1:7" ht="19.899999999999999" customHeight="1" x14ac:dyDescent="0.2">
      <c r="A781" s="584">
        <f t="shared" si="214"/>
        <v>0</v>
      </c>
      <c r="B781" s="544">
        <f t="shared" si="215"/>
        <v>0</v>
      </c>
      <c r="C781" s="535">
        <f t="shared" ref="C781:C783" si="217">+C31</f>
        <v>0</v>
      </c>
      <c r="D781" s="545">
        <f t="shared" si="216"/>
        <v>0</v>
      </c>
      <c r="E781" s="538">
        <f t="shared" ref="E781:E782" si="218">D781*$G$773</f>
        <v>0</v>
      </c>
      <c r="F781" s="541">
        <f>IF(C781="",0,IFERROR(VLOOKUP(COUNTIF($A$1:A781,"ANALISIS DE PRECIOS"),T_Rendimiento_Equipo,5,FALSE),0))</f>
        <v>0</v>
      </c>
      <c r="G781" s="538">
        <f t="shared" ref="G781:G788" si="219">IFERROR(ROUND(E781/F781,2),0)</f>
        <v>0</v>
      </c>
    </row>
    <row r="782" spans="1:7" ht="19.899999999999999" customHeight="1" x14ac:dyDescent="0.2">
      <c r="A782" s="584">
        <f t="shared" si="214"/>
        <v>0</v>
      </c>
      <c r="B782" s="544">
        <f t="shared" si="215"/>
        <v>0</v>
      </c>
      <c r="C782" s="535">
        <f t="shared" si="217"/>
        <v>0</v>
      </c>
      <c r="D782" s="545">
        <f t="shared" si="216"/>
        <v>0</v>
      </c>
      <c r="E782" s="538">
        <f t="shared" si="218"/>
        <v>0</v>
      </c>
      <c r="F782" s="541">
        <f>IF(C782="",0,IFERROR(VLOOKUP(COUNTIF($A$1:A782,"ANALISIS DE PRECIOS"),T_Rendimiento_Equipo,5,FALSE),0))</f>
        <v>0</v>
      </c>
      <c r="G782" s="538">
        <f t="shared" si="219"/>
        <v>0</v>
      </c>
    </row>
    <row r="783" spans="1:7" ht="19.899999999999999" customHeight="1" x14ac:dyDescent="0.2">
      <c r="A783" s="584">
        <f t="shared" si="214"/>
        <v>0</v>
      </c>
      <c r="B783" s="544">
        <f t="shared" si="215"/>
        <v>0</v>
      </c>
      <c r="C783" s="535">
        <f t="shared" si="217"/>
        <v>0</v>
      </c>
      <c r="D783" s="545">
        <f t="shared" si="216"/>
        <v>0</v>
      </c>
      <c r="E783" s="538">
        <f>D783*$E$773</f>
        <v>0</v>
      </c>
      <c r="F783" s="541">
        <f>IF(C783="",0,IFERROR(VLOOKUP(COUNTIF($A$1:A783,"ANALISIS DE PRECIOS"),T_Rendimiento_Equipo,5,FALSE),0))</f>
        <v>0</v>
      </c>
      <c r="G783" s="538">
        <f t="shared" si="219"/>
        <v>0</v>
      </c>
    </row>
    <row r="784" spans="1:7" ht="19.899999999999999" customHeight="1" x14ac:dyDescent="0.2">
      <c r="A784" s="584">
        <f t="shared" si="214"/>
        <v>0</v>
      </c>
      <c r="B784" s="544">
        <f t="shared" si="215"/>
        <v>0</v>
      </c>
      <c r="C784" s="546"/>
      <c r="D784" s="545">
        <f t="shared" si="216"/>
        <v>0</v>
      </c>
      <c r="E784" s="538"/>
      <c r="F784" s="541">
        <f>IF(C784="",0,IFERROR(VLOOKUP(COUNTIF($A$1:A784,"ANALISIS DE PRECIOS"),T_Rendimiento_Equipo,5,FALSE),0))</f>
        <v>0</v>
      </c>
      <c r="G784" s="538">
        <f t="shared" si="219"/>
        <v>0</v>
      </c>
    </row>
    <row r="785" spans="1:7" ht="19.899999999999999" customHeight="1" x14ac:dyDescent="0.2">
      <c r="A785" s="584">
        <f t="shared" si="214"/>
        <v>0</v>
      </c>
      <c r="B785" s="544">
        <f t="shared" si="215"/>
        <v>0</v>
      </c>
      <c r="C785" s="546"/>
      <c r="D785" s="545">
        <f t="shared" si="216"/>
        <v>0</v>
      </c>
      <c r="E785" s="538"/>
      <c r="F785" s="541">
        <f>IF(C785="",0,IFERROR(VLOOKUP(COUNTIF($A$1:A785,"ANALISIS DE PRECIOS"),T_Rendimiento_Equipo,5,FALSE),0))</f>
        <v>0</v>
      </c>
      <c r="G785" s="538">
        <f t="shared" si="219"/>
        <v>0</v>
      </c>
    </row>
    <row r="786" spans="1:7" ht="19.899999999999999" customHeight="1" x14ac:dyDescent="0.2">
      <c r="A786" s="584">
        <f t="shared" si="214"/>
        <v>0</v>
      </c>
      <c r="B786" s="544">
        <f t="shared" si="215"/>
        <v>0</v>
      </c>
      <c r="C786" s="546"/>
      <c r="D786" s="545">
        <f t="shared" si="216"/>
        <v>0</v>
      </c>
      <c r="E786" s="538"/>
      <c r="F786" s="541">
        <f>IF(C786="",0,IFERROR(VLOOKUP(COUNTIF($A$1:A786,"ANALISIS DE PRECIOS"),T_Rendimiento_Equipo,5,FALSE),0))</f>
        <v>0</v>
      </c>
      <c r="G786" s="538">
        <f t="shared" si="219"/>
        <v>0</v>
      </c>
    </row>
    <row r="787" spans="1:7" ht="19.899999999999999" customHeight="1" x14ac:dyDescent="0.2">
      <c r="A787" s="584">
        <f t="shared" si="214"/>
        <v>0</v>
      </c>
      <c r="B787" s="544">
        <f t="shared" si="215"/>
        <v>0</v>
      </c>
      <c r="C787" s="546"/>
      <c r="D787" s="545">
        <f t="shared" si="216"/>
        <v>0</v>
      </c>
      <c r="E787" s="538"/>
      <c r="F787" s="541">
        <f>IF(C787="",0,IFERROR(VLOOKUP(COUNTIF($A$1:A787,"ANALISIS DE PRECIOS"),T_Rendimiento_Equipo,5,FALSE),0))</f>
        <v>0</v>
      </c>
      <c r="G787" s="538">
        <f t="shared" si="219"/>
        <v>0</v>
      </c>
    </row>
    <row r="788" spans="1:7" ht="19.899999999999999" customHeight="1" x14ac:dyDescent="0.2">
      <c r="A788" s="584">
        <f t="shared" si="214"/>
        <v>0</v>
      </c>
      <c r="B788" s="544">
        <f t="shared" si="215"/>
        <v>0</v>
      </c>
      <c r="C788" s="535"/>
      <c r="D788" s="545">
        <f t="shared" si="216"/>
        <v>0</v>
      </c>
      <c r="E788" s="538"/>
      <c r="F788" s="541">
        <f>IF(C788="",0,IFERROR(VLOOKUP(COUNTIF($A$1:A788,"ANALISIS DE PRECIOS"),T_Rendimiento_Equipo,5,FALSE),0))</f>
        <v>0</v>
      </c>
      <c r="G788" s="538">
        <f t="shared" si="219"/>
        <v>0</v>
      </c>
    </row>
    <row r="789" spans="1:7" ht="19.899999999999999" customHeight="1" x14ac:dyDescent="0.2">
      <c r="A789" s="585"/>
      <c r="B789" s="524"/>
      <c r="C789" s="528"/>
      <c r="D789" s="524"/>
      <c r="E789" s="525"/>
      <c r="F789" s="547" t="s">
        <v>27</v>
      </c>
      <c r="G789" s="586">
        <f>SUBTOTAL(9,G780:G788)</f>
        <v>0</v>
      </c>
    </row>
    <row r="790" spans="1:7" ht="19.899999999999999" customHeight="1" x14ac:dyDescent="0.2">
      <c r="A790" s="582"/>
      <c r="B790" s="528"/>
      <c r="C790" s="520" t="s">
        <v>713</v>
      </c>
      <c r="D790" s="524"/>
      <c r="E790" s="525"/>
      <c r="F790" s="526"/>
      <c r="G790" s="583"/>
    </row>
    <row r="791" spans="1:7" ht="19.899999999999999" customHeight="1" x14ac:dyDescent="0.2">
      <c r="A791" s="793" t="s">
        <v>576</v>
      </c>
      <c r="B791" s="794"/>
      <c r="C791" s="795" t="s">
        <v>0</v>
      </c>
      <c r="D791" s="797" t="s">
        <v>24</v>
      </c>
      <c r="E791" s="797" t="s">
        <v>1718</v>
      </c>
      <c r="F791" s="799" t="s">
        <v>985</v>
      </c>
      <c r="G791" s="801" t="s">
        <v>26</v>
      </c>
    </row>
    <row r="792" spans="1:7" ht="19.899999999999999" customHeight="1" x14ac:dyDescent="0.2">
      <c r="A792" s="543" t="s">
        <v>577</v>
      </c>
      <c r="B792" s="543" t="s">
        <v>578</v>
      </c>
      <c r="C792" s="796"/>
      <c r="D792" s="798"/>
      <c r="E792" s="798"/>
      <c r="F792" s="800"/>
      <c r="G792" s="802"/>
    </row>
    <row r="793" spans="1:7" ht="19.899999999999999" customHeight="1" x14ac:dyDescent="0.2">
      <c r="A793" s="584" t="str">
        <f t="shared" ref="A793:A799" si="220">IFERROR(VLOOKUP(C793,T_Insumos,4,FALSE),0)</f>
        <v>IIEE-SJ - 1</v>
      </c>
      <c r="B793" s="544" t="str">
        <f t="shared" ref="B793:B799" si="221">IFERROR(VLOOKUP(C793,T_Insumos,5,FALSE),0)</f>
        <v>Mano de Obra</v>
      </c>
      <c r="C793" s="548" t="str">
        <f>+C43</f>
        <v>Mano de obra</v>
      </c>
      <c r="D793" s="541"/>
      <c r="E793" s="538">
        <f t="shared" ref="E793:E799" si="222">IFERROR(VLOOKUP(C793,T_Insumos,3,FALSE),0)</f>
        <v>0</v>
      </c>
      <c r="F793" s="541">
        <f>IF(C793="",0,IFERROR(VLOOKUP(COUNTIF($A$1:A793,"ANALISIS DE PRECIOS"),T_Rendimiento_Equipo,5,FALSE),0))</f>
        <v>0</v>
      </c>
      <c r="G793" s="538">
        <f>IFERROR(ROUND(D793*E793/F793,2),0)</f>
        <v>0</v>
      </c>
    </row>
    <row r="794" spans="1:7" ht="19.899999999999999" customHeight="1" x14ac:dyDescent="0.2">
      <c r="A794" s="584" t="str">
        <f t="shared" si="220"/>
        <v>INDEC-CM - 37510-11</v>
      </c>
      <c r="B794" s="544" t="str">
        <f t="shared" si="221"/>
        <v>Hormigón elaborado</v>
      </c>
      <c r="C794" s="548" t="str">
        <f t="shared" ref="C794:C796" si="223">+C44</f>
        <v>Hormigon Elaborado</v>
      </c>
      <c r="D794" s="541"/>
      <c r="E794" s="538">
        <f t="shared" si="222"/>
        <v>0</v>
      </c>
      <c r="F794" s="541">
        <f>IF(C794="",0,IFERROR(VLOOKUP(COUNTIF($A$1:A794,"ANALISIS DE PRECIOS"),T_Rendimiento_Equipo,5,FALSE),0))</f>
        <v>0</v>
      </c>
      <c r="G794" s="538">
        <f>IFERROR(ROUND(D794*E794/F794,2),0)</f>
        <v>0</v>
      </c>
    </row>
    <row r="795" spans="1:7" ht="19.899999999999999" customHeight="1" x14ac:dyDescent="0.2">
      <c r="A795" s="584" t="str">
        <f t="shared" si="220"/>
        <v>INDEC-DCTO - Inciso j)</v>
      </c>
      <c r="B795" s="544" t="str">
        <f t="shared" si="221"/>
        <v>Equipo - Amortización de equipo</v>
      </c>
      <c r="C795" s="548" t="str">
        <f t="shared" si="223"/>
        <v>Equipo - Amortizacion de equipo</v>
      </c>
      <c r="D795" s="541"/>
      <c r="E795" s="538">
        <f t="shared" si="222"/>
        <v>0</v>
      </c>
      <c r="F795" s="541">
        <f>IF(C795="",0,IFERROR(VLOOKUP(COUNTIF($A$1:A795,"ANALISIS DE PRECIOS"),T_Rendimiento_Equipo,5,FALSE),0))</f>
        <v>0</v>
      </c>
      <c r="G795" s="538">
        <f t="shared" ref="G795:G799" si="224">IFERROR(ROUND(D795*E795/F795,2),0)</f>
        <v>0</v>
      </c>
    </row>
    <row r="796" spans="1:7" ht="19.899999999999999" customHeight="1" x14ac:dyDescent="0.2">
      <c r="A796" s="584" t="str">
        <f t="shared" si="220"/>
        <v>INDEC-CM - 41242-11</v>
      </c>
      <c r="B796" s="544" t="str">
        <f t="shared" si="221"/>
        <v>Acero aletado conformado, en barra</v>
      </c>
      <c r="C796" s="548" t="str">
        <f t="shared" si="223"/>
        <v>Hierro</v>
      </c>
      <c r="D796" s="541"/>
      <c r="E796" s="538">
        <f t="shared" si="222"/>
        <v>0</v>
      </c>
      <c r="F796" s="541">
        <f>IF(C796="",0,IFERROR(VLOOKUP(COUNTIF($A$1:A796,"ANALISIS DE PRECIOS"),T_Rendimiento_Equipo,5,FALSE),0))</f>
        <v>0</v>
      </c>
      <c r="G796" s="538">
        <f t="shared" si="224"/>
        <v>0</v>
      </c>
    </row>
    <row r="797" spans="1:7" ht="19.899999999999999" customHeight="1" x14ac:dyDescent="0.2">
      <c r="A797" s="584">
        <f t="shared" si="220"/>
        <v>0</v>
      </c>
      <c r="B797" s="544">
        <f t="shared" si="221"/>
        <v>0</v>
      </c>
      <c r="C797" s="535"/>
      <c r="D797" s="541"/>
      <c r="E797" s="538">
        <f t="shared" si="222"/>
        <v>0</v>
      </c>
      <c r="F797" s="541">
        <f>IF(C797="",0,IFERROR(VLOOKUP(COUNTIF($A$1:A797,"ANALISIS DE PRECIOS"),T_Rendimiento_Equipo,5,FALSE),0))</f>
        <v>0</v>
      </c>
      <c r="G797" s="538">
        <f t="shared" si="224"/>
        <v>0</v>
      </c>
    </row>
    <row r="798" spans="1:7" ht="19.899999999999999" customHeight="1" x14ac:dyDescent="0.2">
      <c r="A798" s="584">
        <f t="shared" si="220"/>
        <v>0</v>
      </c>
      <c r="B798" s="544">
        <f t="shared" si="221"/>
        <v>0</v>
      </c>
      <c r="C798" s="535"/>
      <c r="D798" s="549"/>
      <c r="E798" s="538">
        <f t="shared" si="222"/>
        <v>0</v>
      </c>
      <c r="F798" s="541">
        <f>IF(C798="",0,IFERROR(VLOOKUP(COUNTIF($A$1:A798,"ANALISIS DE PRECIOS"),T_Rendimiento_Equipo,5,FALSE),0))</f>
        <v>0</v>
      </c>
      <c r="G798" s="538">
        <f t="shared" si="224"/>
        <v>0</v>
      </c>
    </row>
    <row r="799" spans="1:7" ht="19.899999999999999" customHeight="1" x14ac:dyDescent="0.2">
      <c r="A799" s="584">
        <f t="shared" si="220"/>
        <v>0</v>
      </c>
      <c r="B799" s="544">
        <f t="shared" si="221"/>
        <v>0</v>
      </c>
      <c r="C799" s="544"/>
      <c r="D799" s="550"/>
      <c r="E799" s="538">
        <f t="shared" si="222"/>
        <v>0</v>
      </c>
      <c r="F799" s="541">
        <f>IF(C799="",0,IFERROR(VLOOKUP(COUNTIF($A$1:A799,"ANALISIS DE PRECIOS"),T_Rendimiento_Equipo,5,FALSE),0))</f>
        <v>0</v>
      </c>
      <c r="G799" s="538">
        <f t="shared" si="224"/>
        <v>0</v>
      </c>
    </row>
    <row r="800" spans="1:7" ht="19.899999999999999" customHeight="1" x14ac:dyDescent="0.2">
      <c r="A800" s="585"/>
      <c r="B800" s="524"/>
      <c r="C800" s="528"/>
      <c r="D800" s="524"/>
      <c r="E800" s="525"/>
      <c r="F800" s="547" t="s">
        <v>28</v>
      </c>
      <c r="G800" s="587">
        <f>SUBTOTAL(9,G793:G799)</f>
        <v>0</v>
      </c>
    </row>
    <row r="801" spans="1:7" ht="19.899999999999999" customHeight="1" x14ac:dyDescent="0.2">
      <c r="A801" s="582"/>
      <c r="B801" s="528"/>
      <c r="C801" s="520" t="s">
        <v>992</v>
      </c>
      <c r="D801" s="524"/>
      <c r="E801" s="525"/>
      <c r="F801" s="526"/>
      <c r="G801" s="583"/>
    </row>
    <row r="802" spans="1:7" ht="19.899999999999999" customHeight="1" x14ac:dyDescent="0.2">
      <c r="A802" s="793" t="s">
        <v>576</v>
      </c>
      <c r="B802" s="794"/>
      <c r="C802" s="795" t="s">
        <v>0</v>
      </c>
      <c r="D802" s="795" t="s">
        <v>1740</v>
      </c>
      <c r="E802" s="797" t="s">
        <v>24</v>
      </c>
      <c r="F802" s="799" t="s">
        <v>25</v>
      </c>
      <c r="G802" s="801" t="s">
        <v>26</v>
      </c>
    </row>
    <row r="803" spans="1:7" ht="19.899999999999999" customHeight="1" x14ac:dyDescent="0.2">
      <c r="A803" s="543" t="s">
        <v>577</v>
      </c>
      <c r="B803" s="543" t="s">
        <v>578</v>
      </c>
      <c r="C803" s="796"/>
      <c r="D803" s="796"/>
      <c r="E803" s="798"/>
      <c r="F803" s="800"/>
      <c r="G803" s="802"/>
    </row>
    <row r="804" spans="1:7" ht="19.899999999999999" customHeight="1" x14ac:dyDescent="0.2">
      <c r="A804" s="584">
        <f t="shared" ref="A804:A814" si="225">IFERROR(VLOOKUP(C804,T_Insumos,4,FALSE),0)</f>
        <v>0</v>
      </c>
      <c r="B804" s="544">
        <f t="shared" ref="B804:B814" si="226">IFERROR(VLOOKUP(C804,T_Insumos,5,FALSE),0)</f>
        <v>0</v>
      </c>
      <c r="C804" s="544">
        <f>+Insumos!A63</f>
        <v>0</v>
      </c>
      <c r="D804" s="596">
        <f t="shared" ref="D804:D814" si="227">IFERROR(VLOOKUP(C804,T_Insumos,2,FALSE),0)</f>
        <v>0</v>
      </c>
      <c r="E804" s="536"/>
      <c r="F804" s="538">
        <f t="shared" ref="F804:F814" si="228">IFERROR(VLOOKUP(C804,T_Insumos,3,FALSE),0)</f>
        <v>0</v>
      </c>
      <c r="G804" s="538">
        <f>ROUND(E804*F804,2)</f>
        <v>0</v>
      </c>
    </row>
    <row r="805" spans="1:7" ht="19.899999999999999" customHeight="1" x14ac:dyDescent="0.2">
      <c r="A805" s="584">
        <f t="shared" si="225"/>
        <v>0</v>
      </c>
      <c r="B805" s="544">
        <f t="shared" si="226"/>
        <v>0</v>
      </c>
      <c r="C805" s="544"/>
      <c r="D805" s="596">
        <f t="shared" si="227"/>
        <v>0</v>
      </c>
      <c r="E805" s="536"/>
      <c r="F805" s="538">
        <f t="shared" si="228"/>
        <v>0</v>
      </c>
      <c r="G805" s="538">
        <f t="shared" ref="G805:G814" si="229">ROUND(E805*F805,2)</f>
        <v>0</v>
      </c>
    </row>
    <row r="806" spans="1:7" ht="19.899999999999999" customHeight="1" x14ac:dyDescent="0.2">
      <c r="A806" s="584">
        <f t="shared" si="225"/>
        <v>0</v>
      </c>
      <c r="B806" s="544">
        <f t="shared" si="226"/>
        <v>0</v>
      </c>
      <c r="C806" s="544"/>
      <c r="D806" s="596">
        <f t="shared" si="227"/>
        <v>0</v>
      </c>
      <c r="E806" s="536"/>
      <c r="F806" s="538">
        <f t="shared" si="228"/>
        <v>0</v>
      </c>
      <c r="G806" s="538">
        <f t="shared" si="229"/>
        <v>0</v>
      </c>
    </row>
    <row r="807" spans="1:7" ht="19.899999999999999" customHeight="1" x14ac:dyDescent="0.2">
      <c r="A807" s="584">
        <f t="shared" si="225"/>
        <v>0</v>
      </c>
      <c r="B807" s="544">
        <f t="shared" si="226"/>
        <v>0</v>
      </c>
      <c r="C807" s="544"/>
      <c r="D807" s="596">
        <f t="shared" si="227"/>
        <v>0</v>
      </c>
      <c r="E807" s="536"/>
      <c r="F807" s="538">
        <f t="shared" si="228"/>
        <v>0</v>
      </c>
      <c r="G807" s="538">
        <f t="shared" si="229"/>
        <v>0</v>
      </c>
    </row>
    <row r="808" spans="1:7" ht="19.899999999999999" customHeight="1" x14ac:dyDescent="0.2">
      <c r="A808" s="584">
        <f t="shared" si="225"/>
        <v>0</v>
      </c>
      <c r="B808" s="544">
        <f t="shared" si="226"/>
        <v>0</v>
      </c>
      <c r="C808" s="544"/>
      <c r="D808" s="596">
        <f t="shared" si="227"/>
        <v>0</v>
      </c>
      <c r="E808" s="536"/>
      <c r="F808" s="538">
        <f t="shared" si="228"/>
        <v>0</v>
      </c>
      <c r="G808" s="538">
        <f t="shared" si="229"/>
        <v>0</v>
      </c>
    </row>
    <row r="809" spans="1:7" ht="19.899999999999999" customHeight="1" x14ac:dyDescent="0.2">
      <c r="A809" s="584">
        <f t="shared" si="225"/>
        <v>0</v>
      </c>
      <c r="B809" s="544">
        <f t="shared" si="226"/>
        <v>0</v>
      </c>
      <c r="C809" s="544"/>
      <c r="D809" s="596">
        <f t="shared" si="227"/>
        <v>0</v>
      </c>
      <c r="E809" s="536"/>
      <c r="F809" s="538">
        <f t="shared" si="228"/>
        <v>0</v>
      </c>
      <c r="G809" s="538">
        <f t="shared" si="229"/>
        <v>0</v>
      </c>
    </row>
    <row r="810" spans="1:7" ht="19.899999999999999" customHeight="1" x14ac:dyDescent="0.2">
      <c r="A810" s="584">
        <f t="shared" si="225"/>
        <v>0</v>
      </c>
      <c r="B810" s="544">
        <f t="shared" si="226"/>
        <v>0</v>
      </c>
      <c r="C810" s="544"/>
      <c r="D810" s="596">
        <f t="shared" si="227"/>
        <v>0</v>
      </c>
      <c r="E810" s="536"/>
      <c r="F810" s="538">
        <f t="shared" si="228"/>
        <v>0</v>
      </c>
      <c r="G810" s="538">
        <f t="shared" si="229"/>
        <v>0</v>
      </c>
    </row>
    <row r="811" spans="1:7" ht="19.899999999999999" customHeight="1" x14ac:dyDescent="0.2">
      <c r="A811" s="584">
        <f t="shared" si="225"/>
        <v>0</v>
      </c>
      <c r="B811" s="544">
        <f t="shared" si="226"/>
        <v>0</v>
      </c>
      <c r="C811" s="544"/>
      <c r="D811" s="596">
        <f t="shared" si="227"/>
        <v>0</v>
      </c>
      <c r="E811" s="536"/>
      <c r="F811" s="538">
        <f t="shared" si="228"/>
        <v>0</v>
      </c>
      <c r="G811" s="538">
        <f t="shared" si="229"/>
        <v>0</v>
      </c>
    </row>
    <row r="812" spans="1:7" ht="19.899999999999999" customHeight="1" x14ac:dyDescent="0.2">
      <c r="A812" s="584">
        <f t="shared" si="225"/>
        <v>0</v>
      </c>
      <c r="B812" s="544">
        <f t="shared" si="226"/>
        <v>0</v>
      </c>
      <c r="C812" s="544"/>
      <c r="D812" s="596">
        <f t="shared" si="227"/>
        <v>0</v>
      </c>
      <c r="E812" s="536"/>
      <c r="F812" s="538">
        <f t="shared" si="228"/>
        <v>0</v>
      </c>
      <c r="G812" s="538">
        <f t="shared" si="229"/>
        <v>0</v>
      </c>
    </row>
    <row r="813" spans="1:7" ht="19.899999999999999" customHeight="1" x14ac:dyDescent="0.2">
      <c r="A813" s="584">
        <f t="shared" si="225"/>
        <v>0</v>
      </c>
      <c r="B813" s="544">
        <f t="shared" si="226"/>
        <v>0</v>
      </c>
      <c r="C813" s="544"/>
      <c r="D813" s="596">
        <f t="shared" si="227"/>
        <v>0</v>
      </c>
      <c r="E813" s="536"/>
      <c r="F813" s="538">
        <f t="shared" si="228"/>
        <v>0</v>
      </c>
      <c r="G813" s="538">
        <f t="shared" si="229"/>
        <v>0</v>
      </c>
    </row>
    <row r="814" spans="1:7" ht="19.899999999999999" customHeight="1" x14ac:dyDescent="0.2">
      <c r="A814" s="584">
        <f t="shared" si="225"/>
        <v>0</v>
      </c>
      <c r="B814" s="544">
        <f t="shared" si="226"/>
        <v>0</v>
      </c>
      <c r="C814" s="544"/>
      <c r="D814" s="596">
        <f t="shared" si="227"/>
        <v>0</v>
      </c>
      <c r="E814" s="536"/>
      <c r="F814" s="538">
        <f t="shared" si="228"/>
        <v>0</v>
      </c>
      <c r="G814" s="538">
        <f t="shared" si="229"/>
        <v>0</v>
      </c>
    </row>
    <row r="815" spans="1:7" ht="19.899999999999999" customHeight="1" x14ac:dyDescent="0.2">
      <c r="A815" s="582"/>
      <c r="B815" s="528"/>
      <c r="C815" s="528"/>
      <c r="D815" s="524"/>
      <c r="E815" s="525"/>
      <c r="F815" s="547" t="s">
        <v>29</v>
      </c>
      <c r="G815" s="588">
        <f>SUBTOTAL(9,G804:G814)</f>
        <v>0</v>
      </c>
    </row>
    <row r="816" spans="1:7" ht="19.899999999999999" customHeight="1" x14ac:dyDescent="0.2">
      <c r="A816" s="582"/>
      <c r="B816" s="528"/>
      <c r="C816" s="520" t="s">
        <v>993</v>
      </c>
      <c r="D816" s="524"/>
      <c r="E816" s="525"/>
      <c r="F816" s="526"/>
      <c r="G816" s="583"/>
    </row>
    <row r="817" spans="1:7" ht="19.899999999999999" customHeight="1" x14ac:dyDescent="0.2">
      <c r="A817" s="793" t="s">
        <v>576</v>
      </c>
      <c r="B817" s="794"/>
      <c r="C817" s="795" t="s">
        <v>0</v>
      </c>
      <c r="D817" s="795" t="s">
        <v>1740</v>
      </c>
      <c r="E817" s="797" t="s">
        <v>24</v>
      </c>
      <c r="F817" s="799" t="s">
        <v>25</v>
      </c>
      <c r="G817" s="801" t="s">
        <v>26</v>
      </c>
    </row>
    <row r="818" spans="1:7" ht="19.899999999999999" customHeight="1" x14ac:dyDescent="0.2">
      <c r="A818" s="543" t="s">
        <v>577</v>
      </c>
      <c r="B818" s="543" t="s">
        <v>578</v>
      </c>
      <c r="C818" s="796"/>
      <c r="D818" s="796"/>
      <c r="E818" s="798"/>
      <c r="F818" s="800"/>
      <c r="G818" s="802"/>
    </row>
    <row r="819" spans="1:7" ht="19.899999999999999" customHeight="1" x14ac:dyDescent="0.2">
      <c r="A819" s="584">
        <f>IFERROR(VLOOKUP(C819,T_Insumos,4,FALSE),0)</f>
        <v>0</v>
      </c>
      <c r="B819" s="544">
        <f>IFERROR(VLOOKUP(C819,T_Insumos,5,FALSE),0)</f>
        <v>0</v>
      </c>
      <c r="C819" s="535"/>
      <c r="D819" s="596">
        <f>IF(C819=0,0,"$/tnkm")</f>
        <v>0</v>
      </c>
      <c r="E819" s="536"/>
      <c r="F819" s="538">
        <f>IFERROR(VLOOKUP(C819,T_Insumos,3,FALSE),0)</f>
        <v>0</v>
      </c>
      <c r="G819" s="538">
        <f>ROUND(E819*F819,2)</f>
        <v>0</v>
      </c>
    </row>
    <row r="820" spans="1:7" ht="19.899999999999999" customHeight="1" x14ac:dyDescent="0.2">
      <c r="A820" s="584">
        <f>IFERROR(VLOOKUP(C820,T_Insumos,4,FALSE),0)</f>
        <v>0</v>
      </c>
      <c r="B820" s="544">
        <f>IFERROR(VLOOKUP(C820,T_Insumos,5,FALSE),0)</f>
        <v>0</v>
      </c>
      <c r="C820" s="535"/>
      <c r="D820" s="596">
        <f>IF(C820=0,0,"$/tnkm")</f>
        <v>0</v>
      </c>
      <c r="E820" s="552"/>
      <c r="F820" s="538">
        <f>IFERROR(VLOOKUP(C820,T_Insumos,3,FALSE),0)</f>
        <v>0</v>
      </c>
      <c r="G820" s="538">
        <f t="shared" ref="G820" si="230">ROUND(E820*F820,2)</f>
        <v>0</v>
      </c>
    </row>
    <row r="821" spans="1:7" ht="19.899999999999999" customHeight="1" x14ac:dyDescent="0.2">
      <c r="A821" s="582"/>
      <c r="B821" s="528"/>
      <c r="C821" s="528"/>
      <c r="D821" s="524"/>
      <c r="E821" s="525"/>
      <c r="F821" s="547" t="s">
        <v>994</v>
      </c>
      <c r="G821" s="588">
        <f>SUBTOTAL(9,G819:G820)</f>
        <v>0</v>
      </c>
    </row>
    <row r="822" spans="1:7" ht="19.899999999999999" customHeight="1" x14ac:dyDescent="0.2">
      <c r="A822" s="585"/>
      <c r="B822" s="524"/>
      <c r="C822" s="528"/>
      <c r="D822" s="524"/>
      <c r="E822" s="525"/>
      <c r="F822" s="526"/>
      <c r="G822" s="583"/>
    </row>
    <row r="823" spans="1:7" ht="19.899999999999999" customHeight="1" x14ac:dyDescent="0.2">
      <c r="A823" s="647" t="str">
        <f>B757</f>
        <v>3.4</v>
      </c>
      <c r="B823" s="644" t="str">
        <f ca="1">C757</f>
        <v>Hormigon de encamisado H-21</v>
      </c>
      <c r="C823" s="524"/>
      <c r="D823" s="524" t="s">
        <v>1719</v>
      </c>
      <c r="E823" s="645"/>
      <c r="F823" s="646" t="str">
        <f ca="1">"$/"&amp;G757</f>
        <v>$/m3</v>
      </c>
      <c r="G823" s="593">
        <f>SUBTOTAL(9,G780:G822)</f>
        <v>0</v>
      </c>
    </row>
    <row r="824" spans="1:7" ht="19.899999999999999" customHeight="1" x14ac:dyDescent="0.2">
      <c r="A824" s="589"/>
      <c r="B824" s="590"/>
      <c r="C824" s="591"/>
      <c r="D824" s="591" t="s">
        <v>1915</v>
      </c>
      <c r="E824" s="592"/>
      <c r="F824" s="648" t="str">
        <f ca="1">"$/"&amp;G757</f>
        <v>$/m3</v>
      </c>
      <c r="G824" s="593">
        <f>ROUND(G823*Coeficiente_Paso,2)</f>
        <v>0</v>
      </c>
    </row>
    <row r="825" spans="1:7" ht="19.899999999999999" customHeight="1" x14ac:dyDescent="0.2">
      <c r="A825" s="185"/>
      <c r="B825" s="185"/>
      <c r="C825" s="185"/>
      <c r="D825" s="185"/>
      <c r="E825" s="185"/>
      <c r="F825" s="185"/>
      <c r="G825" s="185"/>
    </row>
    <row r="826" spans="1:7" ht="19.899999999999999" customHeight="1" x14ac:dyDescent="0.2">
      <c r="A826" s="803" t="s">
        <v>31</v>
      </c>
      <c r="B826" s="804"/>
      <c r="C826" s="804"/>
      <c r="D826" s="804"/>
      <c r="E826" s="804"/>
      <c r="F826" s="804"/>
      <c r="G826" s="805"/>
    </row>
    <row r="827" spans="1:7" ht="19.899999999999999" customHeight="1" x14ac:dyDescent="0.2">
      <c r="A827" s="570" t="s">
        <v>711</v>
      </c>
      <c r="B827" s="518" t="str">
        <f>Comitente</f>
        <v>DEPARTAMENTO DE HIDRAULICA</v>
      </c>
      <c r="C827" s="519"/>
      <c r="D827" s="520"/>
      <c r="E827" s="520"/>
      <c r="F827" s="521"/>
      <c r="G827" s="571"/>
    </row>
    <row r="828" spans="1:7" ht="19.899999999999999" customHeight="1" x14ac:dyDescent="0.2">
      <c r="A828" s="570" t="s">
        <v>712</v>
      </c>
      <c r="B828" s="518">
        <f>Contratista</f>
        <v>0</v>
      </c>
      <c r="C828" s="522"/>
      <c r="D828" s="522"/>
      <c r="E828" s="522"/>
      <c r="F828" s="518"/>
      <c r="G828" s="572"/>
    </row>
    <row r="829" spans="1:7" ht="19.899999999999999" customHeight="1" x14ac:dyDescent="0.2">
      <c r="A829" s="570" t="s">
        <v>21</v>
      </c>
      <c r="B829" s="518" t="str">
        <f>Obra</f>
        <v>ENCAMISADO CANAL GENERAL COCHAGUAL</v>
      </c>
      <c r="C829" s="522"/>
      <c r="D829" s="522"/>
      <c r="E829" s="522"/>
      <c r="F829" s="518" t="s">
        <v>32</v>
      </c>
      <c r="G829" s="572">
        <f>Fecha_Base</f>
        <v>44319</v>
      </c>
    </row>
    <row r="830" spans="1:7" ht="19.899999999999999" customHeight="1" x14ac:dyDescent="0.2">
      <c r="A830" s="573" t="s">
        <v>710</v>
      </c>
      <c r="B830" s="523" t="str">
        <f>Ubicación</f>
        <v>DEPARTAMENTO SARMIENTO</v>
      </c>
      <c r="C830" s="523"/>
      <c r="D830" s="524"/>
      <c r="E830" s="525"/>
      <c r="F830" s="526"/>
      <c r="G830" s="574"/>
    </row>
    <row r="831" spans="1:7" ht="19.899999999999999" customHeight="1" x14ac:dyDescent="0.2">
      <c r="A831" s="573" t="s">
        <v>33</v>
      </c>
      <c r="B831" s="527">
        <f>IFERROR(VALUE(LEFT(B832,FIND(".",B832)-1)),"")</f>
        <v>3</v>
      </c>
      <c r="C831" s="528" t="str">
        <f ca="1">IFERROR(VLOOKUP(B831,T_Computo_Presupuesto,2,FALSE),0)</f>
        <v>CANAL GENERAL COCHAGUAL Progresiva 9860-10860</v>
      </c>
      <c r="D831" s="528"/>
      <c r="E831" s="525"/>
      <c r="F831" s="526"/>
      <c r="G831" s="574"/>
    </row>
    <row r="832" spans="1:7" ht="19.899999999999999" customHeight="1" x14ac:dyDescent="0.2">
      <c r="A832" s="573" t="s">
        <v>22</v>
      </c>
      <c r="B832" s="529" t="str">
        <f>IFERROR(VLOOKUP(COUNTIF($A$1:A832,"ANALISIS DE PRECIOS"),T_NumeroItem,2,FALSE),"")</f>
        <v>3.5</v>
      </c>
      <c r="C832" s="806" t="str">
        <f ca="1">IFERROR(VLOOKUP(B832,T_Computo_Presupuesto,2,FALSE),0)</f>
        <v>Armadura colocada en obra</v>
      </c>
      <c r="D832" s="806"/>
      <c r="E832" s="806"/>
      <c r="F832" s="523" t="s">
        <v>23</v>
      </c>
      <c r="G832" s="575" t="str">
        <f ca="1">IFERROR(VLOOKUP(B832,T_Computo_Presupuesto,4,FALSE),0)</f>
        <v>t</v>
      </c>
    </row>
    <row r="833" spans="1:8" ht="19.899999999999999" customHeight="1" x14ac:dyDescent="0.2">
      <c r="A833" s="573"/>
      <c r="B833" s="523"/>
      <c r="C833" s="528"/>
      <c r="D833" s="524"/>
      <c r="E833" s="525"/>
      <c r="F833" s="528"/>
      <c r="G833" s="576"/>
    </row>
    <row r="834" spans="1:8" ht="19.899999999999999" customHeight="1" x14ac:dyDescent="0.2">
      <c r="A834" s="577"/>
      <c r="B834" s="530"/>
      <c r="C834" s="531" t="s">
        <v>977</v>
      </c>
      <c r="D834" s="530"/>
      <c r="E834" s="530"/>
      <c r="F834" s="530"/>
      <c r="G834" s="578"/>
    </row>
    <row r="835" spans="1:8" ht="19.899999999999999" customHeight="1" x14ac:dyDescent="0.2">
      <c r="A835" s="573"/>
      <c r="B835" s="532"/>
      <c r="C835" s="528"/>
      <c r="D835" s="524"/>
      <c r="E835" s="525"/>
      <c r="F835" s="523"/>
      <c r="G835" s="575"/>
    </row>
    <row r="836" spans="1:8" ht="19.899999999999999" customHeight="1" x14ac:dyDescent="0.2">
      <c r="A836" s="573"/>
      <c r="B836" s="532"/>
      <c r="C836" s="533" t="s">
        <v>978</v>
      </c>
      <c r="D836" s="534" t="s">
        <v>24</v>
      </c>
      <c r="E836" s="534" t="s">
        <v>979</v>
      </c>
      <c r="F836" s="534" t="s">
        <v>980</v>
      </c>
      <c r="G836" s="533" t="s">
        <v>981</v>
      </c>
    </row>
    <row r="837" spans="1:8" ht="19.899999999999999" customHeight="1" x14ac:dyDescent="0.2">
      <c r="A837" s="573"/>
      <c r="B837" s="532"/>
      <c r="C837" s="535">
        <f>+Equipos!A16</f>
        <v>0</v>
      </c>
      <c r="D837" s="536"/>
      <c r="E837" s="537">
        <f t="shared" ref="E837:E846" si="231">IFERROR(VLOOKUP(C837,T_Equipos,4,FALSE),0)</f>
        <v>0</v>
      </c>
      <c r="F837" s="538">
        <f t="shared" ref="F837:F846" si="232">IFERROR(VLOOKUP(C837,T_Equipos,5,FALSE),0)</f>
        <v>0</v>
      </c>
      <c r="G837" s="538">
        <f>ROUND(D837*F837,2)</f>
        <v>0</v>
      </c>
    </row>
    <row r="838" spans="1:8" ht="19.899999999999999" customHeight="1" x14ac:dyDescent="0.2">
      <c r="A838" s="573"/>
      <c r="B838" s="532"/>
      <c r="C838" s="535">
        <f>+Equipos!A19</f>
        <v>0</v>
      </c>
      <c r="D838" s="536"/>
      <c r="E838" s="537">
        <f t="shared" si="231"/>
        <v>0</v>
      </c>
      <c r="F838" s="538">
        <f t="shared" si="232"/>
        <v>0</v>
      </c>
      <c r="G838" s="538">
        <f>ROUND(D838*F838,2)</f>
        <v>0</v>
      </c>
    </row>
    <row r="839" spans="1:8" ht="19.899999999999999" customHeight="1" x14ac:dyDescent="0.2">
      <c r="A839" s="573"/>
      <c r="B839" s="532"/>
      <c r="C839" s="535">
        <f>+Equipos!A25</f>
        <v>0</v>
      </c>
      <c r="D839" s="536"/>
      <c r="E839" s="537">
        <f t="shared" si="231"/>
        <v>0</v>
      </c>
      <c r="F839" s="538">
        <f t="shared" si="232"/>
        <v>0</v>
      </c>
      <c r="G839" s="538">
        <f>ROUND(D839*F839,2)</f>
        <v>0</v>
      </c>
    </row>
    <row r="840" spans="1:8" ht="19.899999999999999" customHeight="1" x14ac:dyDescent="0.2">
      <c r="A840" s="573"/>
      <c r="B840" s="532"/>
      <c r="C840" s="535">
        <f>+Equipos!A31</f>
        <v>0</v>
      </c>
      <c r="D840" s="536"/>
      <c r="E840" s="537">
        <f t="shared" si="231"/>
        <v>0</v>
      </c>
      <c r="F840" s="538">
        <f t="shared" si="232"/>
        <v>0</v>
      </c>
      <c r="G840" s="538">
        <f>ROUND(D840*F840,2)</f>
        <v>0</v>
      </c>
    </row>
    <row r="841" spans="1:8" ht="19.899999999999999" customHeight="1" x14ac:dyDescent="0.2">
      <c r="A841" s="573"/>
      <c r="B841" s="532"/>
      <c r="C841" s="535">
        <f>+Equipos!A22</f>
        <v>0</v>
      </c>
      <c r="D841" s="736"/>
      <c r="E841" s="537">
        <f t="shared" si="231"/>
        <v>0</v>
      </c>
      <c r="F841" s="538">
        <f t="shared" si="232"/>
        <v>0</v>
      </c>
      <c r="G841" s="538">
        <f t="shared" ref="G841:G846" si="233">ROUND(D841*F841,2)</f>
        <v>0</v>
      </c>
      <c r="H841" s="737"/>
    </row>
    <row r="842" spans="1:8" ht="19.899999999999999" customHeight="1" x14ac:dyDescent="0.2">
      <c r="A842" s="573"/>
      <c r="B842" s="532"/>
      <c r="C842" s="535"/>
      <c r="D842" s="536"/>
      <c r="E842" s="537">
        <f t="shared" si="231"/>
        <v>0</v>
      </c>
      <c r="F842" s="538">
        <f t="shared" si="232"/>
        <v>0</v>
      </c>
      <c r="G842" s="538">
        <f t="shared" si="233"/>
        <v>0</v>
      </c>
    </row>
    <row r="843" spans="1:8" ht="19.899999999999999" customHeight="1" x14ac:dyDescent="0.2">
      <c r="A843" s="573"/>
      <c r="B843" s="532"/>
      <c r="C843" s="535"/>
      <c r="D843" s="536"/>
      <c r="E843" s="537">
        <f t="shared" si="231"/>
        <v>0</v>
      </c>
      <c r="F843" s="538">
        <f t="shared" si="232"/>
        <v>0</v>
      </c>
      <c r="G843" s="538">
        <f t="shared" si="233"/>
        <v>0</v>
      </c>
    </row>
    <row r="844" spans="1:8" ht="19.899999999999999" customHeight="1" x14ac:dyDescent="0.2">
      <c r="A844" s="573"/>
      <c r="B844" s="532"/>
      <c r="C844" s="535"/>
      <c r="D844" s="536"/>
      <c r="E844" s="537">
        <f t="shared" si="231"/>
        <v>0</v>
      </c>
      <c r="F844" s="538">
        <f t="shared" si="232"/>
        <v>0</v>
      </c>
      <c r="G844" s="538">
        <f t="shared" si="233"/>
        <v>0</v>
      </c>
    </row>
    <row r="845" spans="1:8" ht="19.899999999999999" customHeight="1" x14ac:dyDescent="0.2">
      <c r="A845" s="573"/>
      <c r="B845" s="532"/>
      <c r="C845" s="535"/>
      <c r="D845" s="536"/>
      <c r="E845" s="537">
        <f t="shared" si="231"/>
        <v>0</v>
      </c>
      <c r="F845" s="538">
        <f t="shared" si="232"/>
        <v>0</v>
      </c>
      <c r="G845" s="538">
        <f t="shared" si="233"/>
        <v>0</v>
      </c>
    </row>
    <row r="846" spans="1:8" ht="19.899999999999999" customHeight="1" x14ac:dyDescent="0.2">
      <c r="A846" s="573"/>
      <c r="B846" s="532"/>
      <c r="C846" s="535"/>
      <c r="D846" s="536"/>
      <c r="E846" s="537">
        <f t="shared" si="231"/>
        <v>0</v>
      </c>
      <c r="F846" s="538">
        <f t="shared" si="232"/>
        <v>0</v>
      </c>
      <c r="G846" s="538">
        <f t="shared" si="233"/>
        <v>0</v>
      </c>
    </row>
    <row r="847" spans="1:8" ht="19.899999999999999" customHeight="1" x14ac:dyDescent="0.2">
      <c r="A847" s="573"/>
      <c r="B847" s="532"/>
      <c r="C847" s="528"/>
      <c r="D847" s="528"/>
      <c r="E847" s="539"/>
      <c r="F847" s="523"/>
      <c r="G847" s="575"/>
    </row>
    <row r="848" spans="1:8" ht="19.899999999999999" customHeight="1" x14ac:dyDescent="0.2">
      <c r="A848" s="573"/>
      <c r="B848" s="528"/>
      <c r="C848" s="520" t="s">
        <v>982</v>
      </c>
      <c r="D848" s="523" t="s">
        <v>979</v>
      </c>
      <c r="E848" s="594">
        <f>SUMPRODUCT(D837:D846,E837:E846)</f>
        <v>0</v>
      </c>
      <c r="F848" s="523" t="s">
        <v>983</v>
      </c>
      <c r="G848" s="595">
        <f>SUM(G837:G846)</f>
        <v>0</v>
      </c>
    </row>
    <row r="849" spans="1:7" ht="19.899999999999999" customHeight="1" x14ac:dyDescent="0.2">
      <c r="A849" s="573"/>
      <c r="B849" s="532"/>
      <c r="C849" s="540"/>
      <c r="D849" s="539"/>
      <c r="E849" s="525"/>
      <c r="F849" s="523"/>
      <c r="G849" s="579"/>
    </row>
    <row r="850" spans="1:7" ht="19.899999999999999" customHeight="1" x14ac:dyDescent="0.2">
      <c r="A850" s="580"/>
      <c r="B850" s="532"/>
      <c r="C850" s="523" t="s">
        <v>984</v>
      </c>
      <c r="D850" s="541">
        <f>IFERROR(VLOOKUP(COUNTIF($A$1:A850,"ANALISIS DE PRECIOS"),T_Rendimiento_Equipo,5,FALSE),0)</f>
        <v>0</v>
      </c>
      <c r="E850" s="542" t="str">
        <f ca="1">G832&amp;"/día"</f>
        <v>t/día</v>
      </c>
      <c r="F850" s="581"/>
      <c r="G850" s="575"/>
    </row>
    <row r="851" spans="1:7" ht="19.899999999999999" customHeight="1" x14ac:dyDescent="0.2">
      <c r="A851" s="573"/>
      <c r="B851" s="532"/>
      <c r="C851" s="528"/>
      <c r="D851" s="524"/>
      <c r="E851" s="525"/>
      <c r="F851" s="523"/>
      <c r="G851" s="575"/>
    </row>
    <row r="852" spans="1:7" ht="19.899999999999999" customHeight="1" x14ac:dyDescent="0.2">
      <c r="A852" s="793" t="s">
        <v>576</v>
      </c>
      <c r="B852" s="794"/>
      <c r="C852" s="795" t="s">
        <v>0</v>
      </c>
      <c r="D852" s="807" t="s">
        <v>1739</v>
      </c>
      <c r="E852" s="807" t="s">
        <v>1738</v>
      </c>
      <c r="F852" s="799" t="s">
        <v>985</v>
      </c>
      <c r="G852" s="801" t="s">
        <v>26</v>
      </c>
    </row>
    <row r="853" spans="1:7" ht="19.899999999999999" customHeight="1" x14ac:dyDescent="0.2">
      <c r="A853" s="543" t="s">
        <v>577</v>
      </c>
      <c r="B853" s="543" t="s">
        <v>578</v>
      </c>
      <c r="C853" s="796"/>
      <c r="D853" s="808"/>
      <c r="E853" s="798"/>
      <c r="F853" s="800"/>
      <c r="G853" s="802"/>
    </row>
    <row r="854" spans="1:7" ht="19.899999999999999" customHeight="1" x14ac:dyDescent="0.2">
      <c r="A854" s="582"/>
      <c r="B854" s="528"/>
      <c r="C854" s="520" t="s">
        <v>986</v>
      </c>
      <c r="D854" s="525"/>
      <c r="E854" s="525"/>
      <c r="F854" s="528"/>
      <c r="G854" s="583"/>
    </row>
    <row r="855" spans="1:7" ht="19.899999999999999" customHeight="1" x14ac:dyDescent="0.2">
      <c r="A855" s="584">
        <f t="shared" ref="A855:A863" si="234">IFERROR(VLOOKUP(C855,T_Insumos,4,FALSE),0)</f>
        <v>0</v>
      </c>
      <c r="B855" s="544">
        <f t="shared" ref="B855:B863" si="235">IFERROR(VLOOKUP(C855,T_Insumos,5,FALSE),0)</f>
        <v>0</v>
      </c>
      <c r="C855" s="535">
        <f>+C30</f>
        <v>0</v>
      </c>
      <c r="D855" s="545">
        <f t="shared" ref="D855:D863" si="236">IFERROR(VLOOKUP(C855,T_Insumos,3,FALSE),0)</f>
        <v>0</v>
      </c>
      <c r="E855" s="538">
        <f>D855*$G$848</f>
        <v>0</v>
      </c>
      <c r="F855" s="541">
        <f>IF(C855="",0,IFERROR(VLOOKUP(COUNTIF($A$1:A855,"ANALISIS DE PRECIOS"),T_Rendimiento_Equipo,5,FALSE),0))</f>
        <v>0</v>
      </c>
      <c r="G855" s="538">
        <f>IFERROR(ROUND(E855/F855,2),0)</f>
        <v>0</v>
      </c>
    </row>
    <row r="856" spans="1:7" ht="19.899999999999999" customHeight="1" x14ac:dyDescent="0.2">
      <c r="A856" s="584">
        <f t="shared" si="234"/>
        <v>0</v>
      </c>
      <c r="B856" s="544">
        <f t="shared" si="235"/>
        <v>0</v>
      </c>
      <c r="C856" s="535">
        <f t="shared" ref="C856:C858" si="237">+C31</f>
        <v>0</v>
      </c>
      <c r="D856" s="545">
        <f t="shared" si="236"/>
        <v>0</v>
      </c>
      <c r="E856" s="538">
        <f t="shared" ref="E856:E857" si="238">D856*$G$848</f>
        <v>0</v>
      </c>
      <c r="F856" s="541">
        <f>IF(C856="",0,IFERROR(VLOOKUP(COUNTIF($A$1:A856,"ANALISIS DE PRECIOS"),T_Rendimiento_Equipo,5,FALSE),0))</f>
        <v>0</v>
      </c>
      <c r="G856" s="538">
        <f t="shared" ref="G856:G863" si="239">IFERROR(ROUND(E856/F856,2),0)</f>
        <v>0</v>
      </c>
    </row>
    <row r="857" spans="1:7" ht="19.899999999999999" customHeight="1" x14ac:dyDescent="0.2">
      <c r="A857" s="584">
        <f t="shared" si="234"/>
        <v>0</v>
      </c>
      <c r="B857" s="544">
        <f t="shared" si="235"/>
        <v>0</v>
      </c>
      <c r="C857" s="535">
        <f t="shared" si="237"/>
        <v>0</v>
      </c>
      <c r="D857" s="545">
        <f t="shared" si="236"/>
        <v>0</v>
      </c>
      <c r="E857" s="538">
        <f t="shared" si="238"/>
        <v>0</v>
      </c>
      <c r="F857" s="541">
        <f>IF(C857="",0,IFERROR(VLOOKUP(COUNTIF($A$1:A857,"ANALISIS DE PRECIOS"),T_Rendimiento_Equipo,5,FALSE),0))</f>
        <v>0</v>
      </c>
      <c r="G857" s="538">
        <f t="shared" si="239"/>
        <v>0</v>
      </c>
    </row>
    <row r="858" spans="1:7" ht="19.899999999999999" customHeight="1" x14ac:dyDescent="0.2">
      <c r="A858" s="584">
        <f t="shared" si="234"/>
        <v>0</v>
      </c>
      <c r="B858" s="544">
        <f t="shared" si="235"/>
        <v>0</v>
      </c>
      <c r="C858" s="535">
        <f t="shared" si="237"/>
        <v>0</v>
      </c>
      <c r="D858" s="545">
        <f t="shared" si="236"/>
        <v>0</v>
      </c>
      <c r="E858" s="538">
        <f>D858*$E$848</f>
        <v>0</v>
      </c>
      <c r="F858" s="541">
        <f>IF(C858="",0,IFERROR(VLOOKUP(COUNTIF($A$1:A858,"ANALISIS DE PRECIOS"),T_Rendimiento_Equipo,5,FALSE),0))</f>
        <v>0</v>
      </c>
      <c r="G858" s="538">
        <f t="shared" si="239"/>
        <v>0</v>
      </c>
    </row>
    <row r="859" spans="1:7" ht="19.899999999999999" customHeight="1" x14ac:dyDescent="0.2">
      <c r="A859" s="584">
        <f t="shared" si="234"/>
        <v>0</v>
      </c>
      <c r="B859" s="544">
        <f t="shared" si="235"/>
        <v>0</v>
      </c>
      <c r="C859" s="546"/>
      <c r="D859" s="545">
        <f t="shared" si="236"/>
        <v>0</v>
      </c>
      <c r="E859" s="538"/>
      <c r="F859" s="541">
        <f>IF(C859="",0,IFERROR(VLOOKUP(COUNTIF($A$1:A859,"ANALISIS DE PRECIOS"),T_Rendimiento_Equipo,5,FALSE),0))</f>
        <v>0</v>
      </c>
      <c r="G859" s="538">
        <f t="shared" si="239"/>
        <v>0</v>
      </c>
    </row>
    <row r="860" spans="1:7" ht="19.899999999999999" customHeight="1" x14ac:dyDescent="0.2">
      <c r="A860" s="584">
        <f t="shared" si="234"/>
        <v>0</v>
      </c>
      <c r="B860" s="544">
        <f t="shared" si="235"/>
        <v>0</v>
      </c>
      <c r="C860" s="546"/>
      <c r="D860" s="545">
        <f t="shared" si="236"/>
        <v>0</v>
      </c>
      <c r="E860" s="538"/>
      <c r="F860" s="541">
        <f>IF(C860="",0,IFERROR(VLOOKUP(COUNTIF($A$1:A860,"ANALISIS DE PRECIOS"),T_Rendimiento_Equipo,5,FALSE),0))</f>
        <v>0</v>
      </c>
      <c r="G860" s="538">
        <f t="shared" si="239"/>
        <v>0</v>
      </c>
    </row>
    <row r="861" spans="1:7" ht="19.899999999999999" customHeight="1" x14ac:dyDescent="0.2">
      <c r="A861" s="584">
        <f t="shared" si="234"/>
        <v>0</v>
      </c>
      <c r="B861" s="544">
        <f t="shared" si="235"/>
        <v>0</v>
      </c>
      <c r="C861" s="546"/>
      <c r="D861" s="545">
        <f t="shared" si="236"/>
        <v>0</v>
      </c>
      <c r="E861" s="538"/>
      <c r="F861" s="541">
        <f>IF(C861="",0,IFERROR(VLOOKUP(COUNTIF($A$1:A861,"ANALISIS DE PRECIOS"),T_Rendimiento_Equipo,5,FALSE),0))</f>
        <v>0</v>
      </c>
      <c r="G861" s="538">
        <f t="shared" si="239"/>
        <v>0</v>
      </c>
    </row>
    <row r="862" spans="1:7" ht="19.899999999999999" customHeight="1" x14ac:dyDescent="0.2">
      <c r="A862" s="584">
        <f t="shared" si="234"/>
        <v>0</v>
      </c>
      <c r="B862" s="544">
        <f t="shared" si="235"/>
        <v>0</v>
      </c>
      <c r="C862" s="546"/>
      <c r="D862" s="545">
        <f t="shared" si="236"/>
        <v>0</v>
      </c>
      <c r="E862" s="538"/>
      <c r="F862" s="541">
        <f>IF(C862="",0,IFERROR(VLOOKUP(COUNTIF($A$1:A862,"ANALISIS DE PRECIOS"),T_Rendimiento_Equipo,5,FALSE),0))</f>
        <v>0</v>
      </c>
      <c r="G862" s="538">
        <f t="shared" si="239"/>
        <v>0</v>
      </c>
    </row>
    <row r="863" spans="1:7" ht="19.899999999999999" customHeight="1" x14ac:dyDescent="0.2">
      <c r="A863" s="584">
        <f t="shared" si="234"/>
        <v>0</v>
      </c>
      <c r="B863" s="544">
        <f t="shared" si="235"/>
        <v>0</v>
      </c>
      <c r="C863" s="535"/>
      <c r="D863" s="545">
        <f t="shared" si="236"/>
        <v>0</v>
      </c>
      <c r="E863" s="538"/>
      <c r="F863" s="541">
        <f>IF(C863="",0,IFERROR(VLOOKUP(COUNTIF($A$1:A863,"ANALISIS DE PRECIOS"),T_Rendimiento_Equipo,5,FALSE),0))</f>
        <v>0</v>
      </c>
      <c r="G863" s="538">
        <f t="shared" si="239"/>
        <v>0</v>
      </c>
    </row>
    <row r="864" spans="1:7" ht="19.899999999999999" customHeight="1" x14ac:dyDescent="0.2">
      <c r="A864" s="585"/>
      <c r="B864" s="524"/>
      <c r="C864" s="528"/>
      <c r="D864" s="524"/>
      <c r="E864" s="525"/>
      <c r="F864" s="547" t="s">
        <v>27</v>
      </c>
      <c r="G864" s="586">
        <f>SUBTOTAL(9,G855:G863)</f>
        <v>0</v>
      </c>
    </row>
    <row r="865" spans="1:8" ht="19.899999999999999" customHeight="1" x14ac:dyDescent="0.2">
      <c r="A865" s="582"/>
      <c r="B865" s="528"/>
      <c r="C865" s="520" t="s">
        <v>713</v>
      </c>
      <c r="D865" s="524"/>
      <c r="E865" s="525"/>
      <c r="F865" s="526"/>
      <c r="G865" s="583"/>
    </row>
    <row r="866" spans="1:8" ht="19.899999999999999" customHeight="1" x14ac:dyDescent="0.2">
      <c r="A866" s="793" t="s">
        <v>576</v>
      </c>
      <c r="B866" s="794"/>
      <c r="C866" s="795" t="s">
        <v>0</v>
      </c>
      <c r="D866" s="797" t="s">
        <v>24</v>
      </c>
      <c r="E866" s="797" t="s">
        <v>1718</v>
      </c>
      <c r="F866" s="799" t="s">
        <v>985</v>
      </c>
      <c r="G866" s="801" t="s">
        <v>26</v>
      </c>
    </row>
    <row r="867" spans="1:8" ht="19.899999999999999" customHeight="1" x14ac:dyDescent="0.2">
      <c r="A867" s="543" t="s">
        <v>577</v>
      </c>
      <c r="B867" s="543" t="s">
        <v>578</v>
      </c>
      <c r="C867" s="796"/>
      <c r="D867" s="798"/>
      <c r="E867" s="798"/>
      <c r="F867" s="800"/>
      <c r="G867" s="802"/>
    </row>
    <row r="868" spans="1:8" ht="19.899999999999999" customHeight="1" x14ac:dyDescent="0.2">
      <c r="A868" s="584" t="str">
        <f t="shared" ref="A868:A874" si="240">IFERROR(VLOOKUP(C868,T_Insumos,4,FALSE),0)</f>
        <v>IIEE-SJ - 1</v>
      </c>
      <c r="B868" s="544" t="str">
        <f t="shared" ref="B868:B874" si="241">IFERROR(VLOOKUP(C868,T_Insumos,5,FALSE),0)</f>
        <v>Mano de Obra</v>
      </c>
      <c r="C868" s="548" t="str">
        <f>+C43</f>
        <v>Mano de obra</v>
      </c>
      <c r="D868" s="541"/>
      <c r="E868" s="538">
        <f t="shared" ref="E868:E874" si="242">IFERROR(VLOOKUP(C868,T_Insumos,3,FALSE),0)</f>
        <v>0</v>
      </c>
      <c r="F868" s="541">
        <f>IF(C868="",0,IFERROR(VLOOKUP(COUNTIF($A$1:A868,"ANALISIS DE PRECIOS"),T_Rendimiento_Equipo,5,FALSE),0))</f>
        <v>0</v>
      </c>
      <c r="G868" s="538">
        <f>IFERROR(ROUND(D868*E868/F868,2),0)</f>
        <v>0</v>
      </c>
    </row>
    <row r="869" spans="1:8" ht="19.899999999999999" customHeight="1" x14ac:dyDescent="0.2">
      <c r="A869" s="584" t="str">
        <f t="shared" si="240"/>
        <v>INDEC-CM - 37510-11</v>
      </c>
      <c r="B869" s="544" t="str">
        <f t="shared" si="241"/>
        <v>Hormigón elaborado</v>
      </c>
      <c r="C869" s="548" t="str">
        <f t="shared" ref="C869:C871" si="243">+C44</f>
        <v>Hormigon Elaborado</v>
      </c>
      <c r="D869" s="541"/>
      <c r="E869" s="538">
        <f t="shared" si="242"/>
        <v>0</v>
      </c>
      <c r="F869" s="541">
        <f>IF(C869="",0,IFERROR(VLOOKUP(COUNTIF($A$1:A869,"ANALISIS DE PRECIOS"),T_Rendimiento_Equipo,5,FALSE),0))</f>
        <v>0</v>
      </c>
      <c r="G869" s="538">
        <f>IFERROR(ROUND(D869*E869/F869,2),0)</f>
        <v>0</v>
      </c>
    </row>
    <row r="870" spans="1:8" ht="19.899999999999999" customHeight="1" x14ac:dyDescent="0.2">
      <c r="A870" s="584" t="str">
        <f t="shared" si="240"/>
        <v>INDEC-DCTO - Inciso j)</v>
      </c>
      <c r="B870" s="544" t="str">
        <f t="shared" si="241"/>
        <v>Equipo - Amortización de equipo</v>
      </c>
      <c r="C870" s="548" t="str">
        <f t="shared" si="243"/>
        <v>Equipo - Amortizacion de equipo</v>
      </c>
      <c r="D870" s="541"/>
      <c r="E870" s="538">
        <f t="shared" si="242"/>
        <v>0</v>
      </c>
      <c r="F870" s="541">
        <f>IF(C870="",0,IFERROR(VLOOKUP(COUNTIF($A$1:A870,"ANALISIS DE PRECIOS"),T_Rendimiento_Equipo,5,FALSE),0))</f>
        <v>0</v>
      </c>
      <c r="G870" s="538">
        <f t="shared" ref="G870:G874" si="244">IFERROR(ROUND(D870*E870/F870,2),0)</f>
        <v>0</v>
      </c>
    </row>
    <row r="871" spans="1:8" ht="19.899999999999999" customHeight="1" x14ac:dyDescent="0.2">
      <c r="A871" s="584" t="str">
        <f t="shared" si="240"/>
        <v>INDEC-CM - 41242-11</v>
      </c>
      <c r="B871" s="544" t="str">
        <f t="shared" si="241"/>
        <v>Acero aletado conformado, en barra</v>
      </c>
      <c r="C871" s="548" t="str">
        <f t="shared" si="243"/>
        <v>Hierro</v>
      </c>
      <c r="D871" s="541"/>
      <c r="E871" s="538">
        <f t="shared" si="242"/>
        <v>0</v>
      </c>
      <c r="F871" s="541">
        <f>IF(C871="",0,IFERROR(VLOOKUP(COUNTIF($A$1:A871,"ANALISIS DE PRECIOS"),T_Rendimiento_Equipo,5,FALSE),0))</f>
        <v>0</v>
      </c>
      <c r="G871" s="538">
        <f>IFERROR(ROUND(D871*E871/F871,2),0)</f>
        <v>0</v>
      </c>
    </row>
    <row r="872" spans="1:8" ht="19.899999999999999" customHeight="1" x14ac:dyDescent="0.2">
      <c r="A872" s="584">
        <f t="shared" si="240"/>
        <v>0</v>
      </c>
      <c r="B872" s="544">
        <f t="shared" si="241"/>
        <v>0</v>
      </c>
      <c r="C872" s="535"/>
      <c r="D872" s="541"/>
      <c r="E872" s="538">
        <f t="shared" si="242"/>
        <v>0</v>
      </c>
      <c r="F872" s="541">
        <f>IF(C872="",0,IFERROR(VLOOKUP(COUNTIF($A$1:A872,"ANALISIS DE PRECIOS"),T_Rendimiento_Equipo,5,FALSE),0))</f>
        <v>0</v>
      </c>
      <c r="G872" s="538">
        <f t="shared" si="244"/>
        <v>0</v>
      </c>
    </row>
    <row r="873" spans="1:8" ht="19.899999999999999" customHeight="1" x14ac:dyDescent="0.2">
      <c r="A873" s="584">
        <f t="shared" si="240"/>
        <v>0</v>
      </c>
      <c r="B873" s="544">
        <f t="shared" si="241"/>
        <v>0</v>
      </c>
      <c r="C873" s="535"/>
      <c r="D873" s="549"/>
      <c r="E873" s="538">
        <f t="shared" si="242"/>
        <v>0</v>
      </c>
      <c r="F873" s="541">
        <f>IF(C873="",0,IFERROR(VLOOKUP(COUNTIF($A$1:A873,"ANALISIS DE PRECIOS"),T_Rendimiento_Equipo,5,FALSE),0))</f>
        <v>0</v>
      </c>
      <c r="G873" s="538">
        <f t="shared" si="244"/>
        <v>0</v>
      </c>
    </row>
    <row r="874" spans="1:8" ht="19.899999999999999" customHeight="1" x14ac:dyDescent="0.2">
      <c r="A874" s="584">
        <f t="shared" si="240"/>
        <v>0</v>
      </c>
      <c r="B874" s="544">
        <f t="shared" si="241"/>
        <v>0</v>
      </c>
      <c r="C874" s="544"/>
      <c r="D874" s="550"/>
      <c r="E874" s="538">
        <f t="shared" si="242"/>
        <v>0</v>
      </c>
      <c r="F874" s="541">
        <f>IF(C874="",0,IFERROR(VLOOKUP(COUNTIF($A$1:A874,"ANALISIS DE PRECIOS"),T_Rendimiento_Equipo,5,FALSE),0))</f>
        <v>0</v>
      </c>
      <c r="G874" s="538">
        <f t="shared" si="244"/>
        <v>0</v>
      </c>
    </row>
    <row r="875" spans="1:8" ht="19.899999999999999" customHeight="1" x14ac:dyDescent="0.2">
      <c r="A875" s="585"/>
      <c r="B875" s="524"/>
      <c r="C875" s="528"/>
      <c r="D875" s="524"/>
      <c r="E875" s="525"/>
      <c r="F875" s="547" t="s">
        <v>28</v>
      </c>
      <c r="G875" s="587">
        <f>SUBTOTAL(9,G868:G874)</f>
        <v>0</v>
      </c>
      <c r="H875" s="738"/>
    </row>
    <row r="876" spans="1:8" ht="19.899999999999999" customHeight="1" x14ac:dyDescent="0.2">
      <c r="A876" s="582"/>
      <c r="B876" s="528"/>
      <c r="C876" s="520" t="s">
        <v>992</v>
      </c>
      <c r="D876" s="524"/>
      <c r="E876" s="525"/>
      <c r="F876" s="526"/>
      <c r="G876" s="583"/>
    </row>
    <row r="877" spans="1:8" ht="19.899999999999999" customHeight="1" x14ac:dyDescent="0.2">
      <c r="A877" s="793" t="s">
        <v>576</v>
      </c>
      <c r="B877" s="794"/>
      <c r="C877" s="795" t="s">
        <v>0</v>
      </c>
      <c r="D877" s="795" t="s">
        <v>1740</v>
      </c>
      <c r="E877" s="797" t="s">
        <v>24</v>
      </c>
      <c r="F877" s="799" t="s">
        <v>25</v>
      </c>
      <c r="G877" s="801" t="s">
        <v>26</v>
      </c>
    </row>
    <row r="878" spans="1:8" ht="19.899999999999999" customHeight="1" x14ac:dyDescent="0.2">
      <c r="A878" s="543" t="s">
        <v>577</v>
      </c>
      <c r="B878" s="543" t="s">
        <v>578</v>
      </c>
      <c r="C878" s="796"/>
      <c r="D878" s="796"/>
      <c r="E878" s="798"/>
      <c r="F878" s="800"/>
      <c r="G878" s="802"/>
    </row>
    <row r="879" spans="1:8" ht="19.899999999999999" customHeight="1" x14ac:dyDescent="0.2">
      <c r="A879" s="584">
        <f t="shared" ref="A879:A889" si="245">IFERROR(VLOOKUP(C879,T_Insumos,4,FALSE),0)</f>
        <v>0</v>
      </c>
      <c r="B879" s="544">
        <f t="shared" ref="B879:B889" si="246">IFERROR(VLOOKUP(C879,T_Insumos,5,FALSE),0)</f>
        <v>0</v>
      </c>
      <c r="C879" s="544"/>
      <c r="D879" s="596">
        <f t="shared" ref="D879:D889" si="247">IFERROR(VLOOKUP(C879,T_Insumos,2,FALSE),0)</f>
        <v>0</v>
      </c>
      <c r="E879" s="536"/>
      <c r="F879" s="538">
        <f t="shared" ref="F879:F889" si="248">IFERROR(VLOOKUP(C879,T_Insumos,3,FALSE),0)</f>
        <v>0</v>
      </c>
      <c r="G879" s="538">
        <f>ROUND(E879*F879,2)</f>
        <v>0</v>
      </c>
    </row>
    <row r="880" spans="1:8" ht="19.899999999999999" customHeight="1" x14ac:dyDescent="0.2">
      <c r="A880" s="584">
        <f t="shared" si="245"/>
        <v>0</v>
      </c>
      <c r="B880" s="544">
        <f t="shared" si="246"/>
        <v>0</v>
      </c>
      <c r="C880" s="544"/>
      <c r="D880" s="596">
        <f t="shared" si="247"/>
        <v>0</v>
      </c>
      <c r="E880" s="536"/>
      <c r="F880" s="538">
        <f t="shared" si="248"/>
        <v>0</v>
      </c>
      <c r="G880" s="538">
        <f t="shared" ref="G880:G889" si="249">ROUND(E880*F880,2)</f>
        <v>0</v>
      </c>
    </row>
    <row r="881" spans="1:7" ht="19.899999999999999" customHeight="1" x14ac:dyDescent="0.2">
      <c r="A881" s="584">
        <f t="shared" si="245"/>
        <v>0</v>
      </c>
      <c r="B881" s="544">
        <f t="shared" si="246"/>
        <v>0</v>
      </c>
      <c r="C881" s="544"/>
      <c r="D881" s="596">
        <f t="shared" si="247"/>
        <v>0</v>
      </c>
      <c r="E881" s="536"/>
      <c r="F881" s="538">
        <f t="shared" si="248"/>
        <v>0</v>
      </c>
      <c r="G881" s="538">
        <f t="shared" si="249"/>
        <v>0</v>
      </c>
    </row>
    <row r="882" spans="1:7" ht="19.899999999999999" customHeight="1" x14ac:dyDescent="0.2">
      <c r="A882" s="584">
        <f t="shared" si="245"/>
        <v>0</v>
      </c>
      <c r="B882" s="544">
        <f t="shared" si="246"/>
        <v>0</v>
      </c>
      <c r="C882" s="544"/>
      <c r="D882" s="596">
        <f t="shared" si="247"/>
        <v>0</v>
      </c>
      <c r="E882" s="536"/>
      <c r="F882" s="538">
        <f t="shared" si="248"/>
        <v>0</v>
      </c>
      <c r="G882" s="538">
        <f t="shared" si="249"/>
        <v>0</v>
      </c>
    </row>
    <row r="883" spans="1:7" ht="19.899999999999999" customHeight="1" x14ac:dyDescent="0.2">
      <c r="A883" s="584">
        <f t="shared" si="245"/>
        <v>0</v>
      </c>
      <c r="B883" s="544">
        <f t="shared" si="246"/>
        <v>0</v>
      </c>
      <c r="C883" s="544"/>
      <c r="D883" s="596">
        <f t="shared" si="247"/>
        <v>0</v>
      </c>
      <c r="E883" s="536"/>
      <c r="F883" s="538">
        <f t="shared" si="248"/>
        <v>0</v>
      </c>
      <c r="G883" s="538">
        <f t="shared" si="249"/>
        <v>0</v>
      </c>
    </row>
    <row r="884" spans="1:7" ht="19.899999999999999" customHeight="1" x14ac:dyDescent="0.2">
      <c r="A884" s="584">
        <f t="shared" si="245"/>
        <v>0</v>
      </c>
      <c r="B884" s="544">
        <f t="shared" si="246"/>
        <v>0</v>
      </c>
      <c r="C884" s="544"/>
      <c r="D884" s="596">
        <f t="shared" si="247"/>
        <v>0</v>
      </c>
      <c r="E884" s="536"/>
      <c r="F884" s="538">
        <f t="shared" si="248"/>
        <v>0</v>
      </c>
      <c r="G884" s="538">
        <f t="shared" si="249"/>
        <v>0</v>
      </c>
    </row>
    <row r="885" spans="1:7" ht="19.899999999999999" customHeight="1" x14ac:dyDescent="0.2">
      <c r="A885" s="584">
        <f t="shared" si="245"/>
        <v>0</v>
      </c>
      <c r="B885" s="544">
        <f t="shared" si="246"/>
        <v>0</v>
      </c>
      <c r="C885" s="544"/>
      <c r="D885" s="596">
        <f t="shared" si="247"/>
        <v>0</v>
      </c>
      <c r="E885" s="536"/>
      <c r="F885" s="538">
        <f t="shared" si="248"/>
        <v>0</v>
      </c>
      <c r="G885" s="538">
        <f t="shared" si="249"/>
        <v>0</v>
      </c>
    </row>
    <row r="886" spans="1:7" ht="19.899999999999999" customHeight="1" x14ac:dyDescent="0.2">
      <c r="A886" s="584">
        <f t="shared" si="245"/>
        <v>0</v>
      </c>
      <c r="B886" s="544">
        <f t="shared" si="246"/>
        <v>0</v>
      </c>
      <c r="C886" s="544"/>
      <c r="D886" s="596">
        <f t="shared" si="247"/>
        <v>0</v>
      </c>
      <c r="E886" s="536"/>
      <c r="F886" s="538">
        <f t="shared" si="248"/>
        <v>0</v>
      </c>
      <c r="G886" s="538">
        <f t="shared" si="249"/>
        <v>0</v>
      </c>
    </row>
    <row r="887" spans="1:7" ht="19.899999999999999" customHeight="1" x14ac:dyDescent="0.2">
      <c r="A887" s="584">
        <f t="shared" si="245"/>
        <v>0</v>
      </c>
      <c r="B887" s="544">
        <f t="shared" si="246"/>
        <v>0</v>
      </c>
      <c r="C887" s="544"/>
      <c r="D887" s="596">
        <f t="shared" si="247"/>
        <v>0</v>
      </c>
      <c r="E887" s="536"/>
      <c r="F887" s="538">
        <f t="shared" si="248"/>
        <v>0</v>
      </c>
      <c r="G887" s="538">
        <f t="shared" si="249"/>
        <v>0</v>
      </c>
    </row>
    <row r="888" spans="1:7" ht="19.899999999999999" customHeight="1" x14ac:dyDescent="0.2">
      <c r="A888" s="584">
        <f t="shared" si="245"/>
        <v>0</v>
      </c>
      <c r="B888" s="544">
        <f t="shared" si="246"/>
        <v>0</v>
      </c>
      <c r="C888" s="544"/>
      <c r="D888" s="596">
        <f t="shared" si="247"/>
        <v>0</v>
      </c>
      <c r="E888" s="536"/>
      <c r="F888" s="538">
        <f t="shared" si="248"/>
        <v>0</v>
      </c>
      <c r="G888" s="538">
        <f t="shared" si="249"/>
        <v>0</v>
      </c>
    </row>
    <row r="889" spans="1:7" ht="19.899999999999999" customHeight="1" x14ac:dyDescent="0.2">
      <c r="A889" s="584">
        <f t="shared" si="245"/>
        <v>0</v>
      </c>
      <c r="B889" s="544">
        <f t="shared" si="246"/>
        <v>0</v>
      </c>
      <c r="C889" s="544"/>
      <c r="D889" s="596">
        <f t="shared" si="247"/>
        <v>0</v>
      </c>
      <c r="E889" s="536"/>
      <c r="F889" s="538">
        <f t="shared" si="248"/>
        <v>0</v>
      </c>
      <c r="G889" s="538">
        <f t="shared" si="249"/>
        <v>0</v>
      </c>
    </row>
    <row r="890" spans="1:7" ht="19.899999999999999" customHeight="1" x14ac:dyDescent="0.2">
      <c r="A890" s="582"/>
      <c r="B890" s="528"/>
      <c r="C890" s="528"/>
      <c r="D890" s="524"/>
      <c r="E890" s="525"/>
      <c r="F890" s="547" t="s">
        <v>29</v>
      </c>
      <c r="G890" s="588">
        <f>SUBTOTAL(9,G879:G889)</f>
        <v>0</v>
      </c>
    </row>
    <row r="891" spans="1:7" ht="19.899999999999999" customHeight="1" x14ac:dyDescent="0.2">
      <c r="A891" s="582"/>
      <c r="B891" s="528"/>
      <c r="C891" s="520" t="s">
        <v>993</v>
      </c>
      <c r="D891" s="524"/>
      <c r="E891" s="525"/>
      <c r="F891" s="526"/>
      <c r="G891" s="583"/>
    </row>
    <row r="892" spans="1:7" ht="19.899999999999999" customHeight="1" x14ac:dyDescent="0.2">
      <c r="A892" s="793" t="s">
        <v>576</v>
      </c>
      <c r="B892" s="794"/>
      <c r="C892" s="795" t="s">
        <v>0</v>
      </c>
      <c r="D892" s="795" t="s">
        <v>1740</v>
      </c>
      <c r="E892" s="797" t="s">
        <v>24</v>
      </c>
      <c r="F892" s="799" t="s">
        <v>25</v>
      </c>
      <c r="G892" s="801" t="s">
        <v>26</v>
      </c>
    </row>
    <row r="893" spans="1:7" ht="19.899999999999999" customHeight="1" x14ac:dyDescent="0.2">
      <c r="A893" s="543" t="s">
        <v>577</v>
      </c>
      <c r="B893" s="543" t="s">
        <v>578</v>
      </c>
      <c r="C893" s="796"/>
      <c r="D893" s="796"/>
      <c r="E893" s="798"/>
      <c r="F893" s="800"/>
      <c r="G893" s="802"/>
    </row>
    <row r="894" spans="1:7" ht="19.899999999999999" customHeight="1" x14ac:dyDescent="0.2">
      <c r="A894" s="584">
        <f>IFERROR(VLOOKUP(C894,T_Insumos,4,FALSE),0)</f>
        <v>0</v>
      </c>
      <c r="B894" s="544">
        <f>IFERROR(VLOOKUP(C894,T_Insumos,5,FALSE),0)</f>
        <v>0</v>
      </c>
      <c r="C894" s="535"/>
      <c r="D894" s="596">
        <f>IF(C894=0,0,"$/tnkm")</f>
        <v>0</v>
      </c>
      <c r="E894" s="536"/>
      <c r="F894" s="538">
        <f>IFERROR(VLOOKUP(C894,T_Insumos,3,FALSE),0)</f>
        <v>0</v>
      </c>
      <c r="G894" s="538">
        <f>ROUND(E894*F894,2)</f>
        <v>0</v>
      </c>
    </row>
    <row r="895" spans="1:7" ht="19.899999999999999" customHeight="1" x14ac:dyDescent="0.2">
      <c r="A895" s="584">
        <f>IFERROR(VLOOKUP(C895,T_Insumos,4,FALSE),0)</f>
        <v>0</v>
      </c>
      <c r="B895" s="544">
        <f>IFERROR(VLOOKUP(C895,T_Insumos,5,FALSE),0)</f>
        <v>0</v>
      </c>
      <c r="C895" s="535"/>
      <c r="D895" s="596">
        <f>IF(C895=0,0,"$/tnkm")</f>
        <v>0</v>
      </c>
      <c r="E895" s="552"/>
      <c r="F895" s="538">
        <f>IFERROR(VLOOKUP(C895,T_Insumos,3,FALSE),0)</f>
        <v>0</v>
      </c>
      <c r="G895" s="538">
        <f t="shared" ref="G895" si="250">ROUND(E895*F895,2)</f>
        <v>0</v>
      </c>
    </row>
    <row r="896" spans="1:7" ht="19.899999999999999" customHeight="1" x14ac:dyDescent="0.2">
      <c r="A896" s="582"/>
      <c r="B896" s="528"/>
      <c r="C896" s="528"/>
      <c r="D896" s="524"/>
      <c r="E896" s="525"/>
      <c r="F896" s="547" t="s">
        <v>994</v>
      </c>
      <c r="G896" s="588">
        <f>SUBTOTAL(9,G894:G895)</f>
        <v>0</v>
      </c>
    </row>
    <row r="897" spans="1:8" ht="19.899999999999999" customHeight="1" x14ac:dyDescent="0.2">
      <c r="A897" s="585"/>
      <c r="B897" s="524"/>
      <c r="C897" s="528"/>
      <c r="D897" s="524"/>
      <c r="E897" s="525"/>
      <c r="F897" s="526"/>
      <c r="G897" s="583"/>
    </row>
    <row r="898" spans="1:8" ht="19.899999999999999" customHeight="1" x14ac:dyDescent="0.2">
      <c r="A898" s="647" t="str">
        <f>B832</f>
        <v>3.5</v>
      </c>
      <c r="B898" s="644" t="str">
        <f ca="1">C832</f>
        <v>Armadura colocada en obra</v>
      </c>
      <c r="C898" s="524"/>
      <c r="D898" s="524" t="s">
        <v>1719</v>
      </c>
      <c r="E898" s="645"/>
      <c r="F898" s="646" t="str">
        <f ca="1">"$/"&amp;G832</f>
        <v>$/t</v>
      </c>
      <c r="G898" s="593">
        <f>SUBTOTAL(9,G855:G897)</f>
        <v>0</v>
      </c>
    </row>
    <row r="899" spans="1:8" ht="19.899999999999999" customHeight="1" x14ac:dyDescent="0.2">
      <c r="A899" s="589"/>
      <c r="B899" s="590"/>
      <c r="C899" s="591"/>
      <c r="D899" s="591" t="s">
        <v>1915</v>
      </c>
      <c r="E899" s="592"/>
      <c r="F899" s="648" t="str">
        <f ca="1">"$/"&amp;G832</f>
        <v>$/t</v>
      </c>
      <c r="G899" s="593">
        <f>ROUND(G898*Coeficiente_Paso,2)</f>
        <v>0</v>
      </c>
    </row>
    <row r="900" spans="1:8" ht="19.899999999999999" customHeight="1" x14ac:dyDescent="0.2">
      <c r="A900" s="185"/>
      <c r="B900" s="185"/>
      <c r="C900" s="185"/>
      <c r="D900" s="185"/>
      <c r="E900" s="185"/>
      <c r="F900" s="185"/>
      <c r="G900" s="185"/>
    </row>
    <row r="901" spans="1:8" ht="19.899999999999999" customHeight="1" x14ac:dyDescent="0.2">
      <c r="A901" s="803" t="s">
        <v>31</v>
      </c>
      <c r="B901" s="804"/>
      <c r="C901" s="804"/>
      <c r="D901" s="804"/>
      <c r="E901" s="804"/>
      <c r="F901" s="804"/>
      <c r="G901" s="805"/>
      <c r="H901" s="516"/>
    </row>
    <row r="902" spans="1:8" ht="19.899999999999999" customHeight="1" x14ac:dyDescent="0.2">
      <c r="A902" s="570" t="s">
        <v>711</v>
      </c>
      <c r="B902" s="518" t="str">
        <f>Comitente</f>
        <v>DEPARTAMENTO DE HIDRAULICA</v>
      </c>
      <c r="C902" s="519"/>
      <c r="D902" s="520"/>
      <c r="E902" s="520"/>
      <c r="F902" s="521"/>
      <c r="G902" s="571"/>
      <c r="H902" s="516"/>
    </row>
    <row r="903" spans="1:8" ht="19.899999999999999" customHeight="1" x14ac:dyDescent="0.2">
      <c r="A903" s="570" t="s">
        <v>712</v>
      </c>
      <c r="B903" s="518">
        <f>Contratista</f>
        <v>0</v>
      </c>
      <c r="C903" s="522"/>
      <c r="D903" s="522"/>
      <c r="E903" s="522"/>
      <c r="F903" s="518"/>
      <c r="G903" s="572"/>
      <c r="H903" s="516"/>
    </row>
    <row r="904" spans="1:8" ht="19.899999999999999" customHeight="1" x14ac:dyDescent="0.2">
      <c r="A904" s="570" t="s">
        <v>21</v>
      </c>
      <c r="B904" s="518" t="str">
        <f>Obra</f>
        <v>ENCAMISADO CANAL GENERAL COCHAGUAL</v>
      </c>
      <c r="C904" s="522"/>
      <c r="D904" s="522"/>
      <c r="E904" s="522"/>
      <c r="F904" s="518" t="s">
        <v>32</v>
      </c>
      <c r="G904" s="572">
        <f>Fecha_Base</f>
        <v>44319</v>
      </c>
      <c r="H904" s="516"/>
    </row>
    <row r="905" spans="1:8" ht="19.899999999999999" customHeight="1" x14ac:dyDescent="0.2">
      <c r="A905" s="573" t="s">
        <v>710</v>
      </c>
      <c r="B905" s="523" t="str">
        <f>Ubicación</f>
        <v>DEPARTAMENTO SARMIENTO</v>
      </c>
      <c r="C905" s="523"/>
      <c r="D905" s="524"/>
      <c r="E905" s="525"/>
      <c r="F905" s="526"/>
      <c r="G905" s="574"/>
      <c r="H905" s="516"/>
    </row>
    <row r="906" spans="1:8" ht="19.899999999999999" customHeight="1" x14ac:dyDescent="0.2">
      <c r="A906" s="573" t="s">
        <v>33</v>
      </c>
      <c r="B906" s="527">
        <f>IFERROR(VALUE(LEFT(B907,FIND(".",B907)-1)),"")</f>
        <v>3</v>
      </c>
      <c r="C906" s="528" t="str">
        <f ca="1">IFERROR(VLOOKUP(B906,T_Computo_Presupuesto,2,FALSE),0)</f>
        <v>CANAL GENERAL COCHAGUAL Progresiva 9860-10860</v>
      </c>
      <c r="D906" s="528"/>
      <c r="E906" s="525"/>
      <c r="F906" s="526"/>
      <c r="G906" s="574"/>
      <c r="H906" s="516"/>
    </row>
    <row r="907" spans="1:8" ht="19.899999999999999" customHeight="1" x14ac:dyDescent="0.2">
      <c r="A907" s="573" t="s">
        <v>22</v>
      </c>
      <c r="B907" s="529" t="str">
        <f>IFERROR(VLOOKUP(COUNTIF($A$1:A907,"ANALISIS DE PRECIOS"),T_NumeroItem,2,FALSE),"")</f>
        <v>3.6</v>
      </c>
      <c r="C907" s="806" t="str">
        <f ca="1">IFERROR(VLOOKUP(B907,T_Computo_Presupuesto,2,FALSE),0)</f>
        <v>Juntas de contraccion y dilatacion</v>
      </c>
      <c r="D907" s="806"/>
      <c r="E907" s="806"/>
      <c r="F907" s="523" t="s">
        <v>23</v>
      </c>
      <c r="G907" s="575" t="str">
        <f ca="1">IFERROR(VLOOKUP(B907,T_Computo_Presupuesto,4,FALSE),0)</f>
        <v>m</v>
      </c>
      <c r="H907" s="516"/>
    </row>
    <row r="908" spans="1:8" ht="19.899999999999999" customHeight="1" x14ac:dyDescent="0.2">
      <c r="A908" s="573"/>
      <c r="B908" s="523"/>
      <c r="C908" s="528"/>
      <c r="D908" s="524"/>
      <c r="E908" s="525"/>
      <c r="F908" s="528"/>
      <c r="G908" s="576"/>
      <c r="H908" s="516"/>
    </row>
    <row r="909" spans="1:8" ht="19.899999999999999" customHeight="1" x14ac:dyDescent="0.2">
      <c r="A909" s="577"/>
      <c r="B909" s="530"/>
      <c r="C909" s="531" t="s">
        <v>977</v>
      </c>
      <c r="D909" s="530"/>
      <c r="E909" s="530"/>
      <c r="F909" s="530"/>
      <c r="G909" s="578"/>
      <c r="H909" s="516"/>
    </row>
    <row r="910" spans="1:8" ht="19.899999999999999" customHeight="1" x14ac:dyDescent="0.2">
      <c r="A910" s="573"/>
      <c r="B910" s="532"/>
      <c r="C910" s="528"/>
      <c r="D910" s="524"/>
      <c r="E910" s="525"/>
      <c r="F910" s="523"/>
      <c r="G910" s="575"/>
      <c r="H910" s="516"/>
    </row>
    <row r="911" spans="1:8" ht="19.899999999999999" customHeight="1" x14ac:dyDescent="0.2">
      <c r="A911" s="573"/>
      <c r="B911" s="532"/>
      <c r="C911" s="533" t="s">
        <v>978</v>
      </c>
      <c r="D911" s="534" t="s">
        <v>24</v>
      </c>
      <c r="E911" s="534" t="s">
        <v>979</v>
      </c>
      <c r="F911" s="534" t="s">
        <v>980</v>
      </c>
      <c r="G911" s="533" t="s">
        <v>981</v>
      </c>
    </row>
    <row r="912" spans="1:8" ht="19.899999999999999" customHeight="1" x14ac:dyDescent="0.2">
      <c r="A912" s="573"/>
      <c r="B912" s="532"/>
      <c r="C912" s="535">
        <f>+C87</f>
        <v>0</v>
      </c>
      <c r="D912" s="535">
        <f>+D87</f>
        <v>0</v>
      </c>
      <c r="E912" s="537">
        <f t="shared" ref="E912:E921" si="251">IFERROR(VLOOKUP(C912,T_Equipos,4,FALSE),0)</f>
        <v>0</v>
      </c>
      <c r="F912" s="538">
        <f t="shared" ref="F912:F921" si="252">IFERROR(VLOOKUP(C912,T_Equipos,5,FALSE),0)</f>
        <v>0</v>
      </c>
      <c r="G912" s="538">
        <f>ROUND(D912*F912,2)</f>
        <v>0</v>
      </c>
    </row>
    <row r="913" spans="1:8" ht="19.899999999999999" customHeight="1" x14ac:dyDescent="0.2">
      <c r="A913" s="573"/>
      <c r="B913" s="532"/>
      <c r="C913" s="535">
        <f t="shared" ref="C913:D914" si="253">+C88</f>
        <v>0</v>
      </c>
      <c r="D913" s="535">
        <f t="shared" si="253"/>
        <v>0</v>
      </c>
      <c r="E913" s="537">
        <f t="shared" si="251"/>
        <v>0</v>
      </c>
      <c r="F913" s="538">
        <f t="shared" si="252"/>
        <v>0</v>
      </c>
      <c r="G913" s="538">
        <f>ROUND(D913*F913,2)</f>
        <v>0</v>
      </c>
    </row>
    <row r="914" spans="1:8" ht="19.899999999999999" customHeight="1" x14ac:dyDescent="0.2">
      <c r="A914" s="573"/>
      <c r="B914" s="532"/>
      <c r="C914" s="535">
        <f t="shared" si="253"/>
        <v>0</v>
      </c>
      <c r="D914" s="535">
        <v>0.41893999999999998</v>
      </c>
      <c r="E914" s="537">
        <f t="shared" si="251"/>
        <v>0</v>
      </c>
      <c r="F914" s="538">
        <f t="shared" si="252"/>
        <v>0</v>
      </c>
      <c r="G914" s="538">
        <f>ROUND(D914*F914,2)</f>
        <v>0</v>
      </c>
    </row>
    <row r="915" spans="1:8" ht="19.899999999999999" customHeight="1" x14ac:dyDescent="0.2">
      <c r="A915" s="573"/>
      <c r="B915" s="532"/>
      <c r="C915" s="535"/>
      <c r="D915" s="536"/>
      <c r="E915" s="537">
        <f t="shared" si="251"/>
        <v>0</v>
      </c>
      <c r="F915" s="538">
        <f t="shared" si="252"/>
        <v>0</v>
      </c>
      <c r="G915" s="538">
        <f>ROUND(D915*F915,2)</f>
        <v>0</v>
      </c>
    </row>
    <row r="916" spans="1:8" ht="19.899999999999999" customHeight="1" x14ac:dyDescent="0.2">
      <c r="A916" s="573"/>
      <c r="B916" s="532"/>
      <c r="C916" s="535"/>
      <c r="D916" s="536"/>
      <c r="E916" s="537">
        <f t="shared" si="251"/>
        <v>0</v>
      </c>
      <c r="F916" s="538">
        <f t="shared" si="252"/>
        <v>0</v>
      </c>
      <c r="G916" s="538">
        <f t="shared" ref="G916:G921" si="254">ROUND(D916*F916,2)</f>
        <v>0</v>
      </c>
    </row>
    <row r="917" spans="1:8" ht="19.899999999999999" customHeight="1" x14ac:dyDescent="0.2">
      <c r="A917" s="573"/>
      <c r="B917" s="532"/>
      <c r="C917" s="535"/>
      <c r="D917" s="536"/>
      <c r="E917" s="537">
        <f t="shared" si="251"/>
        <v>0</v>
      </c>
      <c r="F917" s="538">
        <f t="shared" si="252"/>
        <v>0</v>
      </c>
      <c r="G917" s="538">
        <f t="shared" si="254"/>
        <v>0</v>
      </c>
    </row>
    <row r="918" spans="1:8" ht="19.899999999999999" customHeight="1" x14ac:dyDescent="0.2">
      <c r="A918" s="573"/>
      <c r="B918" s="532"/>
      <c r="C918" s="535"/>
      <c r="D918" s="536"/>
      <c r="E918" s="537">
        <f t="shared" si="251"/>
        <v>0</v>
      </c>
      <c r="F918" s="538">
        <f t="shared" si="252"/>
        <v>0</v>
      </c>
      <c r="G918" s="538">
        <f t="shared" si="254"/>
        <v>0</v>
      </c>
    </row>
    <row r="919" spans="1:8" ht="19.899999999999999" customHeight="1" x14ac:dyDescent="0.2">
      <c r="A919" s="573"/>
      <c r="B919" s="532"/>
      <c r="C919" s="535"/>
      <c r="D919" s="536"/>
      <c r="E919" s="537">
        <f t="shared" si="251"/>
        <v>0</v>
      </c>
      <c r="F919" s="538">
        <f t="shared" si="252"/>
        <v>0</v>
      </c>
      <c r="G919" s="538">
        <f t="shared" si="254"/>
        <v>0</v>
      </c>
    </row>
    <row r="920" spans="1:8" ht="19.899999999999999" customHeight="1" x14ac:dyDescent="0.2">
      <c r="A920" s="573"/>
      <c r="B920" s="532"/>
      <c r="C920" s="535"/>
      <c r="D920" s="536"/>
      <c r="E920" s="537">
        <f t="shared" si="251"/>
        <v>0</v>
      </c>
      <c r="F920" s="538">
        <f t="shared" si="252"/>
        <v>0</v>
      </c>
      <c r="G920" s="538">
        <f t="shared" si="254"/>
        <v>0</v>
      </c>
    </row>
    <row r="921" spans="1:8" ht="19.899999999999999" customHeight="1" x14ac:dyDescent="0.2">
      <c r="A921" s="573"/>
      <c r="B921" s="532"/>
      <c r="C921" s="535"/>
      <c r="D921" s="536"/>
      <c r="E921" s="537">
        <f t="shared" si="251"/>
        <v>0</v>
      </c>
      <c r="F921" s="538">
        <f t="shared" si="252"/>
        <v>0</v>
      </c>
      <c r="G921" s="538">
        <f t="shared" si="254"/>
        <v>0</v>
      </c>
      <c r="H921" s="735"/>
    </row>
    <row r="922" spans="1:8" ht="19.899999999999999" customHeight="1" x14ac:dyDescent="0.2">
      <c r="A922" s="573"/>
      <c r="B922" s="532"/>
      <c r="C922" s="528"/>
      <c r="D922" s="528"/>
      <c r="E922" s="539"/>
      <c r="F922" s="523"/>
      <c r="G922" s="575"/>
      <c r="H922" s="734"/>
    </row>
    <row r="923" spans="1:8" ht="19.899999999999999" customHeight="1" x14ac:dyDescent="0.2">
      <c r="A923" s="573"/>
      <c r="B923" s="528"/>
      <c r="C923" s="520" t="s">
        <v>982</v>
      </c>
      <c r="D923" s="523" t="s">
        <v>979</v>
      </c>
      <c r="E923" s="594">
        <f>SUMPRODUCT(D912:D921,E912:E921)</f>
        <v>0</v>
      </c>
      <c r="F923" s="523" t="s">
        <v>983</v>
      </c>
      <c r="G923" s="595">
        <f>SUM(G912:G921)</f>
        <v>0</v>
      </c>
    </row>
    <row r="924" spans="1:8" ht="19.899999999999999" customHeight="1" x14ac:dyDescent="0.2">
      <c r="A924" s="573"/>
      <c r="B924" s="532"/>
      <c r="C924" s="540"/>
      <c r="D924" s="539"/>
      <c r="E924" s="525"/>
      <c r="F924" s="523"/>
      <c r="G924" s="579"/>
    </row>
    <row r="925" spans="1:8" ht="19.899999999999999" customHeight="1" x14ac:dyDescent="0.2">
      <c r="A925" s="580"/>
      <c r="B925" s="532"/>
      <c r="C925" s="523" t="s">
        <v>984</v>
      </c>
      <c r="D925" s="541">
        <f>IFERROR(VLOOKUP(COUNTIF($A$1:A925,"ANALISIS DE PRECIOS"),T_Rendimiento_Equipo,5,FALSE),0)</f>
        <v>0</v>
      </c>
      <c r="E925" s="542" t="str">
        <f ca="1">G907&amp;"/día"</f>
        <v>m/día</v>
      </c>
      <c r="F925" s="581"/>
      <c r="G925" s="575"/>
    </row>
    <row r="926" spans="1:8" ht="19.899999999999999" customHeight="1" x14ac:dyDescent="0.2">
      <c r="A926" s="573"/>
      <c r="B926" s="532"/>
      <c r="C926" s="528"/>
      <c r="D926" s="524"/>
      <c r="E926" s="525"/>
      <c r="F926" s="523"/>
      <c r="G926" s="575"/>
    </row>
    <row r="927" spans="1:8" ht="19.899999999999999" customHeight="1" x14ac:dyDescent="0.2">
      <c r="A927" s="793" t="s">
        <v>576</v>
      </c>
      <c r="B927" s="794"/>
      <c r="C927" s="795" t="s">
        <v>0</v>
      </c>
      <c r="D927" s="807" t="s">
        <v>1739</v>
      </c>
      <c r="E927" s="807" t="s">
        <v>1738</v>
      </c>
      <c r="F927" s="799" t="s">
        <v>985</v>
      </c>
      <c r="G927" s="801" t="s">
        <v>26</v>
      </c>
    </row>
    <row r="928" spans="1:8" ht="19.899999999999999" customHeight="1" x14ac:dyDescent="0.2">
      <c r="A928" s="543" t="s">
        <v>577</v>
      </c>
      <c r="B928" s="543" t="s">
        <v>578</v>
      </c>
      <c r="C928" s="796"/>
      <c r="D928" s="808"/>
      <c r="E928" s="798"/>
      <c r="F928" s="800"/>
      <c r="G928" s="802"/>
    </row>
    <row r="929" spans="1:7" ht="19.899999999999999" customHeight="1" x14ac:dyDescent="0.2">
      <c r="A929" s="582"/>
      <c r="B929" s="528"/>
      <c r="C929" s="520" t="s">
        <v>986</v>
      </c>
      <c r="D929" s="525"/>
      <c r="E929" s="525"/>
      <c r="F929" s="528"/>
      <c r="G929" s="583"/>
    </row>
    <row r="930" spans="1:7" ht="19.899999999999999" customHeight="1" x14ac:dyDescent="0.2">
      <c r="A930" s="584">
        <f t="shared" ref="A930:A938" si="255">IFERROR(VLOOKUP(C930,T_Insumos,4,FALSE),0)</f>
        <v>0</v>
      </c>
      <c r="B930" s="544">
        <f t="shared" ref="B930:B938" si="256">IFERROR(VLOOKUP(C930,T_Insumos,5,FALSE),0)</f>
        <v>0</v>
      </c>
      <c r="C930" s="535">
        <f>+C30</f>
        <v>0</v>
      </c>
      <c r="D930" s="545">
        <f t="shared" ref="D930:D938" si="257">IFERROR(VLOOKUP(C930,T_Insumos,3,FALSE),0)</f>
        <v>0</v>
      </c>
      <c r="E930" s="538">
        <f>D930*$G$923</f>
        <v>0</v>
      </c>
      <c r="F930" s="541">
        <f>IF(C930="",0,IFERROR(VLOOKUP(COUNTIF($A$1:A930,"ANALISIS DE PRECIOS"),T_Rendimiento_Equipo,5,FALSE),0))</f>
        <v>0</v>
      </c>
      <c r="G930" s="538">
        <f>IFERROR(ROUND(E930/F930,2),0)</f>
        <v>0</v>
      </c>
    </row>
    <row r="931" spans="1:7" ht="19.899999999999999" customHeight="1" x14ac:dyDescent="0.2">
      <c r="A931" s="584">
        <f t="shared" si="255"/>
        <v>0</v>
      </c>
      <c r="B931" s="544">
        <f t="shared" si="256"/>
        <v>0</v>
      </c>
      <c r="C931" s="535">
        <f t="shared" ref="C931:C933" si="258">+C31</f>
        <v>0</v>
      </c>
      <c r="D931" s="545">
        <f t="shared" si="257"/>
        <v>0</v>
      </c>
      <c r="E931" s="538">
        <f t="shared" ref="E931:E932" si="259">D931*$G$923</f>
        <v>0</v>
      </c>
      <c r="F931" s="541">
        <f>IF(C931="",0,IFERROR(VLOOKUP(COUNTIF($A$1:A931,"ANALISIS DE PRECIOS"),T_Rendimiento_Equipo,5,FALSE),0))</f>
        <v>0</v>
      </c>
      <c r="G931" s="538">
        <f t="shared" ref="G931:G938" si="260">IFERROR(ROUND(E931/F931,2),0)</f>
        <v>0</v>
      </c>
    </row>
    <row r="932" spans="1:7" ht="19.899999999999999" customHeight="1" x14ac:dyDescent="0.2">
      <c r="A932" s="584">
        <f t="shared" si="255"/>
        <v>0</v>
      </c>
      <c r="B932" s="544">
        <f t="shared" si="256"/>
        <v>0</v>
      </c>
      <c r="C932" s="535">
        <f t="shared" si="258"/>
        <v>0</v>
      </c>
      <c r="D932" s="545">
        <f t="shared" si="257"/>
        <v>0</v>
      </c>
      <c r="E932" s="538">
        <f t="shared" si="259"/>
        <v>0</v>
      </c>
      <c r="F932" s="541">
        <f>IF(C932="",0,IFERROR(VLOOKUP(COUNTIF($A$1:A932,"ANALISIS DE PRECIOS"),T_Rendimiento_Equipo,5,FALSE),0))</f>
        <v>0</v>
      </c>
      <c r="G932" s="538">
        <f t="shared" si="260"/>
        <v>0</v>
      </c>
    </row>
    <row r="933" spans="1:7" ht="19.899999999999999" customHeight="1" x14ac:dyDescent="0.2">
      <c r="A933" s="584">
        <f t="shared" si="255"/>
        <v>0</v>
      </c>
      <c r="B933" s="544">
        <f t="shared" si="256"/>
        <v>0</v>
      </c>
      <c r="C933" s="535">
        <f t="shared" si="258"/>
        <v>0</v>
      </c>
      <c r="D933" s="545">
        <f t="shared" si="257"/>
        <v>0</v>
      </c>
      <c r="E933" s="538">
        <f>D933*$E$923</f>
        <v>0</v>
      </c>
      <c r="F933" s="541">
        <f>IF(C933="",0,IFERROR(VLOOKUP(COUNTIF($A$1:A933,"ANALISIS DE PRECIOS"),T_Rendimiento_Equipo,5,FALSE),0))</f>
        <v>0</v>
      </c>
      <c r="G933" s="538">
        <f t="shared" si="260"/>
        <v>0</v>
      </c>
    </row>
    <row r="934" spans="1:7" ht="19.899999999999999" customHeight="1" x14ac:dyDescent="0.2">
      <c r="A934" s="584">
        <f t="shared" si="255"/>
        <v>0</v>
      </c>
      <c r="B934" s="544">
        <f t="shared" si="256"/>
        <v>0</v>
      </c>
      <c r="C934" s="546"/>
      <c r="D934" s="545">
        <f t="shared" si="257"/>
        <v>0</v>
      </c>
      <c r="E934" s="538"/>
      <c r="F934" s="541">
        <f>IF(C934="",0,IFERROR(VLOOKUP(COUNTIF($A$1:A934,"ANALISIS DE PRECIOS"),T_Rendimiento_Equipo,5,FALSE),0))</f>
        <v>0</v>
      </c>
      <c r="G934" s="538">
        <f t="shared" si="260"/>
        <v>0</v>
      </c>
    </row>
    <row r="935" spans="1:7" ht="19.899999999999999" customHeight="1" x14ac:dyDescent="0.2">
      <c r="A935" s="584">
        <f t="shared" si="255"/>
        <v>0</v>
      </c>
      <c r="B935" s="544">
        <f t="shared" si="256"/>
        <v>0</v>
      </c>
      <c r="C935" s="546"/>
      <c r="D935" s="545">
        <f t="shared" si="257"/>
        <v>0</v>
      </c>
      <c r="E935" s="538"/>
      <c r="F935" s="541">
        <f>IF(C935="",0,IFERROR(VLOOKUP(COUNTIF($A$1:A935,"ANALISIS DE PRECIOS"),T_Rendimiento_Equipo,5,FALSE),0))</f>
        <v>0</v>
      </c>
      <c r="G935" s="538">
        <f t="shared" si="260"/>
        <v>0</v>
      </c>
    </row>
    <row r="936" spans="1:7" ht="19.899999999999999" customHeight="1" x14ac:dyDescent="0.2">
      <c r="A936" s="584">
        <f t="shared" si="255"/>
        <v>0</v>
      </c>
      <c r="B936" s="544">
        <f t="shared" si="256"/>
        <v>0</v>
      </c>
      <c r="C936" s="546"/>
      <c r="D936" s="545">
        <f t="shared" si="257"/>
        <v>0</v>
      </c>
      <c r="E936" s="538"/>
      <c r="F936" s="541">
        <f>IF(C936="",0,IFERROR(VLOOKUP(COUNTIF($A$1:A936,"ANALISIS DE PRECIOS"),T_Rendimiento_Equipo,5,FALSE),0))</f>
        <v>0</v>
      </c>
      <c r="G936" s="538">
        <f t="shared" si="260"/>
        <v>0</v>
      </c>
    </row>
    <row r="937" spans="1:7" ht="19.899999999999999" customHeight="1" x14ac:dyDescent="0.2">
      <c r="A937" s="584">
        <f t="shared" si="255"/>
        <v>0</v>
      </c>
      <c r="B937" s="544">
        <f t="shared" si="256"/>
        <v>0</v>
      </c>
      <c r="C937" s="546"/>
      <c r="D937" s="545">
        <f t="shared" si="257"/>
        <v>0</v>
      </c>
      <c r="E937" s="538"/>
      <c r="F937" s="541">
        <f>IF(C937="",0,IFERROR(VLOOKUP(COUNTIF($A$1:A937,"ANALISIS DE PRECIOS"),T_Rendimiento_Equipo,5,FALSE),0))</f>
        <v>0</v>
      </c>
      <c r="G937" s="538">
        <f t="shared" si="260"/>
        <v>0</v>
      </c>
    </row>
    <row r="938" spans="1:7" ht="19.899999999999999" customHeight="1" x14ac:dyDescent="0.2">
      <c r="A938" s="584">
        <f t="shared" si="255"/>
        <v>0</v>
      </c>
      <c r="B938" s="544">
        <f t="shared" si="256"/>
        <v>0</v>
      </c>
      <c r="C938" s="535"/>
      <c r="D938" s="545">
        <f t="shared" si="257"/>
        <v>0</v>
      </c>
      <c r="E938" s="538"/>
      <c r="F938" s="541">
        <f>IF(C938="",0,IFERROR(VLOOKUP(COUNTIF($A$1:A938,"ANALISIS DE PRECIOS"),T_Rendimiento_Equipo,5,FALSE),0))</f>
        <v>0</v>
      </c>
      <c r="G938" s="538">
        <f t="shared" si="260"/>
        <v>0</v>
      </c>
    </row>
    <row r="939" spans="1:7" ht="19.899999999999999" customHeight="1" x14ac:dyDescent="0.2">
      <c r="A939" s="585"/>
      <c r="B939" s="524"/>
      <c r="C939" s="528"/>
      <c r="D939" s="524"/>
      <c r="E939" s="525"/>
      <c r="F939" s="547" t="s">
        <v>27</v>
      </c>
      <c r="G939" s="586">
        <f>SUBTOTAL(9,G930:G938)</f>
        <v>0</v>
      </c>
    </row>
    <row r="940" spans="1:7" ht="19.899999999999999" customHeight="1" x14ac:dyDescent="0.2">
      <c r="A940" s="582"/>
      <c r="B940" s="528"/>
      <c r="C940" s="520" t="s">
        <v>713</v>
      </c>
      <c r="D940" s="524"/>
      <c r="E940" s="525"/>
      <c r="F940" s="526"/>
      <c r="G940" s="583"/>
    </row>
    <row r="941" spans="1:7" ht="19.899999999999999" customHeight="1" x14ac:dyDescent="0.2">
      <c r="A941" s="793" t="s">
        <v>576</v>
      </c>
      <c r="B941" s="794"/>
      <c r="C941" s="795" t="s">
        <v>0</v>
      </c>
      <c r="D941" s="797" t="s">
        <v>24</v>
      </c>
      <c r="E941" s="797" t="s">
        <v>1718</v>
      </c>
      <c r="F941" s="799" t="s">
        <v>985</v>
      </c>
      <c r="G941" s="801" t="s">
        <v>26</v>
      </c>
    </row>
    <row r="942" spans="1:7" ht="19.899999999999999" customHeight="1" x14ac:dyDescent="0.2">
      <c r="A942" s="543" t="s">
        <v>577</v>
      </c>
      <c r="B942" s="543" t="s">
        <v>578</v>
      </c>
      <c r="C942" s="796"/>
      <c r="D942" s="798"/>
      <c r="E942" s="798"/>
      <c r="F942" s="800"/>
      <c r="G942" s="802"/>
    </row>
    <row r="943" spans="1:7" ht="19.899999999999999" customHeight="1" x14ac:dyDescent="0.2">
      <c r="A943" s="584" t="str">
        <f t="shared" ref="A943:A949" si="261">IFERROR(VLOOKUP(C943,T_Insumos,4,FALSE),0)</f>
        <v>IIEE-SJ - 1</v>
      </c>
      <c r="B943" s="544" t="str">
        <f t="shared" ref="B943:B949" si="262">IFERROR(VLOOKUP(C943,T_Insumos,5,FALSE),0)</f>
        <v>Mano de Obra</v>
      </c>
      <c r="C943" s="548" t="str">
        <f>+C43</f>
        <v>Mano de obra</v>
      </c>
      <c r="D943" s="541"/>
      <c r="E943" s="538">
        <f t="shared" ref="E943:E949" si="263">IFERROR(VLOOKUP(C943,T_Insumos,3,FALSE),0)</f>
        <v>0</v>
      </c>
      <c r="F943" s="541">
        <f>IF(C943="",0,IFERROR(VLOOKUP(COUNTIF($A$1:A943,"ANALISIS DE PRECIOS"),T_Rendimiento_Equipo,5,FALSE),0))</f>
        <v>0</v>
      </c>
      <c r="G943" s="538">
        <f>IFERROR(ROUND(D943*E943/F943,2),0)</f>
        <v>0</v>
      </c>
    </row>
    <row r="944" spans="1:7" ht="19.899999999999999" customHeight="1" x14ac:dyDescent="0.2">
      <c r="A944" s="584" t="str">
        <f t="shared" si="261"/>
        <v>INDEC-CM - 37510-11</v>
      </c>
      <c r="B944" s="544" t="str">
        <f t="shared" si="262"/>
        <v>Hormigón elaborado</v>
      </c>
      <c r="C944" s="548" t="str">
        <f t="shared" ref="C944:C946" si="264">+C44</f>
        <v>Hormigon Elaborado</v>
      </c>
      <c r="D944" s="541"/>
      <c r="E944" s="538">
        <f t="shared" si="263"/>
        <v>0</v>
      </c>
      <c r="F944" s="541">
        <f>IF(C944="",0,IFERROR(VLOOKUP(COUNTIF($A$1:A944,"ANALISIS DE PRECIOS"),T_Rendimiento_Equipo,5,FALSE),0))</f>
        <v>0</v>
      </c>
      <c r="G944" s="538">
        <f t="shared" ref="G944:G949" si="265">IFERROR(ROUND(D944*E944/F944,2),0)</f>
        <v>0</v>
      </c>
    </row>
    <row r="945" spans="1:7" ht="19.899999999999999" customHeight="1" x14ac:dyDescent="0.2">
      <c r="A945" s="584" t="str">
        <f t="shared" si="261"/>
        <v>INDEC-DCTO - Inciso j)</v>
      </c>
      <c r="B945" s="544" t="str">
        <f t="shared" si="262"/>
        <v>Equipo - Amortización de equipo</v>
      </c>
      <c r="C945" s="548" t="str">
        <f t="shared" si="264"/>
        <v>Equipo - Amortizacion de equipo</v>
      </c>
      <c r="D945" s="541"/>
      <c r="E945" s="538">
        <f t="shared" si="263"/>
        <v>0</v>
      </c>
      <c r="F945" s="541">
        <f>IF(C945="",0,IFERROR(VLOOKUP(COUNTIF($A$1:A945,"ANALISIS DE PRECIOS"),T_Rendimiento_Equipo,5,FALSE),0))</f>
        <v>0</v>
      </c>
      <c r="G945" s="538">
        <f t="shared" si="265"/>
        <v>0</v>
      </c>
    </row>
    <row r="946" spans="1:7" ht="19.899999999999999" customHeight="1" x14ac:dyDescent="0.2">
      <c r="A946" s="584" t="str">
        <f t="shared" si="261"/>
        <v>INDEC-CM - 41242-11</v>
      </c>
      <c r="B946" s="544" t="str">
        <f t="shared" si="262"/>
        <v>Acero aletado conformado, en barra</v>
      </c>
      <c r="C946" s="548" t="str">
        <f t="shared" si="264"/>
        <v>Hierro</v>
      </c>
      <c r="D946" s="541"/>
      <c r="E946" s="538">
        <f t="shared" si="263"/>
        <v>0</v>
      </c>
      <c r="F946" s="541">
        <f>IF(C946="",0,IFERROR(VLOOKUP(COUNTIF($A$1:A946,"ANALISIS DE PRECIOS"),T_Rendimiento_Equipo,5,FALSE),0))</f>
        <v>0</v>
      </c>
      <c r="G946" s="538">
        <f>IFERROR(ROUND(D946*E946/F946,2),0)</f>
        <v>0</v>
      </c>
    </row>
    <row r="947" spans="1:7" ht="19.899999999999999" customHeight="1" x14ac:dyDescent="0.2">
      <c r="A947" s="584">
        <f t="shared" si="261"/>
        <v>0</v>
      </c>
      <c r="B947" s="544">
        <f t="shared" si="262"/>
        <v>0</v>
      </c>
      <c r="C947" s="535"/>
      <c r="D947" s="541"/>
      <c r="E947" s="538">
        <f t="shared" si="263"/>
        <v>0</v>
      </c>
      <c r="F947" s="541">
        <f>IF(C947="",0,IFERROR(VLOOKUP(COUNTIF($A$1:A947,"ANALISIS DE PRECIOS"),T_Rendimiento_Equipo,5,FALSE),0))</f>
        <v>0</v>
      </c>
      <c r="G947" s="538">
        <f t="shared" si="265"/>
        <v>0</v>
      </c>
    </row>
    <row r="948" spans="1:7" ht="19.899999999999999" customHeight="1" x14ac:dyDescent="0.2">
      <c r="A948" s="584">
        <f t="shared" si="261"/>
        <v>0</v>
      </c>
      <c r="B948" s="544">
        <f t="shared" si="262"/>
        <v>0</v>
      </c>
      <c r="C948" s="535"/>
      <c r="D948" s="549"/>
      <c r="E948" s="538">
        <f t="shared" si="263"/>
        <v>0</v>
      </c>
      <c r="F948" s="541">
        <f>IF(C948="",0,IFERROR(VLOOKUP(COUNTIF($A$1:A948,"ANALISIS DE PRECIOS"),T_Rendimiento_Equipo,5,FALSE),0))</f>
        <v>0</v>
      </c>
      <c r="G948" s="538">
        <f t="shared" si="265"/>
        <v>0</v>
      </c>
    </row>
    <row r="949" spans="1:7" ht="19.899999999999999" customHeight="1" x14ac:dyDescent="0.2">
      <c r="A949" s="584">
        <f t="shared" si="261"/>
        <v>0</v>
      </c>
      <c r="B949" s="544">
        <f t="shared" si="262"/>
        <v>0</v>
      </c>
      <c r="C949" s="544"/>
      <c r="D949" s="550"/>
      <c r="E949" s="538">
        <f t="shared" si="263"/>
        <v>0</v>
      </c>
      <c r="F949" s="541">
        <f>IF(C949="",0,IFERROR(VLOOKUP(COUNTIF($A$1:A949,"ANALISIS DE PRECIOS"),T_Rendimiento_Equipo,5,FALSE),0))</f>
        <v>0</v>
      </c>
      <c r="G949" s="538">
        <f t="shared" si="265"/>
        <v>0</v>
      </c>
    </row>
    <row r="950" spans="1:7" ht="19.899999999999999" customHeight="1" x14ac:dyDescent="0.2">
      <c r="A950" s="585"/>
      <c r="B950" s="524"/>
      <c r="C950" s="528"/>
      <c r="D950" s="524"/>
      <c r="E950" s="525"/>
      <c r="F950" s="547" t="s">
        <v>28</v>
      </c>
      <c r="G950" s="587">
        <f>SUBTOTAL(9,G943:G949)</f>
        <v>0</v>
      </c>
    </row>
    <row r="951" spans="1:7" ht="19.899999999999999" customHeight="1" x14ac:dyDescent="0.2">
      <c r="A951" s="582"/>
      <c r="B951" s="528"/>
      <c r="C951" s="520" t="s">
        <v>992</v>
      </c>
      <c r="D951" s="524"/>
      <c r="E951" s="525"/>
      <c r="F951" s="526"/>
      <c r="G951" s="583"/>
    </row>
    <row r="952" spans="1:7" ht="19.899999999999999" customHeight="1" x14ac:dyDescent="0.2">
      <c r="A952" s="793" t="s">
        <v>576</v>
      </c>
      <c r="B952" s="794"/>
      <c r="C952" s="795" t="s">
        <v>0</v>
      </c>
      <c r="D952" s="795" t="s">
        <v>1740</v>
      </c>
      <c r="E952" s="797" t="s">
        <v>24</v>
      </c>
      <c r="F952" s="799" t="s">
        <v>25</v>
      </c>
      <c r="G952" s="801" t="s">
        <v>26</v>
      </c>
    </row>
    <row r="953" spans="1:7" ht="19.899999999999999" customHeight="1" x14ac:dyDescent="0.2">
      <c r="A953" s="543" t="s">
        <v>577</v>
      </c>
      <c r="B953" s="543" t="s">
        <v>578</v>
      </c>
      <c r="C953" s="796"/>
      <c r="D953" s="796"/>
      <c r="E953" s="798"/>
      <c r="F953" s="800"/>
      <c r="G953" s="802"/>
    </row>
    <row r="954" spans="1:7" ht="19.899999999999999" customHeight="1" x14ac:dyDescent="0.2">
      <c r="A954" s="584">
        <f t="shared" ref="A954:A964" si="266">IFERROR(VLOOKUP(C954,T_Insumos,4,FALSE),0)</f>
        <v>0</v>
      </c>
      <c r="B954" s="544">
        <f t="shared" ref="B954:B964" si="267">IFERROR(VLOOKUP(C954,T_Insumos,5,FALSE),0)</f>
        <v>0</v>
      </c>
      <c r="C954" s="544">
        <f>+C129</f>
        <v>0</v>
      </c>
      <c r="D954" s="596">
        <f t="shared" ref="D954:D964" si="268">IFERROR(VLOOKUP(C954,T_Insumos,2,FALSE),0)</f>
        <v>0</v>
      </c>
      <c r="E954" s="536"/>
      <c r="F954" s="538">
        <f t="shared" ref="F954:F964" si="269">IFERROR(VLOOKUP(C954,T_Insumos,3,FALSE),0)</f>
        <v>0</v>
      </c>
      <c r="G954" s="538">
        <f>ROUND(E954*F954,2)</f>
        <v>0</v>
      </c>
    </row>
    <row r="955" spans="1:7" s="551" customFormat="1" ht="19.899999999999999" customHeight="1" x14ac:dyDescent="0.2">
      <c r="A955" s="584">
        <f t="shared" si="266"/>
        <v>0</v>
      </c>
      <c r="B955" s="544">
        <f t="shared" si="267"/>
        <v>0</v>
      </c>
      <c r="C955" s="544">
        <f t="shared" ref="C955:C962" si="270">+C130</f>
        <v>0</v>
      </c>
      <c r="D955" s="596">
        <f t="shared" si="268"/>
        <v>0</v>
      </c>
      <c r="E955" s="536"/>
      <c r="F955" s="538">
        <f t="shared" si="269"/>
        <v>0</v>
      </c>
      <c r="G955" s="538">
        <f t="shared" ref="G955:G964" si="271">ROUND(E955*F955,2)</f>
        <v>0</v>
      </c>
    </row>
    <row r="956" spans="1:7" ht="19.899999999999999" customHeight="1" x14ac:dyDescent="0.2">
      <c r="A956" s="584">
        <f t="shared" si="266"/>
        <v>0</v>
      </c>
      <c r="B956" s="544">
        <f t="shared" si="267"/>
        <v>0</v>
      </c>
      <c r="C956" s="544">
        <f t="shared" si="270"/>
        <v>0</v>
      </c>
      <c r="D956" s="596">
        <f t="shared" si="268"/>
        <v>0</v>
      </c>
      <c r="E956" s="536"/>
      <c r="F956" s="538">
        <f t="shared" si="269"/>
        <v>0</v>
      </c>
      <c r="G956" s="538">
        <f t="shared" si="271"/>
        <v>0</v>
      </c>
    </row>
    <row r="957" spans="1:7" ht="19.899999999999999" customHeight="1" x14ac:dyDescent="0.2">
      <c r="A957" s="584">
        <f t="shared" si="266"/>
        <v>0</v>
      </c>
      <c r="B957" s="544">
        <f t="shared" si="267"/>
        <v>0</v>
      </c>
      <c r="C957" s="544">
        <f t="shared" si="270"/>
        <v>0</v>
      </c>
      <c r="D957" s="596">
        <f t="shared" si="268"/>
        <v>0</v>
      </c>
      <c r="E957" s="536"/>
      <c r="F957" s="538">
        <f t="shared" si="269"/>
        <v>0</v>
      </c>
      <c r="G957" s="538">
        <f t="shared" si="271"/>
        <v>0</v>
      </c>
    </row>
    <row r="958" spans="1:7" ht="19.899999999999999" customHeight="1" x14ac:dyDescent="0.2">
      <c r="A958" s="584">
        <f t="shared" si="266"/>
        <v>0</v>
      </c>
      <c r="B958" s="544">
        <f t="shared" si="267"/>
        <v>0</v>
      </c>
      <c r="C958" s="544">
        <f t="shared" si="270"/>
        <v>0</v>
      </c>
      <c r="D958" s="596">
        <f t="shared" si="268"/>
        <v>0</v>
      </c>
      <c r="E958" s="536"/>
      <c r="F958" s="538">
        <f t="shared" si="269"/>
        <v>0</v>
      </c>
      <c r="G958" s="538">
        <f t="shared" si="271"/>
        <v>0</v>
      </c>
    </row>
    <row r="959" spans="1:7" ht="19.899999999999999" customHeight="1" x14ac:dyDescent="0.2">
      <c r="A959" s="584">
        <f t="shared" si="266"/>
        <v>0</v>
      </c>
      <c r="B959" s="544">
        <f t="shared" si="267"/>
        <v>0</v>
      </c>
      <c r="C959" s="544">
        <f t="shared" si="270"/>
        <v>0</v>
      </c>
      <c r="D959" s="596">
        <f t="shared" si="268"/>
        <v>0</v>
      </c>
      <c r="E959" s="536"/>
      <c r="F959" s="538">
        <f t="shared" si="269"/>
        <v>0</v>
      </c>
      <c r="G959" s="538">
        <f t="shared" si="271"/>
        <v>0</v>
      </c>
    </row>
    <row r="960" spans="1:7" ht="19.899999999999999" customHeight="1" x14ac:dyDescent="0.2">
      <c r="A960" s="584">
        <f t="shared" si="266"/>
        <v>0</v>
      </c>
      <c r="B960" s="544">
        <f t="shared" si="267"/>
        <v>0</v>
      </c>
      <c r="C960" s="544">
        <f t="shared" si="270"/>
        <v>0</v>
      </c>
      <c r="D960" s="596">
        <f t="shared" si="268"/>
        <v>0</v>
      </c>
      <c r="E960" s="536"/>
      <c r="F960" s="538">
        <f t="shared" si="269"/>
        <v>0</v>
      </c>
      <c r="G960" s="538">
        <f t="shared" si="271"/>
        <v>0</v>
      </c>
    </row>
    <row r="961" spans="1:8" ht="19.899999999999999" customHeight="1" x14ac:dyDescent="0.2">
      <c r="A961" s="584">
        <f t="shared" si="266"/>
        <v>0</v>
      </c>
      <c r="B961" s="544">
        <f t="shared" si="267"/>
        <v>0</v>
      </c>
      <c r="C961" s="544">
        <f t="shared" si="270"/>
        <v>0</v>
      </c>
      <c r="D961" s="596">
        <f t="shared" si="268"/>
        <v>0</v>
      </c>
      <c r="E961" s="536"/>
      <c r="F961" s="538">
        <f t="shared" si="269"/>
        <v>0</v>
      </c>
      <c r="G961" s="538">
        <f t="shared" si="271"/>
        <v>0</v>
      </c>
    </row>
    <row r="962" spans="1:8" ht="19.899999999999999" customHeight="1" x14ac:dyDescent="0.2">
      <c r="A962" s="584">
        <f t="shared" si="266"/>
        <v>0</v>
      </c>
      <c r="B962" s="544">
        <f t="shared" si="267"/>
        <v>0</v>
      </c>
      <c r="C962" s="544">
        <f t="shared" si="270"/>
        <v>0</v>
      </c>
      <c r="D962" s="596">
        <f t="shared" si="268"/>
        <v>0</v>
      </c>
      <c r="E962" s="536"/>
      <c r="F962" s="538">
        <f t="shared" si="269"/>
        <v>0</v>
      </c>
      <c r="G962" s="538">
        <f t="shared" si="271"/>
        <v>0</v>
      </c>
    </row>
    <row r="963" spans="1:8" ht="19.899999999999999" customHeight="1" x14ac:dyDescent="0.2">
      <c r="A963" s="584">
        <f t="shared" si="266"/>
        <v>0</v>
      </c>
      <c r="B963" s="544">
        <f t="shared" si="267"/>
        <v>0</v>
      </c>
      <c r="C963" s="544"/>
      <c r="D963" s="596">
        <f t="shared" si="268"/>
        <v>0</v>
      </c>
      <c r="E963" s="536"/>
      <c r="F963" s="538">
        <f t="shared" si="269"/>
        <v>0</v>
      </c>
      <c r="G963" s="538">
        <f t="shared" si="271"/>
        <v>0</v>
      </c>
    </row>
    <row r="964" spans="1:8" ht="19.899999999999999" customHeight="1" x14ac:dyDescent="0.2">
      <c r="A964" s="584">
        <f t="shared" si="266"/>
        <v>0</v>
      </c>
      <c r="B964" s="544">
        <f t="shared" si="267"/>
        <v>0</v>
      </c>
      <c r="C964" s="544"/>
      <c r="D964" s="596">
        <f t="shared" si="268"/>
        <v>0</v>
      </c>
      <c r="E964" s="536"/>
      <c r="F964" s="538">
        <f t="shared" si="269"/>
        <v>0</v>
      </c>
      <c r="G964" s="538">
        <f t="shared" si="271"/>
        <v>0</v>
      </c>
    </row>
    <row r="965" spans="1:8" ht="19.899999999999999" customHeight="1" x14ac:dyDescent="0.2">
      <c r="A965" s="582"/>
      <c r="B965" s="528"/>
      <c r="C965" s="528"/>
      <c r="D965" s="524"/>
      <c r="E965" s="525"/>
      <c r="F965" s="547" t="s">
        <v>29</v>
      </c>
      <c r="G965" s="588">
        <f>SUBTOTAL(9,G954:G964)</f>
        <v>0</v>
      </c>
    </row>
    <row r="966" spans="1:8" ht="19.899999999999999" customHeight="1" x14ac:dyDescent="0.2">
      <c r="A966" s="582"/>
      <c r="B966" s="528"/>
      <c r="C966" s="520" t="s">
        <v>993</v>
      </c>
      <c r="D966" s="524"/>
      <c r="E966" s="525"/>
      <c r="F966" s="526"/>
      <c r="G966" s="583"/>
    </row>
    <row r="967" spans="1:8" ht="19.899999999999999" customHeight="1" x14ac:dyDescent="0.2">
      <c r="A967" s="793" t="s">
        <v>576</v>
      </c>
      <c r="B967" s="794"/>
      <c r="C967" s="795" t="s">
        <v>0</v>
      </c>
      <c r="D967" s="795" t="s">
        <v>1740</v>
      </c>
      <c r="E967" s="797" t="s">
        <v>24</v>
      </c>
      <c r="F967" s="799" t="s">
        <v>25</v>
      </c>
      <c r="G967" s="801" t="s">
        <v>26</v>
      </c>
    </row>
    <row r="968" spans="1:8" ht="19.899999999999999" customHeight="1" x14ac:dyDescent="0.2">
      <c r="A968" s="543" t="s">
        <v>577</v>
      </c>
      <c r="B968" s="543" t="s">
        <v>578</v>
      </c>
      <c r="C968" s="796"/>
      <c r="D968" s="796"/>
      <c r="E968" s="798"/>
      <c r="F968" s="800"/>
      <c r="G968" s="802"/>
    </row>
    <row r="969" spans="1:8" ht="19.899999999999999" customHeight="1" x14ac:dyDescent="0.2">
      <c r="A969" s="584">
        <f>IFERROR(VLOOKUP(C969,T_Insumos,4,FALSE),0)</f>
        <v>0</v>
      </c>
      <c r="B969" s="544">
        <f>IFERROR(VLOOKUP(C969,T_Insumos,5,FALSE),0)</f>
        <v>0</v>
      </c>
      <c r="C969" s="535"/>
      <c r="D969" s="596">
        <f>IF(C969=0,0,"$/tnkm")</f>
        <v>0</v>
      </c>
      <c r="E969" s="536"/>
      <c r="F969" s="538">
        <f>IFERROR(VLOOKUP(C969,T_Insumos,3,FALSE),0)</f>
        <v>0</v>
      </c>
      <c r="G969" s="538">
        <f>ROUND(E969*F969,2)</f>
        <v>0</v>
      </c>
    </row>
    <row r="970" spans="1:8" ht="19.899999999999999" customHeight="1" x14ac:dyDescent="0.2">
      <c r="A970" s="584">
        <f>IFERROR(VLOOKUP(C970,T_Insumos,4,FALSE),0)</f>
        <v>0</v>
      </c>
      <c r="B970" s="544">
        <f>IFERROR(VLOOKUP(C970,T_Insumos,5,FALSE),0)</f>
        <v>0</v>
      </c>
      <c r="C970" s="535"/>
      <c r="D970" s="596">
        <f>IF(C970=0,0,"$/tnkm")</f>
        <v>0</v>
      </c>
      <c r="E970" s="552"/>
      <c r="F970" s="538">
        <f>IFERROR(VLOOKUP(C970,T_Insumos,3,FALSE),0)</f>
        <v>0</v>
      </c>
      <c r="G970" s="538">
        <f t="shared" ref="G970" si="272">ROUND(E970*F970,2)</f>
        <v>0</v>
      </c>
    </row>
    <row r="971" spans="1:8" ht="19.899999999999999" customHeight="1" x14ac:dyDescent="0.2">
      <c r="A971" s="582"/>
      <c r="B971" s="528"/>
      <c r="C971" s="528"/>
      <c r="D971" s="524"/>
      <c r="E971" s="525"/>
      <c r="F971" s="547" t="s">
        <v>994</v>
      </c>
      <c r="G971" s="588">
        <f>SUBTOTAL(9,G969:G970)</f>
        <v>0</v>
      </c>
      <c r="H971" s="516"/>
    </row>
    <row r="972" spans="1:8" ht="19.899999999999999" customHeight="1" x14ac:dyDescent="0.2">
      <c r="A972" s="585"/>
      <c r="B972" s="524"/>
      <c r="C972" s="528"/>
      <c r="D972" s="524"/>
      <c r="E972" s="525"/>
      <c r="F972" s="526"/>
      <c r="G972" s="583"/>
      <c r="H972" s="516"/>
    </row>
    <row r="973" spans="1:8" ht="19.899999999999999" customHeight="1" x14ac:dyDescent="0.2">
      <c r="A973" s="647" t="str">
        <f>B907</f>
        <v>3.6</v>
      </c>
      <c r="B973" s="644" t="str">
        <f ca="1">C907</f>
        <v>Juntas de contraccion y dilatacion</v>
      </c>
      <c r="C973" s="524"/>
      <c r="D973" s="524" t="s">
        <v>1719</v>
      </c>
      <c r="E973" s="645"/>
      <c r="F973" s="646" t="str">
        <f ca="1">"$/"&amp;G907</f>
        <v>$/m</v>
      </c>
      <c r="G973" s="593">
        <f>SUBTOTAL(9,G930:G972)</f>
        <v>0</v>
      </c>
      <c r="H973" s="516"/>
    </row>
    <row r="974" spans="1:8" ht="19.899999999999999" customHeight="1" x14ac:dyDescent="0.2">
      <c r="A974" s="589"/>
      <c r="B974" s="590"/>
      <c r="C974" s="591"/>
      <c r="D974" s="591" t="s">
        <v>1915</v>
      </c>
      <c r="E974" s="592"/>
      <c r="F974" s="648" t="str">
        <f ca="1">"$/"&amp;G907</f>
        <v>$/m</v>
      </c>
      <c r="G974" s="593">
        <f>ROUND(G973*Coeficiente_Paso,2)</f>
        <v>0</v>
      </c>
      <c r="H974" s="516"/>
    </row>
    <row r="975" spans="1:8" ht="19.899999999999999" customHeight="1" x14ac:dyDescent="0.2">
      <c r="A975" s="185"/>
      <c r="B975" s="185"/>
      <c r="C975" s="185"/>
      <c r="D975" s="185"/>
      <c r="E975" s="185"/>
      <c r="F975" s="185"/>
      <c r="G975" s="185"/>
      <c r="H975" s="516"/>
    </row>
    <row r="976" spans="1:8" ht="19.899999999999999" customHeight="1" x14ac:dyDescent="0.2">
      <c r="A976" s="803" t="s">
        <v>31</v>
      </c>
      <c r="B976" s="804"/>
      <c r="C976" s="804"/>
      <c r="D976" s="804"/>
      <c r="E976" s="804"/>
      <c r="F976" s="804"/>
      <c r="G976" s="805"/>
    </row>
    <row r="977" spans="1:7" ht="19.899999999999999" customHeight="1" x14ac:dyDescent="0.2">
      <c r="A977" s="570" t="s">
        <v>711</v>
      </c>
      <c r="B977" s="518" t="str">
        <f>Comitente</f>
        <v>DEPARTAMENTO DE HIDRAULICA</v>
      </c>
      <c r="C977" s="519"/>
      <c r="D977" s="520"/>
      <c r="E977" s="520"/>
      <c r="F977" s="521"/>
      <c r="G977" s="571"/>
    </row>
    <row r="978" spans="1:7" ht="19.899999999999999" customHeight="1" x14ac:dyDescent="0.2">
      <c r="A978" s="570" t="s">
        <v>712</v>
      </c>
      <c r="B978" s="518">
        <f>Contratista</f>
        <v>0</v>
      </c>
      <c r="C978" s="522"/>
      <c r="D978" s="522"/>
      <c r="E978" s="522"/>
      <c r="F978" s="518"/>
      <c r="G978" s="572"/>
    </row>
    <row r="979" spans="1:7" ht="19.899999999999999" customHeight="1" x14ac:dyDescent="0.2">
      <c r="A979" s="570" t="s">
        <v>21</v>
      </c>
      <c r="B979" s="518" t="str">
        <f>Obra</f>
        <v>ENCAMISADO CANAL GENERAL COCHAGUAL</v>
      </c>
      <c r="C979" s="522"/>
      <c r="D979" s="522"/>
      <c r="E979" s="522"/>
      <c r="F979" s="518" t="s">
        <v>32</v>
      </c>
      <c r="G979" s="572">
        <f>Fecha_Base</f>
        <v>44319</v>
      </c>
    </row>
    <row r="980" spans="1:7" ht="19.899999999999999" customHeight="1" x14ac:dyDescent="0.2">
      <c r="A980" s="573" t="s">
        <v>710</v>
      </c>
      <c r="B980" s="523" t="str">
        <f>Ubicación</f>
        <v>DEPARTAMENTO SARMIENTO</v>
      </c>
      <c r="C980" s="523"/>
      <c r="D980" s="524"/>
      <c r="E980" s="525"/>
      <c r="F980" s="526"/>
      <c r="G980" s="574"/>
    </row>
    <row r="981" spans="1:7" ht="19.899999999999999" customHeight="1" x14ac:dyDescent="0.2">
      <c r="A981" s="573" t="s">
        <v>33</v>
      </c>
      <c r="B981" s="527">
        <f>IFERROR(VALUE(LEFT(B982,FIND(".",B982)-1)),"")</f>
        <v>4</v>
      </c>
      <c r="C981" s="528" t="str">
        <f ca="1">IFERROR(VLOOKUP(B981,T_Computo_Presupuesto,2,FALSE),0)</f>
        <v>PUENTES SOBRE CANAL</v>
      </c>
      <c r="D981" s="528"/>
      <c r="E981" s="525"/>
      <c r="F981" s="526"/>
      <c r="G981" s="574"/>
    </row>
    <row r="982" spans="1:7" ht="19.899999999999999" customHeight="1" x14ac:dyDescent="0.2">
      <c r="A982" s="573" t="s">
        <v>22</v>
      </c>
      <c r="B982" s="529" t="str">
        <f>IFERROR(VLOOKUP(COUNTIF($A$1:A982,"ANALISIS DE PRECIOS"),T_NumeroItem,2,FALSE),"")</f>
        <v>4.1</v>
      </c>
      <c r="C982" s="806" t="str">
        <f ca="1">IFERROR(VLOOKUP(B982,T_Computo_Presupuesto,2,FALSE),0)</f>
        <v>Limpieza y Replanteo</v>
      </c>
      <c r="D982" s="806"/>
      <c r="E982" s="806"/>
      <c r="F982" s="523" t="s">
        <v>23</v>
      </c>
      <c r="G982" s="575" t="str">
        <f ca="1">IFERROR(VLOOKUP(B982,T_Computo_Presupuesto,4,FALSE),0)</f>
        <v>gl.</v>
      </c>
    </row>
    <row r="983" spans="1:7" ht="19.899999999999999" customHeight="1" x14ac:dyDescent="0.2">
      <c r="A983" s="573"/>
      <c r="B983" s="523"/>
      <c r="C983" s="528"/>
      <c r="D983" s="524"/>
      <c r="E983" s="525"/>
      <c r="F983" s="528"/>
      <c r="G983" s="576"/>
    </row>
    <row r="984" spans="1:7" ht="19.899999999999999" customHeight="1" x14ac:dyDescent="0.2">
      <c r="A984" s="577"/>
      <c r="B984" s="530"/>
      <c r="C984" s="531" t="s">
        <v>977</v>
      </c>
      <c r="D984" s="530"/>
      <c r="E984" s="530"/>
      <c r="F984" s="530"/>
      <c r="G984" s="578"/>
    </row>
    <row r="985" spans="1:7" ht="19.899999999999999" customHeight="1" x14ac:dyDescent="0.2">
      <c r="A985" s="573"/>
      <c r="B985" s="532"/>
      <c r="C985" s="528"/>
      <c r="D985" s="524"/>
      <c r="E985" s="525"/>
      <c r="F985" s="523"/>
      <c r="G985" s="575"/>
    </row>
    <row r="986" spans="1:7" ht="19.899999999999999" customHeight="1" x14ac:dyDescent="0.2">
      <c r="A986" s="573"/>
      <c r="B986" s="532"/>
      <c r="C986" s="533" t="s">
        <v>978</v>
      </c>
      <c r="D986" s="534" t="s">
        <v>24</v>
      </c>
      <c r="E986" s="534" t="s">
        <v>979</v>
      </c>
      <c r="F986" s="534" t="s">
        <v>980</v>
      </c>
      <c r="G986" s="533" t="s">
        <v>981</v>
      </c>
    </row>
    <row r="987" spans="1:7" ht="19.899999999999999" customHeight="1" x14ac:dyDescent="0.2">
      <c r="A987" s="573"/>
      <c r="B987" s="532"/>
      <c r="C987" s="535">
        <f>+Equipos!A16</f>
        <v>0</v>
      </c>
      <c r="D987" s="536"/>
      <c r="E987" s="537">
        <f t="shared" ref="E987:E996" si="273">IFERROR(VLOOKUP(C987,T_Equipos,4,FALSE),0)</f>
        <v>0</v>
      </c>
      <c r="F987" s="538">
        <f t="shared" ref="F987:F996" si="274">IFERROR(VLOOKUP(C987,T_Equipos,5,FALSE),0)</f>
        <v>0</v>
      </c>
      <c r="G987" s="538">
        <f>ROUND(D987*F987,2)</f>
        <v>0</v>
      </c>
    </row>
    <row r="988" spans="1:7" ht="19.899999999999999" customHeight="1" x14ac:dyDescent="0.2">
      <c r="A988" s="573"/>
      <c r="B988" s="532"/>
      <c r="C988" s="535">
        <f>+Equipos!A19</f>
        <v>0</v>
      </c>
      <c r="D988" s="536"/>
      <c r="E988" s="537">
        <f t="shared" si="273"/>
        <v>0</v>
      </c>
      <c r="F988" s="538">
        <f t="shared" si="274"/>
        <v>0</v>
      </c>
      <c r="G988" s="538">
        <f>ROUND(D988*F988,2)</f>
        <v>0</v>
      </c>
    </row>
    <row r="989" spans="1:7" ht="19.899999999999999" customHeight="1" x14ac:dyDescent="0.2">
      <c r="A989" s="573"/>
      <c r="B989" s="532"/>
      <c r="C989" s="535">
        <f>+Equipos!A31</f>
        <v>0</v>
      </c>
      <c r="D989" s="536"/>
      <c r="E989" s="537">
        <f t="shared" si="273"/>
        <v>0</v>
      </c>
      <c r="F989" s="538">
        <f t="shared" si="274"/>
        <v>0</v>
      </c>
      <c r="G989" s="538">
        <f>ROUND(D989*F989,2)</f>
        <v>0</v>
      </c>
    </row>
    <row r="990" spans="1:7" ht="19.899999999999999" customHeight="1" x14ac:dyDescent="0.2">
      <c r="A990" s="573"/>
      <c r="B990" s="532"/>
      <c r="C990" s="535">
        <f>+Equipos!A22</f>
        <v>0</v>
      </c>
      <c r="D990" s="536"/>
      <c r="E990" s="537">
        <f t="shared" si="273"/>
        <v>0</v>
      </c>
      <c r="F990" s="538">
        <f t="shared" si="274"/>
        <v>0</v>
      </c>
      <c r="G990" s="538">
        <f>ROUND(D990*F990,2)</f>
        <v>0</v>
      </c>
    </row>
    <row r="991" spans="1:7" ht="19.899999999999999" customHeight="1" x14ac:dyDescent="0.2">
      <c r="A991" s="573"/>
      <c r="B991" s="532"/>
      <c r="C991" s="535"/>
      <c r="D991" s="536"/>
      <c r="E991" s="537">
        <f t="shared" si="273"/>
        <v>0</v>
      </c>
      <c r="F991" s="538">
        <f t="shared" si="274"/>
        <v>0</v>
      </c>
      <c r="G991" s="538">
        <f t="shared" ref="G991:G996" si="275">ROUND(D991*F991,2)</f>
        <v>0</v>
      </c>
    </row>
    <row r="992" spans="1:7" ht="19.899999999999999" customHeight="1" x14ac:dyDescent="0.2">
      <c r="A992" s="573"/>
      <c r="B992" s="532"/>
      <c r="C992" s="535"/>
      <c r="D992" s="536"/>
      <c r="E992" s="537">
        <f t="shared" si="273"/>
        <v>0</v>
      </c>
      <c r="F992" s="538">
        <f t="shared" si="274"/>
        <v>0</v>
      </c>
      <c r="G992" s="538">
        <f t="shared" si="275"/>
        <v>0</v>
      </c>
    </row>
    <row r="993" spans="1:7" ht="19.899999999999999" customHeight="1" x14ac:dyDescent="0.2">
      <c r="A993" s="573"/>
      <c r="B993" s="532"/>
      <c r="C993" s="535"/>
      <c r="D993" s="536"/>
      <c r="E993" s="537">
        <f t="shared" si="273"/>
        <v>0</v>
      </c>
      <c r="F993" s="538">
        <f t="shared" si="274"/>
        <v>0</v>
      </c>
      <c r="G993" s="538">
        <f t="shared" si="275"/>
        <v>0</v>
      </c>
    </row>
    <row r="994" spans="1:7" ht="19.899999999999999" customHeight="1" x14ac:dyDescent="0.2">
      <c r="A994" s="573"/>
      <c r="B994" s="532"/>
      <c r="C994" s="535"/>
      <c r="D994" s="536"/>
      <c r="E994" s="537">
        <f t="shared" si="273"/>
        <v>0</v>
      </c>
      <c r="F994" s="538">
        <f t="shared" si="274"/>
        <v>0</v>
      </c>
      <c r="G994" s="538">
        <f t="shared" si="275"/>
        <v>0</v>
      </c>
    </row>
    <row r="995" spans="1:7" ht="19.899999999999999" customHeight="1" x14ac:dyDescent="0.2">
      <c r="A995" s="573"/>
      <c r="B995" s="532"/>
      <c r="C995" s="535"/>
      <c r="D995" s="536"/>
      <c r="E995" s="537">
        <f t="shared" si="273"/>
        <v>0</v>
      </c>
      <c r="F995" s="538">
        <f t="shared" si="274"/>
        <v>0</v>
      </c>
      <c r="G995" s="538">
        <f t="shared" si="275"/>
        <v>0</v>
      </c>
    </row>
    <row r="996" spans="1:7" ht="19.899999999999999" customHeight="1" x14ac:dyDescent="0.2">
      <c r="A996" s="573"/>
      <c r="B996" s="532"/>
      <c r="C996" s="535"/>
      <c r="D996" s="536"/>
      <c r="E996" s="537">
        <f t="shared" si="273"/>
        <v>0</v>
      </c>
      <c r="F996" s="538">
        <f t="shared" si="274"/>
        <v>0</v>
      </c>
      <c r="G996" s="538">
        <f t="shared" si="275"/>
        <v>0</v>
      </c>
    </row>
    <row r="997" spans="1:7" ht="19.899999999999999" customHeight="1" x14ac:dyDescent="0.2">
      <c r="A997" s="573"/>
      <c r="B997" s="532"/>
      <c r="C997" s="528"/>
      <c r="D997" s="528"/>
      <c r="E997" s="539"/>
      <c r="F997" s="523"/>
      <c r="G997" s="575"/>
    </row>
    <row r="998" spans="1:7" ht="19.899999999999999" customHeight="1" x14ac:dyDescent="0.2">
      <c r="A998" s="573"/>
      <c r="B998" s="528"/>
      <c r="C998" s="520" t="s">
        <v>982</v>
      </c>
      <c r="D998" s="523" t="s">
        <v>979</v>
      </c>
      <c r="E998" s="594">
        <f>SUMPRODUCT(D987:D996,E987:E996)</f>
        <v>0</v>
      </c>
      <c r="F998" s="523" t="s">
        <v>983</v>
      </c>
      <c r="G998" s="595">
        <f>SUM(G987:G996)</f>
        <v>0</v>
      </c>
    </row>
    <row r="999" spans="1:7" ht="19.899999999999999" customHeight="1" x14ac:dyDescent="0.2">
      <c r="A999" s="573"/>
      <c r="B999" s="532"/>
      <c r="C999" s="540"/>
      <c r="D999" s="539"/>
      <c r="E999" s="525"/>
      <c r="F999" s="523"/>
      <c r="G999" s="579"/>
    </row>
    <row r="1000" spans="1:7" ht="19.899999999999999" customHeight="1" x14ac:dyDescent="0.2">
      <c r="A1000" s="580"/>
      <c r="B1000" s="532"/>
      <c r="C1000" s="523" t="s">
        <v>984</v>
      </c>
      <c r="D1000" s="541">
        <f>IFERROR(VLOOKUP(COUNTIF($A$1:A1000,"ANALISIS DE PRECIOS"),T_Rendimiento_Equipo,5,FALSE),0)</f>
        <v>0</v>
      </c>
      <c r="E1000" s="542" t="str">
        <f ca="1">G982&amp;"/día"</f>
        <v>gl./día</v>
      </c>
      <c r="F1000" s="581"/>
      <c r="G1000" s="575"/>
    </row>
    <row r="1001" spans="1:7" ht="19.899999999999999" customHeight="1" x14ac:dyDescent="0.2">
      <c r="A1001" s="573"/>
      <c r="B1001" s="532"/>
      <c r="C1001" s="528"/>
      <c r="D1001" s="524"/>
      <c r="E1001" s="525"/>
      <c r="F1001" s="523"/>
      <c r="G1001" s="575"/>
    </row>
    <row r="1002" spans="1:7" ht="19.899999999999999" customHeight="1" x14ac:dyDescent="0.2">
      <c r="A1002" s="793" t="s">
        <v>576</v>
      </c>
      <c r="B1002" s="794"/>
      <c r="C1002" s="795" t="s">
        <v>0</v>
      </c>
      <c r="D1002" s="807" t="s">
        <v>1739</v>
      </c>
      <c r="E1002" s="807" t="s">
        <v>1738</v>
      </c>
      <c r="F1002" s="799" t="s">
        <v>985</v>
      </c>
      <c r="G1002" s="801" t="s">
        <v>26</v>
      </c>
    </row>
    <row r="1003" spans="1:7" ht="19.899999999999999" customHeight="1" x14ac:dyDescent="0.2">
      <c r="A1003" s="543" t="s">
        <v>577</v>
      </c>
      <c r="B1003" s="543" t="s">
        <v>578</v>
      </c>
      <c r="C1003" s="796"/>
      <c r="D1003" s="808"/>
      <c r="E1003" s="798"/>
      <c r="F1003" s="800"/>
      <c r="G1003" s="802"/>
    </row>
    <row r="1004" spans="1:7" ht="19.899999999999999" customHeight="1" x14ac:dyDescent="0.2">
      <c r="A1004" s="582"/>
      <c r="B1004" s="528"/>
      <c r="C1004" s="520" t="s">
        <v>986</v>
      </c>
      <c r="D1004" s="525"/>
      <c r="E1004" s="525"/>
      <c r="F1004" s="528"/>
      <c r="G1004" s="583"/>
    </row>
    <row r="1005" spans="1:7" ht="19.899999999999999" customHeight="1" x14ac:dyDescent="0.2">
      <c r="A1005" s="584">
        <f t="shared" ref="A1005:A1013" si="276">IFERROR(VLOOKUP(C1005,T_Insumos,4,FALSE),0)</f>
        <v>0</v>
      </c>
      <c r="B1005" s="544">
        <f t="shared" ref="B1005:B1013" si="277">IFERROR(VLOOKUP(C1005,T_Insumos,5,FALSE),0)</f>
        <v>0</v>
      </c>
      <c r="C1005" s="535">
        <f>+C30</f>
        <v>0</v>
      </c>
      <c r="D1005" s="545">
        <f t="shared" ref="D1005:D1013" si="278">IFERROR(VLOOKUP(C1005,T_Insumos,3,FALSE),0)</f>
        <v>0</v>
      </c>
      <c r="E1005" s="538">
        <f>D1005*$G$998</f>
        <v>0</v>
      </c>
      <c r="F1005" s="541">
        <f>IF(C1005="",0,IFERROR(VLOOKUP(COUNTIF($A$1:A1005,"ANALISIS DE PRECIOS"),T_Rendimiento_Equipo,5,FALSE),0))</f>
        <v>0</v>
      </c>
      <c r="G1005" s="538">
        <f>IFERROR(ROUND(E1005/F1005,2),0)</f>
        <v>0</v>
      </c>
    </row>
    <row r="1006" spans="1:7" ht="19.899999999999999" customHeight="1" x14ac:dyDescent="0.2">
      <c r="A1006" s="584">
        <f t="shared" si="276"/>
        <v>0</v>
      </c>
      <c r="B1006" s="544">
        <f t="shared" si="277"/>
        <v>0</v>
      </c>
      <c r="C1006" s="535">
        <f t="shared" ref="C1006:C1008" si="279">+C31</f>
        <v>0</v>
      </c>
      <c r="D1006" s="545">
        <f t="shared" si="278"/>
        <v>0</v>
      </c>
      <c r="E1006" s="538">
        <f t="shared" ref="E1006:E1007" si="280">D1006*$G$998</f>
        <v>0</v>
      </c>
      <c r="F1006" s="541">
        <f>IF(C1006="",0,IFERROR(VLOOKUP(COUNTIF($A$1:A1006,"ANALISIS DE PRECIOS"),T_Rendimiento_Equipo,5,FALSE),0))</f>
        <v>0</v>
      </c>
      <c r="G1006" s="538">
        <f t="shared" ref="G1006:G1013" si="281">IFERROR(ROUND(E1006/F1006,2),0)</f>
        <v>0</v>
      </c>
    </row>
    <row r="1007" spans="1:7" ht="19.899999999999999" customHeight="1" x14ac:dyDescent="0.2">
      <c r="A1007" s="584">
        <f t="shared" si="276"/>
        <v>0</v>
      </c>
      <c r="B1007" s="544">
        <f t="shared" si="277"/>
        <v>0</v>
      </c>
      <c r="C1007" s="535">
        <f t="shared" si="279"/>
        <v>0</v>
      </c>
      <c r="D1007" s="545">
        <f t="shared" si="278"/>
        <v>0</v>
      </c>
      <c r="E1007" s="538">
        <f t="shared" si="280"/>
        <v>0</v>
      </c>
      <c r="F1007" s="541">
        <f>IF(C1007="",0,IFERROR(VLOOKUP(COUNTIF($A$1:A1007,"ANALISIS DE PRECIOS"),T_Rendimiento_Equipo,5,FALSE),0))</f>
        <v>0</v>
      </c>
      <c r="G1007" s="538">
        <f t="shared" si="281"/>
        <v>0</v>
      </c>
    </row>
    <row r="1008" spans="1:7" ht="19.899999999999999" customHeight="1" x14ac:dyDescent="0.2">
      <c r="A1008" s="584">
        <f t="shared" si="276"/>
        <v>0</v>
      </c>
      <c r="B1008" s="544">
        <f t="shared" si="277"/>
        <v>0</v>
      </c>
      <c r="C1008" s="535">
        <f t="shared" si="279"/>
        <v>0</v>
      </c>
      <c r="D1008" s="545">
        <f t="shared" si="278"/>
        <v>0</v>
      </c>
      <c r="E1008" s="538">
        <f>D1008*$E$998</f>
        <v>0</v>
      </c>
      <c r="F1008" s="541">
        <f>IF(C1008="",0,IFERROR(VLOOKUP(COUNTIF($A$1:A1008,"ANALISIS DE PRECIOS"),T_Rendimiento_Equipo,5,FALSE),0))</f>
        <v>0</v>
      </c>
      <c r="G1008" s="538">
        <f t="shared" si="281"/>
        <v>0</v>
      </c>
    </row>
    <row r="1009" spans="1:7" ht="19.899999999999999" customHeight="1" x14ac:dyDescent="0.2">
      <c r="A1009" s="584">
        <f t="shared" si="276"/>
        <v>0</v>
      </c>
      <c r="B1009" s="544">
        <f t="shared" si="277"/>
        <v>0</v>
      </c>
      <c r="C1009" s="546"/>
      <c r="D1009" s="545">
        <f t="shared" si="278"/>
        <v>0</v>
      </c>
      <c r="E1009" s="538"/>
      <c r="F1009" s="541">
        <f>IF(C1009="",0,IFERROR(VLOOKUP(COUNTIF($A$1:A1009,"ANALISIS DE PRECIOS"),T_Rendimiento_Equipo,5,FALSE),0))</f>
        <v>0</v>
      </c>
      <c r="G1009" s="538">
        <f t="shared" si="281"/>
        <v>0</v>
      </c>
    </row>
    <row r="1010" spans="1:7" ht="19.899999999999999" customHeight="1" x14ac:dyDescent="0.2">
      <c r="A1010" s="584">
        <f t="shared" si="276"/>
        <v>0</v>
      </c>
      <c r="B1010" s="544">
        <f t="shared" si="277"/>
        <v>0</v>
      </c>
      <c r="C1010" s="546"/>
      <c r="D1010" s="545">
        <f t="shared" si="278"/>
        <v>0</v>
      </c>
      <c r="E1010" s="538"/>
      <c r="F1010" s="541">
        <f>IF(C1010="",0,IFERROR(VLOOKUP(COUNTIF($A$1:A1010,"ANALISIS DE PRECIOS"),T_Rendimiento_Equipo,5,FALSE),0))</f>
        <v>0</v>
      </c>
      <c r="G1010" s="538">
        <f t="shared" si="281"/>
        <v>0</v>
      </c>
    </row>
    <row r="1011" spans="1:7" ht="19.899999999999999" customHeight="1" x14ac:dyDescent="0.2">
      <c r="A1011" s="584">
        <f t="shared" si="276"/>
        <v>0</v>
      </c>
      <c r="B1011" s="544">
        <f t="shared" si="277"/>
        <v>0</v>
      </c>
      <c r="C1011" s="546"/>
      <c r="D1011" s="545">
        <f t="shared" si="278"/>
        <v>0</v>
      </c>
      <c r="E1011" s="538"/>
      <c r="F1011" s="541">
        <f>IF(C1011="",0,IFERROR(VLOOKUP(COUNTIF($A$1:A1011,"ANALISIS DE PRECIOS"),T_Rendimiento_Equipo,5,FALSE),0))</f>
        <v>0</v>
      </c>
      <c r="G1011" s="538">
        <f t="shared" si="281"/>
        <v>0</v>
      </c>
    </row>
    <row r="1012" spans="1:7" ht="19.899999999999999" customHeight="1" x14ac:dyDescent="0.2">
      <c r="A1012" s="584">
        <f t="shared" si="276"/>
        <v>0</v>
      </c>
      <c r="B1012" s="544">
        <f t="shared" si="277"/>
        <v>0</v>
      </c>
      <c r="C1012" s="546"/>
      <c r="D1012" s="545">
        <f t="shared" si="278"/>
        <v>0</v>
      </c>
      <c r="E1012" s="538"/>
      <c r="F1012" s="541">
        <f>IF(C1012="",0,IFERROR(VLOOKUP(COUNTIF($A$1:A1012,"ANALISIS DE PRECIOS"),T_Rendimiento_Equipo,5,FALSE),0))</f>
        <v>0</v>
      </c>
      <c r="G1012" s="538">
        <f t="shared" si="281"/>
        <v>0</v>
      </c>
    </row>
    <row r="1013" spans="1:7" ht="19.899999999999999" customHeight="1" x14ac:dyDescent="0.2">
      <c r="A1013" s="584">
        <f t="shared" si="276"/>
        <v>0</v>
      </c>
      <c r="B1013" s="544">
        <f t="shared" si="277"/>
        <v>0</v>
      </c>
      <c r="C1013" s="535"/>
      <c r="D1013" s="545">
        <f t="shared" si="278"/>
        <v>0</v>
      </c>
      <c r="E1013" s="538"/>
      <c r="F1013" s="541">
        <f>IF(C1013="",0,IFERROR(VLOOKUP(COUNTIF($A$1:A1013,"ANALISIS DE PRECIOS"),T_Rendimiento_Equipo,5,FALSE),0))</f>
        <v>0</v>
      </c>
      <c r="G1013" s="538">
        <f t="shared" si="281"/>
        <v>0</v>
      </c>
    </row>
    <row r="1014" spans="1:7" ht="19.899999999999999" customHeight="1" x14ac:dyDescent="0.2">
      <c r="A1014" s="585"/>
      <c r="B1014" s="524"/>
      <c r="C1014" s="528"/>
      <c r="D1014" s="524"/>
      <c r="E1014" s="525"/>
      <c r="F1014" s="547" t="s">
        <v>27</v>
      </c>
      <c r="G1014" s="586">
        <f>SUBTOTAL(9,G1005:G1013)</f>
        <v>0</v>
      </c>
    </row>
    <row r="1015" spans="1:7" ht="19.899999999999999" customHeight="1" x14ac:dyDescent="0.2">
      <c r="A1015" s="582"/>
      <c r="B1015" s="528"/>
      <c r="C1015" s="520" t="s">
        <v>713</v>
      </c>
      <c r="D1015" s="524"/>
      <c r="E1015" s="525"/>
      <c r="F1015" s="526"/>
      <c r="G1015" s="583"/>
    </row>
    <row r="1016" spans="1:7" ht="19.899999999999999" customHeight="1" x14ac:dyDescent="0.2">
      <c r="A1016" s="793" t="s">
        <v>576</v>
      </c>
      <c r="B1016" s="794"/>
      <c r="C1016" s="795" t="s">
        <v>0</v>
      </c>
      <c r="D1016" s="797" t="s">
        <v>24</v>
      </c>
      <c r="E1016" s="797" t="s">
        <v>1718</v>
      </c>
      <c r="F1016" s="799" t="s">
        <v>985</v>
      </c>
      <c r="G1016" s="801" t="s">
        <v>26</v>
      </c>
    </row>
    <row r="1017" spans="1:7" ht="19.899999999999999" customHeight="1" x14ac:dyDescent="0.2">
      <c r="A1017" s="543" t="s">
        <v>577</v>
      </c>
      <c r="B1017" s="543" t="s">
        <v>578</v>
      </c>
      <c r="C1017" s="796"/>
      <c r="D1017" s="798"/>
      <c r="E1017" s="798"/>
      <c r="F1017" s="800"/>
      <c r="G1017" s="802"/>
    </row>
    <row r="1018" spans="1:7" ht="19.899999999999999" customHeight="1" x14ac:dyDescent="0.2">
      <c r="A1018" s="584" t="str">
        <f t="shared" ref="A1018:A1024" si="282">IFERROR(VLOOKUP(C1018,T_Insumos,4,FALSE),0)</f>
        <v>IIEE-SJ - 1</v>
      </c>
      <c r="B1018" s="544" t="str">
        <f t="shared" ref="B1018:B1024" si="283">IFERROR(VLOOKUP(C1018,T_Insumos,5,FALSE),0)</f>
        <v>Mano de Obra</v>
      </c>
      <c r="C1018" s="548" t="str">
        <f>+C43</f>
        <v>Mano de obra</v>
      </c>
      <c r="D1018" s="541"/>
      <c r="E1018" s="538">
        <f t="shared" ref="E1018:E1024" si="284">IFERROR(VLOOKUP(C1018,T_Insumos,3,FALSE),0)</f>
        <v>0</v>
      </c>
      <c r="F1018" s="541">
        <f>IF(C1018="",0,IFERROR(VLOOKUP(COUNTIF($A$1:A1018,"ANALISIS DE PRECIOS"),T_Rendimiento_Equipo,5,FALSE),0))</f>
        <v>0</v>
      </c>
      <c r="G1018" s="538">
        <f>IFERROR(ROUND(D1018*E1018/F1018,2),0)</f>
        <v>0</v>
      </c>
    </row>
    <row r="1019" spans="1:7" ht="19.899999999999999" customHeight="1" x14ac:dyDescent="0.2">
      <c r="A1019" s="584" t="str">
        <f t="shared" si="282"/>
        <v>INDEC-CM - 37510-11</v>
      </c>
      <c r="B1019" s="544" t="str">
        <f t="shared" si="283"/>
        <v>Hormigón elaborado</v>
      </c>
      <c r="C1019" s="548" t="str">
        <f t="shared" ref="C1019:C1021" si="285">+C44</f>
        <v>Hormigon Elaborado</v>
      </c>
      <c r="D1019" s="541"/>
      <c r="E1019" s="538">
        <f t="shared" si="284"/>
        <v>0</v>
      </c>
      <c r="F1019" s="541">
        <f>IF(C1019="",0,IFERROR(VLOOKUP(COUNTIF($A$1:A1019,"ANALISIS DE PRECIOS"),T_Rendimiento_Equipo,5,FALSE),0))</f>
        <v>0</v>
      </c>
      <c r="G1019" s="538">
        <f>IFERROR(ROUND(D1019*E1019/F1019,2),0)</f>
        <v>0</v>
      </c>
    </row>
    <row r="1020" spans="1:7" ht="19.899999999999999" customHeight="1" x14ac:dyDescent="0.2">
      <c r="A1020" s="584" t="str">
        <f t="shared" si="282"/>
        <v>INDEC-DCTO - Inciso j)</v>
      </c>
      <c r="B1020" s="544" t="str">
        <f t="shared" si="283"/>
        <v>Equipo - Amortización de equipo</v>
      </c>
      <c r="C1020" s="548" t="str">
        <f t="shared" si="285"/>
        <v>Equipo - Amortizacion de equipo</v>
      </c>
      <c r="D1020" s="541"/>
      <c r="E1020" s="538">
        <f t="shared" si="284"/>
        <v>0</v>
      </c>
      <c r="F1020" s="541">
        <f>IF(C1020="",0,IFERROR(VLOOKUP(COUNTIF($A$1:A1020,"ANALISIS DE PRECIOS"),T_Rendimiento_Equipo,5,FALSE),0))</f>
        <v>0</v>
      </c>
      <c r="G1020" s="538">
        <f t="shared" ref="G1020:G1024" si="286">IFERROR(ROUND(D1020*E1020/F1020,2),0)</f>
        <v>0</v>
      </c>
    </row>
    <row r="1021" spans="1:7" ht="19.899999999999999" customHeight="1" x14ac:dyDescent="0.2">
      <c r="A1021" s="584" t="str">
        <f t="shared" si="282"/>
        <v>INDEC-CM - 41242-11</v>
      </c>
      <c r="B1021" s="544" t="str">
        <f t="shared" si="283"/>
        <v>Acero aletado conformado, en barra</v>
      </c>
      <c r="C1021" s="548" t="str">
        <f t="shared" si="285"/>
        <v>Hierro</v>
      </c>
      <c r="D1021" s="541"/>
      <c r="E1021" s="538">
        <f t="shared" si="284"/>
        <v>0</v>
      </c>
      <c r="F1021" s="541">
        <f>IF(C1021="",0,IFERROR(VLOOKUP(COUNTIF($A$1:A1021,"ANALISIS DE PRECIOS"),T_Rendimiento_Equipo,5,FALSE),0))</f>
        <v>0</v>
      </c>
      <c r="G1021" s="538">
        <f t="shared" si="286"/>
        <v>0</v>
      </c>
    </row>
    <row r="1022" spans="1:7" ht="19.899999999999999" customHeight="1" x14ac:dyDescent="0.2">
      <c r="A1022" s="584">
        <f t="shared" si="282"/>
        <v>0</v>
      </c>
      <c r="B1022" s="544">
        <f t="shared" si="283"/>
        <v>0</v>
      </c>
      <c r="C1022" s="535"/>
      <c r="D1022" s="541"/>
      <c r="E1022" s="538">
        <f t="shared" si="284"/>
        <v>0</v>
      </c>
      <c r="F1022" s="541">
        <f>IF(C1022="",0,IFERROR(VLOOKUP(COUNTIF($A$1:A1022,"ANALISIS DE PRECIOS"),T_Rendimiento_Equipo,5,FALSE),0))</f>
        <v>0</v>
      </c>
      <c r="G1022" s="538">
        <f t="shared" si="286"/>
        <v>0</v>
      </c>
    </row>
    <row r="1023" spans="1:7" ht="19.899999999999999" customHeight="1" x14ac:dyDescent="0.2">
      <c r="A1023" s="584">
        <f t="shared" si="282"/>
        <v>0</v>
      </c>
      <c r="B1023" s="544">
        <f t="shared" si="283"/>
        <v>0</v>
      </c>
      <c r="C1023" s="535"/>
      <c r="D1023" s="549"/>
      <c r="E1023" s="538">
        <f t="shared" si="284"/>
        <v>0</v>
      </c>
      <c r="F1023" s="541">
        <f>IF(C1023="",0,IFERROR(VLOOKUP(COUNTIF($A$1:A1023,"ANALISIS DE PRECIOS"),T_Rendimiento_Equipo,5,FALSE),0))</f>
        <v>0</v>
      </c>
      <c r="G1023" s="538">
        <f t="shared" si="286"/>
        <v>0</v>
      </c>
    </row>
    <row r="1024" spans="1:7" ht="19.899999999999999" customHeight="1" x14ac:dyDescent="0.2">
      <c r="A1024" s="584">
        <f t="shared" si="282"/>
        <v>0</v>
      </c>
      <c r="B1024" s="544">
        <f t="shared" si="283"/>
        <v>0</v>
      </c>
      <c r="C1024" s="544"/>
      <c r="D1024" s="550"/>
      <c r="E1024" s="538">
        <f t="shared" si="284"/>
        <v>0</v>
      </c>
      <c r="F1024" s="541">
        <f>IF(C1024="",0,IFERROR(VLOOKUP(COUNTIF($A$1:A1024,"ANALISIS DE PRECIOS"),T_Rendimiento_Equipo,5,FALSE),0))</f>
        <v>0</v>
      </c>
      <c r="G1024" s="538">
        <f t="shared" si="286"/>
        <v>0</v>
      </c>
    </row>
    <row r="1025" spans="1:7" ht="19.899999999999999" customHeight="1" x14ac:dyDescent="0.2">
      <c r="A1025" s="585"/>
      <c r="B1025" s="524"/>
      <c r="C1025" s="528"/>
      <c r="D1025" s="524"/>
      <c r="E1025" s="525"/>
      <c r="F1025" s="547" t="s">
        <v>28</v>
      </c>
      <c r="G1025" s="587">
        <f>SUBTOTAL(9,G1018:G1024)</f>
        <v>0</v>
      </c>
    </row>
    <row r="1026" spans="1:7" ht="19.899999999999999" customHeight="1" x14ac:dyDescent="0.2">
      <c r="A1026" s="582"/>
      <c r="B1026" s="528"/>
      <c r="C1026" s="520" t="s">
        <v>992</v>
      </c>
      <c r="D1026" s="524"/>
      <c r="E1026" s="525"/>
      <c r="F1026" s="526"/>
      <c r="G1026" s="583"/>
    </row>
    <row r="1027" spans="1:7" ht="19.899999999999999" customHeight="1" x14ac:dyDescent="0.2">
      <c r="A1027" s="793" t="s">
        <v>576</v>
      </c>
      <c r="B1027" s="794"/>
      <c r="C1027" s="795" t="s">
        <v>0</v>
      </c>
      <c r="D1027" s="795" t="s">
        <v>1740</v>
      </c>
      <c r="E1027" s="797" t="s">
        <v>24</v>
      </c>
      <c r="F1027" s="799" t="s">
        <v>25</v>
      </c>
      <c r="G1027" s="801" t="s">
        <v>26</v>
      </c>
    </row>
    <row r="1028" spans="1:7" ht="19.899999999999999" customHeight="1" x14ac:dyDescent="0.2">
      <c r="A1028" s="543" t="s">
        <v>577</v>
      </c>
      <c r="B1028" s="543" t="s">
        <v>578</v>
      </c>
      <c r="C1028" s="796"/>
      <c r="D1028" s="796"/>
      <c r="E1028" s="798"/>
      <c r="F1028" s="800"/>
      <c r="G1028" s="802"/>
    </row>
    <row r="1029" spans="1:7" ht="19.899999999999999" customHeight="1" x14ac:dyDescent="0.2">
      <c r="A1029" s="584">
        <f t="shared" ref="A1029:A1039" si="287">IFERROR(VLOOKUP(C1029,T_Insumos,4,FALSE),0)</f>
        <v>0</v>
      </c>
      <c r="B1029" s="544">
        <f t="shared" ref="B1029:B1039" si="288">IFERROR(VLOOKUP(C1029,T_Insumos,5,FALSE),0)</f>
        <v>0</v>
      </c>
      <c r="C1029" s="544">
        <f>+Insumos!A63</f>
        <v>0</v>
      </c>
      <c r="D1029" s="596">
        <f t="shared" ref="D1029:D1039" si="289">IFERROR(VLOOKUP(C1029,T_Insumos,2,FALSE),0)</f>
        <v>0</v>
      </c>
      <c r="E1029" s="536"/>
      <c r="F1029" s="538">
        <f t="shared" ref="F1029:F1039" si="290">IFERROR(VLOOKUP(C1029,T_Insumos,3,FALSE),0)</f>
        <v>0</v>
      </c>
      <c r="G1029" s="538">
        <f>ROUND(E1029*F1029,2)</f>
        <v>0</v>
      </c>
    </row>
    <row r="1030" spans="1:7" ht="19.899999999999999" customHeight="1" x14ac:dyDescent="0.2">
      <c r="A1030" s="584">
        <f t="shared" si="287"/>
        <v>0</v>
      </c>
      <c r="B1030" s="544">
        <f t="shared" si="288"/>
        <v>0</v>
      </c>
      <c r="C1030" s="544"/>
      <c r="D1030" s="596">
        <f t="shared" si="289"/>
        <v>0</v>
      </c>
      <c r="E1030" s="536"/>
      <c r="F1030" s="538">
        <f t="shared" si="290"/>
        <v>0</v>
      </c>
      <c r="G1030" s="538">
        <f t="shared" ref="G1030:G1039" si="291">ROUND(E1030*F1030,2)</f>
        <v>0</v>
      </c>
    </row>
    <row r="1031" spans="1:7" ht="19.899999999999999" customHeight="1" x14ac:dyDescent="0.2">
      <c r="A1031" s="584">
        <f t="shared" si="287"/>
        <v>0</v>
      </c>
      <c r="B1031" s="544">
        <f t="shared" si="288"/>
        <v>0</v>
      </c>
      <c r="C1031" s="544"/>
      <c r="D1031" s="596">
        <f t="shared" si="289"/>
        <v>0</v>
      </c>
      <c r="E1031" s="536"/>
      <c r="F1031" s="538">
        <f t="shared" si="290"/>
        <v>0</v>
      </c>
      <c r="G1031" s="538">
        <f t="shared" si="291"/>
        <v>0</v>
      </c>
    </row>
    <row r="1032" spans="1:7" ht="19.899999999999999" customHeight="1" x14ac:dyDescent="0.2">
      <c r="A1032" s="584">
        <f t="shared" si="287"/>
        <v>0</v>
      </c>
      <c r="B1032" s="544">
        <f t="shared" si="288"/>
        <v>0</v>
      </c>
      <c r="C1032" s="544"/>
      <c r="D1032" s="596">
        <f t="shared" si="289"/>
        <v>0</v>
      </c>
      <c r="E1032" s="536"/>
      <c r="F1032" s="538">
        <f t="shared" si="290"/>
        <v>0</v>
      </c>
      <c r="G1032" s="538">
        <f t="shared" si="291"/>
        <v>0</v>
      </c>
    </row>
    <row r="1033" spans="1:7" ht="19.899999999999999" customHeight="1" x14ac:dyDescent="0.2">
      <c r="A1033" s="584">
        <f t="shared" si="287"/>
        <v>0</v>
      </c>
      <c r="B1033" s="544">
        <f t="shared" si="288"/>
        <v>0</v>
      </c>
      <c r="C1033" s="544"/>
      <c r="D1033" s="596">
        <f t="shared" si="289"/>
        <v>0</v>
      </c>
      <c r="E1033" s="536"/>
      <c r="F1033" s="538">
        <f t="shared" si="290"/>
        <v>0</v>
      </c>
      <c r="G1033" s="538">
        <f t="shared" si="291"/>
        <v>0</v>
      </c>
    </row>
    <row r="1034" spans="1:7" ht="19.899999999999999" customHeight="1" x14ac:dyDescent="0.2">
      <c r="A1034" s="584">
        <f t="shared" si="287"/>
        <v>0</v>
      </c>
      <c r="B1034" s="544">
        <f t="shared" si="288"/>
        <v>0</v>
      </c>
      <c r="C1034" s="544"/>
      <c r="D1034" s="596">
        <f t="shared" si="289"/>
        <v>0</v>
      </c>
      <c r="E1034" s="536"/>
      <c r="F1034" s="538">
        <f t="shared" si="290"/>
        <v>0</v>
      </c>
      <c r="G1034" s="538">
        <f t="shared" si="291"/>
        <v>0</v>
      </c>
    </row>
    <row r="1035" spans="1:7" ht="19.899999999999999" customHeight="1" x14ac:dyDescent="0.2">
      <c r="A1035" s="584">
        <f t="shared" si="287"/>
        <v>0</v>
      </c>
      <c r="B1035" s="544">
        <f t="shared" si="288"/>
        <v>0</v>
      </c>
      <c r="C1035" s="544"/>
      <c r="D1035" s="596">
        <f t="shared" si="289"/>
        <v>0</v>
      </c>
      <c r="E1035" s="536"/>
      <c r="F1035" s="538">
        <f t="shared" si="290"/>
        <v>0</v>
      </c>
      <c r="G1035" s="538">
        <f t="shared" si="291"/>
        <v>0</v>
      </c>
    </row>
    <row r="1036" spans="1:7" ht="19.899999999999999" customHeight="1" x14ac:dyDescent="0.2">
      <c r="A1036" s="584">
        <f t="shared" si="287"/>
        <v>0</v>
      </c>
      <c r="B1036" s="544">
        <f t="shared" si="288"/>
        <v>0</v>
      </c>
      <c r="C1036" s="544"/>
      <c r="D1036" s="596">
        <f t="shared" si="289"/>
        <v>0</v>
      </c>
      <c r="E1036" s="536"/>
      <c r="F1036" s="538">
        <f t="shared" si="290"/>
        <v>0</v>
      </c>
      <c r="G1036" s="538">
        <f t="shared" si="291"/>
        <v>0</v>
      </c>
    </row>
    <row r="1037" spans="1:7" ht="19.899999999999999" customHeight="1" x14ac:dyDescent="0.2">
      <c r="A1037" s="584">
        <f t="shared" si="287"/>
        <v>0</v>
      </c>
      <c r="B1037" s="544">
        <f t="shared" si="288"/>
        <v>0</v>
      </c>
      <c r="C1037" s="544"/>
      <c r="D1037" s="596">
        <f t="shared" si="289"/>
        <v>0</v>
      </c>
      <c r="E1037" s="536"/>
      <c r="F1037" s="538">
        <f t="shared" si="290"/>
        <v>0</v>
      </c>
      <c r="G1037" s="538">
        <f t="shared" si="291"/>
        <v>0</v>
      </c>
    </row>
    <row r="1038" spans="1:7" ht="19.899999999999999" customHeight="1" x14ac:dyDescent="0.2">
      <c r="A1038" s="584">
        <f t="shared" si="287"/>
        <v>0</v>
      </c>
      <c r="B1038" s="544">
        <f t="shared" si="288"/>
        <v>0</v>
      </c>
      <c r="C1038" s="544"/>
      <c r="D1038" s="596">
        <f t="shared" si="289"/>
        <v>0</v>
      </c>
      <c r="E1038" s="536"/>
      <c r="F1038" s="538">
        <f t="shared" si="290"/>
        <v>0</v>
      </c>
      <c r="G1038" s="538">
        <f t="shared" si="291"/>
        <v>0</v>
      </c>
    </row>
    <row r="1039" spans="1:7" ht="19.899999999999999" customHeight="1" x14ac:dyDescent="0.2">
      <c r="A1039" s="584">
        <f t="shared" si="287"/>
        <v>0</v>
      </c>
      <c r="B1039" s="544">
        <f t="shared" si="288"/>
        <v>0</v>
      </c>
      <c r="C1039" s="544"/>
      <c r="D1039" s="596">
        <f t="shared" si="289"/>
        <v>0</v>
      </c>
      <c r="E1039" s="536"/>
      <c r="F1039" s="538">
        <f t="shared" si="290"/>
        <v>0</v>
      </c>
      <c r="G1039" s="538">
        <f t="shared" si="291"/>
        <v>0</v>
      </c>
    </row>
    <row r="1040" spans="1:7" ht="19.899999999999999" customHeight="1" x14ac:dyDescent="0.2">
      <c r="A1040" s="582"/>
      <c r="B1040" s="528"/>
      <c r="C1040" s="528"/>
      <c r="D1040" s="524"/>
      <c r="E1040" s="525"/>
      <c r="F1040" s="547" t="s">
        <v>29</v>
      </c>
      <c r="G1040" s="588">
        <f>SUBTOTAL(9,G1029:G1039)</f>
        <v>0</v>
      </c>
    </row>
    <row r="1041" spans="1:7" ht="19.899999999999999" customHeight="1" x14ac:dyDescent="0.2">
      <c r="A1041" s="582"/>
      <c r="B1041" s="528"/>
      <c r="C1041" s="520" t="s">
        <v>993</v>
      </c>
      <c r="D1041" s="524"/>
      <c r="E1041" s="525"/>
      <c r="F1041" s="526"/>
      <c r="G1041" s="583"/>
    </row>
    <row r="1042" spans="1:7" ht="19.899999999999999" customHeight="1" x14ac:dyDescent="0.2">
      <c r="A1042" s="793" t="s">
        <v>576</v>
      </c>
      <c r="B1042" s="794"/>
      <c r="C1042" s="795" t="s">
        <v>0</v>
      </c>
      <c r="D1042" s="795" t="s">
        <v>1740</v>
      </c>
      <c r="E1042" s="797" t="s">
        <v>24</v>
      </c>
      <c r="F1042" s="799" t="s">
        <v>25</v>
      </c>
      <c r="G1042" s="801" t="s">
        <v>26</v>
      </c>
    </row>
    <row r="1043" spans="1:7" ht="19.899999999999999" customHeight="1" x14ac:dyDescent="0.2">
      <c r="A1043" s="543" t="s">
        <v>577</v>
      </c>
      <c r="B1043" s="543" t="s">
        <v>578</v>
      </c>
      <c r="C1043" s="796"/>
      <c r="D1043" s="796"/>
      <c r="E1043" s="798"/>
      <c r="F1043" s="800"/>
      <c r="G1043" s="802"/>
    </row>
    <row r="1044" spans="1:7" ht="19.899999999999999" customHeight="1" x14ac:dyDescent="0.2">
      <c r="A1044" s="584">
        <f>IFERROR(VLOOKUP(C1044,T_Insumos,4,FALSE),0)</f>
        <v>0</v>
      </c>
      <c r="B1044" s="544">
        <f>IFERROR(VLOOKUP(C1044,T_Insumos,5,FALSE),0)</f>
        <v>0</v>
      </c>
      <c r="C1044" s="535"/>
      <c r="D1044" s="596">
        <f>IF(C1044=0,0,"$/tnkm")</f>
        <v>0</v>
      </c>
      <c r="E1044" s="536"/>
      <c r="F1044" s="538">
        <f>IFERROR(VLOOKUP(C1044,T_Insumos,3,FALSE),0)</f>
        <v>0</v>
      </c>
      <c r="G1044" s="538">
        <f>ROUND(E1044*F1044,2)</f>
        <v>0</v>
      </c>
    </row>
    <row r="1045" spans="1:7" ht="19.899999999999999" customHeight="1" x14ac:dyDescent="0.2">
      <c r="A1045" s="584">
        <f>IFERROR(VLOOKUP(C1045,T_Insumos,4,FALSE),0)</f>
        <v>0</v>
      </c>
      <c r="B1045" s="544">
        <f>IFERROR(VLOOKUP(C1045,T_Insumos,5,FALSE),0)</f>
        <v>0</v>
      </c>
      <c r="C1045" s="535"/>
      <c r="D1045" s="596">
        <f>IF(C1045=0,0,"$/tnkm")</f>
        <v>0</v>
      </c>
      <c r="E1045" s="552"/>
      <c r="F1045" s="538">
        <f>IFERROR(VLOOKUP(C1045,T_Insumos,3,FALSE),0)</f>
        <v>0</v>
      </c>
      <c r="G1045" s="538">
        <f t="shared" ref="G1045" si="292">ROUND(E1045*F1045,2)</f>
        <v>0</v>
      </c>
    </row>
    <row r="1046" spans="1:7" ht="19.899999999999999" customHeight="1" x14ac:dyDescent="0.2">
      <c r="A1046" s="582"/>
      <c r="B1046" s="528"/>
      <c r="C1046" s="528"/>
      <c r="D1046" s="524"/>
      <c r="E1046" s="525"/>
      <c r="F1046" s="547" t="s">
        <v>994</v>
      </c>
      <c r="G1046" s="588">
        <f>SUBTOTAL(9,G1044:G1045)</f>
        <v>0</v>
      </c>
    </row>
    <row r="1047" spans="1:7" ht="19.899999999999999" customHeight="1" x14ac:dyDescent="0.2">
      <c r="A1047" s="585"/>
      <c r="B1047" s="524"/>
      <c r="C1047" s="528"/>
      <c r="D1047" s="524"/>
      <c r="E1047" s="525"/>
      <c r="F1047" s="526"/>
      <c r="G1047" s="583"/>
    </row>
    <row r="1048" spans="1:7" ht="19.899999999999999" customHeight="1" x14ac:dyDescent="0.2">
      <c r="A1048" s="647" t="str">
        <f>B982</f>
        <v>4.1</v>
      </c>
      <c r="B1048" s="644" t="str">
        <f ca="1">C982</f>
        <v>Limpieza y Replanteo</v>
      </c>
      <c r="C1048" s="524"/>
      <c r="D1048" s="524" t="s">
        <v>1719</v>
      </c>
      <c r="E1048" s="645"/>
      <c r="F1048" s="646" t="str">
        <f ca="1">"$/"&amp;G982</f>
        <v>$/gl.</v>
      </c>
      <c r="G1048" s="593">
        <f>SUBTOTAL(9,G1005:G1047)</f>
        <v>0</v>
      </c>
    </row>
    <row r="1049" spans="1:7" ht="19.899999999999999" customHeight="1" x14ac:dyDescent="0.2">
      <c r="A1049" s="589"/>
      <c r="B1049" s="590"/>
      <c r="C1049" s="591"/>
      <c r="D1049" s="591" t="s">
        <v>1915</v>
      </c>
      <c r="E1049" s="592"/>
      <c r="F1049" s="648" t="str">
        <f ca="1">"$/"&amp;G982</f>
        <v>$/gl.</v>
      </c>
      <c r="G1049" s="593">
        <f>ROUND(G1048*Coeficiente_Paso,2)</f>
        <v>0</v>
      </c>
    </row>
    <row r="1050" spans="1:7" ht="19.899999999999999" customHeight="1" x14ac:dyDescent="0.2">
      <c r="A1050" s="185"/>
      <c r="B1050" s="185"/>
      <c r="C1050" s="185"/>
      <c r="D1050" s="185"/>
      <c r="E1050" s="185"/>
      <c r="F1050" s="185"/>
      <c r="G1050" s="185"/>
    </row>
    <row r="1051" spans="1:7" ht="19.899999999999999" customHeight="1" x14ac:dyDescent="0.2">
      <c r="A1051" s="803" t="s">
        <v>31</v>
      </c>
      <c r="B1051" s="804"/>
      <c r="C1051" s="804"/>
      <c r="D1051" s="804"/>
      <c r="E1051" s="804"/>
      <c r="F1051" s="804"/>
      <c r="G1051" s="805"/>
    </row>
    <row r="1052" spans="1:7" ht="19.899999999999999" customHeight="1" x14ac:dyDescent="0.2">
      <c r="A1052" s="570" t="s">
        <v>711</v>
      </c>
      <c r="B1052" s="518" t="str">
        <f>Comitente</f>
        <v>DEPARTAMENTO DE HIDRAULICA</v>
      </c>
      <c r="C1052" s="519"/>
      <c r="D1052" s="520"/>
      <c r="E1052" s="520"/>
      <c r="F1052" s="521"/>
      <c r="G1052" s="571"/>
    </row>
    <row r="1053" spans="1:7" ht="19.899999999999999" customHeight="1" x14ac:dyDescent="0.2">
      <c r="A1053" s="570" t="s">
        <v>712</v>
      </c>
      <c r="B1053" s="518">
        <f>Contratista</f>
        <v>0</v>
      </c>
      <c r="C1053" s="522"/>
      <c r="D1053" s="522"/>
      <c r="E1053" s="522"/>
      <c r="F1053" s="518"/>
      <c r="G1053" s="572"/>
    </row>
    <row r="1054" spans="1:7" ht="19.899999999999999" customHeight="1" x14ac:dyDescent="0.2">
      <c r="A1054" s="570" t="s">
        <v>21</v>
      </c>
      <c r="B1054" s="518" t="str">
        <f>Obra</f>
        <v>ENCAMISADO CANAL GENERAL COCHAGUAL</v>
      </c>
      <c r="C1054" s="522"/>
      <c r="D1054" s="522"/>
      <c r="E1054" s="522"/>
      <c r="F1054" s="518" t="s">
        <v>32</v>
      </c>
      <c r="G1054" s="572">
        <f>Fecha_Base</f>
        <v>44319</v>
      </c>
    </row>
    <row r="1055" spans="1:7" ht="19.899999999999999" customHeight="1" x14ac:dyDescent="0.2">
      <c r="A1055" s="573" t="s">
        <v>710</v>
      </c>
      <c r="B1055" s="523" t="str">
        <f>Ubicación</f>
        <v>DEPARTAMENTO SARMIENTO</v>
      </c>
      <c r="C1055" s="523"/>
      <c r="D1055" s="524"/>
      <c r="E1055" s="525"/>
      <c r="F1055" s="526"/>
      <c r="G1055" s="574"/>
    </row>
    <row r="1056" spans="1:7" ht="19.899999999999999" customHeight="1" x14ac:dyDescent="0.2">
      <c r="A1056" s="573" t="s">
        <v>33</v>
      </c>
      <c r="B1056" s="527">
        <f>IFERROR(VALUE(LEFT(B1057,FIND(".",B1057)-1)),"")</f>
        <v>4</v>
      </c>
      <c r="C1056" s="528" t="str">
        <f ca="1">IFERROR(VLOOKUP(B1056,T_Computo_Presupuesto,2,FALSE),0)</f>
        <v>PUENTES SOBRE CANAL</v>
      </c>
      <c r="D1056" s="528"/>
      <c r="E1056" s="525"/>
      <c r="F1056" s="526"/>
      <c r="G1056" s="574"/>
    </row>
    <row r="1057" spans="1:8" ht="19.899999999999999" customHeight="1" x14ac:dyDescent="0.2">
      <c r="A1057" s="573" t="s">
        <v>22</v>
      </c>
      <c r="B1057" s="529" t="str">
        <f>IFERROR(VLOOKUP(COUNTIF($A$1:A1057,"ANALISIS DE PRECIOS"),T_NumeroItem,2,FALSE),"")</f>
        <v>4.2</v>
      </c>
      <c r="C1057" s="806" t="str">
        <f ca="1">IFERROR(VLOOKUP(B1057,T_Computo_Presupuesto,2,FALSE),0)</f>
        <v>Excavacion</v>
      </c>
      <c r="D1057" s="806"/>
      <c r="E1057" s="806"/>
      <c r="F1057" s="523" t="s">
        <v>23</v>
      </c>
      <c r="G1057" s="575" t="str">
        <f ca="1">IFERROR(VLOOKUP(B1057,T_Computo_Presupuesto,4,FALSE),0)</f>
        <v>m3</v>
      </c>
    </row>
    <row r="1058" spans="1:8" ht="19.899999999999999" customHeight="1" x14ac:dyDescent="0.2">
      <c r="A1058" s="573"/>
      <c r="B1058" s="523"/>
      <c r="C1058" s="528"/>
      <c r="D1058" s="524"/>
      <c r="E1058" s="525"/>
      <c r="F1058" s="528"/>
      <c r="G1058" s="576"/>
    </row>
    <row r="1059" spans="1:8" ht="19.899999999999999" customHeight="1" x14ac:dyDescent="0.2">
      <c r="A1059" s="577"/>
      <c r="B1059" s="530"/>
      <c r="C1059" s="531" t="s">
        <v>977</v>
      </c>
      <c r="D1059" s="530"/>
      <c r="E1059" s="530"/>
      <c r="F1059" s="530"/>
      <c r="G1059" s="578"/>
    </row>
    <row r="1060" spans="1:8" ht="19.899999999999999" customHeight="1" x14ac:dyDescent="0.2">
      <c r="A1060" s="573"/>
      <c r="B1060" s="532"/>
      <c r="C1060" s="528"/>
      <c r="D1060" s="524"/>
      <c r="E1060" s="525"/>
      <c r="F1060" s="523"/>
      <c r="G1060" s="575"/>
    </row>
    <row r="1061" spans="1:8" ht="19.899999999999999" customHeight="1" x14ac:dyDescent="0.2">
      <c r="A1061" s="573"/>
      <c r="B1061" s="532"/>
      <c r="C1061" s="533" t="s">
        <v>978</v>
      </c>
      <c r="D1061" s="534" t="s">
        <v>24</v>
      </c>
      <c r="E1061" s="534" t="s">
        <v>979</v>
      </c>
      <c r="F1061" s="534" t="s">
        <v>980</v>
      </c>
      <c r="G1061" s="533" t="s">
        <v>981</v>
      </c>
    </row>
    <row r="1062" spans="1:8" ht="19.899999999999999" customHeight="1" x14ac:dyDescent="0.2">
      <c r="A1062" s="573"/>
      <c r="B1062" s="532"/>
      <c r="C1062" s="535">
        <f>+C87</f>
        <v>0</v>
      </c>
      <c r="D1062" s="535">
        <f>+D87</f>
        <v>0</v>
      </c>
      <c r="E1062" s="537">
        <f t="shared" ref="E1062:E1071" si="293">IFERROR(VLOOKUP(C1062,T_Equipos,4,FALSE),0)</f>
        <v>0</v>
      </c>
      <c r="F1062" s="538">
        <f t="shared" ref="F1062:F1071" si="294">IFERROR(VLOOKUP(C1062,T_Equipos,5,FALSE),0)</f>
        <v>0</v>
      </c>
      <c r="G1062" s="538">
        <f>ROUND(D1062*F1062,2)</f>
        <v>0</v>
      </c>
    </row>
    <row r="1063" spans="1:8" ht="19.899999999999999" customHeight="1" x14ac:dyDescent="0.2">
      <c r="A1063" s="573"/>
      <c r="B1063" s="532"/>
      <c r="C1063" s="535">
        <f t="shared" ref="C1063:D1064" si="295">+C88</f>
        <v>0</v>
      </c>
      <c r="D1063" s="535">
        <f t="shared" si="295"/>
        <v>0</v>
      </c>
      <c r="E1063" s="537">
        <f t="shared" si="293"/>
        <v>0</v>
      </c>
      <c r="F1063" s="538">
        <f t="shared" si="294"/>
        <v>0</v>
      </c>
      <c r="G1063" s="538">
        <f>ROUND(D1063*F1063,2)</f>
        <v>0</v>
      </c>
    </row>
    <row r="1064" spans="1:8" ht="19.899999999999999" customHeight="1" x14ac:dyDescent="0.2">
      <c r="A1064" s="573"/>
      <c r="B1064" s="532"/>
      <c r="C1064" s="535">
        <f t="shared" si="295"/>
        <v>0</v>
      </c>
      <c r="D1064" s="535"/>
      <c r="E1064" s="537">
        <f t="shared" si="293"/>
        <v>0</v>
      </c>
      <c r="F1064" s="538">
        <f t="shared" si="294"/>
        <v>0</v>
      </c>
      <c r="G1064" s="538">
        <f>ROUND(D1064*F1064,2)</f>
        <v>0</v>
      </c>
    </row>
    <row r="1065" spans="1:8" ht="19.899999999999999" customHeight="1" x14ac:dyDescent="0.2">
      <c r="A1065" s="573"/>
      <c r="B1065" s="532"/>
      <c r="C1065" s="535"/>
      <c r="D1065" s="536"/>
      <c r="E1065" s="537">
        <f t="shared" si="293"/>
        <v>0</v>
      </c>
      <c r="F1065" s="538">
        <f t="shared" si="294"/>
        <v>0</v>
      </c>
      <c r="G1065" s="538">
        <f>ROUND(D1065*F1065,2)</f>
        <v>0</v>
      </c>
    </row>
    <row r="1066" spans="1:8" ht="19.899999999999999" customHeight="1" x14ac:dyDescent="0.2">
      <c r="A1066" s="573"/>
      <c r="B1066" s="532"/>
      <c r="C1066" s="535"/>
      <c r="D1066" s="536"/>
      <c r="E1066" s="537">
        <f t="shared" si="293"/>
        <v>0</v>
      </c>
      <c r="F1066" s="538">
        <f t="shared" si="294"/>
        <v>0</v>
      </c>
      <c r="G1066" s="538">
        <f t="shared" ref="G1066:G1071" si="296">ROUND(D1066*F1066,2)</f>
        <v>0</v>
      </c>
    </row>
    <row r="1067" spans="1:8" ht="19.899999999999999" customHeight="1" x14ac:dyDescent="0.2">
      <c r="A1067" s="573"/>
      <c r="B1067" s="532"/>
      <c r="C1067" s="535"/>
      <c r="D1067" s="536"/>
      <c r="E1067" s="537">
        <f t="shared" si="293"/>
        <v>0</v>
      </c>
      <c r="F1067" s="538">
        <f t="shared" si="294"/>
        <v>0</v>
      </c>
      <c r="G1067" s="538">
        <f t="shared" si="296"/>
        <v>0</v>
      </c>
    </row>
    <row r="1068" spans="1:8" ht="19.899999999999999" customHeight="1" x14ac:dyDescent="0.2">
      <c r="A1068" s="573"/>
      <c r="B1068" s="532"/>
      <c r="C1068" s="535"/>
      <c r="D1068" s="536"/>
      <c r="E1068" s="537">
        <f t="shared" si="293"/>
        <v>0</v>
      </c>
      <c r="F1068" s="538">
        <f t="shared" si="294"/>
        <v>0</v>
      </c>
      <c r="G1068" s="538">
        <f t="shared" si="296"/>
        <v>0</v>
      </c>
    </row>
    <row r="1069" spans="1:8" ht="19.899999999999999" customHeight="1" x14ac:dyDescent="0.2">
      <c r="A1069" s="573"/>
      <c r="B1069" s="532"/>
      <c r="C1069" s="535"/>
      <c r="D1069" s="536"/>
      <c r="E1069" s="537">
        <f t="shared" si="293"/>
        <v>0</v>
      </c>
      <c r="F1069" s="538">
        <f t="shared" si="294"/>
        <v>0</v>
      </c>
      <c r="G1069" s="538">
        <f t="shared" si="296"/>
        <v>0</v>
      </c>
    </row>
    <row r="1070" spans="1:8" ht="19.899999999999999" customHeight="1" x14ac:dyDescent="0.2">
      <c r="A1070" s="573"/>
      <c r="B1070" s="532"/>
      <c r="C1070" s="535"/>
      <c r="D1070" s="536"/>
      <c r="E1070" s="537">
        <f t="shared" si="293"/>
        <v>0</v>
      </c>
      <c r="F1070" s="538">
        <f t="shared" si="294"/>
        <v>0</v>
      </c>
      <c r="G1070" s="538">
        <f t="shared" si="296"/>
        <v>0</v>
      </c>
    </row>
    <row r="1071" spans="1:8" ht="19.899999999999999" customHeight="1" x14ac:dyDescent="0.2">
      <c r="A1071" s="573"/>
      <c r="B1071" s="532"/>
      <c r="C1071" s="535"/>
      <c r="D1071" s="536"/>
      <c r="E1071" s="537">
        <f t="shared" si="293"/>
        <v>0</v>
      </c>
      <c r="F1071" s="538">
        <f t="shared" si="294"/>
        <v>0</v>
      </c>
      <c r="G1071" s="538">
        <f t="shared" si="296"/>
        <v>0</v>
      </c>
      <c r="H1071" s="735"/>
    </row>
    <row r="1072" spans="1:8" ht="19.899999999999999" customHeight="1" x14ac:dyDescent="0.2">
      <c r="A1072" s="573"/>
      <c r="B1072" s="532"/>
      <c r="C1072" s="528"/>
      <c r="D1072" s="528"/>
      <c r="E1072" s="539"/>
      <c r="F1072" s="523"/>
      <c r="G1072" s="575"/>
      <c r="H1072" s="734"/>
    </row>
    <row r="1073" spans="1:7" ht="19.899999999999999" customHeight="1" x14ac:dyDescent="0.2">
      <c r="A1073" s="573"/>
      <c r="B1073" s="528"/>
      <c r="C1073" s="520" t="s">
        <v>982</v>
      </c>
      <c r="D1073" s="523" t="s">
        <v>979</v>
      </c>
      <c r="E1073" s="594">
        <f>SUMPRODUCT(D1062:D1071,E1062:E1071)</f>
        <v>0</v>
      </c>
      <c r="F1073" s="523" t="s">
        <v>983</v>
      </c>
      <c r="G1073" s="595">
        <f>SUM(G1062:G1071)</f>
        <v>0</v>
      </c>
    </row>
    <row r="1074" spans="1:7" ht="19.899999999999999" customHeight="1" x14ac:dyDescent="0.2">
      <c r="A1074" s="573"/>
      <c r="B1074" s="532"/>
      <c r="C1074" s="540"/>
      <c r="D1074" s="539"/>
      <c r="E1074" s="525"/>
      <c r="F1074" s="523"/>
      <c r="G1074" s="579"/>
    </row>
    <row r="1075" spans="1:7" ht="19.899999999999999" customHeight="1" x14ac:dyDescent="0.2">
      <c r="A1075" s="580"/>
      <c r="B1075" s="532"/>
      <c r="C1075" s="523" t="s">
        <v>984</v>
      </c>
      <c r="D1075" s="541">
        <f>IFERROR(VLOOKUP(COUNTIF($A$1:A1075,"ANALISIS DE PRECIOS"),T_Rendimiento_Equipo,5,FALSE),0)</f>
        <v>0</v>
      </c>
      <c r="E1075" s="542" t="str">
        <f ca="1">G1057&amp;"/día"</f>
        <v>m3/día</v>
      </c>
      <c r="F1075" s="581"/>
      <c r="G1075" s="575"/>
    </row>
    <row r="1076" spans="1:7" ht="19.899999999999999" customHeight="1" x14ac:dyDescent="0.2">
      <c r="A1076" s="573"/>
      <c r="B1076" s="532"/>
      <c r="C1076" s="528"/>
      <c r="D1076" s="524"/>
      <c r="E1076" s="525"/>
      <c r="F1076" s="523"/>
      <c r="G1076" s="575"/>
    </row>
    <row r="1077" spans="1:7" ht="19.899999999999999" customHeight="1" x14ac:dyDescent="0.2">
      <c r="A1077" s="793" t="s">
        <v>576</v>
      </c>
      <c r="B1077" s="794"/>
      <c r="C1077" s="795" t="s">
        <v>0</v>
      </c>
      <c r="D1077" s="807" t="s">
        <v>1739</v>
      </c>
      <c r="E1077" s="807" t="s">
        <v>1738</v>
      </c>
      <c r="F1077" s="799" t="s">
        <v>985</v>
      </c>
      <c r="G1077" s="801" t="s">
        <v>26</v>
      </c>
    </row>
    <row r="1078" spans="1:7" ht="19.899999999999999" customHeight="1" x14ac:dyDescent="0.2">
      <c r="A1078" s="543" t="s">
        <v>577</v>
      </c>
      <c r="B1078" s="543" t="s">
        <v>578</v>
      </c>
      <c r="C1078" s="796"/>
      <c r="D1078" s="808"/>
      <c r="E1078" s="798"/>
      <c r="F1078" s="800"/>
      <c r="G1078" s="802"/>
    </row>
    <row r="1079" spans="1:7" ht="19.899999999999999" customHeight="1" x14ac:dyDescent="0.2">
      <c r="A1079" s="582"/>
      <c r="B1079" s="528"/>
      <c r="C1079" s="520" t="s">
        <v>986</v>
      </c>
      <c r="D1079" s="525"/>
      <c r="E1079" s="525"/>
      <c r="F1079" s="528"/>
      <c r="G1079" s="583"/>
    </row>
    <row r="1080" spans="1:7" ht="19.899999999999999" customHeight="1" x14ac:dyDescent="0.2">
      <c r="A1080" s="584">
        <f t="shared" ref="A1080:A1088" si="297">IFERROR(VLOOKUP(C1080,T_Insumos,4,FALSE),0)</f>
        <v>0</v>
      </c>
      <c r="B1080" s="544">
        <f t="shared" ref="B1080:B1088" si="298">IFERROR(VLOOKUP(C1080,T_Insumos,5,FALSE),0)</f>
        <v>0</v>
      </c>
      <c r="C1080" s="535">
        <f>+C30</f>
        <v>0</v>
      </c>
      <c r="D1080" s="545">
        <f t="shared" ref="D1080:D1088" si="299">IFERROR(VLOOKUP(C1080,T_Insumos,3,FALSE),0)</f>
        <v>0</v>
      </c>
      <c r="E1080" s="538">
        <f>D1080*$G$1073</f>
        <v>0</v>
      </c>
      <c r="F1080" s="541">
        <f>IF(C1080="",0,IFERROR(VLOOKUP(COUNTIF($A$1:A1080,"ANALISIS DE PRECIOS"),T_Rendimiento_Equipo,5,FALSE),0))</f>
        <v>0</v>
      </c>
      <c r="G1080" s="538">
        <f>IFERROR(ROUND(E1080/F1080,2),0)</f>
        <v>0</v>
      </c>
    </row>
    <row r="1081" spans="1:7" ht="19.899999999999999" customHeight="1" x14ac:dyDescent="0.2">
      <c r="A1081" s="584">
        <f t="shared" si="297"/>
        <v>0</v>
      </c>
      <c r="B1081" s="544">
        <f t="shared" si="298"/>
        <v>0</v>
      </c>
      <c r="C1081" s="535">
        <f t="shared" ref="C1081:C1083" si="300">+C31</f>
        <v>0</v>
      </c>
      <c r="D1081" s="545">
        <f t="shared" si="299"/>
        <v>0</v>
      </c>
      <c r="E1081" s="538">
        <f t="shared" ref="E1081:E1082" si="301">D1081*$G$1073</f>
        <v>0</v>
      </c>
      <c r="F1081" s="541">
        <f>IF(C1081="",0,IFERROR(VLOOKUP(COUNTIF($A$1:A1081,"ANALISIS DE PRECIOS"),T_Rendimiento_Equipo,5,FALSE),0))</f>
        <v>0</v>
      </c>
      <c r="G1081" s="538">
        <f t="shared" ref="G1081:G1088" si="302">IFERROR(ROUND(E1081/F1081,2),0)</f>
        <v>0</v>
      </c>
    </row>
    <row r="1082" spans="1:7" ht="19.899999999999999" customHeight="1" x14ac:dyDescent="0.2">
      <c r="A1082" s="584">
        <f t="shared" si="297"/>
        <v>0</v>
      </c>
      <c r="B1082" s="544">
        <f t="shared" si="298"/>
        <v>0</v>
      </c>
      <c r="C1082" s="535">
        <f t="shared" si="300"/>
        <v>0</v>
      </c>
      <c r="D1082" s="545">
        <f t="shared" si="299"/>
        <v>0</v>
      </c>
      <c r="E1082" s="538">
        <f t="shared" si="301"/>
        <v>0</v>
      </c>
      <c r="F1082" s="541">
        <f>IF(C1082="",0,IFERROR(VLOOKUP(COUNTIF($A$1:A1082,"ANALISIS DE PRECIOS"),T_Rendimiento_Equipo,5,FALSE),0))</f>
        <v>0</v>
      </c>
      <c r="G1082" s="538">
        <f t="shared" si="302"/>
        <v>0</v>
      </c>
    </row>
    <row r="1083" spans="1:7" ht="19.899999999999999" customHeight="1" x14ac:dyDescent="0.2">
      <c r="A1083" s="584">
        <f t="shared" si="297"/>
        <v>0</v>
      </c>
      <c r="B1083" s="544">
        <f t="shared" si="298"/>
        <v>0</v>
      </c>
      <c r="C1083" s="535">
        <f t="shared" si="300"/>
        <v>0</v>
      </c>
      <c r="D1083" s="545">
        <f t="shared" si="299"/>
        <v>0</v>
      </c>
      <c r="E1083" s="538">
        <f>D1083*$E$1073</f>
        <v>0</v>
      </c>
      <c r="F1083" s="541">
        <f>IF(C1083="",0,IFERROR(VLOOKUP(COUNTIF($A$1:A1083,"ANALISIS DE PRECIOS"),T_Rendimiento_Equipo,5,FALSE),0))</f>
        <v>0</v>
      </c>
      <c r="G1083" s="538">
        <f t="shared" si="302"/>
        <v>0</v>
      </c>
    </row>
    <row r="1084" spans="1:7" ht="19.899999999999999" customHeight="1" x14ac:dyDescent="0.2">
      <c r="A1084" s="584">
        <f t="shared" si="297"/>
        <v>0</v>
      </c>
      <c r="B1084" s="544">
        <f t="shared" si="298"/>
        <v>0</v>
      </c>
      <c r="C1084" s="546"/>
      <c r="D1084" s="545">
        <f t="shared" si="299"/>
        <v>0</v>
      </c>
      <c r="E1084" s="538"/>
      <c r="F1084" s="541">
        <f>IF(C1084="",0,IFERROR(VLOOKUP(COUNTIF($A$1:A1084,"ANALISIS DE PRECIOS"),T_Rendimiento_Equipo,5,FALSE),0))</f>
        <v>0</v>
      </c>
      <c r="G1084" s="538">
        <f t="shared" si="302"/>
        <v>0</v>
      </c>
    </row>
    <row r="1085" spans="1:7" ht="19.899999999999999" customHeight="1" x14ac:dyDescent="0.2">
      <c r="A1085" s="584">
        <f t="shared" si="297"/>
        <v>0</v>
      </c>
      <c r="B1085" s="544">
        <f t="shared" si="298"/>
        <v>0</v>
      </c>
      <c r="C1085" s="546"/>
      <c r="D1085" s="545">
        <f t="shared" si="299"/>
        <v>0</v>
      </c>
      <c r="E1085" s="538"/>
      <c r="F1085" s="541">
        <f>IF(C1085="",0,IFERROR(VLOOKUP(COUNTIF($A$1:A1085,"ANALISIS DE PRECIOS"),T_Rendimiento_Equipo,5,FALSE),0))</f>
        <v>0</v>
      </c>
      <c r="G1085" s="538">
        <f t="shared" si="302"/>
        <v>0</v>
      </c>
    </row>
    <row r="1086" spans="1:7" ht="19.899999999999999" customHeight="1" x14ac:dyDescent="0.2">
      <c r="A1086" s="584">
        <f t="shared" si="297"/>
        <v>0</v>
      </c>
      <c r="B1086" s="544">
        <f t="shared" si="298"/>
        <v>0</v>
      </c>
      <c r="C1086" s="546"/>
      <c r="D1086" s="545">
        <f t="shared" si="299"/>
        <v>0</v>
      </c>
      <c r="E1086" s="538"/>
      <c r="F1086" s="541">
        <f>IF(C1086="",0,IFERROR(VLOOKUP(COUNTIF($A$1:A1086,"ANALISIS DE PRECIOS"),T_Rendimiento_Equipo,5,FALSE),0))</f>
        <v>0</v>
      </c>
      <c r="G1086" s="538">
        <f t="shared" si="302"/>
        <v>0</v>
      </c>
    </row>
    <row r="1087" spans="1:7" ht="19.899999999999999" customHeight="1" x14ac:dyDescent="0.2">
      <c r="A1087" s="584">
        <f t="shared" si="297"/>
        <v>0</v>
      </c>
      <c r="B1087" s="544">
        <f t="shared" si="298"/>
        <v>0</v>
      </c>
      <c r="C1087" s="546"/>
      <c r="D1087" s="545">
        <f t="shared" si="299"/>
        <v>0</v>
      </c>
      <c r="E1087" s="538"/>
      <c r="F1087" s="541">
        <f>IF(C1087="",0,IFERROR(VLOOKUP(COUNTIF($A$1:A1087,"ANALISIS DE PRECIOS"),T_Rendimiento_Equipo,5,FALSE),0))</f>
        <v>0</v>
      </c>
      <c r="G1087" s="538">
        <f t="shared" si="302"/>
        <v>0</v>
      </c>
    </row>
    <row r="1088" spans="1:7" ht="19.899999999999999" customHeight="1" x14ac:dyDescent="0.2">
      <c r="A1088" s="584">
        <f t="shared" si="297"/>
        <v>0</v>
      </c>
      <c r="B1088" s="544">
        <f t="shared" si="298"/>
        <v>0</v>
      </c>
      <c r="C1088" s="535"/>
      <c r="D1088" s="545">
        <f t="shared" si="299"/>
        <v>0</v>
      </c>
      <c r="E1088" s="538"/>
      <c r="F1088" s="541">
        <f>IF(C1088="",0,IFERROR(VLOOKUP(COUNTIF($A$1:A1088,"ANALISIS DE PRECIOS"),T_Rendimiento_Equipo,5,FALSE),0))</f>
        <v>0</v>
      </c>
      <c r="G1088" s="538">
        <f t="shared" si="302"/>
        <v>0</v>
      </c>
    </row>
    <row r="1089" spans="1:7" ht="19.899999999999999" customHeight="1" x14ac:dyDescent="0.2">
      <c r="A1089" s="585"/>
      <c r="B1089" s="524"/>
      <c r="C1089" s="528"/>
      <c r="D1089" s="524"/>
      <c r="E1089" s="525"/>
      <c r="F1089" s="547" t="s">
        <v>27</v>
      </c>
      <c r="G1089" s="586">
        <f>SUBTOTAL(9,G1080:G1088)</f>
        <v>0</v>
      </c>
    </row>
    <row r="1090" spans="1:7" ht="19.899999999999999" customHeight="1" x14ac:dyDescent="0.2">
      <c r="A1090" s="582"/>
      <c r="B1090" s="528"/>
      <c r="C1090" s="520" t="s">
        <v>713</v>
      </c>
      <c r="D1090" s="524"/>
      <c r="E1090" s="525"/>
      <c r="F1090" s="526"/>
      <c r="G1090" s="583"/>
    </row>
    <row r="1091" spans="1:7" ht="19.899999999999999" customHeight="1" x14ac:dyDescent="0.2">
      <c r="A1091" s="793" t="s">
        <v>576</v>
      </c>
      <c r="B1091" s="794"/>
      <c r="C1091" s="795" t="s">
        <v>0</v>
      </c>
      <c r="D1091" s="797" t="s">
        <v>24</v>
      </c>
      <c r="E1091" s="797" t="s">
        <v>1718</v>
      </c>
      <c r="F1091" s="799" t="s">
        <v>985</v>
      </c>
      <c r="G1091" s="801" t="s">
        <v>26</v>
      </c>
    </row>
    <row r="1092" spans="1:7" ht="19.899999999999999" customHeight="1" x14ac:dyDescent="0.2">
      <c r="A1092" s="543" t="s">
        <v>577</v>
      </c>
      <c r="B1092" s="543" t="s">
        <v>578</v>
      </c>
      <c r="C1092" s="796"/>
      <c r="D1092" s="798"/>
      <c r="E1092" s="798"/>
      <c r="F1092" s="800"/>
      <c r="G1092" s="802"/>
    </row>
    <row r="1093" spans="1:7" ht="19.899999999999999" customHeight="1" x14ac:dyDescent="0.2">
      <c r="A1093" s="584" t="str">
        <f t="shared" ref="A1093:A1099" si="303">IFERROR(VLOOKUP(C1093,T_Insumos,4,FALSE),0)</f>
        <v>IIEE-SJ - 1</v>
      </c>
      <c r="B1093" s="544" t="str">
        <f t="shared" ref="B1093:B1099" si="304">IFERROR(VLOOKUP(C1093,T_Insumos,5,FALSE),0)</f>
        <v>Mano de Obra</v>
      </c>
      <c r="C1093" s="548" t="str">
        <f>+C43</f>
        <v>Mano de obra</v>
      </c>
      <c r="D1093" s="541"/>
      <c r="E1093" s="538">
        <f t="shared" ref="E1093:E1099" si="305">IFERROR(VLOOKUP(C1093,T_Insumos,3,FALSE),0)</f>
        <v>0</v>
      </c>
      <c r="F1093" s="541">
        <f>IF(C1093="",0,IFERROR(VLOOKUP(COUNTIF($A$1:A1093,"ANALISIS DE PRECIOS"),T_Rendimiento_Equipo,5,FALSE),0))</f>
        <v>0</v>
      </c>
      <c r="G1093" s="538">
        <f>IFERROR(ROUND(D1093*E1093/F1093,2),0)</f>
        <v>0</v>
      </c>
    </row>
    <row r="1094" spans="1:7" ht="19.899999999999999" customHeight="1" x14ac:dyDescent="0.2">
      <c r="A1094" s="584" t="str">
        <f t="shared" si="303"/>
        <v>INDEC-CM - 37510-11</v>
      </c>
      <c r="B1094" s="544" t="str">
        <f t="shared" si="304"/>
        <v>Hormigón elaborado</v>
      </c>
      <c r="C1094" s="548" t="str">
        <f t="shared" ref="C1094:C1096" si="306">+C44</f>
        <v>Hormigon Elaborado</v>
      </c>
      <c r="D1094" s="541"/>
      <c r="E1094" s="538">
        <f t="shared" si="305"/>
        <v>0</v>
      </c>
      <c r="F1094" s="541">
        <f>IF(C1094="",0,IFERROR(VLOOKUP(COUNTIF($A$1:A1094,"ANALISIS DE PRECIOS"),T_Rendimiento_Equipo,5,FALSE),0))</f>
        <v>0</v>
      </c>
      <c r="G1094" s="538">
        <f>IFERROR(ROUND(D1094*E1094/F1094,2),0)</f>
        <v>0</v>
      </c>
    </row>
    <row r="1095" spans="1:7" ht="19.899999999999999" customHeight="1" x14ac:dyDescent="0.2">
      <c r="A1095" s="584" t="str">
        <f t="shared" si="303"/>
        <v>INDEC-DCTO - Inciso j)</v>
      </c>
      <c r="B1095" s="544" t="str">
        <f t="shared" si="304"/>
        <v>Equipo - Amortización de equipo</v>
      </c>
      <c r="C1095" s="548" t="str">
        <f t="shared" si="306"/>
        <v>Equipo - Amortizacion de equipo</v>
      </c>
      <c r="D1095" s="541"/>
      <c r="E1095" s="538">
        <f t="shared" si="305"/>
        <v>0</v>
      </c>
      <c r="F1095" s="541">
        <f>IF(C1095="",0,IFERROR(VLOOKUP(COUNTIF($A$1:A1095,"ANALISIS DE PRECIOS"),T_Rendimiento_Equipo,5,FALSE),0))</f>
        <v>0</v>
      </c>
      <c r="G1095" s="538">
        <f t="shared" ref="G1095:G1099" si="307">IFERROR(ROUND(D1095*E1095/F1095,2),0)</f>
        <v>0</v>
      </c>
    </row>
    <row r="1096" spans="1:7" ht="19.899999999999999" customHeight="1" x14ac:dyDescent="0.2">
      <c r="A1096" s="584" t="str">
        <f t="shared" si="303"/>
        <v>INDEC-CM - 41242-11</v>
      </c>
      <c r="B1096" s="544" t="str">
        <f t="shared" si="304"/>
        <v>Acero aletado conformado, en barra</v>
      </c>
      <c r="C1096" s="548" t="str">
        <f t="shared" si="306"/>
        <v>Hierro</v>
      </c>
      <c r="D1096" s="541"/>
      <c r="E1096" s="538">
        <f t="shared" si="305"/>
        <v>0</v>
      </c>
      <c r="F1096" s="541">
        <f>IF(C1096="",0,IFERROR(VLOOKUP(COUNTIF($A$1:A1096,"ANALISIS DE PRECIOS"),T_Rendimiento_Equipo,5,FALSE),0))</f>
        <v>0</v>
      </c>
      <c r="G1096" s="538">
        <f t="shared" si="307"/>
        <v>0</v>
      </c>
    </row>
    <row r="1097" spans="1:7" ht="19.899999999999999" customHeight="1" x14ac:dyDescent="0.2">
      <c r="A1097" s="584">
        <f t="shared" si="303"/>
        <v>0</v>
      </c>
      <c r="B1097" s="544">
        <f t="shared" si="304"/>
        <v>0</v>
      </c>
      <c r="C1097" s="535"/>
      <c r="D1097" s="541"/>
      <c r="E1097" s="538">
        <f t="shared" si="305"/>
        <v>0</v>
      </c>
      <c r="F1097" s="541">
        <f>IF(C1097="",0,IFERROR(VLOOKUP(COUNTIF($A$1:A1097,"ANALISIS DE PRECIOS"),T_Rendimiento_Equipo,5,FALSE),0))</f>
        <v>0</v>
      </c>
      <c r="G1097" s="538">
        <f t="shared" si="307"/>
        <v>0</v>
      </c>
    </row>
    <row r="1098" spans="1:7" ht="19.899999999999999" customHeight="1" x14ac:dyDescent="0.2">
      <c r="A1098" s="584">
        <f t="shared" si="303"/>
        <v>0</v>
      </c>
      <c r="B1098" s="544">
        <f t="shared" si="304"/>
        <v>0</v>
      </c>
      <c r="C1098" s="535"/>
      <c r="D1098" s="549"/>
      <c r="E1098" s="538">
        <f t="shared" si="305"/>
        <v>0</v>
      </c>
      <c r="F1098" s="541">
        <f>IF(C1098="",0,IFERROR(VLOOKUP(COUNTIF($A$1:A1098,"ANALISIS DE PRECIOS"),T_Rendimiento_Equipo,5,FALSE),0))</f>
        <v>0</v>
      </c>
      <c r="G1098" s="538">
        <f t="shared" si="307"/>
        <v>0</v>
      </c>
    </row>
    <row r="1099" spans="1:7" ht="19.899999999999999" customHeight="1" x14ac:dyDescent="0.2">
      <c r="A1099" s="584">
        <f t="shared" si="303"/>
        <v>0</v>
      </c>
      <c r="B1099" s="544">
        <f t="shared" si="304"/>
        <v>0</v>
      </c>
      <c r="C1099" s="544"/>
      <c r="D1099" s="550"/>
      <c r="E1099" s="538">
        <f t="shared" si="305"/>
        <v>0</v>
      </c>
      <c r="F1099" s="541">
        <f>IF(C1099="",0,IFERROR(VLOOKUP(COUNTIF($A$1:A1099,"ANALISIS DE PRECIOS"),T_Rendimiento_Equipo,5,FALSE),0))</f>
        <v>0</v>
      </c>
      <c r="G1099" s="538">
        <f t="shared" si="307"/>
        <v>0</v>
      </c>
    </row>
    <row r="1100" spans="1:7" ht="19.899999999999999" customHeight="1" x14ac:dyDescent="0.2">
      <c r="A1100" s="585"/>
      <c r="B1100" s="524"/>
      <c r="C1100" s="528"/>
      <c r="D1100" s="524"/>
      <c r="E1100" s="525"/>
      <c r="F1100" s="547" t="s">
        <v>28</v>
      </c>
      <c r="G1100" s="587">
        <f>SUBTOTAL(9,G1093:G1099)</f>
        <v>0</v>
      </c>
    </row>
    <row r="1101" spans="1:7" ht="19.899999999999999" customHeight="1" x14ac:dyDescent="0.2">
      <c r="A1101" s="582"/>
      <c r="B1101" s="528"/>
      <c r="C1101" s="520" t="s">
        <v>992</v>
      </c>
      <c r="D1101" s="524"/>
      <c r="E1101" s="525"/>
      <c r="F1101" s="526"/>
      <c r="G1101" s="583"/>
    </row>
    <row r="1102" spans="1:7" ht="19.899999999999999" customHeight="1" x14ac:dyDescent="0.2">
      <c r="A1102" s="793" t="s">
        <v>576</v>
      </c>
      <c r="B1102" s="794"/>
      <c r="C1102" s="795" t="s">
        <v>0</v>
      </c>
      <c r="D1102" s="795" t="s">
        <v>1740</v>
      </c>
      <c r="E1102" s="797" t="s">
        <v>24</v>
      </c>
      <c r="F1102" s="799" t="s">
        <v>25</v>
      </c>
      <c r="G1102" s="801" t="s">
        <v>26</v>
      </c>
    </row>
    <row r="1103" spans="1:7" ht="19.899999999999999" customHeight="1" x14ac:dyDescent="0.2">
      <c r="A1103" s="543" t="s">
        <v>577</v>
      </c>
      <c r="B1103" s="543" t="s">
        <v>578</v>
      </c>
      <c r="C1103" s="796"/>
      <c r="D1103" s="796"/>
      <c r="E1103" s="798"/>
      <c r="F1103" s="800"/>
      <c r="G1103" s="802"/>
    </row>
    <row r="1104" spans="1:7" ht="19.899999999999999" customHeight="1" x14ac:dyDescent="0.2">
      <c r="A1104" s="584">
        <f t="shared" ref="A1104:A1114" si="308">IFERROR(VLOOKUP(C1104,T_Insumos,4,FALSE),0)</f>
        <v>0</v>
      </c>
      <c r="B1104" s="544">
        <f t="shared" ref="B1104:B1114" si="309">IFERROR(VLOOKUP(C1104,T_Insumos,5,FALSE),0)</f>
        <v>0</v>
      </c>
      <c r="C1104" s="544">
        <f>+C129</f>
        <v>0</v>
      </c>
      <c r="D1104" s="596">
        <f t="shared" ref="D1104:D1114" si="310">IFERROR(VLOOKUP(C1104,T_Insumos,2,FALSE),0)</f>
        <v>0</v>
      </c>
      <c r="E1104" s="536"/>
      <c r="F1104" s="538">
        <f t="shared" ref="F1104:F1114" si="311">IFERROR(VLOOKUP(C1104,T_Insumos,3,FALSE),0)</f>
        <v>0</v>
      </c>
      <c r="G1104" s="538">
        <f>ROUND(E1104*F1104,2)</f>
        <v>0</v>
      </c>
    </row>
    <row r="1105" spans="1:7" ht="19.899999999999999" customHeight="1" x14ac:dyDescent="0.2">
      <c r="A1105" s="584">
        <f t="shared" si="308"/>
        <v>0</v>
      </c>
      <c r="B1105" s="544">
        <f t="shared" si="309"/>
        <v>0</v>
      </c>
      <c r="C1105" s="544">
        <f t="shared" ref="C1105:C1112" si="312">+C130</f>
        <v>0</v>
      </c>
      <c r="D1105" s="596">
        <f t="shared" si="310"/>
        <v>0</v>
      </c>
      <c r="E1105" s="536"/>
      <c r="F1105" s="538">
        <f t="shared" si="311"/>
        <v>0</v>
      </c>
      <c r="G1105" s="538">
        <f t="shared" ref="G1105:G1114" si="313">ROUND(E1105*F1105,2)</f>
        <v>0</v>
      </c>
    </row>
    <row r="1106" spans="1:7" ht="19.899999999999999" customHeight="1" x14ac:dyDescent="0.2">
      <c r="A1106" s="584">
        <f t="shared" si="308"/>
        <v>0</v>
      </c>
      <c r="B1106" s="544">
        <f t="shared" si="309"/>
        <v>0</v>
      </c>
      <c r="C1106" s="544">
        <f t="shared" si="312"/>
        <v>0</v>
      </c>
      <c r="D1106" s="596">
        <f t="shared" si="310"/>
        <v>0</v>
      </c>
      <c r="E1106" s="536"/>
      <c r="F1106" s="538">
        <f t="shared" si="311"/>
        <v>0</v>
      </c>
      <c r="G1106" s="538">
        <f t="shared" si="313"/>
        <v>0</v>
      </c>
    </row>
    <row r="1107" spans="1:7" ht="19.899999999999999" customHeight="1" x14ac:dyDescent="0.2">
      <c r="A1107" s="584">
        <f t="shared" si="308"/>
        <v>0</v>
      </c>
      <c r="B1107" s="544">
        <f t="shared" si="309"/>
        <v>0</v>
      </c>
      <c r="C1107" s="544">
        <f t="shared" si="312"/>
        <v>0</v>
      </c>
      <c r="D1107" s="596">
        <f t="shared" si="310"/>
        <v>0</v>
      </c>
      <c r="E1107" s="536"/>
      <c r="F1107" s="538">
        <f t="shared" si="311"/>
        <v>0</v>
      </c>
      <c r="G1107" s="538">
        <f t="shared" si="313"/>
        <v>0</v>
      </c>
    </row>
    <row r="1108" spans="1:7" ht="19.899999999999999" customHeight="1" x14ac:dyDescent="0.2">
      <c r="A1108" s="584">
        <f t="shared" si="308"/>
        <v>0</v>
      </c>
      <c r="B1108" s="544">
        <f t="shared" si="309"/>
        <v>0</v>
      </c>
      <c r="C1108" s="544">
        <f t="shared" si="312"/>
        <v>0</v>
      </c>
      <c r="D1108" s="596">
        <f t="shared" si="310"/>
        <v>0</v>
      </c>
      <c r="E1108" s="536"/>
      <c r="F1108" s="538">
        <f t="shared" si="311"/>
        <v>0</v>
      </c>
      <c r="G1108" s="538">
        <f t="shared" si="313"/>
        <v>0</v>
      </c>
    </row>
    <row r="1109" spans="1:7" ht="19.899999999999999" customHeight="1" x14ac:dyDescent="0.2">
      <c r="A1109" s="584">
        <f t="shared" si="308"/>
        <v>0</v>
      </c>
      <c r="B1109" s="544">
        <f t="shared" si="309"/>
        <v>0</v>
      </c>
      <c r="C1109" s="544">
        <f t="shared" si="312"/>
        <v>0</v>
      </c>
      <c r="D1109" s="596">
        <f t="shared" si="310"/>
        <v>0</v>
      </c>
      <c r="E1109" s="536"/>
      <c r="F1109" s="538">
        <f t="shared" si="311"/>
        <v>0</v>
      </c>
      <c r="G1109" s="538">
        <f t="shared" si="313"/>
        <v>0</v>
      </c>
    </row>
    <row r="1110" spans="1:7" ht="19.899999999999999" customHeight="1" x14ac:dyDescent="0.2">
      <c r="A1110" s="584">
        <f t="shared" si="308"/>
        <v>0</v>
      </c>
      <c r="B1110" s="544">
        <f t="shared" si="309"/>
        <v>0</v>
      </c>
      <c r="C1110" s="544">
        <f t="shared" si="312"/>
        <v>0</v>
      </c>
      <c r="D1110" s="596">
        <f t="shared" si="310"/>
        <v>0</v>
      </c>
      <c r="E1110" s="536"/>
      <c r="F1110" s="538">
        <f t="shared" si="311"/>
        <v>0</v>
      </c>
      <c r="G1110" s="538">
        <f t="shared" si="313"/>
        <v>0</v>
      </c>
    </row>
    <row r="1111" spans="1:7" ht="19.899999999999999" customHeight="1" x14ac:dyDescent="0.2">
      <c r="A1111" s="584">
        <f t="shared" si="308"/>
        <v>0</v>
      </c>
      <c r="B1111" s="544">
        <f t="shared" si="309"/>
        <v>0</v>
      </c>
      <c r="C1111" s="544">
        <f t="shared" si="312"/>
        <v>0</v>
      </c>
      <c r="D1111" s="596">
        <f t="shared" si="310"/>
        <v>0</v>
      </c>
      <c r="E1111" s="536"/>
      <c r="F1111" s="538">
        <f t="shared" si="311"/>
        <v>0</v>
      </c>
      <c r="G1111" s="538">
        <f t="shared" si="313"/>
        <v>0</v>
      </c>
    </row>
    <row r="1112" spans="1:7" ht="19.899999999999999" customHeight="1" x14ac:dyDescent="0.2">
      <c r="A1112" s="584">
        <f t="shared" si="308"/>
        <v>0</v>
      </c>
      <c r="B1112" s="544">
        <f t="shared" si="309"/>
        <v>0</v>
      </c>
      <c r="C1112" s="544">
        <f t="shared" si="312"/>
        <v>0</v>
      </c>
      <c r="D1112" s="596">
        <f t="shared" si="310"/>
        <v>0</v>
      </c>
      <c r="E1112" s="536"/>
      <c r="F1112" s="538">
        <f t="shared" si="311"/>
        <v>0</v>
      </c>
      <c r="G1112" s="538">
        <f t="shared" si="313"/>
        <v>0</v>
      </c>
    </row>
    <row r="1113" spans="1:7" ht="19.899999999999999" customHeight="1" x14ac:dyDescent="0.2">
      <c r="A1113" s="584">
        <f t="shared" si="308"/>
        <v>0</v>
      </c>
      <c r="B1113" s="544">
        <f t="shared" si="309"/>
        <v>0</v>
      </c>
      <c r="C1113" s="544"/>
      <c r="D1113" s="596">
        <f t="shared" si="310"/>
        <v>0</v>
      </c>
      <c r="E1113" s="536"/>
      <c r="F1113" s="538">
        <f t="shared" si="311"/>
        <v>0</v>
      </c>
      <c r="G1113" s="538">
        <f t="shared" si="313"/>
        <v>0</v>
      </c>
    </row>
    <row r="1114" spans="1:7" ht="19.899999999999999" customHeight="1" x14ac:dyDescent="0.2">
      <c r="A1114" s="584">
        <f t="shared" si="308"/>
        <v>0</v>
      </c>
      <c r="B1114" s="544">
        <f t="shared" si="309"/>
        <v>0</v>
      </c>
      <c r="C1114" s="544"/>
      <c r="D1114" s="596">
        <f t="shared" si="310"/>
        <v>0</v>
      </c>
      <c r="E1114" s="536"/>
      <c r="F1114" s="538">
        <f t="shared" si="311"/>
        <v>0</v>
      </c>
      <c r="G1114" s="538">
        <f t="shared" si="313"/>
        <v>0</v>
      </c>
    </row>
    <row r="1115" spans="1:7" ht="19.899999999999999" customHeight="1" x14ac:dyDescent="0.2">
      <c r="A1115" s="582"/>
      <c r="B1115" s="528"/>
      <c r="C1115" s="528"/>
      <c r="D1115" s="524"/>
      <c r="E1115" s="525"/>
      <c r="F1115" s="547" t="s">
        <v>29</v>
      </c>
      <c r="G1115" s="588">
        <f>SUBTOTAL(9,G1104:G1114)</f>
        <v>0</v>
      </c>
    </row>
    <row r="1116" spans="1:7" ht="19.899999999999999" customHeight="1" x14ac:dyDescent="0.2">
      <c r="A1116" s="582"/>
      <c r="B1116" s="528"/>
      <c r="C1116" s="520" t="s">
        <v>993</v>
      </c>
      <c r="D1116" s="524"/>
      <c r="E1116" s="525"/>
      <c r="F1116" s="526"/>
      <c r="G1116" s="583"/>
    </row>
    <row r="1117" spans="1:7" ht="19.899999999999999" customHeight="1" x14ac:dyDescent="0.2">
      <c r="A1117" s="793" t="s">
        <v>576</v>
      </c>
      <c r="B1117" s="794"/>
      <c r="C1117" s="795" t="s">
        <v>0</v>
      </c>
      <c r="D1117" s="795" t="s">
        <v>1740</v>
      </c>
      <c r="E1117" s="797" t="s">
        <v>24</v>
      </c>
      <c r="F1117" s="799" t="s">
        <v>25</v>
      </c>
      <c r="G1117" s="801" t="s">
        <v>26</v>
      </c>
    </row>
    <row r="1118" spans="1:7" ht="19.899999999999999" customHeight="1" x14ac:dyDescent="0.2">
      <c r="A1118" s="543" t="s">
        <v>577</v>
      </c>
      <c r="B1118" s="543" t="s">
        <v>578</v>
      </c>
      <c r="C1118" s="796"/>
      <c r="D1118" s="796"/>
      <c r="E1118" s="798"/>
      <c r="F1118" s="800"/>
      <c r="G1118" s="802"/>
    </row>
    <row r="1119" spans="1:7" ht="19.899999999999999" customHeight="1" x14ac:dyDescent="0.2">
      <c r="A1119" s="584">
        <f>IFERROR(VLOOKUP(C1119,T_Insumos,4,FALSE),0)</f>
        <v>0</v>
      </c>
      <c r="B1119" s="544">
        <f>IFERROR(VLOOKUP(C1119,T_Insumos,5,FALSE),0)</f>
        <v>0</v>
      </c>
      <c r="C1119" s="535"/>
      <c r="D1119" s="596">
        <f>IF(C1119=0,0,"$/tnkm")</f>
        <v>0</v>
      </c>
      <c r="E1119" s="536"/>
      <c r="F1119" s="538">
        <f>IFERROR(VLOOKUP(C1119,T_Insumos,3,FALSE),0)</f>
        <v>0</v>
      </c>
      <c r="G1119" s="538">
        <f>ROUND(E1119*F1119,2)</f>
        <v>0</v>
      </c>
    </row>
    <row r="1120" spans="1:7" ht="19.899999999999999" customHeight="1" x14ac:dyDescent="0.2">
      <c r="A1120" s="584">
        <f>IFERROR(VLOOKUP(C1120,T_Insumos,4,FALSE),0)</f>
        <v>0</v>
      </c>
      <c r="B1120" s="544">
        <f>IFERROR(VLOOKUP(C1120,T_Insumos,5,FALSE),0)</f>
        <v>0</v>
      </c>
      <c r="C1120" s="535"/>
      <c r="D1120" s="596">
        <f>IF(C1120=0,0,"$/tnkm")</f>
        <v>0</v>
      </c>
      <c r="E1120" s="552"/>
      <c r="F1120" s="538">
        <f>IFERROR(VLOOKUP(C1120,T_Insumos,3,FALSE),0)</f>
        <v>0</v>
      </c>
      <c r="G1120" s="538">
        <f t="shared" ref="G1120" si="314">ROUND(E1120*F1120,2)</f>
        <v>0</v>
      </c>
    </row>
    <row r="1121" spans="1:7" ht="19.899999999999999" customHeight="1" x14ac:dyDescent="0.2">
      <c r="A1121" s="582"/>
      <c r="B1121" s="528"/>
      <c r="C1121" s="528"/>
      <c r="D1121" s="524"/>
      <c r="E1121" s="525"/>
      <c r="F1121" s="547" t="s">
        <v>994</v>
      </c>
      <c r="G1121" s="588">
        <f>SUBTOTAL(9,G1119:G1120)</f>
        <v>0</v>
      </c>
    </row>
    <row r="1122" spans="1:7" ht="19.899999999999999" customHeight="1" x14ac:dyDescent="0.2">
      <c r="A1122" s="585"/>
      <c r="B1122" s="524"/>
      <c r="C1122" s="528"/>
      <c r="D1122" s="524"/>
      <c r="E1122" s="525"/>
      <c r="F1122" s="526"/>
      <c r="G1122" s="583"/>
    </row>
    <row r="1123" spans="1:7" ht="19.899999999999999" customHeight="1" x14ac:dyDescent="0.2">
      <c r="A1123" s="647" t="str">
        <f>B1057</f>
        <v>4.2</v>
      </c>
      <c r="B1123" s="644" t="str">
        <f ca="1">C1057</f>
        <v>Excavacion</v>
      </c>
      <c r="C1123" s="524"/>
      <c r="D1123" s="524" t="s">
        <v>1719</v>
      </c>
      <c r="E1123" s="645"/>
      <c r="F1123" s="646" t="str">
        <f ca="1">"$/"&amp;G1057</f>
        <v>$/m3</v>
      </c>
      <c r="G1123" s="593">
        <f>SUBTOTAL(9,G1080:G1122)</f>
        <v>0</v>
      </c>
    </row>
    <row r="1124" spans="1:7" ht="19.899999999999999" customHeight="1" x14ac:dyDescent="0.2">
      <c r="A1124" s="589"/>
      <c r="B1124" s="590"/>
      <c r="C1124" s="591"/>
      <c r="D1124" s="591" t="s">
        <v>1915</v>
      </c>
      <c r="E1124" s="592"/>
      <c r="F1124" s="648" t="str">
        <f ca="1">"$/"&amp;G1057</f>
        <v>$/m3</v>
      </c>
      <c r="G1124" s="593">
        <f>ROUND(G1123*Coeficiente_Paso,2)</f>
        <v>0</v>
      </c>
    </row>
    <row r="1125" spans="1:7" ht="19.899999999999999" customHeight="1" x14ac:dyDescent="0.2">
      <c r="A1125" s="185"/>
      <c r="B1125" s="185"/>
      <c r="C1125" s="185"/>
      <c r="D1125" s="185"/>
      <c r="E1125" s="185"/>
      <c r="F1125" s="185"/>
      <c r="G1125" s="185"/>
    </row>
    <row r="1126" spans="1:7" ht="19.899999999999999" customHeight="1" x14ac:dyDescent="0.2">
      <c r="A1126" s="803" t="s">
        <v>31</v>
      </c>
      <c r="B1126" s="804"/>
      <c r="C1126" s="804"/>
      <c r="D1126" s="804"/>
      <c r="E1126" s="804"/>
      <c r="F1126" s="804"/>
      <c r="G1126" s="805"/>
    </row>
    <row r="1127" spans="1:7" ht="19.899999999999999" customHeight="1" x14ac:dyDescent="0.2">
      <c r="A1127" s="570" t="s">
        <v>711</v>
      </c>
      <c r="B1127" s="518" t="str">
        <f>Comitente</f>
        <v>DEPARTAMENTO DE HIDRAULICA</v>
      </c>
      <c r="C1127" s="519"/>
      <c r="D1127" s="520"/>
      <c r="E1127" s="520"/>
      <c r="F1127" s="521"/>
      <c r="G1127" s="571"/>
    </row>
    <row r="1128" spans="1:7" ht="19.899999999999999" customHeight="1" x14ac:dyDescent="0.2">
      <c r="A1128" s="570" t="s">
        <v>712</v>
      </c>
      <c r="B1128" s="518">
        <f>Contratista</f>
        <v>0</v>
      </c>
      <c r="C1128" s="522"/>
      <c r="D1128" s="522"/>
      <c r="E1128" s="522"/>
      <c r="F1128" s="518"/>
      <c r="G1128" s="572"/>
    </row>
    <row r="1129" spans="1:7" ht="19.899999999999999" customHeight="1" x14ac:dyDescent="0.2">
      <c r="A1129" s="570" t="s">
        <v>21</v>
      </c>
      <c r="B1129" s="518" t="str">
        <f>Obra</f>
        <v>ENCAMISADO CANAL GENERAL COCHAGUAL</v>
      </c>
      <c r="C1129" s="522"/>
      <c r="D1129" s="522"/>
      <c r="E1129" s="522"/>
      <c r="F1129" s="518" t="s">
        <v>32</v>
      </c>
      <c r="G1129" s="572">
        <f>Fecha_Base</f>
        <v>44319</v>
      </c>
    </row>
    <row r="1130" spans="1:7" ht="19.899999999999999" customHeight="1" x14ac:dyDescent="0.2">
      <c r="A1130" s="573" t="s">
        <v>710</v>
      </c>
      <c r="B1130" s="523" t="str">
        <f>Ubicación</f>
        <v>DEPARTAMENTO SARMIENTO</v>
      </c>
      <c r="C1130" s="523"/>
      <c r="D1130" s="524"/>
      <c r="E1130" s="525"/>
      <c r="F1130" s="526"/>
      <c r="G1130" s="574"/>
    </row>
    <row r="1131" spans="1:7" ht="19.899999999999999" customHeight="1" x14ac:dyDescent="0.2">
      <c r="A1131" s="573" t="s">
        <v>33</v>
      </c>
      <c r="B1131" s="527">
        <f>IFERROR(VALUE(LEFT(B1132,FIND(".",B1132)-1)),"")</f>
        <v>4</v>
      </c>
      <c r="C1131" s="528" t="str">
        <f ca="1">IFERROR(VLOOKUP(B1131,T_Computo_Presupuesto,2,FALSE),0)</f>
        <v>PUENTES SOBRE CANAL</v>
      </c>
      <c r="D1131" s="528"/>
      <c r="E1131" s="525"/>
      <c r="F1131" s="526"/>
      <c r="G1131" s="574"/>
    </row>
    <row r="1132" spans="1:7" ht="19.899999999999999" customHeight="1" x14ac:dyDescent="0.2">
      <c r="A1132" s="573" t="s">
        <v>22</v>
      </c>
      <c r="B1132" s="529" t="str">
        <f>IFERROR(VLOOKUP(COUNTIF($A$1:A1132,"ANALISIS DE PRECIOS"),T_NumeroItem,2,FALSE),"")</f>
        <v>4.3</v>
      </c>
      <c r="C1132" s="806" t="str">
        <f ca="1">IFERROR(VLOOKUP(B1132,T_Computo_Presupuesto,2,FALSE),0)</f>
        <v>Hormigon H-21</v>
      </c>
      <c r="D1132" s="806"/>
      <c r="E1132" s="806"/>
      <c r="F1132" s="523" t="s">
        <v>23</v>
      </c>
      <c r="G1132" s="575" t="str">
        <f ca="1">IFERROR(VLOOKUP(B1132,T_Computo_Presupuesto,4,FALSE),0)</f>
        <v>m3</v>
      </c>
    </row>
    <row r="1133" spans="1:7" ht="19.899999999999999" customHeight="1" x14ac:dyDescent="0.2">
      <c r="A1133" s="573"/>
      <c r="B1133" s="523"/>
      <c r="C1133" s="528"/>
      <c r="D1133" s="524"/>
      <c r="E1133" s="525"/>
      <c r="F1133" s="528"/>
      <c r="G1133" s="576"/>
    </row>
    <row r="1134" spans="1:7" ht="19.899999999999999" customHeight="1" x14ac:dyDescent="0.2">
      <c r="A1134" s="577"/>
      <c r="B1134" s="530"/>
      <c r="C1134" s="531" t="s">
        <v>977</v>
      </c>
      <c r="D1134" s="530"/>
      <c r="E1134" s="530"/>
      <c r="F1134" s="530"/>
      <c r="G1134" s="578"/>
    </row>
    <row r="1135" spans="1:7" ht="19.899999999999999" customHeight="1" x14ac:dyDescent="0.2">
      <c r="A1135" s="573"/>
      <c r="B1135" s="532"/>
      <c r="C1135" s="528"/>
      <c r="D1135" s="524"/>
      <c r="E1135" s="525"/>
      <c r="F1135" s="523"/>
      <c r="G1135" s="575"/>
    </row>
    <row r="1136" spans="1:7" ht="19.899999999999999" customHeight="1" x14ac:dyDescent="0.2">
      <c r="A1136" s="573"/>
      <c r="B1136" s="532"/>
      <c r="C1136" s="533" t="s">
        <v>978</v>
      </c>
      <c r="D1136" s="534" t="s">
        <v>24</v>
      </c>
      <c r="E1136" s="534" t="s">
        <v>979</v>
      </c>
      <c r="F1136" s="534" t="s">
        <v>980</v>
      </c>
      <c r="G1136" s="533" t="s">
        <v>981</v>
      </c>
    </row>
    <row r="1137" spans="1:8" ht="19.899999999999999" customHeight="1" x14ac:dyDescent="0.2">
      <c r="A1137" s="573"/>
      <c r="B1137" s="532"/>
      <c r="C1137" s="535"/>
      <c r="D1137" s="536"/>
      <c r="E1137" s="537">
        <f t="shared" ref="E1137:E1146" si="315">IFERROR(VLOOKUP(C1137,T_Equipos,4,FALSE),0)</f>
        <v>0</v>
      </c>
      <c r="F1137" s="538">
        <f t="shared" ref="F1137:F1146" si="316">IFERROR(VLOOKUP(C1137,T_Equipos,5,FALSE),0)</f>
        <v>0</v>
      </c>
      <c r="G1137" s="538">
        <f>ROUND(D1137*F1137,2)</f>
        <v>0</v>
      </c>
    </row>
    <row r="1138" spans="1:8" ht="19.899999999999999" customHeight="1" x14ac:dyDescent="0.2">
      <c r="A1138" s="573"/>
      <c r="B1138" s="532"/>
      <c r="C1138" s="535"/>
      <c r="D1138" s="536"/>
      <c r="E1138" s="537">
        <f t="shared" si="315"/>
        <v>0</v>
      </c>
      <c r="F1138" s="538">
        <f t="shared" si="316"/>
        <v>0</v>
      </c>
      <c r="G1138" s="538">
        <f>ROUND(D1138*F1138,2)</f>
        <v>0</v>
      </c>
    </row>
    <row r="1139" spans="1:8" ht="19.899999999999999" customHeight="1" x14ac:dyDescent="0.2">
      <c r="A1139" s="573"/>
      <c r="B1139" s="532"/>
      <c r="C1139" s="535"/>
      <c r="D1139" s="736"/>
      <c r="E1139" s="537">
        <f t="shared" si="315"/>
        <v>0</v>
      </c>
      <c r="F1139" s="538">
        <f t="shared" si="316"/>
        <v>0</v>
      </c>
      <c r="G1139" s="538">
        <f>ROUND(D1139*F1139,2)</f>
        <v>0</v>
      </c>
    </row>
    <row r="1140" spans="1:8" ht="19.899999999999999" customHeight="1" x14ac:dyDescent="0.2">
      <c r="A1140" s="573"/>
      <c r="B1140" s="532"/>
      <c r="C1140" s="535"/>
      <c r="D1140" s="536"/>
      <c r="E1140" s="537">
        <f t="shared" si="315"/>
        <v>0</v>
      </c>
      <c r="F1140" s="538">
        <f t="shared" si="316"/>
        <v>0</v>
      </c>
      <c r="G1140" s="538">
        <f>ROUND(D1140*F1140,2)</f>
        <v>0</v>
      </c>
    </row>
    <row r="1141" spans="1:8" ht="19.899999999999999" customHeight="1" x14ac:dyDescent="0.2">
      <c r="A1141" s="573"/>
      <c r="B1141" s="532"/>
      <c r="C1141" s="535"/>
      <c r="D1141" s="536"/>
      <c r="E1141" s="537">
        <f t="shared" si="315"/>
        <v>0</v>
      </c>
      <c r="F1141" s="538">
        <f t="shared" si="316"/>
        <v>0</v>
      </c>
      <c r="G1141" s="538">
        <f t="shared" ref="G1141:G1146" si="317">ROUND(D1141*F1141,2)</f>
        <v>0</v>
      </c>
    </row>
    <row r="1142" spans="1:8" ht="19.899999999999999" customHeight="1" x14ac:dyDescent="0.2">
      <c r="A1142" s="573"/>
      <c r="B1142" s="532"/>
      <c r="C1142" s="535"/>
      <c r="D1142" s="536"/>
      <c r="E1142" s="537">
        <f t="shared" si="315"/>
        <v>0</v>
      </c>
      <c r="F1142" s="538">
        <f t="shared" si="316"/>
        <v>0</v>
      </c>
      <c r="G1142" s="538">
        <f t="shared" si="317"/>
        <v>0</v>
      </c>
    </row>
    <row r="1143" spans="1:8" ht="19.899999999999999" customHeight="1" x14ac:dyDescent="0.2">
      <c r="A1143" s="573"/>
      <c r="B1143" s="532"/>
      <c r="C1143" s="535"/>
      <c r="D1143" s="536"/>
      <c r="E1143" s="537">
        <f t="shared" si="315"/>
        <v>0</v>
      </c>
      <c r="F1143" s="538">
        <f t="shared" si="316"/>
        <v>0</v>
      </c>
      <c r="G1143" s="538">
        <f t="shared" si="317"/>
        <v>0</v>
      </c>
    </row>
    <row r="1144" spans="1:8" ht="19.899999999999999" customHeight="1" x14ac:dyDescent="0.2">
      <c r="A1144" s="573"/>
      <c r="B1144" s="532"/>
      <c r="C1144" s="535"/>
      <c r="D1144" s="536"/>
      <c r="E1144" s="537">
        <f t="shared" si="315"/>
        <v>0</v>
      </c>
      <c r="F1144" s="538">
        <f t="shared" si="316"/>
        <v>0</v>
      </c>
      <c r="G1144" s="538">
        <f t="shared" si="317"/>
        <v>0</v>
      </c>
    </row>
    <row r="1145" spans="1:8" ht="19.899999999999999" customHeight="1" x14ac:dyDescent="0.2">
      <c r="A1145" s="573"/>
      <c r="B1145" s="532"/>
      <c r="C1145" s="535"/>
      <c r="D1145" s="536"/>
      <c r="E1145" s="537">
        <f t="shared" si="315"/>
        <v>0</v>
      </c>
      <c r="F1145" s="538">
        <f t="shared" si="316"/>
        <v>0</v>
      </c>
      <c r="G1145" s="538">
        <f t="shared" si="317"/>
        <v>0</v>
      </c>
    </row>
    <row r="1146" spans="1:8" ht="19.899999999999999" customHeight="1" x14ac:dyDescent="0.2">
      <c r="A1146" s="573"/>
      <c r="B1146" s="532"/>
      <c r="C1146" s="535"/>
      <c r="D1146" s="536"/>
      <c r="E1146" s="537">
        <f t="shared" si="315"/>
        <v>0</v>
      </c>
      <c r="F1146" s="538">
        <f t="shared" si="316"/>
        <v>0</v>
      </c>
      <c r="G1146" s="538">
        <f t="shared" si="317"/>
        <v>0</v>
      </c>
      <c r="H1146" s="735"/>
    </row>
    <row r="1147" spans="1:8" ht="19.899999999999999" customHeight="1" x14ac:dyDescent="0.2">
      <c r="A1147" s="573"/>
      <c r="B1147" s="532"/>
      <c r="C1147" s="528"/>
      <c r="D1147" s="528"/>
      <c r="E1147" s="539"/>
      <c r="F1147" s="523"/>
      <c r="G1147" s="575"/>
      <c r="H1147" s="734"/>
    </row>
    <row r="1148" spans="1:8" ht="19.899999999999999" customHeight="1" x14ac:dyDescent="0.2">
      <c r="A1148" s="573"/>
      <c r="B1148" s="528"/>
      <c r="C1148" s="520" t="s">
        <v>982</v>
      </c>
      <c r="D1148" s="523" t="s">
        <v>979</v>
      </c>
      <c r="E1148" s="594">
        <f>SUMPRODUCT(D1137:D1146,E1137:E1146)</f>
        <v>0</v>
      </c>
      <c r="F1148" s="523" t="s">
        <v>983</v>
      </c>
      <c r="G1148" s="595">
        <f>SUM(G1137:G1146)</f>
        <v>0</v>
      </c>
    </row>
    <row r="1149" spans="1:8" ht="19.899999999999999" customHeight="1" x14ac:dyDescent="0.2">
      <c r="A1149" s="573"/>
      <c r="B1149" s="532"/>
      <c r="C1149" s="540"/>
      <c r="D1149" s="539"/>
      <c r="E1149" s="525"/>
      <c r="F1149" s="523"/>
      <c r="G1149" s="579"/>
    </row>
    <row r="1150" spans="1:8" ht="19.899999999999999" customHeight="1" x14ac:dyDescent="0.2">
      <c r="A1150" s="580"/>
      <c r="B1150" s="532"/>
      <c r="C1150" s="523" t="s">
        <v>984</v>
      </c>
      <c r="D1150" s="541">
        <f>IFERROR(VLOOKUP(COUNTIF($A$1:A1150,"ANALISIS DE PRECIOS"),T_Rendimiento_Equipo,5,FALSE),0)</f>
        <v>0</v>
      </c>
      <c r="E1150" s="542" t="str">
        <f ca="1">G1132&amp;"/día"</f>
        <v>m3/día</v>
      </c>
      <c r="F1150" s="581"/>
      <c r="G1150" s="575"/>
    </row>
    <row r="1151" spans="1:8" ht="19.899999999999999" customHeight="1" x14ac:dyDescent="0.2">
      <c r="A1151" s="573"/>
      <c r="B1151" s="532"/>
      <c r="C1151" s="528"/>
      <c r="D1151" s="524"/>
      <c r="E1151" s="525"/>
      <c r="F1151" s="523"/>
      <c r="G1151" s="575"/>
    </row>
    <row r="1152" spans="1:8" ht="19.899999999999999" customHeight="1" x14ac:dyDescent="0.2">
      <c r="A1152" s="793" t="s">
        <v>576</v>
      </c>
      <c r="B1152" s="794"/>
      <c r="C1152" s="795" t="s">
        <v>0</v>
      </c>
      <c r="D1152" s="807" t="s">
        <v>1739</v>
      </c>
      <c r="E1152" s="807" t="s">
        <v>1738</v>
      </c>
      <c r="F1152" s="799" t="s">
        <v>985</v>
      </c>
      <c r="G1152" s="801" t="s">
        <v>26</v>
      </c>
    </row>
    <row r="1153" spans="1:7" ht="19.899999999999999" customHeight="1" x14ac:dyDescent="0.2">
      <c r="A1153" s="543" t="s">
        <v>577</v>
      </c>
      <c r="B1153" s="543" t="s">
        <v>578</v>
      </c>
      <c r="C1153" s="796"/>
      <c r="D1153" s="808"/>
      <c r="E1153" s="798"/>
      <c r="F1153" s="800"/>
      <c r="G1153" s="802"/>
    </row>
    <row r="1154" spans="1:7" ht="19.899999999999999" customHeight="1" x14ac:dyDescent="0.2">
      <c r="A1154" s="582"/>
      <c r="B1154" s="528"/>
      <c r="C1154" s="520" t="s">
        <v>986</v>
      </c>
      <c r="D1154" s="525"/>
      <c r="E1154" s="525"/>
      <c r="F1154" s="528"/>
      <c r="G1154" s="583"/>
    </row>
    <row r="1155" spans="1:7" ht="19.899999999999999" customHeight="1" x14ac:dyDescent="0.2">
      <c r="A1155" s="584">
        <f t="shared" ref="A1155:A1163" si="318">IFERROR(VLOOKUP(C1155,T_Insumos,4,FALSE),0)</f>
        <v>0</v>
      </c>
      <c r="B1155" s="544">
        <f t="shared" ref="B1155:B1163" si="319">IFERROR(VLOOKUP(C1155,T_Insumos,5,FALSE),0)</f>
        <v>0</v>
      </c>
      <c r="C1155" s="535">
        <f>+C30</f>
        <v>0</v>
      </c>
      <c r="D1155" s="545">
        <f t="shared" ref="D1155:D1163" si="320">IFERROR(VLOOKUP(C1155,T_Insumos,3,FALSE),0)</f>
        <v>0</v>
      </c>
      <c r="E1155" s="538">
        <f>D1155*$G$1148</f>
        <v>0</v>
      </c>
      <c r="F1155" s="541">
        <f>IF(C1155="",0,IFERROR(VLOOKUP(COUNTIF($A$1:A1155,"ANALISIS DE PRECIOS"),T_Rendimiento_Equipo,5,FALSE),0))</f>
        <v>0</v>
      </c>
      <c r="G1155" s="538">
        <f>IFERROR(ROUND(E1155/F1155,2),0)</f>
        <v>0</v>
      </c>
    </row>
    <row r="1156" spans="1:7" ht="19.899999999999999" customHeight="1" x14ac:dyDescent="0.2">
      <c r="A1156" s="584">
        <f t="shared" si="318"/>
        <v>0</v>
      </c>
      <c r="B1156" s="544">
        <f t="shared" si="319"/>
        <v>0</v>
      </c>
      <c r="C1156" s="535">
        <f t="shared" ref="C1156:C1158" si="321">+C31</f>
        <v>0</v>
      </c>
      <c r="D1156" s="545">
        <f t="shared" si="320"/>
        <v>0</v>
      </c>
      <c r="E1156" s="538">
        <f t="shared" ref="E1156:E1157" si="322">D1156*$G$1148</f>
        <v>0</v>
      </c>
      <c r="F1156" s="541">
        <f>IF(C1156="",0,IFERROR(VLOOKUP(COUNTIF($A$1:A1156,"ANALISIS DE PRECIOS"),T_Rendimiento_Equipo,5,FALSE),0))</f>
        <v>0</v>
      </c>
      <c r="G1156" s="538">
        <f t="shared" ref="G1156:G1163" si="323">IFERROR(ROUND(E1156/F1156,2),0)</f>
        <v>0</v>
      </c>
    </row>
    <row r="1157" spans="1:7" ht="19.899999999999999" customHeight="1" x14ac:dyDescent="0.2">
      <c r="A1157" s="584">
        <f t="shared" si="318"/>
        <v>0</v>
      </c>
      <c r="B1157" s="544">
        <f t="shared" si="319"/>
        <v>0</v>
      </c>
      <c r="C1157" s="535">
        <f t="shared" si="321"/>
        <v>0</v>
      </c>
      <c r="D1157" s="545">
        <f t="shared" si="320"/>
        <v>0</v>
      </c>
      <c r="E1157" s="538">
        <f t="shared" si="322"/>
        <v>0</v>
      </c>
      <c r="F1157" s="541">
        <f>IF(C1157="",0,IFERROR(VLOOKUP(COUNTIF($A$1:A1157,"ANALISIS DE PRECIOS"),T_Rendimiento_Equipo,5,FALSE),0))</f>
        <v>0</v>
      </c>
      <c r="G1157" s="538">
        <f t="shared" si="323"/>
        <v>0</v>
      </c>
    </row>
    <row r="1158" spans="1:7" ht="19.899999999999999" customHeight="1" x14ac:dyDescent="0.2">
      <c r="A1158" s="584">
        <f t="shared" si="318"/>
        <v>0</v>
      </c>
      <c r="B1158" s="544">
        <f t="shared" si="319"/>
        <v>0</v>
      </c>
      <c r="C1158" s="535">
        <f t="shared" si="321"/>
        <v>0</v>
      </c>
      <c r="D1158" s="545">
        <f t="shared" si="320"/>
        <v>0</v>
      </c>
      <c r="E1158" s="538">
        <f>D1158*$E$1148</f>
        <v>0</v>
      </c>
      <c r="F1158" s="541">
        <f>IF(C1158="",0,IFERROR(VLOOKUP(COUNTIF($A$1:A1158,"ANALISIS DE PRECIOS"),T_Rendimiento_Equipo,5,FALSE),0))</f>
        <v>0</v>
      </c>
      <c r="G1158" s="538">
        <f>IFERROR(ROUND(E1158/F1158,2),0)</f>
        <v>0</v>
      </c>
    </row>
    <row r="1159" spans="1:7" ht="19.899999999999999" customHeight="1" x14ac:dyDescent="0.2">
      <c r="A1159" s="584">
        <f t="shared" si="318"/>
        <v>0</v>
      </c>
      <c r="B1159" s="544">
        <f t="shared" si="319"/>
        <v>0</v>
      </c>
      <c r="C1159" s="546"/>
      <c r="D1159" s="545">
        <f t="shared" si="320"/>
        <v>0</v>
      </c>
      <c r="E1159" s="538"/>
      <c r="F1159" s="541">
        <f>IF(C1159="",0,IFERROR(VLOOKUP(COUNTIF($A$1:A1159,"ANALISIS DE PRECIOS"),T_Rendimiento_Equipo,5,FALSE),0))</f>
        <v>0</v>
      </c>
      <c r="G1159" s="538">
        <f t="shared" si="323"/>
        <v>0</v>
      </c>
    </row>
    <row r="1160" spans="1:7" ht="19.899999999999999" customHeight="1" x14ac:dyDescent="0.2">
      <c r="A1160" s="584">
        <f t="shared" si="318"/>
        <v>0</v>
      </c>
      <c r="B1160" s="544">
        <f t="shared" si="319"/>
        <v>0</v>
      </c>
      <c r="C1160" s="546"/>
      <c r="D1160" s="545">
        <f t="shared" si="320"/>
        <v>0</v>
      </c>
      <c r="E1160" s="538"/>
      <c r="F1160" s="541">
        <f>IF(C1160="",0,IFERROR(VLOOKUP(COUNTIF($A$1:A1160,"ANALISIS DE PRECIOS"),T_Rendimiento_Equipo,5,FALSE),0))</f>
        <v>0</v>
      </c>
      <c r="G1160" s="538">
        <f t="shared" si="323"/>
        <v>0</v>
      </c>
    </row>
    <row r="1161" spans="1:7" ht="19.899999999999999" customHeight="1" x14ac:dyDescent="0.2">
      <c r="A1161" s="584">
        <f t="shared" si="318"/>
        <v>0</v>
      </c>
      <c r="B1161" s="544">
        <f t="shared" si="319"/>
        <v>0</v>
      </c>
      <c r="C1161" s="546"/>
      <c r="D1161" s="545">
        <f t="shared" si="320"/>
        <v>0</v>
      </c>
      <c r="E1161" s="538"/>
      <c r="F1161" s="541">
        <f>IF(C1161="",0,IFERROR(VLOOKUP(COUNTIF($A$1:A1161,"ANALISIS DE PRECIOS"),T_Rendimiento_Equipo,5,FALSE),0))</f>
        <v>0</v>
      </c>
      <c r="G1161" s="538">
        <f t="shared" si="323"/>
        <v>0</v>
      </c>
    </row>
    <row r="1162" spans="1:7" ht="19.899999999999999" customHeight="1" x14ac:dyDescent="0.2">
      <c r="A1162" s="584">
        <f t="shared" si="318"/>
        <v>0</v>
      </c>
      <c r="B1162" s="544">
        <f t="shared" si="319"/>
        <v>0</v>
      </c>
      <c r="C1162" s="546"/>
      <c r="D1162" s="545">
        <f t="shared" si="320"/>
        <v>0</v>
      </c>
      <c r="E1162" s="538"/>
      <c r="F1162" s="541">
        <f>IF(C1162="",0,IFERROR(VLOOKUP(COUNTIF($A$1:A1162,"ANALISIS DE PRECIOS"),T_Rendimiento_Equipo,5,FALSE),0))</f>
        <v>0</v>
      </c>
      <c r="G1162" s="538">
        <f t="shared" si="323"/>
        <v>0</v>
      </c>
    </row>
    <row r="1163" spans="1:7" ht="19.899999999999999" customHeight="1" x14ac:dyDescent="0.2">
      <c r="A1163" s="584">
        <f t="shared" si="318"/>
        <v>0</v>
      </c>
      <c r="B1163" s="544">
        <f t="shared" si="319"/>
        <v>0</v>
      </c>
      <c r="C1163" s="535"/>
      <c r="D1163" s="545">
        <f t="shared" si="320"/>
        <v>0</v>
      </c>
      <c r="E1163" s="538"/>
      <c r="F1163" s="541">
        <f>IF(C1163="",0,IFERROR(VLOOKUP(COUNTIF($A$1:A1163,"ANALISIS DE PRECIOS"),T_Rendimiento_Equipo,5,FALSE),0))</f>
        <v>0</v>
      </c>
      <c r="G1163" s="538">
        <f t="shared" si="323"/>
        <v>0</v>
      </c>
    </row>
    <row r="1164" spans="1:7" ht="19.899999999999999" customHeight="1" x14ac:dyDescent="0.2">
      <c r="A1164" s="585"/>
      <c r="B1164" s="524"/>
      <c r="C1164" s="528"/>
      <c r="D1164" s="524"/>
      <c r="E1164" s="525"/>
      <c r="F1164" s="547" t="s">
        <v>27</v>
      </c>
      <c r="G1164" s="586">
        <f>SUBTOTAL(9,G1155:G1163)</f>
        <v>0</v>
      </c>
    </row>
    <row r="1165" spans="1:7" ht="19.899999999999999" customHeight="1" x14ac:dyDescent="0.2">
      <c r="A1165" s="582"/>
      <c r="B1165" s="528"/>
      <c r="C1165" s="520" t="s">
        <v>713</v>
      </c>
      <c r="D1165" s="524"/>
      <c r="E1165" s="525"/>
      <c r="F1165" s="526"/>
      <c r="G1165" s="583"/>
    </row>
    <row r="1166" spans="1:7" ht="19.899999999999999" customHeight="1" x14ac:dyDescent="0.2">
      <c r="A1166" s="793" t="s">
        <v>576</v>
      </c>
      <c r="B1166" s="794"/>
      <c r="C1166" s="795" t="s">
        <v>0</v>
      </c>
      <c r="D1166" s="797" t="s">
        <v>24</v>
      </c>
      <c r="E1166" s="797" t="s">
        <v>1718</v>
      </c>
      <c r="F1166" s="799" t="s">
        <v>985</v>
      </c>
      <c r="G1166" s="801" t="s">
        <v>26</v>
      </c>
    </row>
    <row r="1167" spans="1:7" ht="19.899999999999999" customHeight="1" x14ac:dyDescent="0.2">
      <c r="A1167" s="543" t="s">
        <v>577</v>
      </c>
      <c r="B1167" s="543" t="s">
        <v>578</v>
      </c>
      <c r="C1167" s="796"/>
      <c r="D1167" s="798"/>
      <c r="E1167" s="798"/>
      <c r="F1167" s="800"/>
      <c r="G1167" s="802"/>
    </row>
    <row r="1168" spans="1:7" ht="19.899999999999999" customHeight="1" x14ac:dyDescent="0.2">
      <c r="A1168" s="584" t="str">
        <f t="shared" ref="A1168:A1174" si="324">IFERROR(VLOOKUP(C1168,T_Insumos,4,FALSE),0)</f>
        <v>IIEE-SJ - 1</v>
      </c>
      <c r="B1168" s="544" t="str">
        <f t="shared" ref="B1168:B1174" si="325">IFERROR(VLOOKUP(C1168,T_Insumos,5,FALSE),0)</f>
        <v>Mano de Obra</v>
      </c>
      <c r="C1168" s="548" t="str">
        <f>+C43</f>
        <v>Mano de obra</v>
      </c>
      <c r="D1168" s="541"/>
      <c r="E1168" s="538">
        <f t="shared" ref="E1168:E1174" si="326">IFERROR(VLOOKUP(C1168,T_Insumos,3,FALSE),0)</f>
        <v>0</v>
      </c>
      <c r="F1168" s="541">
        <f>IF(C1168="",0,IFERROR(VLOOKUP(COUNTIF($A$1:A1168,"ANALISIS DE PRECIOS"),T_Rendimiento_Equipo,5,FALSE),0))</f>
        <v>0</v>
      </c>
      <c r="G1168" s="538">
        <f>IFERROR(ROUND(D1168*E1168/F1168,2),0)</f>
        <v>0</v>
      </c>
    </row>
    <row r="1169" spans="1:7" ht="19.899999999999999" customHeight="1" x14ac:dyDescent="0.2">
      <c r="A1169" s="584" t="str">
        <f t="shared" si="324"/>
        <v>INDEC-CM - 37510-11</v>
      </c>
      <c r="B1169" s="544" t="str">
        <f t="shared" si="325"/>
        <v>Hormigón elaborado</v>
      </c>
      <c r="C1169" s="548" t="str">
        <f t="shared" ref="C1169:C1171" si="327">+C44</f>
        <v>Hormigon Elaborado</v>
      </c>
      <c r="D1169" s="541"/>
      <c r="E1169" s="538">
        <f t="shared" si="326"/>
        <v>0</v>
      </c>
      <c r="F1169" s="541">
        <f>IF(C1169="",0,IFERROR(VLOOKUP(COUNTIF($A$1:A1169,"ANALISIS DE PRECIOS"),T_Rendimiento_Equipo,5,FALSE),0))</f>
        <v>0</v>
      </c>
      <c r="G1169" s="538">
        <f>IFERROR(ROUND(D1169*E1169/F1169,2),0)</f>
        <v>0</v>
      </c>
    </row>
    <row r="1170" spans="1:7" ht="19.899999999999999" customHeight="1" x14ac:dyDescent="0.2">
      <c r="A1170" s="584" t="str">
        <f t="shared" si="324"/>
        <v>INDEC-DCTO - Inciso j)</v>
      </c>
      <c r="B1170" s="544" t="str">
        <f t="shared" si="325"/>
        <v>Equipo - Amortización de equipo</v>
      </c>
      <c r="C1170" s="548" t="str">
        <f t="shared" si="327"/>
        <v>Equipo - Amortizacion de equipo</v>
      </c>
      <c r="D1170" s="541"/>
      <c r="E1170" s="538">
        <f t="shared" si="326"/>
        <v>0</v>
      </c>
      <c r="F1170" s="541">
        <f>IF(C1170="",0,IFERROR(VLOOKUP(COUNTIF($A$1:A1170,"ANALISIS DE PRECIOS"),T_Rendimiento_Equipo,5,FALSE),0))</f>
        <v>0</v>
      </c>
      <c r="G1170" s="538">
        <f t="shared" ref="G1170:G1174" si="328">IFERROR(ROUND(D1170*E1170/F1170,2),0)</f>
        <v>0</v>
      </c>
    </row>
    <row r="1171" spans="1:7" ht="19.899999999999999" customHeight="1" x14ac:dyDescent="0.2">
      <c r="A1171" s="584" t="str">
        <f t="shared" si="324"/>
        <v>INDEC-CM - 41242-11</v>
      </c>
      <c r="B1171" s="544" t="str">
        <f t="shared" si="325"/>
        <v>Acero aletado conformado, en barra</v>
      </c>
      <c r="C1171" s="548" t="str">
        <f t="shared" si="327"/>
        <v>Hierro</v>
      </c>
      <c r="D1171" s="541"/>
      <c r="E1171" s="538">
        <f t="shared" si="326"/>
        <v>0</v>
      </c>
      <c r="F1171" s="541">
        <f>IF(C1171="",0,IFERROR(VLOOKUP(COUNTIF($A$1:A1171,"ANALISIS DE PRECIOS"),T_Rendimiento_Equipo,5,FALSE),0))</f>
        <v>0</v>
      </c>
      <c r="G1171" s="538">
        <f t="shared" si="328"/>
        <v>0</v>
      </c>
    </row>
    <row r="1172" spans="1:7" ht="19.899999999999999" customHeight="1" x14ac:dyDescent="0.2">
      <c r="A1172" s="584">
        <f t="shared" si="324"/>
        <v>0</v>
      </c>
      <c r="B1172" s="544">
        <f t="shared" si="325"/>
        <v>0</v>
      </c>
      <c r="C1172" s="535"/>
      <c r="D1172" s="541"/>
      <c r="E1172" s="538">
        <f t="shared" si="326"/>
        <v>0</v>
      </c>
      <c r="F1172" s="541">
        <f>IF(C1172="",0,IFERROR(VLOOKUP(COUNTIF($A$1:A1172,"ANALISIS DE PRECIOS"),T_Rendimiento_Equipo,5,FALSE),0))</f>
        <v>0</v>
      </c>
      <c r="G1172" s="538">
        <f t="shared" si="328"/>
        <v>0</v>
      </c>
    </row>
    <row r="1173" spans="1:7" ht="19.899999999999999" customHeight="1" x14ac:dyDescent="0.2">
      <c r="A1173" s="584">
        <f t="shared" si="324"/>
        <v>0</v>
      </c>
      <c r="B1173" s="544">
        <f t="shared" si="325"/>
        <v>0</v>
      </c>
      <c r="C1173" s="535"/>
      <c r="D1173" s="549"/>
      <c r="E1173" s="538">
        <f t="shared" si="326"/>
        <v>0</v>
      </c>
      <c r="F1173" s="541">
        <f>IF(C1173="",0,IFERROR(VLOOKUP(COUNTIF($A$1:A1173,"ANALISIS DE PRECIOS"),T_Rendimiento_Equipo,5,FALSE),0))</f>
        <v>0</v>
      </c>
      <c r="G1173" s="538">
        <f t="shared" si="328"/>
        <v>0</v>
      </c>
    </row>
    <row r="1174" spans="1:7" ht="19.899999999999999" customHeight="1" x14ac:dyDescent="0.2">
      <c r="A1174" s="584">
        <f t="shared" si="324"/>
        <v>0</v>
      </c>
      <c r="B1174" s="544">
        <f t="shared" si="325"/>
        <v>0</v>
      </c>
      <c r="C1174" s="544"/>
      <c r="D1174" s="550"/>
      <c r="E1174" s="538">
        <f t="shared" si="326"/>
        <v>0</v>
      </c>
      <c r="F1174" s="541">
        <f>IF(C1174="",0,IFERROR(VLOOKUP(COUNTIF($A$1:A1174,"ANALISIS DE PRECIOS"),T_Rendimiento_Equipo,5,FALSE),0))</f>
        <v>0</v>
      </c>
      <c r="G1174" s="538">
        <f t="shared" si="328"/>
        <v>0</v>
      </c>
    </row>
    <row r="1175" spans="1:7" ht="19.899999999999999" customHeight="1" x14ac:dyDescent="0.2">
      <c r="A1175" s="585"/>
      <c r="B1175" s="524"/>
      <c r="C1175" s="528"/>
      <c r="D1175" s="524"/>
      <c r="E1175" s="525"/>
      <c r="F1175" s="547" t="s">
        <v>28</v>
      </c>
      <c r="G1175" s="587">
        <f>SUBTOTAL(9,G1168:G1174)</f>
        <v>0</v>
      </c>
    </row>
    <row r="1176" spans="1:7" ht="19.899999999999999" customHeight="1" x14ac:dyDescent="0.2">
      <c r="A1176" s="582"/>
      <c r="B1176" s="528"/>
      <c r="C1176" s="520" t="s">
        <v>992</v>
      </c>
      <c r="D1176" s="524"/>
      <c r="E1176" s="525"/>
      <c r="F1176" s="526"/>
      <c r="G1176" s="583"/>
    </row>
    <row r="1177" spans="1:7" ht="19.899999999999999" customHeight="1" x14ac:dyDescent="0.2">
      <c r="A1177" s="793" t="s">
        <v>576</v>
      </c>
      <c r="B1177" s="794"/>
      <c r="C1177" s="795" t="s">
        <v>0</v>
      </c>
      <c r="D1177" s="795" t="s">
        <v>1740</v>
      </c>
      <c r="E1177" s="797" t="s">
        <v>24</v>
      </c>
      <c r="F1177" s="799" t="s">
        <v>25</v>
      </c>
      <c r="G1177" s="801" t="s">
        <v>26</v>
      </c>
    </row>
    <row r="1178" spans="1:7" ht="19.899999999999999" customHeight="1" x14ac:dyDescent="0.2">
      <c r="A1178" s="543" t="s">
        <v>577</v>
      </c>
      <c r="B1178" s="543" t="s">
        <v>578</v>
      </c>
      <c r="C1178" s="796"/>
      <c r="D1178" s="796"/>
      <c r="E1178" s="798"/>
      <c r="F1178" s="800"/>
      <c r="G1178" s="802"/>
    </row>
    <row r="1179" spans="1:7" ht="19.899999999999999" customHeight="1" x14ac:dyDescent="0.2">
      <c r="A1179" s="584">
        <f t="shared" ref="A1179:A1189" si="329">IFERROR(VLOOKUP(C1179,T_Insumos,4,FALSE),0)</f>
        <v>0</v>
      </c>
      <c r="B1179" s="544">
        <f t="shared" ref="B1179:B1189" si="330">IFERROR(VLOOKUP(C1179,T_Insumos,5,FALSE),0)</f>
        <v>0</v>
      </c>
      <c r="C1179" s="544">
        <f>+C129</f>
        <v>0</v>
      </c>
      <c r="D1179" s="596">
        <f t="shared" ref="D1179:D1189" si="331">IFERROR(VLOOKUP(C1179,T_Insumos,2,FALSE),0)</f>
        <v>0</v>
      </c>
      <c r="E1179" s="536"/>
      <c r="F1179" s="538">
        <f t="shared" ref="F1179:F1189" si="332">IFERROR(VLOOKUP(C1179,T_Insumos,3,FALSE),0)</f>
        <v>0</v>
      </c>
      <c r="G1179" s="538">
        <f>ROUND(E1179*F1179,2)</f>
        <v>0</v>
      </c>
    </row>
    <row r="1180" spans="1:7" ht="19.899999999999999" customHeight="1" x14ac:dyDescent="0.2">
      <c r="A1180" s="584">
        <f t="shared" si="329"/>
        <v>0</v>
      </c>
      <c r="B1180" s="544">
        <f t="shared" si="330"/>
        <v>0</v>
      </c>
      <c r="C1180" s="544">
        <f t="shared" ref="C1180:C1187" si="333">+C130</f>
        <v>0</v>
      </c>
      <c r="D1180" s="596">
        <f t="shared" si="331"/>
        <v>0</v>
      </c>
      <c r="E1180" s="536"/>
      <c r="F1180" s="538">
        <f t="shared" si="332"/>
        <v>0</v>
      </c>
      <c r="G1180" s="538">
        <f t="shared" ref="G1180:G1189" si="334">ROUND(E1180*F1180,2)</f>
        <v>0</v>
      </c>
    </row>
    <row r="1181" spans="1:7" ht="19.899999999999999" customHeight="1" x14ac:dyDescent="0.2">
      <c r="A1181" s="584">
        <f t="shared" si="329"/>
        <v>0</v>
      </c>
      <c r="B1181" s="544">
        <f t="shared" si="330"/>
        <v>0</v>
      </c>
      <c r="C1181" s="544">
        <f t="shared" si="333"/>
        <v>0</v>
      </c>
      <c r="D1181" s="596">
        <f t="shared" si="331"/>
        <v>0</v>
      </c>
      <c r="E1181" s="536"/>
      <c r="F1181" s="538">
        <f t="shared" si="332"/>
        <v>0</v>
      </c>
      <c r="G1181" s="538">
        <f t="shared" si="334"/>
        <v>0</v>
      </c>
    </row>
    <row r="1182" spans="1:7" ht="19.899999999999999" customHeight="1" x14ac:dyDescent="0.2">
      <c r="A1182" s="584">
        <f t="shared" si="329"/>
        <v>0</v>
      </c>
      <c r="B1182" s="544">
        <f t="shared" si="330"/>
        <v>0</v>
      </c>
      <c r="C1182" s="544">
        <f t="shared" si="333"/>
        <v>0</v>
      </c>
      <c r="D1182" s="596">
        <f t="shared" si="331"/>
        <v>0</v>
      </c>
      <c r="E1182" s="536"/>
      <c r="F1182" s="538">
        <f t="shared" si="332"/>
        <v>0</v>
      </c>
      <c r="G1182" s="538">
        <f t="shared" si="334"/>
        <v>0</v>
      </c>
    </row>
    <row r="1183" spans="1:7" ht="19.899999999999999" customHeight="1" x14ac:dyDescent="0.2">
      <c r="A1183" s="584">
        <f t="shared" si="329"/>
        <v>0</v>
      </c>
      <c r="B1183" s="544">
        <f t="shared" si="330"/>
        <v>0</v>
      </c>
      <c r="C1183" s="544">
        <f t="shared" si="333"/>
        <v>0</v>
      </c>
      <c r="D1183" s="596">
        <f t="shared" si="331"/>
        <v>0</v>
      </c>
      <c r="E1183" s="536"/>
      <c r="F1183" s="538">
        <f t="shared" si="332"/>
        <v>0</v>
      </c>
      <c r="G1183" s="538">
        <f t="shared" si="334"/>
        <v>0</v>
      </c>
    </row>
    <row r="1184" spans="1:7" ht="19.899999999999999" customHeight="1" x14ac:dyDescent="0.2">
      <c r="A1184" s="584">
        <f t="shared" si="329"/>
        <v>0</v>
      </c>
      <c r="B1184" s="544">
        <f t="shared" si="330"/>
        <v>0</v>
      </c>
      <c r="C1184" s="544">
        <f t="shared" si="333"/>
        <v>0</v>
      </c>
      <c r="D1184" s="596">
        <f t="shared" si="331"/>
        <v>0</v>
      </c>
      <c r="E1184" s="536"/>
      <c r="F1184" s="538">
        <f t="shared" si="332"/>
        <v>0</v>
      </c>
      <c r="G1184" s="538">
        <f t="shared" si="334"/>
        <v>0</v>
      </c>
    </row>
    <row r="1185" spans="1:7" ht="19.899999999999999" customHeight="1" x14ac:dyDescent="0.2">
      <c r="A1185" s="584">
        <f t="shared" si="329"/>
        <v>0</v>
      </c>
      <c r="B1185" s="544">
        <f t="shared" si="330"/>
        <v>0</v>
      </c>
      <c r="C1185" s="544">
        <f t="shared" si="333"/>
        <v>0</v>
      </c>
      <c r="D1185" s="596">
        <f t="shared" si="331"/>
        <v>0</v>
      </c>
      <c r="E1185" s="536"/>
      <c r="F1185" s="538">
        <f t="shared" si="332"/>
        <v>0</v>
      </c>
      <c r="G1185" s="538">
        <f t="shared" si="334"/>
        <v>0</v>
      </c>
    </row>
    <row r="1186" spans="1:7" ht="19.899999999999999" customHeight="1" x14ac:dyDescent="0.2">
      <c r="A1186" s="584">
        <f t="shared" si="329"/>
        <v>0</v>
      </c>
      <c r="B1186" s="544">
        <f t="shared" si="330"/>
        <v>0</v>
      </c>
      <c r="C1186" s="544">
        <f t="shared" si="333"/>
        <v>0</v>
      </c>
      <c r="D1186" s="596">
        <f t="shared" si="331"/>
        <v>0</v>
      </c>
      <c r="E1186" s="536"/>
      <c r="F1186" s="538">
        <f t="shared" si="332"/>
        <v>0</v>
      </c>
      <c r="G1186" s="538">
        <f t="shared" si="334"/>
        <v>0</v>
      </c>
    </row>
    <row r="1187" spans="1:7" ht="19.899999999999999" customHeight="1" x14ac:dyDescent="0.2">
      <c r="A1187" s="584">
        <f t="shared" si="329"/>
        <v>0</v>
      </c>
      <c r="B1187" s="544">
        <f t="shared" si="330"/>
        <v>0</v>
      </c>
      <c r="C1187" s="544">
        <f t="shared" si="333"/>
        <v>0</v>
      </c>
      <c r="D1187" s="596">
        <f t="shared" si="331"/>
        <v>0</v>
      </c>
      <c r="E1187" s="536"/>
      <c r="F1187" s="538">
        <f t="shared" si="332"/>
        <v>0</v>
      </c>
      <c r="G1187" s="538">
        <f t="shared" si="334"/>
        <v>0</v>
      </c>
    </row>
    <row r="1188" spans="1:7" ht="19.899999999999999" customHeight="1" x14ac:dyDescent="0.2">
      <c r="A1188" s="584">
        <f t="shared" si="329"/>
        <v>0</v>
      </c>
      <c r="B1188" s="544">
        <f t="shared" si="330"/>
        <v>0</v>
      </c>
      <c r="C1188" s="544"/>
      <c r="D1188" s="596">
        <f t="shared" si="331"/>
        <v>0</v>
      </c>
      <c r="E1188" s="536"/>
      <c r="F1188" s="538">
        <f t="shared" si="332"/>
        <v>0</v>
      </c>
      <c r="G1188" s="538">
        <f t="shared" si="334"/>
        <v>0</v>
      </c>
    </row>
    <row r="1189" spans="1:7" ht="19.899999999999999" customHeight="1" x14ac:dyDescent="0.2">
      <c r="A1189" s="584">
        <f t="shared" si="329"/>
        <v>0</v>
      </c>
      <c r="B1189" s="544">
        <f t="shared" si="330"/>
        <v>0</v>
      </c>
      <c r="C1189" s="544"/>
      <c r="D1189" s="596">
        <f t="shared" si="331"/>
        <v>0</v>
      </c>
      <c r="E1189" s="536"/>
      <c r="F1189" s="538">
        <f t="shared" si="332"/>
        <v>0</v>
      </c>
      <c r="G1189" s="538">
        <f t="shared" si="334"/>
        <v>0</v>
      </c>
    </row>
    <row r="1190" spans="1:7" ht="19.899999999999999" customHeight="1" x14ac:dyDescent="0.2">
      <c r="A1190" s="582"/>
      <c r="B1190" s="528"/>
      <c r="C1190" s="528"/>
      <c r="D1190" s="524"/>
      <c r="E1190" s="525"/>
      <c r="F1190" s="547" t="s">
        <v>29</v>
      </c>
      <c r="G1190" s="588">
        <f>SUBTOTAL(9,G1179:G1189)</f>
        <v>0</v>
      </c>
    </row>
    <row r="1191" spans="1:7" ht="19.899999999999999" customHeight="1" x14ac:dyDescent="0.2">
      <c r="A1191" s="582"/>
      <c r="B1191" s="528"/>
      <c r="C1191" s="520" t="s">
        <v>993</v>
      </c>
      <c r="D1191" s="524"/>
      <c r="E1191" s="525"/>
      <c r="F1191" s="526"/>
      <c r="G1191" s="583"/>
    </row>
    <row r="1192" spans="1:7" ht="19.899999999999999" customHeight="1" x14ac:dyDescent="0.2">
      <c r="A1192" s="793" t="s">
        <v>576</v>
      </c>
      <c r="B1192" s="794"/>
      <c r="C1192" s="795" t="s">
        <v>0</v>
      </c>
      <c r="D1192" s="795" t="s">
        <v>1740</v>
      </c>
      <c r="E1192" s="797" t="s">
        <v>24</v>
      </c>
      <c r="F1192" s="799" t="s">
        <v>25</v>
      </c>
      <c r="G1192" s="801" t="s">
        <v>26</v>
      </c>
    </row>
    <row r="1193" spans="1:7" ht="19.899999999999999" customHeight="1" x14ac:dyDescent="0.2">
      <c r="A1193" s="543" t="s">
        <v>577</v>
      </c>
      <c r="B1193" s="543" t="s">
        <v>578</v>
      </c>
      <c r="C1193" s="796"/>
      <c r="D1193" s="796"/>
      <c r="E1193" s="798"/>
      <c r="F1193" s="800"/>
      <c r="G1193" s="802"/>
    </row>
    <row r="1194" spans="1:7" ht="19.899999999999999" customHeight="1" x14ac:dyDescent="0.2">
      <c r="A1194" s="584">
        <f>IFERROR(VLOOKUP(C1194,T_Insumos,4,FALSE),0)</f>
        <v>0</v>
      </c>
      <c r="B1194" s="544">
        <f>IFERROR(VLOOKUP(C1194,T_Insumos,5,FALSE),0)</f>
        <v>0</v>
      </c>
      <c r="C1194" s="535"/>
      <c r="D1194" s="596">
        <f>IF(C1194=0,0,"$/tnkm")</f>
        <v>0</v>
      </c>
      <c r="E1194" s="536"/>
      <c r="F1194" s="538">
        <f>IFERROR(VLOOKUP(C1194,T_Insumos,3,FALSE),0)</f>
        <v>0</v>
      </c>
      <c r="G1194" s="538">
        <f>ROUND(E1194*F1194,2)</f>
        <v>0</v>
      </c>
    </row>
    <row r="1195" spans="1:7" ht="19.899999999999999" customHeight="1" x14ac:dyDescent="0.2">
      <c r="A1195" s="584">
        <f>IFERROR(VLOOKUP(C1195,T_Insumos,4,FALSE),0)</f>
        <v>0</v>
      </c>
      <c r="B1195" s="544">
        <f>IFERROR(VLOOKUP(C1195,T_Insumos,5,FALSE),0)</f>
        <v>0</v>
      </c>
      <c r="C1195" s="535"/>
      <c r="D1195" s="596">
        <f>IF(C1195=0,0,"$/tnkm")</f>
        <v>0</v>
      </c>
      <c r="E1195" s="552"/>
      <c r="F1195" s="538">
        <f>IFERROR(VLOOKUP(C1195,T_Insumos,3,FALSE),0)</f>
        <v>0</v>
      </c>
      <c r="G1195" s="538">
        <f t="shared" ref="G1195" si="335">ROUND(E1195*F1195,2)</f>
        <v>0</v>
      </c>
    </row>
    <row r="1196" spans="1:7" ht="19.899999999999999" customHeight="1" x14ac:dyDescent="0.2">
      <c r="A1196" s="582"/>
      <c r="B1196" s="528"/>
      <c r="C1196" s="528"/>
      <c r="D1196" s="524"/>
      <c r="E1196" s="525"/>
      <c r="F1196" s="547" t="s">
        <v>994</v>
      </c>
      <c r="G1196" s="588">
        <f>SUBTOTAL(9,G1194:G1195)</f>
        <v>0</v>
      </c>
    </row>
    <row r="1197" spans="1:7" ht="19.899999999999999" customHeight="1" x14ac:dyDescent="0.2">
      <c r="A1197" s="585"/>
      <c r="B1197" s="524"/>
      <c r="C1197" s="528"/>
      <c r="D1197" s="524"/>
      <c r="E1197" s="525"/>
      <c r="F1197" s="526"/>
      <c r="G1197" s="583"/>
    </row>
    <row r="1198" spans="1:7" ht="19.899999999999999" customHeight="1" x14ac:dyDescent="0.2">
      <c r="A1198" s="647" t="str">
        <f>B1132</f>
        <v>4.3</v>
      </c>
      <c r="B1198" s="644" t="str">
        <f ca="1">C1132</f>
        <v>Hormigon H-21</v>
      </c>
      <c r="C1198" s="524"/>
      <c r="D1198" s="524" t="s">
        <v>1719</v>
      </c>
      <c r="E1198" s="645"/>
      <c r="F1198" s="646" t="str">
        <f ca="1">"$/"&amp;G1132</f>
        <v>$/m3</v>
      </c>
      <c r="G1198" s="593">
        <f>SUBTOTAL(9,G1155:G1197)</f>
        <v>0</v>
      </c>
    </row>
    <row r="1199" spans="1:7" ht="19.899999999999999" customHeight="1" x14ac:dyDescent="0.2">
      <c r="A1199" s="589"/>
      <c r="B1199" s="590"/>
      <c r="C1199" s="591"/>
      <c r="D1199" s="591" t="s">
        <v>1915</v>
      </c>
      <c r="E1199" s="592"/>
      <c r="F1199" s="648" t="str">
        <f ca="1">"$/"&amp;G1132</f>
        <v>$/m3</v>
      </c>
      <c r="G1199" s="593">
        <f>ROUND(G1198*Coeficiente_Paso,2)</f>
        <v>0</v>
      </c>
    </row>
    <row r="1200" spans="1:7" ht="19.899999999999999" customHeight="1" x14ac:dyDescent="0.2">
      <c r="A1200" s="185"/>
      <c r="B1200" s="185"/>
      <c r="C1200" s="185"/>
      <c r="D1200" s="185"/>
      <c r="E1200" s="185"/>
      <c r="F1200" s="185"/>
      <c r="G1200" s="185"/>
    </row>
    <row r="1201" spans="1:8" ht="19.899999999999999" customHeight="1" x14ac:dyDescent="0.2">
      <c r="A1201" s="803" t="s">
        <v>31</v>
      </c>
      <c r="B1201" s="804"/>
      <c r="C1201" s="804"/>
      <c r="D1201" s="804"/>
      <c r="E1201" s="804"/>
      <c r="F1201" s="804"/>
      <c r="G1201" s="805"/>
      <c r="H1201" s="516"/>
    </row>
    <row r="1202" spans="1:8" ht="19.899999999999999" customHeight="1" x14ac:dyDescent="0.2">
      <c r="A1202" s="570" t="s">
        <v>711</v>
      </c>
      <c r="B1202" s="518" t="str">
        <f>Comitente</f>
        <v>DEPARTAMENTO DE HIDRAULICA</v>
      </c>
      <c r="C1202" s="519"/>
      <c r="D1202" s="520"/>
      <c r="E1202" s="520"/>
      <c r="F1202" s="521"/>
      <c r="G1202" s="571"/>
      <c r="H1202" s="516"/>
    </row>
    <row r="1203" spans="1:8" ht="19.899999999999999" customHeight="1" x14ac:dyDescent="0.2">
      <c r="A1203" s="570" t="s">
        <v>712</v>
      </c>
      <c r="B1203" s="518">
        <f>Contratista</f>
        <v>0</v>
      </c>
      <c r="C1203" s="522"/>
      <c r="D1203" s="522"/>
      <c r="E1203" s="522"/>
      <c r="F1203" s="518"/>
      <c r="G1203" s="572"/>
      <c r="H1203" s="516"/>
    </row>
    <row r="1204" spans="1:8" ht="19.899999999999999" customHeight="1" x14ac:dyDescent="0.2">
      <c r="A1204" s="570" t="s">
        <v>21</v>
      </c>
      <c r="B1204" s="518" t="str">
        <f>Obra</f>
        <v>ENCAMISADO CANAL GENERAL COCHAGUAL</v>
      </c>
      <c r="C1204" s="522"/>
      <c r="D1204" s="522"/>
      <c r="E1204" s="522"/>
      <c r="F1204" s="518" t="s">
        <v>32</v>
      </c>
      <c r="G1204" s="572">
        <f>Fecha_Base</f>
        <v>44319</v>
      </c>
      <c r="H1204" s="516"/>
    </row>
    <row r="1205" spans="1:8" ht="19.899999999999999" customHeight="1" x14ac:dyDescent="0.2">
      <c r="A1205" s="573" t="s">
        <v>710</v>
      </c>
      <c r="B1205" s="523" t="str">
        <f>Ubicación</f>
        <v>DEPARTAMENTO SARMIENTO</v>
      </c>
      <c r="C1205" s="523"/>
      <c r="D1205" s="524"/>
      <c r="E1205" s="525"/>
      <c r="F1205" s="526"/>
      <c r="G1205" s="574"/>
      <c r="H1205" s="516"/>
    </row>
    <row r="1206" spans="1:8" ht="19.899999999999999" customHeight="1" x14ac:dyDescent="0.2">
      <c r="A1206" s="573" t="s">
        <v>33</v>
      </c>
      <c r="B1206" s="527">
        <f>IFERROR(VALUE(LEFT(B1207,FIND(".",B1207)-1)),"")</f>
        <v>4</v>
      </c>
      <c r="C1206" s="528" t="str">
        <f ca="1">IFERROR(VLOOKUP(B1206,T_Computo_Presupuesto,2,FALSE),0)</f>
        <v>PUENTES SOBRE CANAL</v>
      </c>
      <c r="D1206" s="528"/>
      <c r="E1206" s="525"/>
      <c r="F1206" s="526"/>
      <c r="G1206" s="574"/>
      <c r="H1206" s="516"/>
    </row>
    <row r="1207" spans="1:8" ht="19.899999999999999" customHeight="1" x14ac:dyDescent="0.2">
      <c r="A1207" s="573" t="s">
        <v>22</v>
      </c>
      <c r="B1207" s="529" t="str">
        <f>IFERROR(VLOOKUP(COUNTIF($A$1:A1207,"ANALISIS DE PRECIOS"),T_NumeroItem,2,FALSE),"")</f>
        <v>4.4</v>
      </c>
      <c r="C1207" s="806" t="str">
        <f ca="1">IFERROR(VLOOKUP(B1207,T_Computo_Presupuesto,2,FALSE),0)</f>
        <v>Hormigon Ciclopeo (30%piedra bola)</v>
      </c>
      <c r="D1207" s="806"/>
      <c r="E1207" s="806"/>
      <c r="F1207" s="523" t="s">
        <v>23</v>
      </c>
      <c r="G1207" s="575" t="str">
        <f ca="1">IFERROR(VLOOKUP(B1207,T_Computo_Presupuesto,4,FALSE),0)</f>
        <v>m3</v>
      </c>
      <c r="H1207" s="516"/>
    </row>
    <row r="1208" spans="1:8" ht="19.899999999999999" customHeight="1" x14ac:dyDescent="0.2">
      <c r="A1208" s="573"/>
      <c r="B1208" s="523"/>
      <c r="C1208" s="528"/>
      <c r="D1208" s="524"/>
      <c r="E1208" s="525"/>
      <c r="F1208" s="528"/>
      <c r="G1208" s="576"/>
      <c r="H1208" s="516"/>
    </row>
    <row r="1209" spans="1:8" ht="19.899999999999999" customHeight="1" x14ac:dyDescent="0.2">
      <c r="A1209" s="577"/>
      <c r="B1209" s="530"/>
      <c r="C1209" s="531" t="s">
        <v>977</v>
      </c>
      <c r="D1209" s="530"/>
      <c r="E1209" s="530"/>
      <c r="F1209" s="530"/>
      <c r="G1209" s="578"/>
      <c r="H1209" s="516"/>
    </row>
    <row r="1210" spans="1:8" ht="19.899999999999999" customHeight="1" x14ac:dyDescent="0.2">
      <c r="A1210" s="573"/>
      <c r="B1210" s="532"/>
      <c r="C1210" s="528"/>
      <c r="D1210" s="524"/>
      <c r="E1210" s="525"/>
      <c r="F1210" s="523"/>
      <c r="G1210" s="575"/>
      <c r="H1210" s="516"/>
    </row>
    <row r="1211" spans="1:8" ht="19.899999999999999" customHeight="1" x14ac:dyDescent="0.2">
      <c r="A1211" s="573"/>
      <c r="B1211" s="532"/>
      <c r="C1211" s="533" t="s">
        <v>978</v>
      </c>
      <c r="D1211" s="534" t="s">
        <v>24</v>
      </c>
      <c r="E1211" s="534" t="s">
        <v>979</v>
      </c>
      <c r="F1211" s="534" t="s">
        <v>980</v>
      </c>
      <c r="G1211" s="533" t="s">
        <v>981</v>
      </c>
    </row>
    <row r="1212" spans="1:8" ht="19.899999999999999" customHeight="1" x14ac:dyDescent="0.2">
      <c r="A1212" s="573"/>
      <c r="B1212" s="532"/>
      <c r="C1212" s="535">
        <f>+Equipos!A10</f>
        <v>0</v>
      </c>
      <c r="D1212" s="536"/>
      <c r="E1212" s="537">
        <f t="shared" ref="E1212:E1221" si="336">IFERROR(VLOOKUP(C1212,T_Equipos,4,FALSE),0)</f>
        <v>0</v>
      </c>
      <c r="F1212" s="538">
        <f t="shared" ref="F1212:F1221" si="337">IFERROR(VLOOKUP(C1212,T_Equipos,5,FALSE),0)</f>
        <v>0</v>
      </c>
      <c r="G1212" s="538">
        <f>ROUND(D1212*F1212,2)</f>
        <v>0</v>
      </c>
    </row>
    <row r="1213" spans="1:8" ht="19.899999999999999" customHeight="1" x14ac:dyDescent="0.2">
      <c r="A1213" s="573"/>
      <c r="B1213" s="532"/>
      <c r="C1213" s="535">
        <f>+Equipos!A15</f>
        <v>0</v>
      </c>
      <c r="D1213" s="536"/>
      <c r="E1213" s="537">
        <f t="shared" si="336"/>
        <v>0</v>
      </c>
      <c r="F1213" s="538">
        <f t="shared" si="337"/>
        <v>0</v>
      </c>
      <c r="G1213" s="538">
        <f>ROUND(D1213*F1213,2)</f>
        <v>0</v>
      </c>
    </row>
    <row r="1214" spans="1:8" ht="19.899999999999999" customHeight="1" x14ac:dyDescent="0.2">
      <c r="A1214" s="573"/>
      <c r="B1214" s="532"/>
      <c r="C1214" s="535">
        <f>+Equipos!A31</f>
        <v>0</v>
      </c>
      <c r="D1214" s="536"/>
      <c r="E1214" s="537">
        <f t="shared" si="336"/>
        <v>0</v>
      </c>
      <c r="F1214" s="538">
        <f t="shared" si="337"/>
        <v>0</v>
      </c>
      <c r="G1214" s="538">
        <f>ROUND(D1214*F1214,2)</f>
        <v>0</v>
      </c>
    </row>
    <row r="1215" spans="1:8" ht="19.899999999999999" customHeight="1" x14ac:dyDescent="0.2">
      <c r="A1215" s="573"/>
      <c r="B1215" s="532"/>
      <c r="C1215" s="535">
        <f>+Equipos!A22</f>
        <v>0</v>
      </c>
      <c r="D1215" s="536"/>
      <c r="E1215" s="537">
        <f t="shared" si="336"/>
        <v>0</v>
      </c>
      <c r="F1215" s="538">
        <f t="shared" si="337"/>
        <v>0</v>
      </c>
      <c r="G1215" s="538">
        <f>ROUND(D1215*F1215,2)</f>
        <v>0</v>
      </c>
    </row>
    <row r="1216" spans="1:8" ht="19.899999999999999" customHeight="1" x14ac:dyDescent="0.2">
      <c r="A1216" s="573"/>
      <c r="B1216" s="532"/>
      <c r="C1216" s="535"/>
      <c r="D1216" s="536"/>
      <c r="E1216" s="537">
        <f t="shared" si="336"/>
        <v>0</v>
      </c>
      <c r="F1216" s="538">
        <f t="shared" si="337"/>
        <v>0</v>
      </c>
      <c r="G1216" s="538">
        <f t="shared" ref="G1216:G1221" si="338">ROUND(D1216*F1216,2)</f>
        <v>0</v>
      </c>
    </row>
    <row r="1217" spans="1:7" ht="19.899999999999999" customHeight="1" x14ac:dyDescent="0.2">
      <c r="A1217" s="573"/>
      <c r="B1217" s="532"/>
      <c r="C1217" s="535"/>
      <c r="D1217" s="536"/>
      <c r="E1217" s="537">
        <f t="shared" si="336"/>
        <v>0</v>
      </c>
      <c r="F1217" s="538">
        <f t="shared" si="337"/>
        <v>0</v>
      </c>
      <c r="G1217" s="538">
        <f t="shared" si="338"/>
        <v>0</v>
      </c>
    </row>
    <row r="1218" spans="1:7" ht="19.899999999999999" customHeight="1" x14ac:dyDescent="0.2">
      <c r="A1218" s="573"/>
      <c r="B1218" s="532"/>
      <c r="C1218" s="535"/>
      <c r="D1218" s="536"/>
      <c r="E1218" s="537">
        <f t="shared" si="336"/>
        <v>0</v>
      </c>
      <c r="F1218" s="538">
        <f t="shared" si="337"/>
        <v>0</v>
      </c>
      <c r="G1218" s="538">
        <f t="shared" si="338"/>
        <v>0</v>
      </c>
    </row>
    <row r="1219" spans="1:7" ht="19.899999999999999" customHeight="1" x14ac:dyDescent="0.2">
      <c r="A1219" s="573"/>
      <c r="B1219" s="532"/>
      <c r="C1219" s="535"/>
      <c r="D1219" s="536"/>
      <c r="E1219" s="537">
        <f t="shared" si="336"/>
        <v>0</v>
      </c>
      <c r="F1219" s="538">
        <f t="shared" si="337"/>
        <v>0</v>
      </c>
      <c r="G1219" s="538">
        <f t="shared" si="338"/>
        <v>0</v>
      </c>
    </row>
    <row r="1220" spans="1:7" ht="19.899999999999999" customHeight="1" x14ac:dyDescent="0.2">
      <c r="A1220" s="573"/>
      <c r="B1220" s="532"/>
      <c r="C1220" s="535"/>
      <c r="D1220" s="536"/>
      <c r="E1220" s="537">
        <f t="shared" si="336"/>
        <v>0</v>
      </c>
      <c r="F1220" s="538">
        <f t="shared" si="337"/>
        <v>0</v>
      </c>
      <c r="G1220" s="538">
        <f t="shared" si="338"/>
        <v>0</v>
      </c>
    </row>
    <row r="1221" spans="1:7" ht="19.899999999999999" customHeight="1" x14ac:dyDescent="0.2">
      <c r="A1221" s="573"/>
      <c r="B1221" s="532"/>
      <c r="C1221" s="535"/>
      <c r="D1221" s="536"/>
      <c r="E1221" s="537">
        <f t="shared" si="336"/>
        <v>0</v>
      </c>
      <c r="F1221" s="538">
        <f t="shared" si="337"/>
        <v>0</v>
      </c>
      <c r="G1221" s="538">
        <f t="shared" si="338"/>
        <v>0</v>
      </c>
    </row>
    <row r="1222" spans="1:7" ht="19.899999999999999" customHeight="1" x14ac:dyDescent="0.2">
      <c r="A1222" s="573"/>
      <c r="B1222" s="532"/>
      <c r="C1222" s="528"/>
      <c r="D1222" s="528"/>
      <c r="E1222" s="539"/>
      <c r="F1222" s="523"/>
      <c r="G1222" s="575"/>
    </row>
    <row r="1223" spans="1:7" ht="19.899999999999999" customHeight="1" x14ac:dyDescent="0.2">
      <c r="A1223" s="573"/>
      <c r="B1223" s="528"/>
      <c r="C1223" s="520" t="s">
        <v>982</v>
      </c>
      <c r="D1223" s="523" t="s">
        <v>979</v>
      </c>
      <c r="E1223" s="594">
        <f>SUMPRODUCT(D1212:D1221,E1212:E1221)</f>
        <v>0</v>
      </c>
      <c r="F1223" s="523" t="s">
        <v>983</v>
      </c>
      <c r="G1223" s="595">
        <f>SUM(G1212:G1221)</f>
        <v>0</v>
      </c>
    </row>
    <row r="1224" spans="1:7" ht="19.899999999999999" customHeight="1" x14ac:dyDescent="0.2">
      <c r="A1224" s="573"/>
      <c r="B1224" s="532"/>
      <c r="C1224" s="540"/>
      <c r="D1224" s="539"/>
      <c r="E1224" s="525"/>
      <c r="F1224" s="523"/>
      <c r="G1224" s="579"/>
    </row>
    <row r="1225" spans="1:7" ht="19.899999999999999" customHeight="1" x14ac:dyDescent="0.2">
      <c r="A1225" s="580"/>
      <c r="B1225" s="532"/>
      <c r="C1225" s="523" t="s">
        <v>984</v>
      </c>
      <c r="D1225" s="541">
        <f>IFERROR(VLOOKUP(COUNTIF($A$1:A1225,"ANALISIS DE PRECIOS"),T_Rendimiento_Equipo,5,FALSE),0)</f>
        <v>0</v>
      </c>
      <c r="E1225" s="542" t="str">
        <f ca="1">G1207&amp;"/día"</f>
        <v>m3/día</v>
      </c>
      <c r="F1225" s="581"/>
      <c r="G1225" s="575"/>
    </row>
    <row r="1226" spans="1:7" ht="19.899999999999999" customHeight="1" x14ac:dyDescent="0.2">
      <c r="A1226" s="573"/>
      <c r="B1226" s="532"/>
      <c r="C1226" s="528"/>
      <c r="D1226" s="524"/>
      <c r="E1226" s="525"/>
      <c r="F1226" s="523"/>
      <c r="G1226" s="575"/>
    </row>
    <row r="1227" spans="1:7" ht="19.899999999999999" customHeight="1" x14ac:dyDescent="0.2">
      <c r="A1227" s="793" t="s">
        <v>576</v>
      </c>
      <c r="B1227" s="794"/>
      <c r="C1227" s="795" t="s">
        <v>0</v>
      </c>
      <c r="D1227" s="807" t="s">
        <v>1739</v>
      </c>
      <c r="E1227" s="807" t="s">
        <v>1738</v>
      </c>
      <c r="F1227" s="799" t="s">
        <v>985</v>
      </c>
      <c r="G1227" s="801" t="s">
        <v>26</v>
      </c>
    </row>
    <row r="1228" spans="1:7" ht="19.899999999999999" customHeight="1" x14ac:dyDescent="0.2">
      <c r="A1228" s="543" t="s">
        <v>577</v>
      </c>
      <c r="B1228" s="543" t="s">
        <v>578</v>
      </c>
      <c r="C1228" s="796"/>
      <c r="D1228" s="808"/>
      <c r="E1228" s="798"/>
      <c r="F1228" s="800"/>
      <c r="G1228" s="802"/>
    </row>
    <row r="1229" spans="1:7" ht="19.899999999999999" customHeight="1" x14ac:dyDescent="0.2">
      <c r="A1229" s="582"/>
      <c r="B1229" s="528"/>
      <c r="C1229" s="520" t="s">
        <v>986</v>
      </c>
      <c r="D1229" s="525"/>
      <c r="E1229" s="525"/>
      <c r="F1229" s="528"/>
      <c r="G1229" s="583"/>
    </row>
    <row r="1230" spans="1:7" ht="19.899999999999999" customHeight="1" x14ac:dyDescent="0.2">
      <c r="A1230" s="584">
        <f t="shared" ref="A1230:A1238" si="339">IFERROR(VLOOKUP(C1230,T_Insumos,4,FALSE),0)</f>
        <v>0</v>
      </c>
      <c r="B1230" s="544">
        <f t="shared" ref="B1230:B1238" si="340">IFERROR(VLOOKUP(C1230,T_Insumos,5,FALSE),0)</f>
        <v>0</v>
      </c>
      <c r="C1230" s="535">
        <f>+C30</f>
        <v>0</v>
      </c>
      <c r="D1230" s="545">
        <f t="shared" ref="D1230:D1238" si="341">IFERROR(VLOOKUP(C1230,T_Insumos,3,FALSE),0)</f>
        <v>0</v>
      </c>
      <c r="E1230" s="538">
        <f>D1230*$G$1223</f>
        <v>0</v>
      </c>
      <c r="F1230" s="541">
        <f>IF(C1230="",0,IFERROR(VLOOKUP(COUNTIF($A$1:A1230,"ANALISIS DE PRECIOS"),T_Rendimiento_Equipo,5,FALSE),0))</f>
        <v>0</v>
      </c>
      <c r="G1230" s="538">
        <f>IFERROR(ROUND(E1230/F1230,2),0)</f>
        <v>0</v>
      </c>
    </row>
    <row r="1231" spans="1:7" ht="19.899999999999999" customHeight="1" x14ac:dyDescent="0.2">
      <c r="A1231" s="584">
        <f t="shared" si="339"/>
        <v>0</v>
      </c>
      <c r="B1231" s="544">
        <f t="shared" si="340"/>
        <v>0</v>
      </c>
      <c r="C1231" s="535">
        <f t="shared" ref="C1231:C1233" si="342">+C31</f>
        <v>0</v>
      </c>
      <c r="D1231" s="545">
        <f t="shared" si="341"/>
        <v>0</v>
      </c>
      <c r="E1231" s="538">
        <f t="shared" ref="E1231:E1232" si="343">D1231*$G$1223</f>
        <v>0</v>
      </c>
      <c r="F1231" s="541">
        <f>IF(C1231="",0,IFERROR(VLOOKUP(COUNTIF($A$1:A1231,"ANALISIS DE PRECIOS"),T_Rendimiento_Equipo,5,FALSE),0))</f>
        <v>0</v>
      </c>
      <c r="G1231" s="538">
        <f t="shared" ref="G1231:G1238" si="344">IFERROR(ROUND(E1231/F1231,2),0)</f>
        <v>0</v>
      </c>
    </row>
    <row r="1232" spans="1:7" ht="19.899999999999999" customHeight="1" x14ac:dyDescent="0.2">
      <c r="A1232" s="584">
        <f t="shared" si="339"/>
        <v>0</v>
      </c>
      <c r="B1232" s="544">
        <f t="shared" si="340"/>
        <v>0</v>
      </c>
      <c r="C1232" s="535">
        <f t="shared" si="342"/>
        <v>0</v>
      </c>
      <c r="D1232" s="545">
        <f t="shared" si="341"/>
        <v>0</v>
      </c>
      <c r="E1232" s="538">
        <f t="shared" si="343"/>
        <v>0</v>
      </c>
      <c r="F1232" s="541">
        <f>IF(C1232="",0,IFERROR(VLOOKUP(COUNTIF($A$1:A1232,"ANALISIS DE PRECIOS"),T_Rendimiento_Equipo,5,FALSE),0))</f>
        <v>0</v>
      </c>
      <c r="G1232" s="538">
        <f t="shared" si="344"/>
        <v>0</v>
      </c>
    </row>
    <row r="1233" spans="1:7" ht="19.899999999999999" customHeight="1" x14ac:dyDescent="0.2">
      <c r="A1233" s="584">
        <f t="shared" si="339"/>
        <v>0</v>
      </c>
      <c r="B1233" s="544">
        <f t="shared" si="340"/>
        <v>0</v>
      </c>
      <c r="C1233" s="535">
        <f t="shared" si="342"/>
        <v>0</v>
      </c>
      <c r="D1233" s="545">
        <f t="shared" si="341"/>
        <v>0</v>
      </c>
      <c r="E1233" s="538">
        <f>D1233*$E$1223</f>
        <v>0</v>
      </c>
      <c r="F1233" s="541">
        <f>IF(C1233="",0,IFERROR(VLOOKUP(COUNTIF($A$1:A1233,"ANALISIS DE PRECIOS"),T_Rendimiento_Equipo,5,FALSE),0))</f>
        <v>0</v>
      </c>
      <c r="G1233" s="538">
        <f t="shared" si="344"/>
        <v>0</v>
      </c>
    </row>
    <row r="1234" spans="1:7" ht="19.899999999999999" customHeight="1" x14ac:dyDescent="0.2">
      <c r="A1234" s="584">
        <f t="shared" si="339"/>
        <v>0</v>
      </c>
      <c r="B1234" s="544">
        <f t="shared" si="340"/>
        <v>0</v>
      </c>
      <c r="C1234" s="546"/>
      <c r="D1234" s="545">
        <f t="shared" si="341"/>
        <v>0</v>
      </c>
      <c r="E1234" s="538"/>
      <c r="F1234" s="541">
        <f>IF(C1234="",0,IFERROR(VLOOKUP(COUNTIF($A$1:A1234,"ANALISIS DE PRECIOS"),T_Rendimiento_Equipo,5,FALSE),0))</f>
        <v>0</v>
      </c>
      <c r="G1234" s="538">
        <f t="shared" si="344"/>
        <v>0</v>
      </c>
    </row>
    <row r="1235" spans="1:7" ht="19.899999999999999" customHeight="1" x14ac:dyDescent="0.2">
      <c r="A1235" s="584">
        <f t="shared" si="339"/>
        <v>0</v>
      </c>
      <c r="B1235" s="544">
        <f t="shared" si="340"/>
        <v>0</v>
      </c>
      <c r="C1235" s="546"/>
      <c r="D1235" s="545">
        <f t="shared" si="341"/>
        <v>0</v>
      </c>
      <c r="E1235" s="538"/>
      <c r="F1235" s="541">
        <f>IF(C1235="",0,IFERROR(VLOOKUP(COUNTIF($A$1:A1235,"ANALISIS DE PRECIOS"),T_Rendimiento_Equipo,5,FALSE),0))</f>
        <v>0</v>
      </c>
      <c r="G1235" s="538">
        <f t="shared" si="344"/>
        <v>0</v>
      </c>
    </row>
    <row r="1236" spans="1:7" ht="19.899999999999999" customHeight="1" x14ac:dyDescent="0.2">
      <c r="A1236" s="584">
        <f t="shared" si="339"/>
        <v>0</v>
      </c>
      <c r="B1236" s="544">
        <f t="shared" si="340"/>
        <v>0</v>
      </c>
      <c r="C1236" s="546"/>
      <c r="D1236" s="545">
        <f t="shared" si="341"/>
        <v>0</v>
      </c>
      <c r="E1236" s="538"/>
      <c r="F1236" s="541">
        <f>IF(C1236="",0,IFERROR(VLOOKUP(COUNTIF($A$1:A1236,"ANALISIS DE PRECIOS"),T_Rendimiento_Equipo,5,FALSE),0))</f>
        <v>0</v>
      </c>
      <c r="G1236" s="538">
        <f t="shared" si="344"/>
        <v>0</v>
      </c>
    </row>
    <row r="1237" spans="1:7" ht="19.899999999999999" customHeight="1" x14ac:dyDescent="0.2">
      <c r="A1237" s="584">
        <f t="shared" si="339"/>
        <v>0</v>
      </c>
      <c r="B1237" s="544">
        <f t="shared" si="340"/>
        <v>0</v>
      </c>
      <c r="C1237" s="546"/>
      <c r="D1237" s="545">
        <f t="shared" si="341"/>
        <v>0</v>
      </c>
      <c r="E1237" s="538"/>
      <c r="F1237" s="541">
        <f>IF(C1237="",0,IFERROR(VLOOKUP(COUNTIF($A$1:A1237,"ANALISIS DE PRECIOS"),T_Rendimiento_Equipo,5,FALSE),0))</f>
        <v>0</v>
      </c>
      <c r="G1237" s="538">
        <f t="shared" si="344"/>
        <v>0</v>
      </c>
    </row>
    <row r="1238" spans="1:7" ht="19.899999999999999" customHeight="1" x14ac:dyDescent="0.2">
      <c r="A1238" s="584">
        <f t="shared" si="339"/>
        <v>0</v>
      </c>
      <c r="B1238" s="544">
        <f t="shared" si="340"/>
        <v>0</v>
      </c>
      <c r="C1238" s="535"/>
      <c r="D1238" s="545">
        <f t="shared" si="341"/>
        <v>0</v>
      </c>
      <c r="E1238" s="538"/>
      <c r="F1238" s="541">
        <f>IF(C1238="",0,IFERROR(VLOOKUP(COUNTIF($A$1:A1238,"ANALISIS DE PRECIOS"),T_Rendimiento_Equipo,5,FALSE),0))</f>
        <v>0</v>
      </c>
      <c r="G1238" s="538">
        <f t="shared" si="344"/>
        <v>0</v>
      </c>
    </row>
    <row r="1239" spans="1:7" ht="19.899999999999999" customHeight="1" x14ac:dyDescent="0.2">
      <c r="A1239" s="585"/>
      <c r="B1239" s="524"/>
      <c r="C1239" s="528"/>
      <c r="D1239" s="524"/>
      <c r="E1239" s="525"/>
      <c r="F1239" s="547" t="s">
        <v>27</v>
      </c>
      <c r="G1239" s="586">
        <f>SUBTOTAL(9,G1230:G1238)</f>
        <v>0</v>
      </c>
    </row>
    <row r="1240" spans="1:7" ht="19.899999999999999" customHeight="1" x14ac:dyDescent="0.2">
      <c r="A1240" s="582"/>
      <c r="B1240" s="528"/>
      <c r="C1240" s="520" t="s">
        <v>713</v>
      </c>
      <c r="D1240" s="524"/>
      <c r="E1240" s="525"/>
      <c r="F1240" s="526"/>
      <c r="G1240" s="583"/>
    </row>
    <row r="1241" spans="1:7" ht="19.899999999999999" customHeight="1" x14ac:dyDescent="0.2">
      <c r="A1241" s="793" t="s">
        <v>576</v>
      </c>
      <c r="B1241" s="794"/>
      <c r="C1241" s="795" t="s">
        <v>0</v>
      </c>
      <c r="D1241" s="797" t="s">
        <v>24</v>
      </c>
      <c r="E1241" s="797" t="s">
        <v>1718</v>
      </c>
      <c r="F1241" s="799" t="s">
        <v>985</v>
      </c>
      <c r="G1241" s="801" t="s">
        <v>26</v>
      </c>
    </row>
    <row r="1242" spans="1:7" ht="19.899999999999999" customHeight="1" x14ac:dyDescent="0.2">
      <c r="A1242" s="543" t="s">
        <v>577</v>
      </c>
      <c r="B1242" s="543" t="s">
        <v>578</v>
      </c>
      <c r="C1242" s="796"/>
      <c r="D1242" s="798"/>
      <c r="E1242" s="798"/>
      <c r="F1242" s="800"/>
      <c r="G1242" s="802"/>
    </row>
    <row r="1243" spans="1:7" ht="19.899999999999999" customHeight="1" x14ac:dyDescent="0.2">
      <c r="A1243" s="584" t="str">
        <f t="shared" ref="A1243:A1249" si="345">IFERROR(VLOOKUP(C1243,T_Insumos,4,FALSE),0)</f>
        <v>IIEE-SJ - 1</v>
      </c>
      <c r="B1243" s="544" t="str">
        <f t="shared" ref="B1243:B1249" si="346">IFERROR(VLOOKUP(C1243,T_Insumos,5,FALSE),0)</f>
        <v>Mano de Obra</v>
      </c>
      <c r="C1243" s="548" t="str">
        <f>+C43</f>
        <v>Mano de obra</v>
      </c>
      <c r="D1243" s="541"/>
      <c r="E1243" s="538">
        <f t="shared" ref="E1243:E1249" si="347">IFERROR(VLOOKUP(C1243,T_Insumos,3,FALSE),0)</f>
        <v>0</v>
      </c>
      <c r="F1243" s="541">
        <f>IF(C1243="",0,IFERROR(VLOOKUP(COUNTIF($A$1:A1243,"ANALISIS DE PRECIOS"),T_Rendimiento_Equipo,5,FALSE),0))</f>
        <v>0</v>
      </c>
      <c r="G1243" s="538">
        <f>IFERROR(ROUND(D1243*E1243/F1243,2),0)</f>
        <v>0</v>
      </c>
    </row>
    <row r="1244" spans="1:7" ht="19.899999999999999" customHeight="1" x14ac:dyDescent="0.2">
      <c r="A1244" s="584" t="str">
        <f t="shared" si="345"/>
        <v>INDEC-CM - 37510-11</v>
      </c>
      <c r="B1244" s="544" t="str">
        <f t="shared" si="346"/>
        <v>Hormigón elaborado</v>
      </c>
      <c r="C1244" s="548" t="str">
        <f t="shared" ref="C1244:C1246" si="348">+C44</f>
        <v>Hormigon Elaborado</v>
      </c>
      <c r="D1244" s="541"/>
      <c r="E1244" s="538">
        <f t="shared" si="347"/>
        <v>0</v>
      </c>
      <c r="F1244" s="541">
        <f>IF(C1244="",0,IFERROR(VLOOKUP(COUNTIF($A$1:A1244,"ANALISIS DE PRECIOS"),T_Rendimiento_Equipo,5,FALSE),0))</f>
        <v>0</v>
      </c>
      <c r="G1244" s="538">
        <f t="shared" ref="G1244:G1249" si="349">IFERROR(ROUND(D1244*E1244/F1244,2),0)</f>
        <v>0</v>
      </c>
    </row>
    <row r="1245" spans="1:7" ht="19.899999999999999" customHeight="1" x14ac:dyDescent="0.2">
      <c r="A1245" s="584" t="str">
        <f t="shared" si="345"/>
        <v>INDEC-DCTO - Inciso j)</v>
      </c>
      <c r="B1245" s="544" t="str">
        <f t="shared" si="346"/>
        <v>Equipo - Amortización de equipo</v>
      </c>
      <c r="C1245" s="548" t="str">
        <f t="shared" si="348"/>
        <v>Equipo - Amortizacion de equipo</v>
      </c>
      <c r="D1245" s="541"/>
      <c r="E1245" s="538">
        <f t="shared" si="347"/>
        <v>0</v>
      </c>
      <c r="F1245" s="541">
        <f>IF(C1245="",0,IFERROR(VLOOKUP(COUNTIF($A$1:A1245,"ANALISIS DE PRECIOS"),T_Rendimiento_Equipo,5,FALSE),0))</f>
        <v>0</v>
      </c>
      <c r="G1245" s="538">
        <f t="shared" si="349"/>
        <v>0</v>
      </c>
    </row>
    <row r="1246" spans="1:7" ht="19.899999999999999" customHeight="1" x14ac:dyDescent="0.2">
      <c r="A1246" s="584" t="str">
        <f t="shared" si="345"/>
        <v>INDEC-CM - 41242-11</v>
      </c>
      <c r="B1246" s="544" t="str">
        <f t="shared" si="346"/>
        <v>Acero aletado conformado, en barra</v>
      </c>
      <c r="C1246" s="548" t="str">
        <f t="shared" si="348"/>
        <v>Hierro</v>
      </c>
      <c r="D1246" s="541"/>
      <c r="E1246" s="538">
        <f t="shared" si="347"/>
        <v>0</v>
      </c>
      <c r="F1246" s="541">
        <f>IF(C1246="",0,IFERROR(VLOOKUP(COUNTIF($A$1:A1246,"ANALISIS DE PRECIOS"),T_Rendimiento_Equipo,5,FALSE),0))</f>
        <v>0</v>
      </c>
      <c r="G1246" s="538">
        <f>IFERROR(ROUND(D1246*E1246/F1246,2),0)</f>
        <v>0</v>
      </c>
    </row>
    <row r="1247" spans="1:7" ht="19.899999999999999" customHeight="1" x14ac:dyDescent="0.2">
      <c r="A1247" s="584">
        <f t="shared" si="345"/>
        <v>0</v>
      </c>
      <c r="B1247" s="544">
        <f t="shared" si="346"/>
        <v>0</v>
      </c>
      <c r="C1247" s="535"/>
      <c r="D1247" s="541"/>
      <c r="E1247" s="538">
        <f t="shared" si="347"/>
        <v>0</v>
      </c>
      <c r="F1247" s="541">
        <f>IF(C1247="",0,IFERROR(VLOOKUP(COUNTIF($A$1:A1247,"ANALISIS DE PRECIOS"),T_Rendimiento_Equipo,5,FALSE),0))</f>
        <v>0</v>
      </c>
      <c r="G1247" s="538">
        <f t="shared" si="349"/>
        <v>0</v>
      </c>
    </row>
    <row r="1248" spans="1:7" ht="19.899999999999999" customHeight="1" x14ac:dyDescent="0.2">
      <c r="A1248" s="584">
        <f t="shared" si="345"/>
        <v>0</v>
      </c>
      <c r="B1248" s="544">
        <f t="shared" si="346"/>
        <v>0</v>
      </c>
      <c r="C1248" s="535"/>
      <c r="D1248" s="549"/>
      <c r="E1248" s="538">
        <f t="shared" si="347"/>
        <v>0</v>
      </c>
      <c r="F1248" s="541">
        <f>IF(C1248="",0,IFERROR(VLOOKUP(COUNTIF($A$1:A1248,"ANALISIS DE PRECIOS"),T_Rendimiento_Equipo,5,FALSE),0))</f>
        <v>0</v>
      </c>
      <c r="G1248" s="538">
        <f t="shared" si="349"/>
        <v>0</v>
      </c>
    </row>
    <row r="1249" spans="1:7" ht="19.899999999999999" customHeight="1" x14ac:dyDescent="0.2">
      <c r="A1249" s="584">
        <f t="shared" si="345"/>
        <v>0</v>
      </c>
      <c r="B1249" s="544">
        <f t="shared" si="346"/>
        <v>0</v>
      </c>
      <c r="C1249" s="544"/>
      <c r="D1249" s="550"/>
      <c r="E1249" s="538">
        <f t="shared" si="347"/>
        <v>0</v>
      </c>
      <c r="F1249" s="541">
        <f>IF(C1249="",0,IFERROR(VLOOKUP(COUNTIF($A$1:A1249,"ANALISIS DE PRECIOS"),T_Rendimiento_Equipo,5,FALSE),0))</f>
        <v>0</v>
      </c>
      <c r="G1249" s="538">
        <f t="shared" si="349"/>
        <v>0</v>
      </c>
    </row>
    <row r="1250" spans="1:7" ht="19.899999999999999" customHeight="1" x14ac:dyDescent="0.2">
      <c r="A1250" s="585"/>
      <c r="B1250" s="524"/>
      <c r="C1250" s="528"/>
      <c r="D1250" s="524"/>
      <c r="E1250" s="525"/>
      <c r="F1250" s="547" t="s">
        <v>28</v>
      </c>
      <c r="G1250" s="587">
        <f>SUBTOTAL(9,G1243:G1249)</f>
        <v>0</v>
      </c>
    </row>
    <row r="1251" spans="1:7" ht="19.899999999999999" customHeight="1" x14ac:dyDescent="0.2">
      <c r="A1251" s="582"/>
      <c r="B1251" s="528"/>
      <c r="C1251" s="520" t="s">
        <v>992</v>
      </c>
      <c r="D1251" s="524"/>
      <c r="E1251" s="525"/>
      <c r="F1251" s="526"/>
      <c r="G1251" s="583"/>
    </row>
    <row r="1252" spans="1:7" ht="19.899999999999999" customHeight="1" x14ac:dyDescent="0.2">
      <c r="A1252" s="793" t="s">
        <v>576</v>
      </c>
      <c r="B1252" s="794"/>
      <c r="C1252" s="795" t="s">
        <v>0</v>
      </c>
      <c r="D1252" s="795" t="s">
        <v>1740</v>
      </c>
      <c r="E1252" s="797" t="s">
        <v>24</v>
      </c>
      <c r="F1252" s="799" t="s">
        <v>25</v>
      </c>
      <c r="G1252" s="801" t="s">
        <v>26</v>
      </c>
    </row>
    <row r="1253" spans="1:7" ht="19.899999999999999" customHeight="1" x14ac:dyDescent="0.2">
      <c r="A1253" s="543" t="s">
        <v>577</v>
      </c>
      <c r="B1253" s="543" t="s">
        <v>578</v>
      </c>
      <c r="C1253" s="796"/>
      <c r="D1253" s="796"/>
      <c r="E1253" s="798"/>
      <c r="F1253" s="800"/>
      <c r="G1253" s="802"/>
    </row>
    <row r="1254" spans="1:7" ht="19.899999999999999" customHeight="1" x14ac:dyDescent="0.2">
      <c r="A1254" s="584">
        <f t="shared" ref="A1254:A1264" si="350">IFERROR(VLOOKUP(C1254,T_Insumos,4,FALSE),0)</f>
        <v>0</v>
      </c>
      <c r="B1254" s="544">
        <f t="shared" ref="B1254:B1264" si="351">IFERROR(VLOOKUP(C1254,T_Insumos,5,FALSE),0)</f>
        <v>0</v>
      </c>
      <c r="C1254" s="544"/>
      <c r="D1254" s="596">
        <f t="shared" ref="D1254:D1264" si="352">IFERROR(VLOOKUP(C1254,T_Insumos,2,FALSE),0)</f>
        <v>0</v>
      </c>
      <c r="E1254" s="536"/>
      <c r="F1254" s="538">
        <f t="shared" ref="F1254:F1264" si="353">IFERROR(VLOOKUP(C1254,T_Insumos,3,FALSE),0)</f>
        <v>0</v>
      </c>
      <c r="G1254" s="538">
        <f>ROUND(E1254*F1254,2)</f>
        <v>0</v>
      </c>
    </row>
    <row r="1255" spans="1:7" s="551" customFormat="1" ht="19.899999999999999" customHeight="1" x14ac:dyDescent="0.2">
      <c r="A1255" s="584">
        <f t="shared" si="350"/>
        <v>0</v>
      </c>
      <c r="B1255" s="544">
        <f t="shared" si="351"/>
        <v>0</v>
      </c>
      <c r="C1255" s="544"/>
      <c r="D1255" s="596">
        <f t="shared" si="352"/>
        <v>0</v>
      </c>
      <c r="E1255" s="536"/>
      <c r="F1255" s="538">
        <f t="shared" si="353"/>
        <v>0</v>
      </c>
      <c r="G1255" s="538">
        <f t="shared" ref="G1255:G1264" si="354">ROUND(E1255*F1255,2)</f>
        <v>0</v>
      </c>
    </row>
    <row r="1256" spans="1:7" ht="19.899999999999999" customHeight="1" x14ac:dyDescent="0.2">
      <c r="A1256" s="584">
        <f t="shared" si="350"/>
        <v>0</v>
      </c>
      <c r="B1256" s="544">
        <f t="shared" si="351"/>
        <v>0</v>
      </c>
      <c r="C1256" s="544"/>
      <c r="D1256" s="596">
        <f t="shared" si="352"/>
        <v>0</v>
      </c>
      <c r="E1256" s="536"/>
      <c r="F1256" s="538">
        <f t="shared" si="353"/>
        <v>0</v>
      </c>
      <c r="G1256" s="538">
        <f t="shared" si="354"/>
        <v>0</v>
      </c>
    </row>
    <row r="1257" spans="1:7" ht="19.899999999999999" customHeight="1" x14ac:dyDescent="0.2">
      <c r="A1257" s="584">
        <f t="shared" si="350"/>
        <v>0</v>
      </c>
      <c r="B1257" s="544">
        <f t="shared" si="351"/>
        <v>0</v>
      </c>
      <c r="C1257" s="544"/>
      <c r="D1257" s="596">
        <f t="shared" si="352"/>
        <v>0</v>
      </c>
      <c r="E1257" s="536"/>
      <c r="F1257" s="538">
        <f t="shared" si="353"/>
        <v>0</v>
      </c>
      <c r="G1257" s="538">
        <f t="shared" si="354"/>
        <v>0</v>
      </c>
    </row>
    <row r="1258" spans="1:7" ht="19.899999999999999" customHeight="1" x14ac:dyDescent="0.2">
      <c r="A1258" s="584">
        <f t="shared" si="350"/>
        <v>0</v>
      </c>
      <c r="B1258" s="544">
        <f t="shared" si="351"/>
        <v>0</v>
      </c>
      <c r="C1258" s="544"/>
      <c r="D1258" s="596">
        <f t="shared" si="352"/>
        <v>0</v>
      </c>
      <c r="E1258" s="536"/>
      <c r="F1258" s="538">
        <f t="shared" si="353"/>
        <v>0</v>
      </c>
      <c r="G1258" s="538">
        <f t="shared" si="354"/>
        <v>0</v>
      </c>
    </row>
    <row r="1259" spans="1:7" ht="19.899999999999999" customHeight="1" x14ac:dyDescent="0.2">
      <c r="A1259" s="584">
        <f t="shared" si="350"/>
        <v>0</v>
      </c>
      <c r="B1259" s="544">
        <f t="shared" si="351"/>
        <v>0</v>
      </c>
      <c r="C1259" s="544"/>
      <c r="D1259" s="596">
        <f t="shared" si="352"/>
        <v>0</v>
      </c>
      <c r="E1259" s="536"/>
      <c r="F1259" s="538">
        <f t="shared" si="353"/>
        <v>0</v>
      </c>
      <c r="G1259" s="538">
        <f t="shared" si="354"/>
        <v>0</v>
      </c>
    </row>
    <row r="1260" spans="1:7" ht="19.899999999999999" customHeight="1" x14ac:dyDescent="0.2">
      <c r="A1260" s="584">
        <f t="shared" si="350"/>
        <v>0</v>
      </c>
      <c r="B1260" s="544">
        <f t="shared" si="351"/>
        <v>0</v>
      </c>
      <c r="C1260" s="544"/>
      <c r="D1260" s="596">
        <f t="shared" si="352"/>
        <v>0</v>
      </c>
      <c r="E1260" s="536"/>
      <c r="F1260" s="538">
        <f t="shared" si="353"/>
        <v>0</v>
      </c>
      <c r="G1260" s="538">
        <f t="shared" si="354"/>
        <v>0</v>
      </c>
    </row>
    <row r="1261" spans="1:7" ht="19.899999999999999" customHeight="1" x14ac:dyDescent="0.2">
      <c r="A1261" s="584">
        <f t="shared" si="350"/>
        <v>0</v>
      </c>
      <c r="B1261" s="544">
        <f t="shared" si="351"/>
        <v>0</v>
      </c>
      <c r="C1261" s="544"/>
      <c r="D1261" s="596">
        <f t="shared" si="352"/>
        <v>0</v>
      </c>
      <c r="E1261" s="536"/>
      <c r="F1261" s="538">
        <f t="shared" si="353"/>
        <v>0</v>
      </c>
      <c r="G1261" s="538">
        <f t="shared" si="354"/>
        <v>0</v>
      </c>
    </row>
    <row r="1262" spans="1:7" ht="19.899999999999999" customHeight="1" x14ac:dyDescent="0.2">
      <c r="A1262" s="584">
        <f t="shared" si="350"/>
        <v>0</v>
      </c>
      <c r="B1262" s="544">
        <f t="shared" si="351"/>
        <v>0</v>
      </c>
      <c r="C1262" s="544"/>
      <c r="D1262" s="596">
        <f t="shared" si="352"/>
        <v>0</v>
      </c>
      <c r="E1262" s="536"/>
      <c r="F1262" s="538">
        <f t="shared" si="353"/>
        <v>0</v>
      </c>
      <c r="G1262" s="538">
        <f t="shared" si="354"/>
        <v>0</v>
      </c>
    </row>
    <row r="1263" spans="1:7" ht="19.899999999999999" customHeight="1" x14ac:dyDescent="0.2">
      <c r="A1263" s="584">
        <f t="shared" si="350"/>
        <v>0</v>
      </c>
      <c r="B1263" s="544">
        <f t="shared" si="351"/>
        <v>0</v>
      </c>
      <c r="C1263" s="544"/>
      <c r="D1263" s="596">
        <f t="shared" si="352"/>
        <v>0</v>
      </c>
      <c r="E1263" s="536"/>
      <c r="F1263" s="538">
        <f t="shared" si="353"/>
        <v>0</v>
      </c>
      <c r="G1263" s="538">
        <f t="shared" si="354"/>
        <v>0</v>
      </c>
    </row>
    <row r="1264" spans="1:7" ht="19.899999999999999" customHeight="1" x14ac:dyDescent="0.2">
      <c r="A1264" s="584">
        <f t="shared" si="350"/>
        <v>0</v>
      </c>
      <c r="B1264" s="544">
        <f t="shared" si="351"/>
        <v>0</v>
      </c>
      <c r="C1264" s="544"/>
      <c r="D1264" s="596">
        <f t="shared" si="352"/>
        <v>0</v>
      </c>
      <c r="E1264" s="536"/>
      <c r="F1264" s="538">
        <f t="shared" si="353"/>
        <v>0</v>
      </c>
      <c r="G1264" s="538">
        <f t="shared" si="354"/>
        <v>0</v>
      </c>
    </row>
    <row r="1265" spans="1:8" ht="19.899999999999999" customHeight="1" x14ac:dyDescent="0.2">
      <c r="A1265" s="582"/>
      <c r="B1265" s="528"/>
      <c r="C1265" s="528"/>
      <c r="D1265" s="524"/>
      <c r="E1265" s="525"/>
      <c r="F1265" s="547" t="s">
        <v>29</v>
      </c>
      <c r="G1265" s="588">
        <f>SUBTOTAL(9,G1254:G1264)</f>
        <v>0</v>
      </c>
    </row>
    <row r="1266" spans="1:8" ht="19.899999999999999" customHeight="1" x14ac:dyDescent="0.2">
      <c r="A1266" s="582"/>
      <c r="B1266" s="528"/>
      <c r="C1266" s="520" t="s">
        <v>993</v>
      </c>
      <c r="D1266" s="524"/>
      <c r="E1266" s="525"/>
      <c r="F1266" s="526"/>
      <c r="G1266" s="583"/>
    </row>
    <row r="1267" spans="1:8" ht="19.899999999999999" customHeight="1" x14ac:dyDescent="0.2">
      <c r="A1267" s="793" t="s">
        <v>576</v>
      </c>
      <c r="B1267" s="794"/>
      <c r="C1267" s="795" t="s">
        <v>0</v>
      </c>
      <c r="D1267" s="795" t="s">
        <v>1740</v>
      </c>
      <c r="E1267" s="797" t="s">
        <v>24</v>
      </c>
      <c r="F1267" s="799" t="s">
        <v>25</v>
      </c>
      <c r="G1267" s="801" t="s">
        <v>26</v>
      </c>
    </row>
    <row r="1268" spans="1:8" ht="19.899999999999999" customHeight="1" x14ac:dyDescent="0.2">
      <c r="A1268" s="543" t="s">
        <v>577</v>
      </c>
      <c r="B1268" s="543" t="s">
        <v>578</v>
      </c>
      <c r="C1268" s="796"/>
      <c r="D1268" s="796"/>
      <c r="E1268" s="798"/>
      <c r="F1268" s="800"/>
      <c r="G1268" s="802"/>
    </row>
    <row r="1269" spans="1:8" ht="19.899999999999999" customHeight="1" x14ac:dyDescent="0.2">
      <c r="A1269" s="584">
        <f>IFERROR(VLOOKUP(C1269,T_Insumos,4,FALSE),0)</f>
        <v>0</v>
      </c>
      <c r="B1269" s="544">
        <f>IFERROR(VLOOKUP(C1269,T_Insumos,5,FALSE),0)</f>
        <v>0</v>
      </c>
      <c r="C1269" s="535"/>
      <c r="D1269" s="596">
        <f>IF(C1269=0,0,"$/tnkm")</f>
        <v>0</v>
      </c>
      <c r="E1269" s="536"/>
      <c r="F1269" s="538">
        <f>IFERROR(VLOOKUP(C1269,T_Insumos,3,FALSE),0)</f>
        <v>0</v>
      </c>
      <c r="G1269" s="538">
        <f>ROUND(E1269*F1269,2)</f>
        <v>0</v>
      </c>
    </row>
    <row r="1270" spans="1:8" ht="19.899999999999999" customHeight="1" x14ac:dyDescent="0.2">
      <c r="A1270" s="584">
        <f>IFERROR(VLOOKUP(C1270,T_Insumos,4,FALSE),0)</f>
        <v>0</v>
      </c>
      <c r="B1270" s="544">
        <f>IFERROR(VLOOKUP(C1270,T_Insumos,5,FALSE),0)</f>
        <v>0</v>
      </c>
      <c r="C1270" s="535"/>
      <c r="D1270" s="596">
        <f>IF(C1270=0,0,"$/tnkm")</f>
        <v>0</v>
      </c>
      <c r="E1270" s="552"/>
      <c r="F1270" s="538">
        <f>IFERROR(VLOOKUP(C1270,T_Insumos,3,FALSE),0)</f>
        <v>0</v>
      </c>
      <c r="G1270" s="538">
        <f t="shared" ref="G1270" si="355">ROUND(E1270*F1270,2)</f>
        <v>0</v>
      </c>
    </row>
    <row r="1271" spans="1:8" ht="19.899999999999999" customHeight="1" x14ac:dyDescent="0.2">
      <c r="A1271" s="582"/>
      <c r="B1271" s="528"/>
      <c r="C1271" s="528"/>
      <c r="D1271" s="524"/>
      <c r="E1271" s="525"/>
      <c r="F1271" s="547" t="s">
        <v>994</v>
      </c>
      <c r="G1271" s="588">
        <f>SUBTOTAL(9,G1269:G1270)</f>
        <v>0</v>
      </c>
      <c r="H1271" s="516"/>
    </row>
    <row r="1272" spans="1:8" ht="19.899999999999999" customHeight="1" x14ac:dyDescent="0.2">
      <c r="A1272" s="585"/>
      <c r="B1272" s="524"/>
      <c r="C1272" s="528"/>
      <c r="D1272" s="524"/>
      <c r="E1272" s="525"/>
      <c r="F1272" s="526"/>
      <c r="G1272" s="583"/>
      <c r="H1272" s="516"/>
    </row>
    <row r="1273" spans="1:8" ht="19.899999999999999" customHeight="1" x14ac:dyDescent="0.2">
      <c r="A1273" s="647" t="str">
        <f>B1207</f>
        <v>4.4</v>
      </c>
      <c r="B1273" s="644" t="str">
        <f ca="1">C1207</f>
        <v>Hormigon Ciclopeo (30%piedra bola)</v>
      </c>
      <c r="C1273" s="524"/>
      <c r="D1273" s="524" t="s">
        <v>1719</v>
      </c>
      <c r="E1273" s="645"/>
      <c r="F1273" s="646" t="str">
        <f ca="1">"$/"&amp;G1207</f>
        <v>$/m3</v>
      </c>
      <c r="G1273" s="593">
        <f>SUBTOTAL(9,G1230:G1272)</f>
        <v>0</v>
      </c>
      <c r="H1273" s="516"/>
    </row>
    <row r="1274" spans="1:8" ht="19.899999999999999" customHeight="1" x14ac:dyDescent="0.2">
      <c r="A1274" s="589"/>
      <c r="B1274" s="590"/>
      <c r="C1274" s="591"/>
      <c r="D1274" s="591" t="s">
        <v>1915</v>
      </c>
      <c r="E1274" s="592"/>
      <c r="F1274" s="648" t="str">
        <f ca="1">"$/"&amp;G1207</f>
        <v>$/m3</v>
      </c>
      <c r="G1274" s="593">
        <f>ROUND(G1273*Coeficiente_Paso,2)</f>
        <v>0</v>
      </c>
      <c r="H1274" s="516"/>
    </row>
    <row r="1275" spans="1:8" ht="19.899999999999999" customHeight="1" x14ac:dyDescent="0.2">
      <c r="A1275" s="185"/>
      <c r="B1275" s="185"/>
      <c r="C1275" s="185"/>
      <c r="D1275" s="185"/>
      <c r="E1275" s="185"/>
      <c r="F1275" s="185"/>
      <c r="G1275" s="185"/>
      <c r="H1275" s="516"/>
    </row>
    <row r="1276" spans="1:8" ht="19.899999999999999" customHeight="1" x14ac:dyDescent="0.2">
      <c r="A1276" s="803" t="s">
        <v>31</v>
      </c>
      <c r="B1276" s="804"/>
      <c r="C1276" s="804"/>
      <c r="D1276" s="804"/>
      <c r="E1276" s="804"/>
      <c r="F1276" s="804"/>
      <c r="G1276" s="805"/>
    </row>
    <row r="1277" spans="1:8" ht="19.899999999999999" customHeight="1" x14ac:dyDescent="0.2">
      <c r="A1277" s="570" t="s">
        <v>711</v>
      </c>
      <c r="B1277" s="518" t="str">
        <f>Comitente</f>
        <v>DEPARTAMENTO DE HIDRAULICA</v>
      </c>
      <c r="C1277" s="519"/>
      <c r="D1277" s="520"/>
      <c r="E1277" s="520"/>
      <c r="F1277" s="521"/>
      <c r="G1277" s="571"/>
    </row>
    <row r="1278" spans="1:8" ht="19.899999999999999" customHeight="1" x14ac:dyDescent="0.2">
      <c r="A1278" s="570" t="s">
        <v>712</v>
      </c>
      <c r="B1278" s="518">
        <f>Contratista</f>
        <v>0</v>
      </c>
      <c r="C1278" s="522"/>
      <c r="D1278" s="522"/>
      <c r="E1278" s="522"/>
      <c r="F1278" s="518"/>
      <c r="G1278" s="572"/>
    </row>
    <row r="1279" spans="1:8" ht="19.899999999999999" customHeight="1" x14ac:dyDescent="0.2">
      <c r="A1279" s="570" t="s">
        <v>21</v>
      </c>
      <c r="B1279" s="518" t="str">
        <f>Obra</f>
        <v>ENCAMISADO CANAL GENERAL COCHAGUAL</v>
      </c>
      <c r="C1279" s="522"/>
      <c r="D1279" s="522"/>
      <c r="E1279" s="522"/>
      <c r="F1279" s="518" t="s">
        <v>32</v>
      </c>
      <c r="G1279" s="572">
        <f>Fecha_Base</f>
        <v>44319</v>
      </c>
    </row>
    <row r="1280" spans="1:8" ht="19.899999999999999" customHeight="1" x14ac:dyDescent="0.2">
      <c r="A1280" s="573" t="s">
        <v>710</v>
      </c>
      <c r="B1280" s="523" t="str">
        <f>Ubicación</f>
        <v>DEPARTAMENTO SARMIENTO</v>
      </c>
      <c r="C1280" s="523"/>
      <c r="D1280" s="524"/>
      <c r="E1280" s="525"/>
      <c r="F1280" s="526"/>
      <c r="G1280" s="574"/>
    </row>
    <row r="1281" spans="1:7" ht="19.899999999999999" customHeight="1" x14ac:dyDescent="0.2">
      <c r="A1281" s="573" t="s">
        <v>33</v>
      </c>
      <c r="B1281" s="527">
        <f>IFERROR(VALUE(LEFT(B1282,FIND(".",B1282)-1)),"")</f>
        <v>4</v>
      </c>
      <c r="C1281" s="528" t="str">
        <f ca="1">IFERROR(VLOOKUP(B1281,T_Computo_Presupuesto,2,FALSE),0)</f>
        <v>PUENTES SOBRE CANAL</v>
      </c>
      <c r="D1281" s="528"/>
      <c r="E1281" s="525"/>
      <c r="F1281" s="526"/>
      <c r="G1281" s="574"/>
    </row>
    <row r="1282" spans="1:7" ht="19.899999999999999" customHeight="1" x14ac:dyDescent="0.2">
      <c r="A1282" s="573" t="s">
        <v>22</v>
      </c>
      <c r="B1282" s="529" t="str">
        <f>IFERROR(VLOOKUP(COUNTIF($A$1:A1282,"ANALISIS DE PRECIOS"),T_NumeroItem,2,FALSE),"")</f>
        <v>4.5</v>
      </c>
      <c r="C1282" s="806" t="str">
        <f ca="1">IFERROR(VLOOKUP(B1282,T_Computo_Presupuesto,2,FALSE),0)</f>
        <v>Armadura colocada en obra</v>
      </c>
      <c r="D1282" s="806"/>
      <c r="E1282" s="806"/>
      <c r="F1282" s="523" t="s">
        <v>23</v>
      </c>
      <c r="G1282" s="575" t="str">
        <f ca="1">IFERROR(VLOOKUP(B1282,T_Computo_Presupuesto,4,FALSE),0)</f>
        <v>t</v>
      </c>
    </row>
    <row r="1283" spans="1:7" ht="19.899999999999999" customHeight="1" x14ac:dyDescent="0.2">
      <c r="A1283" s="573"/>
      <c r="B1283" s="523"/>
      <c r="C1283" s="528"/>
      <c r="D1283" s="524"/>
      <c r="E1283" s="525"/>
      <c r="F1283" s="528"/>
      <c r="G1283" s="576"/>
    </row>
    <row r="1284" spans="1:7" ht="19.899999999999999" customHeight="1" x14ac:dyDescent="0.2">
      <c r="A1284" s="577"/>
      <c r="B1284" s="530"/>
      <c r="C1284" s="531" t="s">
        <v>977</v>
      </c>
      <c r="D1284" s="530"/>
      <c r="E1284" s="530"/>
      <c r="F1284" s="530"/>
      <c r="G1284" s="578"/>
    </row>
    <row r="1285" spans="1:7" ht="19.899999999999999" customHeight="1" x14ac:dyDescent="0.2">
      <c r="A1285" s="573"/>
      <c r="B1285" s="532"/>
      <c r="C1285" s="528"/>
      <c r="D1285" s="524"/>
      <c r="E1285" s="525"/>
      <c r="F1285" s="523"/>
      <c r="G1285" s="575"/>
    </row>
    <row r="1286" spans="1:7" ht="19.899999999999999" customHeight="1" x14ac:dyDescent="0.2">
      <c r="A1286" s="573"/>
      <c r="B1286" s="532"/>
      <c r="C1286" s="533" t="s">
        <v>978</v>
      </c>
      <c r="D1286" s="534" t="s">
        <v>24</v>
      </c>
      <c r="E1286" s="534" t="s">
        <v>979</v>
      </c>
      <c r="F1286" s="534" t="s">
        <v>980</v>
      </c>
      <c r="G1286" s="533" t="s">
        <v>981</v>
      </c>
    </row>
    <row r="1287" spans="1:7" ht="19.899999999999999" customHeight="1" x14ac:dyDescent="0.2">
      <c r="A1287" s="573"/>
      <c r="B1287" s="532"/>
      <c r="C1287" s="535">
        <f>+Equipos!A14</f>
        <v>0</v>
      </c>
      <c r="D1287" s="536"/>
      <c r="E1287" s="537">
        <f t="shared" ref="E1287:E1296" si="356">IFERROR(VLOOKUP(C1287,T_Equipos,4,FALSE),0)</f>
        <v>0</v>
      </c>
      <c r="F1287" s="538">
        <f t="shared" ref="F1287:F1296" si="357">IFERROR(VLOOKUP(C1287,T_Equipos,5,FALSE),0)</f>
        <v>0</v>
      </c>
      <c r="G1287" s="538">
        <f>ROUND(D1287*F1287,2)</f>
        <v>0</v>
      </c>
    </row>
    <row r="1288" spans="1:7" ht="19.899999999999999" customHeight="1" x14ac:dyDescent="0.2">
      <c r="A1288" s="573"/>
      <c r="B1288" s="532"/>
      <c r="C1288" s="535">
        <f>+Equipos!A15</f>
        <v>0</v>
      </c>
      <c r="D1288" s="536"/>
      <c r="E1288" s="537">
        <f t="shared" si="356"/>
        <v>0</v>
      </c>
      <c r="F1288" s="538">
        <f t="shared" si="357"/>
        <v>0</v>
      </c>
      <c r="G1288" s="538">
        <f>ROUND(D1288*F1288,2)</f>
        <v>0</v>
      </c>
    </row>
    <row r="1289" spans="1:7" ht="19.899999999999999" customHeight="1" x14ac:dyDescent="0.2">
      <c r="A1289" s="573"/>
      <c r="B1289" s="532"/>
      <c r="C1289" s="535">
        <f>+Equipos!A26</f>
        <v>0</v>
      </c>
      <c r="D1289" s="536"/>
      <c r="E1289" s="537">
        <f t="shared" si="356"/>
        <v>0</v>
      </c>
      <c r="F1289" s="538">
        <f t="shared" si="357"/>
        <v>0</v>
      </c>
      <c r="G1289" s="538">
        <f>ROUND(D1289*F1289,2)</f>
        <v>0</v>
      </c>
    </row>
    <row r="1290" spans="1:7" ht="19.899999999999999" customHeight="1" x14ac:dyDescent="0.2">
      <c r="A1290" s="573"/>
      <c r="B1290" s="532"/>
      <c r="C1290" s="535"/>
      <c r="D1290" s="536"/>
      <c r="E1290" s="537">
        <f t="shared" si="356"/>
        <v>0</v>
      </c>
      <c r="F1290" s="538">
        <f t="shared" si="357"/>
        <v>0</v>
      </c>
      <c r="G1290" s="538">
        <f>ROUND(D1290*F1290,2)</f>
        <v>0</v>
      </c>
    </row>
    <row r="1291" spans="1:7" ht="19.899999999999999" customHeight="1" x14ac:dyDescent="0.2">
      <c r="A1291" s="573"/>
      <c r="B1291" s="532"/>
      <c r="C1291" s="535"/>
      <c r="D1291" s="536"/>
      <c r="E1291" s="537">
        <f t="shared" si="356"/>
        <v>0</v>
      </c>
      <c r="F1291" s="538">
        <f t="shared" si="357"/>
        <v>0</v>
      </c>
      <c r="G1291" s="538">
        <f t="shared" ref="G1291:G1296" si="358">ROUND(D1291*F1291,2)</f>
        <v>0</v>
      </c>
    </row>
    <row r="1292" spans="1:7" ht="19.899999999999999" customHeight="1" x14ac:dyDescent="0.2">
      <c r="A1292" s="573"/>
      <c r="B1292" s="532"/>
      <c r="C1292" s="535"/>
      <c r="D1292" s="536"/>
      <c r="E1292" s="537">
        <f t="shared" si="356"/>
        <v>0</v>
      </c>
      <c r="F1292" s="538">
        <f t="shared" si="357"/>
        <v>0</v>
      </c>
      <c r="G1292" s="538">
        <f t="shared" si="358"/>
        <v>0</v>
      </c>
    </row>
    <row r="1293" spans="1:7" ht="19.899999999999999" customHeight="1" x14ac:dyDescent="0.2">
      <c r="A1293" s="573"/>
      <c r="B1293" s="532"/>
      <c r="C1293" s="535"/>
      <c r="D1293" s="536"/>
      <c r="E1293" s="537">
        <f t="shared" si="356"/>
        <v>0</v>
      </c>
      <c r="F1293" s="538">
        <f t="shared" si="357"/>
        <v>0</v>
      </c>
      <c r="G1293" s="538">
        <f t="shared" si="358"/>
        <v>0</v>
      </c>
    </row>
    <row r="1294" spans="1:7" ht="19.899999999999999" customHeight="1" x14ac:dyDescent="0.2">
      <c r="A1294" s="573"/>
      <c r="B1294" s="532"/>
      <c r="C1294" s="535"/>
      <c r="D1294" s="536"/>
      <c r="E1294" s="537">
        <f t="shared" si="356"/>
        <v>0</v>
      </c>
      <c r="F1294" s="538">
        <f t="shared" si="357"/>
        <v>0</v>
      </c>
      <c r="G1294" s="538">
        <f t="shared" si="358"/>
        <v>0</v>
      </c>
    </row>
    <row r="1295" spans="1:7" ht="19.899999999999999" customHeight="1" x14ac:dyDescent="0.2">
      <c r="A1295" s="573"/>
      <c r="B1295" s="532"/>
      <c r="C1295" s="535"/>
      <c r="D1295" s="536"/>
      <c r="E1295" s="537">
        <f t="shared" si="356"/>
        <v>0</v>
      </c>
      <c r="F1295" s="538">
        <f t="shared" si="357"/>
        <v>0</v>
      </c>
      <c r="G1295" s="538">
        <f t="shared" si="358"/>
        <v>0</v>
      </c>
    </row>
    <row r="1296" spans="1:7" ht="19.899999999999999" customHeight="1" x14ac:dyDescent="0.2">
      <c r="A1296" s="573"/>
      <c r="B1296" s="532"/>
      <c r="C1296" s="535"/>
      <c r="D1296" s="536"/>
      <c r="E1296" s="537">
        <f t="shared" si="356"/>
        <v>0</v>
      </c>
      <c r="F1296" s="538">
        <f t="shared" si="357"/>
        <v>0</v>
      </c>
      <c r="G1296" s="538">
        <f t="shared" si="358"/>
        <v>0</v>
      </c>
    </row>
    <row r="1297" spans="1:7" ht="19.899999999999999" customHeight="1" x14ac:dyDescent="0.2">
      <c r="A1297" s="573"/>
      <c r="B1297" s="532"/>
      <c r="C1297" s="528"/>
      <c r="D1297" s="528"/>
      <c r="E1297" s="539"/>
      <c r="F1297" s="523"/>
      <c r="G1297" s="575"/>
    </row>
    <row r="1298" spans="1:7" ht="19.899999999999999" customHeight="1" x14ac:dyDescent="0.2">
      <c r="A1298" s="573"/>
      <c r="B1298" s="528"/>
      <c r="C1298" s="520" t="s">
        <v>982</v>
      </c>
      <c r="D1298" s="523" t="s">
        <v>979</v>
      </c>
      <c r="E1298" s="594">
        <f>SUMPRODUCT(D1287:D1296,E1287:E1296)</f>
        <v>0</v>
      </c>
      <c r="F1298" s="523" t="s">
        <v>983</v>
      </c>
      <c r="G1298" s="595">
        <f>SUM(G1287:G1296)</f>
        <v>0</v>
      </c>
    </row>
    <row r="1299" spans="1:7" ht="19.899999999999999" customHeight="1" x14ac:dyDescent="0.2">
      <c r="A1299" s="573"/>
      <c r="B1299" s="532"/>
      <c r="C1299" s="540"/>
      <c r="D1299" s="539"/>
      <c r="E1299" s="525"/>
      <c r="F1299" s="523"/>
      <c r="G1299" s="579"/>
    </row>
    <row r="1300" spans="1:7" ht="19.899999999999999" customHeight="1" x14ac:dyDescent="0.2">
      <c r="A1300" s="580"/>
      <c r="B1300" s="532"/>
      <c r="C1300" s="523" t="s">
        <v>984</v>
      </c>
      <c r="D1300" s="541">
        <f>IFERROR(VLOOKUP(COUNTIF($A$1:A1300,"ANALISIS DE PRECIOS"),T_Rendimiento_Equipo,5,FALSE),0)</f>
        <v>0</v>
      </c>
      <c r="E1300" s="542" t="str">
        <f ca="1">G1282&amp;"/día"</f>
        <v>t/día</v>
      </c>
      <c r="F1300" s="581"/>
      <c r="G1300" s="575"/>
    </row>
    <row r="1301" spans="1:7" ht="19.899999999999999" customHeight="1" x14ac:dyDescent="0.2">
      <c r="A1301" s="573"/>
      <c r="B1301" s="532"/>
      <c r="C1301" s="528"/>
      <c r="D1301" s="524"/>
      <c r="E1301" s="525"/>
      <c r="F1301" s="523"/>
      <c r="G1301" s="575"/>
    </row>
    <row r="1302" spans="1:7" ht="19.899999999999999" customHeight="1" x14ac:dyDescent="0.2">
      <c r="A1302" s="793" t="s">
        <v>576</v>
      </c>
      <c r="B1302" s="794"/>
      <c r="C1302" s="795" t="s">
        <v>0</v>
      </c>
      <c r="D1302" s="807" t="s">
        <v>1739</v>
      </c>
      <c r="E1302" s="807" t="s">
        <v>1738</v>
      </c>
      <c r="F1302" s="799" t="s">
        <v>985</v>
      </c>
      <c r="G1302" s="801" t="s">
        <v>26</v>
      </c>
    </row>
    <row r="1303" spans="1:7" ht="19.899999999999999" customHeight="1" x14ac:dyDescent="0.2">
      <c r="A1303" s="543" t="s">
        <v>577</v>
      </c>
      <c r="B1303" s="543" t="s">
        <v>578</v>
      </c>
      <c r="C1303" s="796"/>
      <c r="D1303" s="808"/>
      <c r="E1303" s="798"/>
      <c r="F1303" s="800"/>
      <c r="G1303" s="802"/>
    </row>
    <row r="1304" spans="1:7" ht="19.899999999999999" customHeight="1" x14ac:dyDescent="0.2">
      <c r="A1304" s="582"/>
      <c r="B1304" s="528"/>
      <c r="C1304" s="520" t="s">
        <v>986</v>
      </c>
      <c r="D1304" s="525"/>
      <c r="E1304" s="525"/>
      <c r="F1304" s="528"/>
      <c r="G1304" s="583"/>
    </row>
    <row r="1305" spans="1:7" ht="19.899999999999999" customHeight="1" x14ac:dyDescent="0.2">
      <c r="A1305" s="584">
        <f t="shared" ref="A1305:A1313" si="359">IFERROR(VLOOKUP(C1305,T_Insumos,4,FALSE),0)</f>
        <v>0</v>
      </c>
      <c r="B1305" s="544">
        <f t="shared" ref="B1305:B1313" si="360">IFERROR(VLOOKUP(C1305,T_Insumos,5,FALSE),0)</f>
        <v>0</v>
      </c>
      <c r="C1305" s="535">
        <f>+C30</f>
        <v>0</v>
      </c>
      <c r="D1305" s="545">
        <f t="shared" ref="D1305:D1313" si="361">IFERROR(VLOOKUP(C1305,T_Insumos,3,FALSE),0)</f>
        <v>0</v>
      </c>
      <c r="E1305" s="538">
        <f>D1305*$G$1298</f>
        <v>0</v>
      </c>
      <c r="F1305" s="541">
        <f>IF(C1305="",0,IFERROR(VLOOKUP(COUNTIF($A$1:A1305,"ANALISIS DE PRECIOS"),T_Rendimiento_Equipo,5,FALSE),0))</f>
        <v>0</v>
      </c>
      <c r="G1305" s="538">
        <f>IFERROR(ROUND(E1305/F1305,2),0)</f>
        <v>0</v>
      </c>
    </row>
    <row r="1306" spans="1:7" ht="19.899999999999999" customHeight="1" x14ac:dyDescent="0.2">
      <c r="A1306" s="584">
        <f t="shared" si="359"/>
        <v>0</v>
      </c>
      <c r="B1306" s="544">
        <f t="shared" si="360"/>
        <v>0</v>
      </c>
      <c r="C1306" s="535">
        <f t="shared" ref="C1306:C1311" si="362">+C31</f>
        <v>0</v>
      </c>
      <c r="D1306" s="545">
        <f t="shared" si="361"/>
        <v>0</v>
      </c>
      <c r="E1306" s="538">
        <f t="shared" ref="E1306:E1307" si="363">D1306*$G$1298</f>
        <v>0</v>
      </c>
      <c r="F1306" s="541">
        <f>IF(C1306="",0,IFERROR(VLOOKUP(COUNTIF($A$1:A1306,"ANALISIS DE PRECIOS"),T_Rendimiento_Equipo,5,FALSE),0))</f>
        <v>0</v>
      </c>
      <c r="G1306" s="538">
        <f t="shared" ref="G1306:G1313" si="364">IFERROR(ROUND(E1306/F1306,2),0)</f>
        <v>0</v>
      </c>
    </row>
    <row r="1307" spans="1:7" ht="19.899999999999999" customHeight="1" x14ac:dyDescent="0.2">
      <c r="A1307" s="584">
        <f t="shared" si="359"/>
        <v>0</v>
      </c>
      <c r="B1307" s="544">
        <f t="shared" si="360"/>
        <v>0</v>
      </c>
      <c r="C1307" s="535">
        <f t="shared" si="362"/>
        <v>0</v>
      </c>
      <c r="D1307" s="545">
        <f t="shared" si="361"/>
        <v>0</v>
      </c>
      <c r="E1307" s="538">
        <f t="shared" si="363"/>
        <v>0</v>
      </c>
      <c r="F1307" s="541">
        <f>IF(C1307="",0,IFERROR(VLOOKUP(COUNTIF($A$1:A1307,"ANALISIS DE PRECIOS"),T_Rendimiento_Equipo,5,FALSE),0))</f>
        <v>0</v>
      </c>
      <c r="G1307" s="538">
        <f t="shared" si="364"/>
        <v>0</v>
      </c>
    </row>
    <row r="1308" spans="1:7" ht="19.899999999999999" customHeight="1" x14ac:dyDescent="0.2">
      <c r="A1308" s="584">
        <f t="shared" si="359"/>
        <v>0</v>
      </c>
      <c r="B1308" s="544">
        <f t="shared" si="360"/>
        <v>0</v>
      </c>
      <c r="C1308" s="535">
        <f t="shared" si="362"/>
        <v>0</v>
      </c>
      <c r="D1308" s="545">
        <f t="shared" si="361"/>
        <v>0</v>
      </c>
      <c r="E1308" s="538">
        <f>D1308*$E$1298</f>
        <v>0</v>
      </c>
      <c r="F1308" s="541">
        <f>IF(C1308="",0,IFERROR(VLOOKUP(COUNTIF($A$1:A1308,"ANALISIS DE PRECIOS"),T_Rendimiento_Equipo,5,FALSE),0))</f>
        <v>0</v>
      </c>
      <c r="G1308" s="538">
        <f t="shared" si="364"/>
        <v>0</v>
      </c>
    </row>
    <row r="1309" spans="1:7" ht="19.899999999999999" customHeight="1" x14ac:dyDescent="0.2">
      <c r="A1309" s="584">
        <f t="shared" si="359"/>
        <v>0</v>
      </c>
      <c r="B1309" s="544">
        <f t="shared" si="360"/>
        <v>0</v>
      </c>
      <c r="C1309" s="535">
        <f t="shared" si="362"/>
        <v>0</v>
      </c>
      <c r="D1309" s="545">
        <f t="shared" si="361"/>
        <v>0</v>
      </c>
      <c r="E1309" s="538"/>
      <c r="F1309" s="541">
        <f>IF(C1309="",0,IFERROR(VLOOKUP(COUNTIF($A$1:A1309,"ANALISIS DE PRECIOS"),T_Rendimiento_Equipo,5,FALSE),0))</f>
        <v>0</v>
      </c>
      <c r="G1309" s="538">
        <f t="shared" si="364"/>
        <v>0</v>
      </c>
    </row>
    <row r="1310" spans="1:7" ht="19.899999999999999" customHeight="1" x14ac:dyDescent="0.2">
      <c r="A1310" s="584">
        <f t="shared" si="359"/>
        <v>0</v>
      </c>
      <c r="B1310" s="544">
        <f t="shared" si="360"/>
        <v>0</v>
      </c>
      <c r="C1310" s="535">
        <f t="shared" si="362"/>
        <v>0</v>
      </c>
      <c r="D1310" s="545">
        <f t="shared" si="361"/>
        <v>0</v>
      </c>
      <c r="E1310" s="538"/>
      <c r="F1310" s="541">
        <f>IF(C1310="",0,IFERROR(VLOOKUP(COUNTIF($A$1:A1310,"ANALISIS DE PRECIOS"),T_Rendimiento_Equipo,5,FALSE),0))</f>
        <v>0</v>
      </c>
      <c r="G1310" s="538">
        <f t="shared" si="364"/>
        <v>0</v>
      </c>
    </row>
    <row r="1311" spans="1:7" ht="19.899999999999999" customHeight="1" x14ac:dyDescent="0.2">
      <c r="A1311" s="584">
        <f t="shared" si="359"/>
        <v>0</v>
      </c>
      <c r="B1311" s="544">
        <f t="shared" si="360"/>
        <v>0</v>
      </c>
      <c r="C1311" s="535">
        <f t="shared" si="362"/>
        <v>0</v>
      </c>
      <c r="D1311" s="545">
        <f t="shared" si="361"/>
        <v>0</v>
      </c>
      <c r="E1311" s="538"/>
      <c r="F1311" s="541">
        <f>IF(C1311="",0,IFERROR(VLOOKUP(COUNTIF($A$1:A1311,"ANALISIS DE PRECIOS"),T_Rendimiento_Equipo,5,FALSE),0))</f>
        <v>0</v>
      </c>
      <c r="G1311" s="538">
        <f t="shared" si="364"/>
        <v>0</v>
      </c>
    </row>
    <row r="1312" spans="1:7" ht="19.899999999999999" customHeight="1" x14ac:dyDescent="0.2">
      <c r="A1312" s="584">
        <f t="shared" si="359"/>
        <v>0</v>
      </c>
      <c r="B1312" s="544">
        <f t="shared" si="360"/>
        <v>0</v>
      </c>
      <c r="C1312" s="546"/>
      <c r="D1312" s="545">
        <f t="shared" si="361"/>
        <v>0</v>
      </c>
      <c r="E1312" s="538"/>
      <c r="F1312" s="541">
        <f>IF(C1312="",0,IFERROR(VLOOKUP(COUNTIF($A$1:A1312,"ANALISIS DE PRECIOS"),T_Rendimiento_Equipo,5,FALSE),0))</f>
        <v>0</v>
      </c>
      <c r="G1312" s="538">
        <f t="shared" si="364"/>
        <v>0</v>
      </c>
    </row>
    <row r="1313" spans="1:7" ht="19.899999999999999" customHeight="1" x14ac:dyDescent="0.2">
      <c r="A1313" s="584">
        <f t="shared" si="359"/>
        <v>0</v>
      </c>
      <c r="B1313" s="544">
        <f t="shared" si="360"/>
        <v>0</v>
      </c>
      <c r="C1313" s="535"/>
      <c r="D1313" s="545">
        <f t="shared" si="361"/>
        <v>0</v>
      </c>
      <c r="E1313" s="538"/>
      <c r="F1313" s="541">
        <f>IF(C1313="",0,IFERROR(VLOOKUP(COUNTIF($A$1:A1313,"ANALISIS DE PRECIOS"),T_Rendimiento_Equipo,5,FALSE),0))</f>
        <v>0</v>
      </c>
      <c r="G1313" s="538">
        <f t="shared" si="364"/>
        <v>0</v>
      </c>
    </row>
    <row r="1314" spans="1:7" ht="19.899999999999999" customHeight="1" x14ac:dyDescent="0.2">
      <c r="A1314" s="585"/>
      <c r="B1314" s="524"/>
      <c r="C1314" s="528"/>
      <c r="D1314" s="524"/>
      <c r="E1314" s="525"/>
      <c r="F1314" s="547" t="s">
        <v>27</v>
      </c>
      <c r="G1314" s="586">
        <f>SUBTOTAL(9,G1305:G1313)</f>
        <v>0</v>
      </c>
    </row>
    <row r="1315" spans="1:7" ht="19.899999999999999" customHeight="1" x14ac:dyDescent="0.2">
      <c r="A1315" s="582"/>
      <c r="B1315" s="528"/>
      <c r="C1315" s="520" t="s">
        <v>713</v>
      </c>
      <c r="D1315" s="524"/>
      <c r="E1315" s="525"/>
      <c r="F1315" s="526"/>
      <c r="G1315" s="583"/>
    </row>
    <row r="1316" spans="1:7" ht="19.899999999999999" customHeight="1" x14ac:dyDescent="0.2">
      <c r="A1316" s="793" t="s">
        <v>576</v>
      </c>
      <c r="B1316" s="794"/>
      <c r="C1316" s="795" t="s">
        <v>0</v>
      </c>
      <c r="D1316" s="797" t="s">
        <v>24</v>
      </c>
      <c r="E1316" s="797" t="s">
        <v>1718</v>
      </c>
      <c r="F1316" s="799" t="s">
        <v>985</v>
      </c>
      <c r="G1316" s="801" t="s">
        <v>26</v>
      </c>
    </row>
    <row r="1317" spans="1:7" ht="19.899999999999999" customHeight="1" x14ac:dyDescent="0.2">
      <c r="A1317" s="543" t="s">
        <v>577</v>
      </c>
      <c r="B1317" s="543" t="s">
        <v>578</v>
      </c>
      <c r="C1317" s="796"/>
      <c r="D1317" s="798"/>
      <c r="E1317" s="798"/>
      <c r="F1317" s="800"/>
      <c r="G1317" s="802"/>
    </row>
    <row r="1318" spans="1:7" ht="19.899999999999999" customHeight="1" x14ac:dyDescent="0.2">
      <c r="A1318" s="584" t="str">
        <f t="shared" ref="A1318:A1324" si="365">IFERROR(VLOOKUP(C1318,T_Insumos,4,FALSE),0)</f>
        <v>IIEE-SJ - 1</v>
      </c>
      <c r="B1318" s="544" t="str">
        <f t="shared" ref="B1318:B1324" si="366">IFERROR(VLOOKUP(C1318,T_Insumos,5,FALSE),0)</f>
        <v>Mano de Obra</v>
      </c>
      <c r="C1318" s="548" t="str">
        <f>+C43</f>
        <v>Mano de obra</v>
      </c>
      <c r="D1318" s="541"/>
      <c r="E1318" s="538">
        <f t="shared" ref="E1318:E1324" si="367">IFERROR(VLOOKUP(C1318,T_Insumos,3,FALSE),0)</f>
        <v>0</v>
      </c>
      <c r="F1318" s="541">
        <f>IF(C1318="",0,IFERROR(VLOOKUP(COUNTIF($A$1:A1318,"ANALISIS DE PRECIOS"),T_Rendimiento_Equipo,5,FALSE),0))</f>
        <v>0</v>
      </c>
      <c r="G1318" s="538">
        <f>IFERROR(ROUND(D1318*E1318/F1318,2),0)</f>
        <v>0</v>
      </c>
    </row>
    <row r="1319" spans="1:7" ht="19.899999999999999" customHeight="1" x14ac:dyDescent="0.2">
      <c r="A1319" s="584" t="str">
        <f t="shared" si="365"/>
        <v>INDEC-CM - 37510-11</v>
      </c>
      <c r="B1319" s="544" t="str">
        <f t="shared" si="366"/>
        <v>Hormigón elaborado</v>
      </c>
      <c r="C1319" s="548" t="str">
        <f t="shared" ref="C1319:C1321" si="368">+C44</f>
        <v>Hormigon Elaborado</v>
      </c>
      <c r="D1319" s="541"/>
      <c r="E1319" s="538">
        <f t="shared" si="367"/>
        <v>0</v>
      </c>
      <c r="F1319" s="541">
        <f>IF(C1319="",0,IFERROR(VLOOKUP(COUNTIF($A$1:A1319,"ANALISIS DE PRECIOS"),T_Rendimiento_Equipo,5,FALSE),0))</f>
        <v>0</v>
      </c>
      <c r="G1319" s="538">
        <f t="shared" ref="G1319:G1324" si="369">IFERROR(ROUND(D1319*E1319/F1319,2),0)</f>
        <v>0</v>
      </c>
    </row>
    <row r="1320" spans="1:7" ht="19.899999999999999" customHeight="1" x14ac:dyDescent="0.2">
      <c r="A1320" s="584" t="str">
        <f t="shared" si="365"/>
        <v>INDEC-DCTO - Inciso j)</v>
      </c>
      <c r="B1320" s="544" t="str">
        <f t="shared" si="366"/>
        <v>Equipo - Amortización de equipo</v>
      </c>
      <c r="C1320" s="548" t="str">
        <f t="shared" si="368"/>
        <v>Equipo - Amortizacion de equipo</v>
      </c>
      <c r="D1320" s="541"/>
      <c r="E1320" s="538">
        <f t="shared" si="367"/>
        <v>0</v>
      </c>
      <c r="F1320" s="541">
        <f>IF(C1320="",0,IFERROR(VLOOKUP(COUNTIF($A$1:A1320,"ANALISIS DE PRECIOS"),T_Rendimiento_Equipo,5,FALSE),0))</f>
        <v>0</v>
      </c>
      <c r="G1320" s="538">
        <f t="shared" si="369"/>
        <v>0</v>
      </c>
    </row>
    <row r="1321" spans="1:7" ht="19.899999999999999" customHeight="1" x14ac:dyDescent="0.2">
      <c r="A1321" s="584" t="str">
        <f t="shared" si="365"/>
        <v>INDEC-CM - 41242-11</v>
      </c>
      <c r="B1321" s="544" t="str">
        <f t="shared" si="366"/>
        <v>Acero aletado conformado, en barra</v>
      </c>
      <c r="C1321" s="548" t="str">
        <f t="shared" si="368"/>
        <v>Hierro</v>
      </c>
      <c r="D1321" s="541"/>
      <c r="E1321" s="538">
        <f t="shared" si="367"/>
        <v>0</v>
      </c>
      <c r="F1321" s="541">
        <f>IF(C1321="",0,IFERROR(VLOOKUP(COUNTIF($A$1:A1321,"ANALISIS DE PRECIOS"),T_Rendimiento_Equipo,5,FALSE),0))</f>
        <v>0</v>
      </c>
      <c r="G1321" s="538">
        <f t="shared" si="369"/>
        <v>0</v>
      </c>
    </row>
    <row r="1322" spans="1:7" ht="19.899999999999999" customHeight="1" x14ac:dyDescent="0.2">
      <c r="A1322" s="584">
        <f t="shared" si="365"/>
        <v>0</v>
      </c>
      <c r="B1322" s="544">
        <f t="shared" si="366"/>
        <v>0</v>
      </c>
      <c r="C1322" s="535"/>
      <c r="D1322" s="541"/>
      <c r="E1322" s="538">
        <f t="shared" si="367"/>
        <v>0</v>
      </c>
      <c r="F1322" s="541">
        <f>IF(C1322="",0,IFERROR(VLOOKUP(COUNTIF($A$1:A1322,"ANALISIS DE PRECIOS"),T_Rendimiento_Equipo,5,FALSE),0))</f>
        <v>0</v>
      </c>
      <c r="G1322" s="538">
        <f t="shared" si="369"/>
        <v>0</v>
      </c>
    </row>
    <row r="1323" spans="1:7" ht="19.899999999999999" customHeight="1" x14ac:dyDescent="0.2">
      <c r="A1323" s="584">
        <f t="shared" si="365"/>
        <v>0</v>
      </c>
      <c r="B1323" s="544">
        <f t="shared" si="366"/>
        <v>0</v>
      </c>
      <c r="C1323" s="535"/>
      <c r="D1323" s="549"/>
      <c r="E1323" s="538">
        <f t="shared" si="367"/>
        <v>0</v>
      </c>
      <c r="F1323" s="541">
        <f>IF(C1323="",0,IFERROR(VLOOKUP(COUNTIF($A$1:A1323,"ANALISIS DE PRECIOS"),T_Rendimiento_Equipo,5,FALSE),0))</f>
        <v>0</v>
      </c>
      <c r="G1323" s="538">
        <f t="shared" si="369"/>
        <v>0</v>
      </c>
    </row>
    <row r="1324" spans="1:7" ht="19.899999999999999" customHeight="1" x14ac:dyDescent="0.2">
      <c r="A1324" s="584">
        <f t="shared" si="365"/>
        <v>0</v>
      </c>
      <c r="B1324" s="544">
        <f t="shared" si="366"/>
        <v>0</v>
      </c>
      <c r="C1324" s="544"/>
      <c r="D1324" s="550"/>
      <c r="E1324" s="538">
        <f t="shared" si="367"/>
        <v>0</v>
      </c>
      <c r="F1324" s="541">
        <f>IF(C1324="",0,IFERROR(VLOOKUP(COUNTIF($A$1:A1324,"ANALISIS DE PRECIOS"),T_Rendimiento_Equipo,5,FALSE),0))</f>
        <v>0</v>
      </c>
      <c r="G1324" s="538">
        <f t="shared" si="369"/>
        <v>0</v>
      </c>
    </row>
    <row r="1325" spans="1:7" ht="19.899999999999999" customHeight="1" x14ac:dyDescent="0.2">
      <c r="A1325" s="585"/>
      <c r="B1325" s="524"/>
      <c r="C1325" s="528"/>
      <c r="D1325" s="524"/>
      <c r="E1325" s="525"/>
      <c r="F1325" s="547" t="s">
        <v>28</v>
      </c>
      <c r="G1325" s="587">
        <f>SUBTOTAL(9,G1318:G1324)</f>
        <v>0</v>
      </c>
    </row>
    <row r="1326" spans="1:7" ht="19.899999999999999" customHeight="1" x14ac:dyDescent="0.2">
      <c r="A1326" s="582"/>
      <c r="B1326" s="528"/>
      <c r="C1326" s="520" t="s">
        <v>992</v>
      </c>
      <c r="D1326" s="524"/>
      <c r="E1326" s="525"/>
      <c r="F1326" s="526"/>
      <c r="G1326" s="583"/>
    </row>
    <row r="1327" spans="1:7" ht="19.899999999999999" customHeight="1" x14ac:dyDescent="0.2">
      <c r="A1327" s="793" t="s">
        <v>576</v>
      </c>
      <c r="B1327" s="794"/>
      <c r="C1327" s="795" t="s">
        <v>0</v>
      </c>
      <c r="D1327" s="795" t="s">
        <v>1740</v>
      </c>
      <c r="E1327" s="797" t="s">
        <v>24</v>
      </c>
      <c r="F1327" s="799" t="s">
        <v>25</v>
      </c>
      <c r="G1327" s="801" t="s">
        <v>26</v>
      </c>
    </row>
    <row r="1328" spans="1:7" ht="19.899999999999999" customHeight="1" x14ac:dyDescent="0.2">
      <c r="A1328" s="543" t="s">
        <v>577</v>
      </c>
      <c r="B1328" s="543" t="s">
        <v>578</v>
      </c>
      <c r="C1328" s="796"/>
      <c r="D1328" s="796"/>
      <c r="E1328" s="798"/>
      <c r="F1328" s="800"/>
      <c r="G1328" s="802"/>
    </row>
    <row r="1329" spans="1:7" ht="19.899999999999999" customHeight="1" x14ac:dyDescent="0.2">
      <c r="A1329" s="584">
        <f t="shared" ref="A1329:A1339" si="370">IFERROR(VLOOKUP(C1329,T_Insumos,4,FALSE),0)</f>
        <v>0</v>
      </c>
      <c r="B1329" s="544">
        <f t="shared" ref="B1329:B1339" si="371">IFERROR(VLOOKUP(C1329,T_Insumos,5,FALSE),0)</f>
        <v>0</v>
      </c>
      <c r="C1329" s="544">
        <f>+Insumos!A107</f>
        <v>0</v>
      </c>
      <c r="D1329" s="596">
        <f t="shared" ref="D1329:D1339" si="372">IFERROR(VLOOKUP(C1329,T_Insumos,2,FALSE),0)</f>
        <v>0</v>
      </c>
      <c r="E1329" s="536"/>
      <c r="F1329" s="538">
        <f t="shared" ref="F1329:F1339" si="373">IFERROR(VLOOKUP(C1329,T_Insumos,3,FALSE),0)</f>
        <v>0</v>
      </c>
      <c r="G1329" s="538">
        <f>ROUND(E1329*F1329,2)</f>
        <v>0</v>
      </c>
    </row>
    <row r="1330" spans="1:7" ht="19.899999999999999" customHeight="1" x14ac:dyDescent="0.2">
      <c r="A1330" s="584">
        <f t="shared" si="370"/>
        <v>0</v>
      </c>
      <c r="B1330" s="544">
        <f t="shared" si="371"/>
        <v>0</v>
      </c>
      <c r="C1330" s="544"/>
      <c r="D1330" s="596">
        <f t="shared" si="372"/>
        <v>0</v>
      </c>
      <c r="E1330" s="536"/>
      <c r="F1330" s="538">
        <f t="shared" si="373"/>
        <v>0</v>
      </c>
      <c r="G1330" s="538">
        <f t="shared" ref="G1330:G1339" si="374">ROUND(E1330*F1330,2)</f>
        <v>0</v>
      </c>
    </row>
    <row r="1331" spans="1:7" ht="19.899999999999999" customHeight="1" x14ac:dyDescent="0.2">
      <c r="A1331" s="584">
        <f t="shared" si="370"/>
        <v>0</v>
      </c>
      <c r="B1331" s="544">
        <f t="shared" si="371"/>
        <v>0</v>
      </c>
      <c r="C1331" s="544"/>
      <c r="D1331" s="596">
        <f t="shared" si="372"/>
        <v>0</v>
      </c>
      <c r="E1331" s="536"/>
      <c r="F1331" s="538">
        <f t="shared" si="373"/>
        <v>0</v>
      </c>
      <c r="G1331" s="538">
        <f t="shared" si="374"/>
        <v>0</v>
      </c>
    </row>
    <row r="1332" spans="1:7" ht="19.899999999999999" customHeight="1" x14ac:dyDescent="0.2">
      <c r="A1332" s="584">
        <f t="shared" si="370"/>
        <v>0</v>
      </c>
      <c r="B1332" s="544">
        <f t="shared" si="371"/>
        <v>0</v>
      </c>
      <c r="C1332" s="544"/>
      <c r="D1332" s="596">
        <f t="shared" si="372"/>
        <v>0</v>
      </c>
      <c r="E1332" s="536"/>
      <c r="F1332" s="538">
        <f t="shared" si="373"/>
        <v>0</v>
      </c>
      <c r="G1332" s="538">
        <f t="shared" si="374"/>
        <v>0</v>
      </c>
    </row>
    <row r="1333" spans="1:7" ht="19.899999999999999" customHeight="1" x14ac:dyDescent="0.2">
      <c r="A1333" s="584">
        <f t="shared" si="370"/>
        <v>0</v>
      </c>
      <c r="B1333" s="544">
        <f t="shared" si="371"/>
        <v>0</v>
      </c>
      <c r="C1333" s="544"/>
      <c r="D1333" s="596">
        <f t="shared" si="372"/>
        <v>0</v>
      </c>
      <c r="E1333" s="536"/>
      <c r="F1333" s="538">
        <f t="shared" si="373"/>
        <v>0</v>
      </c>
      <c r="G1333" s="538">
        <f t="shared" si="374"/>
        <v>0</v>
      </c>
    </row>
    <row r="1334" spans="1:7" ht="19.899999999999999" customHeight="1" x14ac:dyDescent="0.2">
      <c r="A1334" s="584">
        <f t="shared" si="370"/>
        <v>0</v>
      </c>
      <c r="B1334" s="544">
        <f t="shared" si="371"/>
        <v>0</v>
      </c>
      <c r="C1334" s="544"/>
      <c r="D1334" s="596">
        <f t="shared" si="372"/>
        <v>0</v>
      </c>
      <c r="E1334" s="536"/>
      <c r="F1334" s="538">
        <f t="shared" si="373"/>
        <v>0</v>
      </c>
      <c r="G1334" s="538">
        <f t="shared" si="374"/>
        <v>0</v>
      </c>
    </row>
    <row r="1335" spans="1:7" ht="19.899999999999999" customHeight="1" x14ac:dyDescent="0.2">
      <c r="A1335" s="584">
        <f t="shared" si="370"/>
        <v>0</v>
      </c>
      <c r="B1335" s="544">
        <f t="shared" si="371"/>
        <v>0</v>
      </c>
      <c r="C1335" s="544"/>
      <c r="D1335" s="596">
        <f t="shared" si="372"/>
        <v>0</v>
      </c>
      <c r="E1335" s="536"/>
      <c r="F1335" s="538">
        <f t="shared" si="373"/>
        <v>0</v>
      </c>
      <c r="G1335" s="538">
        <f t="shared" si="374"/>
        <v>0</v>
      </c>
    </row>
    <row r="1336" spans="1:7" ht="19.899999999999999" customHeight="1" x14ac:dyDescent="0.2">
      <c r="A1336" s="584">
        <f t="shared" si="370"/>
        <v>0</v>
      </c>
      <c r="B1336" s="544">
        <f t="shared" si="371"/>
        <v>0</v>
      </c>
      <c r="C1336" s="544"/>
      <c r="D1336" s="596">
        <f t="shared" si="372"/>
        <v>0</v>
      </c>
      <c r="E1336" s="536"/>
      <c r="F1336" s="538">
        <f t="shared" si="373"/>
        <v>0</v>
      </c>
      <c r="G1336" s="538">
        <f t="shared" si="374"/>
        <v>0</v>
      </c>
    </row>
    <row r="1337" spans="1:7" ht="19.899999999999999" customHeight="1" x14ac:dyDescent="0.2">
      <c r="A1337" s="584">
        <f t="shared" si="370"/>
        <v>0</v>
      </c>
      <c r="B1337" s="544">
        <f t="shared" si="371"/>
        <v>0</v>
      </c>
      <c r="C1337" s="544"/>
      <c r="D1337" s="596">
        <f t="shared" si="372"/>
        <v>0</v>
      </c>
      <c r="E1337" s="536"/>
      <c r="F1337" s="538">
        <f t="shared" si="373"/>
        <v>0</v>
      </c>
      <c r="G1337" s="538">
        <f t="shared" si="374"/>
        <v>0</v>
      </c>
    </row>
    <row r="1338" spans="1:7" ht="19.899999999999999" customHeight="1" x14ac:dyDescent="0.2">
      <c r="A1338" s="584">
        <f t="shared" si="370"/>
        <v>0</v>
      </c>
      <c r="B1338" s="544">
        <f t="shared" si="371"/>
        <v>0</v>
      </c>
      <c r="C1338" s="544"/>
      <c r="D1338" s="596">
        <f t="shared" si="372"/>
        <v>0</v>
      </c>
      <c r="E1338" s="536"/>
      <c r="F1338" s="538">
        <f t="shared" si="373"/>
        <v>0</v>
      </c>
      <c r="G1338" s="538">
        <f t="shared" si="374"/>
        <v>0</v>
      </c>
    </row>
    <row r="1339" spans="1:7" ht="19.899999999999999" customHeight="1" x14ac:dyDescent="0.2">
      <c r="A1339" s="584">
        <f t="shared" si="370"/>
        <v>0</v>
      </c>
      <c r="B1339" s="544">
        <f t="shared" si="371"/>
        <v>0</v>
      </c>
      <c r="C1339" s="544"/>
      <c r="D1339" s="596">
        <f t="shared" si="372"/>
        <v>0</v>
      </c>
      <c r="E1339" s="536"/>
      <c r="F1339" s="538">
        <f t="shared" si="373"/>
        <v>0</v>
      </c>
      <c r="G1339" s="538">
        <f t="shared" si="374"/>
        <v>0</v>
      </c>
    </row>
    <row r="1340" spans="1:7" ht="19.899999999999999" customHeight="1" x14ac:dyDescent="0.2">
      <c r="A1340" s="582"/>
      <c r="B1340" s="528"/>
      <c r="C1340" s="528"/>
      <c r="D1340" s="524"/>
      <c r="E1340" s="525"/>
      <c r="F1340" s="547" t="s">
        <v>29</v>
      </c>
      <c r="G1340" s="588">
        <f>SUBTOTAL(9,G1329:G1339)</f>
        <v>0</v>
      </c>
    </row>
    <row r="1341" spans="1:7" ht="19.899999999999999" customHeight="1" x14ac:dyDescent="0.2">
      <c r="A1341" s="582"/>
      <c r="B1341" s="528"/>
      <c r="C1341" s="520" t="s">
        <v>993</v>
      </c>
      <c r="D1341" s="524"/>
      <c r="E1341" s="525"/>
      <c r="F1341" s="526"/>
      <c r="G1341" s="583"/>
    </row>
    <row r="1342" spans="1:7" ht="19.899999999999999" customHeight="1" x14ac:dyDescent="0.2">
      <c r="A1342" s="793" t="s">
        <v>576</v>
      </c>
      <c r="B1342" s="794"/>
      <c r="C1342" s="795" t="s">
        <v>0</v>
      </c>
      <c r="D1342" s="795" t="s">
        <v>1740</v>
      </c>
      <c r="E1342" s="797" t="s">
        <v>24</v>
      </c>
      <c r="F1342" s="799" t="s">
        <v>25</v>
      </c>
      <c r="G1342" s="801" t="s">
        <v>26</v>
      </c>
    </row>
    <row r="1343" spans="1:7" ht="19.899999999999999" customHeight="1" x14ac:dyDescent="0.2">
      <c r="A1343" s="543" t="s">
        <v>577</v>
      </c>
      <c r="B1343" s="543" t="s">
        <v>578</v>
      </c>
      <c r="C1343" s="796"/>
      <c r="D1343" s="796"/>
      <c r="E1343" s="798"/>
      <c r="F1343" s="800"/>
      <c r="G1343" s="802"/>
    </row>
    <row r="1344" spans="1:7" ht="19.899999999999999" customHeight="1" x14ac:dyDescent="0.2">
      <c r="A1344" s="584">
        <f>IFERROR(VLOOKUP(C1344,T_Insumos,4,FALSE),0)</f>
        <v>0</v>
      </c>
      <c r="B1344" s="544">
        <f>IFERROR(VLOOKUP(C1344,T_Insumos,5,FALSE),0)</f>
        <v>0</v>
      </c>
      <c r="C1344" s="535"/>
      <c r="D1344" s="596">
        <f>IF(C1344=0,0,"$/tnkm")</f>
        <v>0</v>
      </c>
      <c r="E1344" s="536"/>
      <c r="F1344" s="538">
        <f>IFERROR(VLOOKUP(C1344,T_Insumos,3,FALSE),0)</f>
        <v>0</v>
      </c>
      <c r="G1344" s="538">
        <f>ROUND(E1344*F1344,2)</f>
        <v>0</v>
      </c>
    </row>
    <row r="1345" spans="1:7" ht="19.899999999999999" customHeight="1" x14ac:dyDescent="0.2">
      <c r="A1345" s="584">
        <f>IFERROR(VLOOKUP(C1345,T_Insumos,4,FALSE),0)</f>
        <v>0</v>
      </c>
      <c r="B1345" s="544">
        <f>IFERROR(VLOOKUP(C1345,T_Insumos,5,FALSE),0)</f>
        <v>0</v>
      </c>
      <c r="C1345" s="535"/>
      <c r="D1345" s="596">
        <f>IF(C1345=0,0,"$/tnkm")</f>
        <v>0</v>
      </c>
      <c r="E1345" s="552"/>
      <c r="F1345" s="538">
        <f>IFERROR(VLOOKUP(C1345,T_Insumos,3,FALSE),0)</f>
        <v>0</v>
      </c>
      <c r="G1345" s="538">
        <f t="shared" ref="G1345" si="375">ROUND(E1345*F1345,2)</f>
        <v>0</v>
      </c>
    </row>
    <row r="1346" spans="1:7" ht="19.899999999999999" customHeight="1" x14ac:dyDescent="0.2">
      <c r="A1346" s="582"/>
      <c r="B1346" s="528"/>
      <c r="C1346" s="528"/>
      <c r="D1346" s="524"/>
      <c r="E1346" s="525"/>
      <c r="F1346" s="547" t="s">
        <v>994</v>
      </c>
      <c r="G1346" s="588">
        <f>SUBTOTAL(9,G1344:G1345)</f>
        <v>0</v>
      </c>
    </row>
    <row r="1347" spans="1:7" ht="19.899999999999999" customHeight="1" x14ac:dyDescent="0.2">
      <c r="A1347" s="585"/>
      <c r="B1347" s="524"/>
      <c r="C1347" s="528"/>
      <c r="D1347" s="524"/>
      <c r="E1347" s="525"/>
      <c r="F1347" s="526"/>
      <c r="G1347" s="583"/>
    </row>
    <row r="1348" spans="1:7" ht="19.899999999999999" customHeight="1" x14ac:dyDescent="0.2">
      <c r="A1348" s="647" t="str">
        <f>B1282</f>
        <v>4.5</v>
      </c>
      <c r="B1348" s="644" t="str">
        <f ca="1">C1282</f>
        <v>Armadura colocada en obra</v>
      </c>
      <c r="C1348" s="524"/>
      <c r="D1348" s="524" t="s">
        <v>1719</v>
      </c>
      <c r="E1348" s="645"/>
      <c r="F1348" s="646" t="str">
        <f ca="1">"$/"&amp;G1282</f>
        <v>$/t</v>
      </c>
      <c r="G1348" s="593">
        <f>SUBTOTAL(9,G1305:G1347)</f>
        <v>0</v>
      </c>
    </row>
    <row r="1349" spans="1:7" ht="19.899999999999999" customHeight="1" x14ac:dyDescent="0.2">
      <c r="A1349" s="589"/>
      <c r="B1349" s="590"/>
      <c r="C1349" s="591"/>
      <c r="D1349" s="591" t="s">
        <v>1915</v>
      </c>
      <c r="E1349" s="592"/>
      <c r="F1349" s="648" t="str">
        <f ca="1">"$/"&amp;G1282</f>
        <v>$/t</v>
      </c>
      <c r="G1349" s="593">
        <f>ROUND(G1348*Coeficiente_Paso,2)</f>
        <v>0</v>
      </c>
    </row>
    <row r="1350" spans="1:7" ht="19.899999999999999" customHeight="1" x14ac:dyDescent="0.2">
      <c r="A1350" s="185"/>
      <c r="B1350" s="185"/>
      <c r="C1350" s="185"/>
      <c r="D1350" s="185"/>
      <c r="E1350" s="185"/>
      <c r="F1350" s="185"/>
      <c r="G1350" s="185"/>
    </row>
    <row r="1351" spans="1:7" ht="19.899999999999999" customHeight="1" x14ac:dyDescent="0.2">
      <c r="A1351" s="803" t="s">
        <v>31</v>
      </c>
      <c r="B1351" s="804"/>
      <c r="C1351" s="804"/>
      <c r="D1351" s="804"/>
      <c r="E1351" s="804"/>
      <c r="F1351" s="804"/>
      <c r="G1351" s="805"/>
    </row>
    <row r="1352" spans="1:7" ht="19.899999999999999" customHeight="1" x14ac:dyDescent="0.2">
      <c r="A1352" s="570" t="s">
        <v>711</v>
      </c>
      <c r="B1352" s="518" t="str">
        <f>Comitente</f>
        <v>DEPARTAMENTO DE HIDRAULICA</v>
      </c>
      <c r="C1352" s="519"/>
      <c r="D1352" s="520"/>
      <c r="E1352" s="520"/>
      <c r="F1352" s="521"/>
      <c r="G1352" s="571"/>
    </row>
    <row r="1353" spans="1:7" ht="19.899999999999999" customHeight="1" x14ac:dyDescent="0.2">
      <c r="A1353" s="570" t="s">
        <v>712</v>
      </c>
      <c r="B1353" s="518">
        <f>Contratista</f>
        <v>0</v>
      </c>
      <c r="C1353" s="522"/>
      <c r="D1353" s="522"/>
      <c r="E1353" s="522"/>
      <c r="F1353" s="518"/>
      <c r="G1353" s="572"/>
    </row>
    <row r="1354" spans="1:7" ht="19.899999999999999" customHeight="1" x14ac:dyDescent="0.2">
      <c r="A1354" s="570" t="s">
        <v>21</v>
      </c>
      <c r="B1354" s="518" t="str">
        <f>Obra</f>
        <v>ENCAMISADO CANAL GENERAL COCHAGUAL</v>
      </c>
      <c r="C1354" s="522"/>
      <c r="D1354" s="522"/>
      <c r="E1354" s="522"/>
      <c r="F1354" s="518" t="s">
        <v>32</v>
      </c>
      <c r="G1354" s="572">
        <f>Fecha_Base</f>
        <v>44319</v>
      </c>
    </row>
    <row r="1355" spans="1:7" ht="19.899999999999999" customHeight="1" x14ac:dyDescent="0.2">
      <c r="A1355" s="573" t="s">
        <v>710</v>
      </c>
      <c r="B1355" s="523" t="str">
        <f>Ubicación</f>
        <v>DEPARTAMENTO SARMIENTO</v>
      </c>
      <c r="C1355" s="523"/>
      <c r="D1355" s="524"/>
      <c r="E1355" s="525"/>
      <c r="F1355" s="526"/>
      <c r="G1355" s="574"/>
    </row>
    <row r="1356" spans="1:7" ht="19.899999999999999" customHeight="1" x14ac:dyDescent="0.2">
      <c r="A1356" s="573" t="s">
        <v>33</v>
      </c>
      <c r="B1356" s="527">
        <f>IFERROR(VALUE(LEFT(B1357,FIND(".",B1357)-1)),"")</f>
        <v>4</v>
      </c>
      <c r="C1356" s="528" t="str">
        <f ca="1">IFERROR(VLOOKUP(B1356,T_Computo_Presupuesto,2,FALSE),0)</f>
        <v>PUENTES SOBRE CANAL</v>
      </c>
      <c r="D1356" s="528"/>
      <c r="E1356" s="525"/>
      <c r="F1356" s="526"/>
      <c r="G1356" s="574"/>
    </row>
    <row r="1357" spans="1:7" ht="19.899999999999999" customHeight="1" x14ac:dyDescent="0.2">
      <c r="A1357" s="573" t="s">
        <v>22</v>
      </c>
      <c r="B1357" s="529" t="str">
        <f>IFERROR(VLOOKUP(COUNTIF($A$1:A1357,"ANALISIS DE PRECIOS"),T_NumeroItem,2,FALSE),"")</f>
        <v>4.6</v>
      </c>
      <c r="C1357" s="806" t="str">
        <f ca="1">IFERROR(VLOOKUP(B1357,T_Computo_Presupuesto,2,FALSE),0)</f>
        <v>Demolicion de puente</v>
      </c>
      <c r="D1357" s="806"/>
      <c r="E1357" s="806"/>
      <c r="F1357" s="523" t="s">
        <v>23</v>
      </c>
      <c r="G1357" s="575" t="str">
        <f ca="1">IFERROR(VLOOKUP(B1357,T_Computo_Presupuesto,4,FALSE),0)</f>
        <v>m3</v>
      </c>
    </row>
    <row r="1358" spans="1:7" ht="19.899999999999999" customHeight="1" x14ac:dyDescent="0.2">
      <c r="A1358" s="573"/>
      <c r="B1358" s="523"/>
      <c r="C1358" s="528"/>
      <c r="D1358" s="524"/>
      <c r="E1358" s="525"/>
      <c r="F1358" s="528"/>
      <c r="G1358" s="576"/>
    </row>
    <row r="1359" spans="1:7" ht="19.899999999999999" customHeight="1" x14ac:dyDescent="0.2">
      <c r="A1359" s="577"/>
      <c r="B1359" s="530"/>
      <c r="C1359" s="531" t="s">
        <v>977</v>
      </c>
      <c r="D1359" s="530"/>
      <c r="E1359" s="530"/>
      <c r="F1359" s="530"/>
      <c r="G1359" s="578"/>
    </row>
    <row r="1360" spans="1:7" ht="19.899999999999999" customHeight="1" x14ac:dyDescent="0.2">
      <c r="A1360" s="573"/>
      <c r="B1360" s="532"/>
      <c r="C1360" s="528"/>
      <c r="D1360" s="524"/>
      <c r="E1360" s="525"/>
      <c r="F1360" s="523"/>
      <c r="G1360" s="575"/>
    </row>
    <row r="1361" spans="1:7" ht="19.899999999999999" customHeight="1" x14ac:dyDescent="0.2">
      <c r="A1361" s="573"/>
      <c r="B1361" s="532"/>
      <c r="C1361" s="533" t="s">
        <v>978</v>
      </c>
      <c r="D1361" s="534" t="s">
        <v>24</v>
      </c>
      <c r="E1361" s="534" t="s">
        <v>979</v>
      </c>
      <c r="F1361" s="534" t="s">
        <v>980</v>
      </c>
      <c r="G1361" s="533" t="s">
        <v>981</v>
      </c>
    </row>
    <row r="1362" spans="1:7" ht="19.899999999999999" customHeight="1" x14ac:dyDescent="0.2">
      <c r="A1362" s="573"/>
      <c r="B1362" s="532"/>
      <c r="C1362" s="535">
        <f>+Equipos!A89</f>
        <v>0</v>
      </c>
      <c r="D1362" s="536"/>
      <c r="E1362" s="537">
        <f t="shared" ref="E1362:E1371" si="376">IFERROR(VLOOKUP(C1362,T_Equipos,4,FALSE),0)</f>
        <v>0</v>
      </c>
      <c r="F1362" s="538">
        <f t="shared" ref="F1362:F1371" si="377">IFERROR(VLOOKUP(C1362,T_Equipos,5,FALSE),0)</f>
        <v>0</v>
      </c>
      <c r="G1362" s="538">
        <f>ROUND(D1362*F1362,2)</f>
        <v>0</v>
      </c>
    </row>
    <row r="1363" spans="1:7" ht="19.899999999999999" customHeight="1" x14ac:dyDescent="0.2">
      <c r="A1363" s="573"/>
      <c r="B1363" s="532"/>
      <c r="C1363" s="535">
        <f>+Equipos!A90</f>
        <v>0</v>
      </c>
      <c r="D1363" s="536"/>
      <c r="E1363" s="537">
        <f t="shared" si="376"/>
        <v>0</v>
      </c>
      <c r="F1363" s="538">
        <f t="shared" si="377"/>
        <v>0</v>
      </c>
      <c r="G1363" s="538">
        <f>ROUND(D1363*F1363,2)</f>
        <v>0</v>
      </c>
    </row>
    <row r="1364" spans="1:7" ht="19.899999999999999" customHeight="1" x14ac:dyDescent="0.2">
      <c r="A1364" s="573"/>
      <c r="B1364" s="532"/>
      <c r="C1364" s="535">
        <f>+Equipos!A101</f>
        <v>0</v>
      </c>
      <c r="D1364" s="536"/>
      <c r="E1364" s="537">
        <f t="shared" si="376"/>
        <v>0</v>
      </c>
      <c r="F1364" s="538">
        <f t="shared" si="377"/>
        <v>0</v>
      </c>
      <c r="G1364" s="538">
        <f>ROUND(D1364*F1364,2)</f>
        <v>0</v>
      </c>
    </row>
    <row r="1365" spans="1:7" ht="19.899999999999999" customHeight="1" x14ac:dyDescent="0.2">
      <c r="A1365" s="573"/>
      <c r="B1365" s="532"/>
      <c r="C1365" s="535"/>
      <c r="D1365" s="536"/>
      <c r="E1365" s="537">
        <f t="shared" si="376"/>
        <v>0</v>
      </c>
      <c r="F1365" s="538">
        <f t="shared" si="377"/>
        <v>0</v>
      </c>
      <c r="G1365" s="538">
        <f>ROUND(D1365*F1365,2)</f>
        <v>0</v>
      </c>
    </row>
    <row r="1366" spans="1:7" ht="19.899999999999999" customHeight="1" x14ac:dyDescent="0.2">
      <c r="A1366" s="573"/>
      <c r="B1366" s="532"/>
      <c r="C1366" s="535"/>
      <c r="D1366" s="536"/>
      <c r="E1366" s="537">
        <f t="shared" si="376"/>
        <v>0</v>
      </c>
      <c r="F1366" s="538">
        <f t="shared" si="377"/>
        <v>0</v>
      </c>
      <c r="G1366" s="538">
        <f t="shared" ref="G1366:G1371" si="378">ROUND(D1366*F1366,2)</f>
        <v>0</v>
      </c>
    </row>
    <row r="1367" spans="1:7" ht="19.899999999999999" customHeight="1" x14ac:dyDescent="0.2">
      <c r="A1367" s="573"/>
      <c r="B1367" s="532"/>
      <c r="C1367" s="535"/>
      <c r="D1367" s="536"/>
      <c r="E1367" s="537">
        <f t="shared" si="376"/>
        <v>0</v>
      </c>
      <c r="F1367" s="538">
        <f t="shared" si="377"/>
        <v>0</v>
      </c>
      <c r="G1367" s="538">
        <f t="shared" si="378"/>
        <v>0</v>
      </c>
    </row>
    <row r="1368" spans="1:7" ht="19.899999999999999" customHeight="1" x14ac:dyDescent="0.2">
      <c r="A1368" s="573"/>
      <c r="B1368" s="532"/>
      <c r="C1368" s="535"/>
      <c r="D1368" s="536"/>
      <c r="E1368" s="537">
        <f t="shared" si="376"/>
        <v>0</v>
      </c>
      <c r="F1368" s="538">
        <f t="shared" si="377"/>
        <v>0</v>
      </c>
      <c r="G1368" s="538">
        <f t="shared" si="378"/>
        <v>0</v>
      </c>
    </row>
    <row r="1369" spans="1:7" ht="19.899999999999999" customHeight="1" x14ac:dyDescent="0.2">
      <c r="A1369" s="573"/>
      <c r="B1369" s="532"/>
      <c r="C1369" s="535"/>
      <c r="D1369" s="536"/>
      <c r="E1369" s="537">
        <f t="shared" si="376"/>
        <v>0</v>
      </c>
      <c r="F1369" s="538">
        <f t="shared" si="377"/>
        <v>0</v>
      </c>
      <c r="G1369" s="538">
        <f t="shared" si="378"/>
        <v>0</v>
      </c>
    </row>
    <row r="1370" spans="1:7" ht="19.899999999999999" customHeight="1" x14ac:dyDescent="0.2">
      <c r="A1370" s="573"/>
      <c r="B1370" s="532"/>
      <c r="C1370" s="535"/>
      <c r="D1370" s="536"/>
      <c r="E1370" s="537">
        <f t="shared" si="376"/>
        <v>0</v>
      </c>
      <c r="F1370" s="538">
        <f t="shared" si="377"/>
        <v>0</v>
      </c>
      <c r="G1370" s="538">
        <f t="shared" si="378"/>
        <v>0</v>
      </c>
    </row>
    <row r="1371" spans="1:7" ht="19.899999999999999" customHeight="1" x14ac:dyDescent="0.2">
      <c r="A1371" s="573"/>
      <c r="B1371" s="532"/>
      <c r="C1371" s="535"/>
      <c r="D1371" s="536"/>
      <c r="E1371" s="537">
        <f t="shared" si="376"/>
        <v>0</v>
      </c>
      <c r="F1371" s="538">
        <f t="shared" si="377"/>
        <v>0</v>
      </c>
      <c r="G1371" s="538">
        <f t="shared" si="378"/>
        <v>0</v>
      </c>
    </row>
    <row r="1372" spans="1:7" ht="19.899999999999999" customHeight="1" x14ac:dyDescent="0.2">
      <c r="A1372" s="573"/>
      <c r="B1372" s="532"/>
      <c r="C1372" s="528"/>
      <c r="D1372" s="528"/>
      <c r="E1372" s="539"/>
      <c r="F1372" s="523"/>
      <c r="G1372" s="575"/>
    </row>
    <row r="1373" spans="1:7" ht="19.899999999999999" customHeight="1" x14ac:dyDescent="0.2">
      <c r="A1373" s="573"/>
      <c r="B1373" s="528"/>
      <c r="C1373" s="520" t="s">
        <v>982</v>
      </c>
      <c r="D1373" s="523" t="s">
        <v>979</v>
      </c>
      <c r="E1373" s="594">
        <f>SUMPRODUCT(D1362:D1371,E1362:E1371)</f>
        <v>0</v>
      </c>
      <c r="F1373" s="523" t="s">
        <v>983</v>
      </c>
      <c r="G1373" s="595">
        <f>SUM(G1362:G1371)</f>
        <v>0</v>
      </c>
    </row>
    <row r="1374" spans="1:7" ht="19.899999999999999" customHeight="1" x14ac:dyDescent="0.2">
      <c r="A1374" s="573"/>
      <c r="B1374" s="532"/>
      <c r="C1374" s="540"/>
      <c r="D1374" s="539"/>
      <c r="E1374" s="525"/>
      <c r="F1374" s="523"/>
      <c r="G1374" s="579"/>
    </row>
    <row r="1375" spans="1:7" ht="19.899999999999999" customHeight="1" x14ac:dyDescent="0.2">
      <c r="A1375" s="580"/>
      <c r="B1375" s="532"/>
      <c r="C1375" s="523" t="s">
        <v>984</v>
      </c>
      <c r="D1375" s="541">
        <f>IFERROR(VLOOKUP(COUNTIF($A$1:A1375,"ANALISIS DE PRECIOS"),T_Rendimiento_Equipo,5,FALSE),0)</f>
        <v>0</v>
      </c>
      <c r="E1375" s="542" t="str">
        <f ca="1">G1357&amp;"/día"</f>
        <v>m3/día</v>
      </c>
      <c r="F1375" s="581"/>
      <c r="G1375" s="575"/>
    </row>
    <row r="1376" spans="1:7" ht="19.899999999999999" customHeight="1" x14ac:dyDescent="0.2">
      <c r="A1376" s="573"/>
      <c r="B1376" s="532"/>
      <c r="C1376" s="528"/>
      <c r="D1376" s="524"/>
      <c r="E1376" s="525"/>
      <c r="F1376" s="523"/>
      <c r="G1376" s="575"/>
    </row>
    <row r="1377" spans="1:7" ht="19.899999999999999" customHeight="1" x14ac:dyDescent="0.2">
      <c r="A1377" s="793" t="s">
        <v>576</v>
      </c>
      <c r="B1377" s="794"/>
      <c r="C1377" s="795" t="s">
        <v>0</v>
      </c>
      <c r="D1377" s="807" t="s">
        <v>1739</v>
      </c>
      <c r="E1377" s="807" t="s">
        <v>1738</v>
      </c>
      <c r="F1377" s="799" t="s">
        <v>985</v>
      </c>
      <c r="G1377" s="801" t="s">
        <v>26</v>
      </c>
    </row>
    <row r="1378" spans="1:7" ht="19.899999999999999" customHeight="1" x14ac:dyDescent="0.2">
      <c r="A1378" s="543" t="s">
        <v>577</v>
      </c>
      <c r="B1378" s="543" t="s">
        <v>578</v>
      </c>
      <c r="C1378" s="796"/>
      <c r="D1378" s="808"/>
      <c r="E1378" s="798"/>
      <c r="F1378" s="800"/>
      <c r="G1378" s="802"/>
    </row>
    <row r="1379" spans="1:7" ht="19.899999999999999" customHeight="1" x14ac:dyDescent="0.2">
      <c r="A1379" s="582"/>
      <c r="B1379" s="528"/>
      <c r="C1379" s="520" t="s">
        <v>986</v>
      </c>
      <c r="D1379" s="525"/>
      <c r="E1379" s="525"/>
      <c r="F1379" s="528"/>
      <c r="G1379" s="583"/>
    </row>
    <row r="1380" spans="1:7" ht="19.899999999999999" customHeight="1" x14ac:dyDescent="0.2">
      <c r="A1380" s="584">
        <f t="shared" ref="A1380:A1388" si="379">IFERROR(VLOOKUP(C1380,T_Insumos,4,FALSE),0)</f>
        <v>0</v>
      </c>
      <c r="B1380" s="544">
        <f t="shared" ref="B1380:B1388" si="380">IFERROR(VLOOKUP(C1380,T_Insumos,5,FALSE),0)</f>
        <v>0</v>
      </c>
      <c r="C1380" s="535">
        <f>+C105</f>
        <v>0</v>
      </c>
      <c r="D1380" s="545">
        <f t="shared" ref="D1380:D1388" si="381">IFERROR(VLOOKUP(C1380,T_Insumos,3,FALSE),0)</f>
        <v>0</v>
      </c>
      <c r="E1380" s="538">
        <f>D1380*$G$1298</f>
        <v>0</v>
      </c>
      <c r="F1380" s="541">
        <f>IF(C1380="",0,IFERROR(VLOOKUP(COUNTIF($A$1:A1380,"ANALISIS DE PRECIOS"),T_Rendimiento_Equipo,5,FALSE),0))</f>
        <v>0</v>
      </c>
      <c r="G1380" s="538">
        <f>IFERROR(ROUND(E1380/F1380,2),0)</f>
        <v>0</v>
      </c>
    </row>
    <row r="1381" spans="1:7" ht="19.899999999999999" customHeight="1" x14ac:dyDescent="0.2">
      <c r="A1381" s="584">
        <f t="shared" si="379"/>
        <v>0</v>
      </c>
      <c r="B1381" s="544">
        <f t="shared" si="380"/>
        <v>0</v>
      </c>
      <c r="C1381" s="535">
        <f t="shared" ref="C1381:C1386" si="382">+C106</f>
        <v>0</v>
      </c>
      <c r="D1381" s="545">
        <f t="shared" si="381"/>
        <v>0</v>
      </c>
      <c r="E1381" s="538">
        <f t="shared" ref="E1381:E1382" si="383">D1381*$G$1298</f>
        <v>0</v>
      </c>
      <c r="F1381" s="541">
        <f>IF(C1381="",0,IFERROR(VLOOKUP(COUNTIF($A$1:A1381,"ANALISIS DE PRECIOS"),T_Rendimiento_Equipo,5,FALSE),0))</f>
        <v>0</v>
      </c>
      <c r="G1381" s="538">
        <f t="shared" ref="G1381:G1388" si="384">IFERROR(ROUND(E1381/F1381,2),0)</f>
        <v>0</v>
      </c>
    </row>
    <row r="1382" spans="1:7" ht="19.899999999999999" customHeight="1" x14ac:dyDescent="0.2">
      <c r="A1382" s="584">
        <f t="shared" si="379"/>
        <v>0</v>
      </c>
      <c r="B1382" s="544">
        <f t="shared" si="380"/>
        <v>0</v>
      </c>
      <c r="C1382" s="535">
        <f t="shared" si="382"/>
        <v>0</v>
      </c>
      <c r="D1382" s="545">
        <f t="shared" si="381"/>
        <v>0</v>
      </c>
      <c r="E1382" s="538">
        <f t="shared" si="383"/>
        <v>0</v>
      </c>
      <c r="F1382" s="541">
        <f>IF(C1382="",0,IFERROR(VLOOKUP(COUNTIF($A$1:A1382,"ANALISIS DE PRECIOS"),T_Rendimiento_Equipo,5,FALSE),0))</f>
        <v>0</v>
      </c>
      <c r="G1382" s="538">
        <f t="shared" si="384"/>
        <v>0</v>
      </c>
    </row>
    <row r="1383" spans="1:7" ht="19.899999999999999" customHeight="1" x14ac:dyDescent="0.2">
      <c r="A1383" s="584">
        <f t="shared" si="379"/>
        <v>0</v>
      </c>
      <c r="B1383" s="544">
        <f t="shared" si="380"/>
        <v>0</v>
      </c>
      <c r="C1383" s="535">
        <f t="shared" si="382"/>
        <v>0</v>
      </c>
      <c r="D1383" s="545">
        <f t="shared" si="381"/>
        <v>0</v>
      </c>
      <c r="E1383" s="538">
        <f>D1383*$E$1298</f>
        <v>0</v>
      </c>
      <c r="F1383" s="541">
        <f>IF(C1383="",0,IFERROR(VLOOKUP(COUNTIF($A$1:A1383,"ANALISIS DE PRECIOS"),T_Rendimiento_Equipo,5,FALSE),0))</f>
        <v>0</v>
      </c>
      <c r="G1383" s="538">
        <f t="shared" si="384"/>
        <v>0</v>
      </c>
    </row>
    <row r="1384" spans="1:7" ht="19.899999999999999" customHeight="1" x14ac:dyDescent="0.2">
      <c r="A1384" s="584">
        <f t="shared" si="379"/>
        <v>0</v>
      </c>
      <c r="B1384" s="544">
        <f t="shared" si="380"/>
        <v>0</v>
      </c>
      <c r="C1384" s="535">
        <f t="shared" si="382"/>
        <v>0</v>
      </c>
      <c r="D1384" s="545">
        <f t="shared" si="381"/>
        <v>0</v>
      </c>
      <c r="E1384" s="538"/>
      <c r="F1384" s="541">
        <f>IF(C1384="",0,IFERROR(VLOOKUP(COUNTIF($A$1:A1384,"ANALISIS DE PRECIOS"),T_Rendimiento_Equipo,5,FALSE),0))</f>
        <v>0</v>
      </c>
      <c r="G1384" s="538">
        <f t="shared" si="384"/>
        <v>0</v>
      </c>
    </row>
    <row r="1385" spans="1:7" ht="19.899999999999999" customHeight="1" x14ac:dyDescent="0.2">
      <c r="A1385" s="584">
        <f t="shared" si="379"/>
        <v>0</v>
      </c>
      <c r="B1385" s="544">
        <f t="shared" si="380"/>
        <v>0</v>
      </c>
      <c r="C1385" s="535">
        <f t="shared" si="382"/>
        <v>0</v>
      </c>
      <c r="D1385" s="545">
        <f t="shared" si="381"/>
        <v>0</v>
      </c>
      <c r="E1385" s="538"/>
      <c r="F1385" s="541">
        <f>IF(C1385="",0,IFERROR(VLOOKUP(COUNTIF($A$1:A1385,"ANALISIS DE PRECIOS"),T_Rendimiento_Equipo,5,FALSE),0))</f>
        <v>0</v>
      </c>
      <c r="G1385" s="538">
        <f t="shared" si="384"/>
        <v>0</v>
      </c>
    </row>
    <row r="1386" spans="1:7" ht="19.899999999999999" customHeight="1" x14ac:dyDescent="0.2">
      <c r="A1386" s="584">
        <f t="shared" si="379"/>
        <v>0</v>
      </c>
      <c r="B1386" s="544">
        <f t="shared" si="380"/>
        <v>0</v>
      </c>
      <c r="C1386" s="535">
        <f t="shared" si="382"/>
        <v>0</v>
      </c>
      <c r="D1386" s="545">
        <f t="shared" si="381"/>
        <v>0</v>
      </c>
      <c r="E1386" s="538"/>
      <c r="F1386" s="541">
        <f>IF(C1386="",0,IFERROR(VLOOKUP(COUNTIF($A$1:A1386,"ANALISIS DE PRECIOS"),T_Rendimiento_Equipo,5,FALSE),0))</f>
        <v>0</v>
      </c>
      <c r="G1386" s="538">
        <f t="shared" si="384"/>
        <v>0</v>
      </c>
    </row>
    <row r="1387" spans="1:7" ht="19.899999999999999" customHeight="1" x14ac:dyDescent="0.2">
      <c r="A1387" s="584">
        <f t="shared" si="379"/>
        <v>0</v>
      </c>
      <c r="B1387" s="544">
        <f t="shared" si="380"/>
        <v>0</v>
      </c>
      <c r="C1387" s="546"/>
      <c r="D1387" s="545">
        <f t="shared" si="381"/>
        <v>0</v>
      </c>
      <c r="E1387" s="538"/>
      <c r="F1387" s="541">
        <f>IF(C1387="",0,IFERROR(VLOOKUP(COUNTIF($A$1:A1387,"ANALISIS DE PRECIOS"),T_Rendimiento_Equipo,5,FALSE),0))</f>
        <v>0</v>
      </c>
      <c r="G1387" s="538">
        <f t="shared" si="384"/>
        <v>0</v>
      </c>
    </row>
    <row r="1388" spans="1:7" ht="19.899999999999999" customHeight="1" x14ac:dyDescent="0.2">
      <c r="A1388" s="584">
        <f t="shared" si="379"/>
        <v>0</v>
      </c>
      <c r="B1388" s="544">
        <f t="shared" si="380"/>
        <v>0</v>
      </c>
      <c r="C1388" s="535"/>
      <c r="D1388" s="545">
        <f t="shared" si="381"/>
        <v>0</v>
      </c>
      <c r="E1388" s="538"/>
      <c r="F1388" s="541">
        <f>IF(C1388="",0,IFERROR(VLOOKUP(COUNTIF($A$1:A1388,"ANALISIS DE PRECIOS"),T_Rendimiento_Equipo,5,FALSE),0))</f>
        <v>0</v>
      </c>
      <c r="G1388" s="538">
        <f t="shared" si="384"/>
        <v>0</v>
      </c>
    </row>
    <row r="1389" spans="1:7" ht="19.899999999999999" customHeight="1" x14ac:dyDescent="0.2">
      <c r="A1389" s="585"/>
      <c r="B1389" s="524"/>
      <c r="C1389" s="528"/>
      <c r="D1389" s="524"/>
      <c r="E1389" s="525"/>
      <c r="F1389" s="770" t="s">
        <v>27</v>
      </c>
      <c r="G1389" s="586">
        <f>SUBTOTAL(9,G1380:G1388)</f>
        <v>0</v>
      </c>
    </row>
    <row r="1390" spans="1:7" ht="19.899999999999999" customHeight="1" x14ac:dyDescent="0.2">
      <c r="A1390" s="582"/>
      <c r="B1390" s="528"/>
      <c r="C1390" s="520" t="s">
        <v>713</v>
      </c>
      <c r="D1390" s="524"/>
      <c r="E1390" s="525"/>
      <c r="F1390" s="526"/>
      <c r="G1390" s="583"/>
    </row>
    <row r="1391" spans="1:7" ht="19.899999999999999" customHeight="1" x14ac:dyDescent="0.2">
      <c r="A1391" s="793" t="s">
        <v>576</v>
      </c>
      <c r="B1391" s="794"/>
      <c r="C1391" s="795" t="s">
        <v>0</v>
      </c>
      <c r="D1391" s="797" t="s">
        <v>24</v>
      </c>
      <c r="E1391" s="797" t="s">
        <v>1718</v>
      </c>
      <c r="F1391" s="799" t="s">
        <v>985</v>
      </c>
      <c r="G1391" s="801" t="s">
        <v>26</v>
      </c>
    </row>
    <row r="1392" spans="1:7" ht="19.899999999999999" customHeight="1" x14ac:dyDescent="0.2">
      <c r="A1392" s="543" t="s">
        <v>577</v>
      </c>
      <c r="B1392" s="543" t="s">
        <v>578</v>
      </c>
      <c r="C1392" s="796"/>
      <c r="D1392" s="798"/>
      <c r="E1392" s="798"/>
      <c r="F1392" s="800"/>
      <c r="G1392" s="802"/>
    </row>
    <row r="1393" spans="1:7" ht="19.899999999999999" customHeight="1" x14ac:dyDescent="0.2">
      <c r="A1393" s="584" t="str">
        <f t="shared" ref="A1393:A1399" si="385">IFERROR(VLOOKUP(C1393,T_Insumos,4,FALSE),0)</f>
        <v>IIEE-SJ - 1</v>
      </c>
      <c r="B1393" s="544" t="str">
        <f t="shared" ref="B1393:B1399" si="386">IFERROR(VLOOKUP(C1393,T_Insumos,5,FALSE),0)</f>
        <v>Mano de Obra</v>
      </c>
      <c r="C1393" s="548" t="str">
        <f>+C118</f>
        <v>Mano de obra</v>
      </c>
      <c r="D1393" s="541"/>
      <c r="E1393" s="538">
        <f t="shared" ref="E1393:E1399" si="387">IFERROR(VLOOKUP(C1393,T_Insumos,3,FALSE),0)</f>
        <v>0</v>
      </c>
      <c r="F1393" s="541">
        <f>IF(C1393="",0,IFERROR(VLOOKUP(COUNTIF($A$1:A1393,"ANALISIS DE PRECIOS"),T_Rendimiento_Equipo,5,FALSE),0))</f>
        <v>0</v>
      </c>
      <c r="G1393" s="538">
        <f>IFERROR(ROUND(D1393*E1393/F1393,2),0)</f>
        <v>0</v>
      </c>
    </row>
    <row r="1394" spans="1:7" ht="19.899999999999999" customHeight="1" x14ac:dyDescent="0.2">
      <c r="A1394" s="584" t="str">
        <f t="shared" si="385"/>
        <v>INDEC-CM - 37510-11</v>
      </c>
      <c r="B1394" s="544" t="str">
        <f t="shared" si="386"/>
        <v>Hormigón elaborado</v>
      </c>
      <c r="C1394" s="548" t="str">
        <f t="shared" ref="C1394:C1396" si="388">+C119</f>
        <v>Hormigon Elaborado</v>
      </c>
      <c r="D1394" s="541"/>
      <c r="E1394" s="538">
        <f t="shared" si="387"/>
        <v>0</v>
      </c>
      <c r="F1394" s="541">
        <f>IF(C1394="",0,IFERROR(VLOOKUP(COUNTIF($A$1:A1394,"ANALISIS DE PRECIOS"),T_Rendimiento_Equipo,5,FALSE),0))</f>
        <v>0</v>
      </c>
      <c r="G1394" s="538">
        <f t="shared" ref="G1394:G1399" si="389">IFERROR(ROUND(D1394*E1394/F1394,2),0)</f>
        <v>0</v>
      </c>
    </row>
    <row r="1395" spans="1:7" ht="19.899999999999999" customHeight="1" x14ac:dyDescent="0.2">
      <c r="A1395" s="584" t="str">
        <f t="shared" si="385"/>
        <v>INDEC-DCTO - Inciso j)</v>
      </c>
      <c r="B1395" s="544" t="str">
        <f t="shared" si="386"/>
        <v>Equipo - Amortización de equipo</v>
      </c>
      <c r="C1395" s="548" t="str">
        <f t="shared" si="388"/>
        <v>Equipo - Amortizacion de equipo</v>
      </c>
      <c r="D1395" s="541"/>
      <c r="E1395" s="538">
        <f t="shared" si="387"/>
        <v>0</v>
      </c>
      <c r="F1395" s="541">
        <f>IF(C1395="",0,IFERROR(VLOOKUP(COUNTIF($A$1:A1395,"ANALISIS DE PRECIOS"),T_Rendimiento_Equipo,5,FALSE),0))</f>
        <v>0</v>
      </c>
      <c r="G1395" s="538">
        <f t="shared" si="389"/>
        <v>0</v>
      </c>
    </row>
    <row r="1396" spans="1:7" ht="19.899999999999999" customHeight="1" x14ac:dyDescent="0.2">
      <c r="A1396" s="584" t="str">
        <f t="shared" si="385"/>
        <v>INDEC-CM - 41242-11</v>
      </c>
      <c r="B1396" s="544" t="str">
        <f t="shared" si="386"/>
        <v>Acero aletado conformado, en barra</v>
      </c>
      <c r="C1396" s="548" t="str">
        <f t="shared" si="388"/>
        <v>Hierro</v>
      </c>
      <c r="D1396" s="541"/>
      <c r="E1396" s="538">
        <f t="shared" si="387"/>
        <v>0</v>
      </c>
      <c r="F1396" s="541">
        <f>IF(C1396="",0,IFERROR(VLOOKUP(COUNTIF($A$1:A1396,"ANALISIS DE PRECIOS"),T_Rendimiento_Equipo,5,FALSE),0))</f>
        <v>0</v>
      </c>
      <c r="G1396" s="538">
        <f t="shared" si="389"/>
        <v>0</v>
      </c>
    </row>
    <row r="1397" spans="1:7" ht="19.899999999999999" customHeight="1" x14ac:dyDescent="0.2">
      <c r="A1397" s="584">
        <f t="shared" si="385"/>
        <v>0</v>
      </c>
      <c r="B1397" s="544">
        <f t="shared" si="386"/>
        <v>0</v>
      </c>
      <c r="C1397" s="535"/>
      <c r="D1397" s="541"/>
      <c r="E1397" s="538">
        <f t="shared" si="387"/>
        <v>0</v>
      </c>
      <c r="F1397" s="541">
        <f>IF(C1397="",0,IFERROR(VLOOKUP(COUNTIF($A$1:A1397,"ANALISIS DE PRECIOS"),T_Rendimiento_Equipo,5,FALSE),0))</f>
        <v>0</v>
      </c>
      <c r="G1397" s="538">
        <f t="shared" si="389"/>
        <v>0</v>
      </c>
    </row>
    <row r="1398" spans="1:7" ht="19.899999999999999" customHeight="1" x14ac:dyDescent="0.2">
      <c r="A1398" s="584">
        <f t="shared" si="385"/>
        <v>0</v>
      </c>
      <c r="B1398" s="544">
        <f t="shared" si="386"/>
        <v>0</v>
      </c>
      <c r="C1398" s="535"/>
      <c r="D1398" s="549"/>
      <c r="E1398" s="538">
        <f t="shared" si="387"/>
        <v>0</v>
      </c>
      <c r="F1398" s="541">
        <f>IF(C1398="",0,IFERROR(VLOOKUP(COUNTIF($A$1:A1398,"ANALISIS DE PRECIOS"),T_Rendimiento_Equipo,5,FALSE),0))</f>
        <v>0</v>
      </c>
      <c r="G1398" s="538">
        <f t="shared" si="389"/>
        <v>0</v>
      </c>
    </row>
    <row r="1399" spans="1:7" ht="19.899999999999999" customHeight="1" x14ac:dyDescent="0.2">
      <c r="A1399" s="584">
        <f t="shared" si="385"/>
        <v>0</v>
      </c>
      <c r="B1399" s="544">
        <f t="shared" si="386"/>
        <v>0</v>
      </c>
      <c r="C1399" s="544"/>
      <c r="D1399" s="550"/>
      <c r="E1399" s="538">
        <f t="shared" si="387"/>
        <v>0</v>
      </c>
      <c r="F1399" s="541">
        <f>IF(C1399="",0,IFERROR(VLOOKUP(COUNTIF($A$1:A1399,"ANALISIS DE PRECIOS"),T_Rendimiento_Equipo,5,FALSE),0))</f>
        <v>0</v>
      </c>
      <c r="G1399" s="538">
        <f t="shared" si="389"/>
        <v>0</v>
      </c>
    </row>
    <row r="1400" spans="1:7" ht="19.899999999999999" customHeight="1" x14ac:dyDescent="0.2">
      <c r="A1400" s="585"/>
      <c r="B1400" s="524"/>
      <c r="C1400" s="528"/>
      <c r="D1400" s="524"/>
      <c r="E1400" s="525"/>
      <c r="F1400" s="770" t="s">
        <v>28</v>
      </c>
      <c r="G1400" s="587">
        <f>SUBTOTAL(9,G1393:G1399)</f>
        <v>0</v>
      </c>
    </row>
    <row r="1401" spans="1:7" ht="19.899999999999999" customHeight="1" x14ac:dyDescent="0.2">
      <c r="A1401" s="582"/>
      <c r="B1401" s="528"/>
      <c r="C1401" s="520" t="s">
        <v>992</v>
      </c>
      <c r="D1401" s="524"/>
      <c r="E1401" s="525"/>
      <c r="F1401" s="526"/>
      <c r="G1401" s="583"/>
    </row>
    <row r="1402" spans="1:7" ht="19.899999999999999" customHeight="1" x14ac:dyDescent="0.2">
      <c r="A1402" s="793" t="s">
        <v>576</v>
      </c>
      <c r="B1402" s="794"/>
      <c r="C1402" s="795" t="s">
        <v>0</v>
      </c>
      <c r="D1402" s="795" t="s">
        <v>1740</v>
      </c>
      <c r="E1402" s="797" t="s">
        <v>24</v>
      </c>
      <c r="F1402" s="799" t="s">
        <v>25</v>
      </c>
      <c r="G1402" s="801" t="s">
        <v>26</v>
      </c>
    </row>
    <row r="1403" spans="1:7" ht="19.899999999999999" customHeight="1" x14ac:dyDescent="0.2">
      <c r="A1403" s="543" t="s">
        <v>577</v>
      </c>
      <c r="B1403" s="543" t="s">
        <v>578</v>
      </c>
      <c r="C1403" s="796"/>
      <c r="D1403" s="796"/>
      <c r="E1403" s="798"/>
      <c r="F1403" s="800"/>
      <c r="G1403" s="802"/>
    </row>
    <row r="1404" spans="1:7" ht="19.899999999999999" customHeight="1" x14ac:dyDescent="0.2">
      <c r="A1404" s="584">
        <f t="shared" ref="A1404:A1414" si="390">IFERROR(VLOOKUP(C1404,T_Insumos,4,FALSE),0)</f>
        <v>0</v>
      </c>
      <c r="B1404" s="544">
        <f t="shared" ref="B1404:B1414" si="391">IFERROR(VLOOKUP(C1404,T_Insumos,5,FALSE),0)</f>
        <v>0</v>
      </c>
      <c r="C1404" s="544">
        <f>+Insumos!A182</f>
        <v>0</v>
      </c>
      <c r="D1404" s="596">
        <f t="shared" ref="D1404:D1414" si="392">IFERROR(VLOOKUP(C1404,T_Insumos,2,FALSE),0)</f>
        <v>0</v>
      </c>
      <c r="E1404" s="536"/>
      <c r="F1404" s="538">
        <f t="shared" ref="F1404:F1414" si="393">IFERROR(VLOOKUP(C1404,T_Insumos,3,FALSE),0)</f>
        <v>0</v>
      </c>
      <c r="G1404" s="538">
        <f>ROUND(E1404*F1404,2)</f>
        <v>0</v>
      </c>
    </row>
    <row r="1405" spans="1:7" ht="19.899999999999999" customHeight="1" x14ac:dyDescent="0.2">
      <c r="A1405" s="584">
        <f t="shared" si="390"/>
        <v>0</v>
      </c>
      <c r="B1405" s="544">
        <f t="shared" si="391"/>
        <v>0</v>
      </c>
      <c r="C1405" s="544"/>
      <c r="D1405" s="596">
        <f t="shared" si="392"/>
        <v>0</v>
      </c>
      <c r="E1405" s="536"/>
      <c r="F1405" s="538">
        <f t="shared" si="393"/>
        <v>0</v>
      </c>
      <c r="G1405" s="538">
        <f t="shared" ref="G1405:G1414" si="394">ROUND(E1405*F1405,2)</f>
        <v>0</v>
      </c>
    </row>
    <row r="1406" spans="1:7" ht="19.899999999999999" customHeight="1" x14ac:dyDescent="0.2">
      <c r="A1406" s="584">
        <f t="shared" si="390"/>
        <v>0</v>
      </c>
      <c r="B1406" s="544">
        <f t="shared" si="391"/>
        <v>0</v>
      </c>
      <c r="C1406" s="544"/>
      <c r="D1406" s="596">
        <f t="shared" si="392"/>
        <v>0</v>
      </c>
      <c r="E1406" s="536"/>
      <c r="F1406" s="538">
        <f t="shared" si="393"/>
        <v>0</v>
      </c>
      <c r="G1406" s="538">
        <f t="shared" si="394"/>
        <v>0</v>
      </c>
    </row>
    <row r="1407" spans="1:7" ht="19.899999999999999" customHeight="1" x14ac:dyDescent="0.2">
      <c r="A1407" s="584">
        <f t="shared" si="390"/>
        <v>0</v>
      </c>
      <c r="B1407" s="544">
        <f t="shared" si="391"/>
        <v>0</v>
      </c>
      <c r="C1407" s="544"/>
      <c r="D1407" s="596">
        <f t="shared" si="392"/>
        <v>0</v>
      </c>
      <c r="E1407" s="536"/>
      <c r="F1407" s="538">
        <f t="shared" si="393"/>
        <v>0</v>
      </c>
      <c r="G1407" s="538">
        <f t="shared" si="394"/>
        <v>0</v>
      </c>
    </row>
    <row r="1408" spans="1:7" ht="19.899999999999999" customHeight="1" x14ac:dyDescent="0.2">
      <c r="A1408" s="584">
        <f t="shared" si="390"/>
        <v>0</v>
      </c>
      <c r="B1408" s="544">
        <f t="shared" si="391"/>
        <v>0</v>
      </c>
      <c r="C1408" s="544"/>
      <c r="D1408" s="596">
        <f t="shared" si="392"/>
        <v>0</v>
      </c>
      <c r="E1408" s="536"/>
      <c r="F1408" s="538">
        <f t="shared" si="393"/>
        <v>0</v>
      </c>
      <c r="G1408" s="538">
        <f t="shared" si="394"/>
        <v>0</v>
      </c>
    </row>
    <row r="1409" spans="1:7" ht="19.899999999999999" customHeight="1" x14ac:dyDescent="0.2">
      <c r="A1409" s="584">
        <f t="shared" si="390"/>
        <v>0</v>
      </c>
      <c r="B1409" s="544">
        <f t="shared" si="391"/>
        <v>0</v>
      </c>
      <c r="C1409" s="544"/>
      <c r="D1409" s="596">
        <f t="shared" si="392"/>
        <v>0</v>
      </c>
      <c r="E1409" s="536"/>
      <c r="F1409" s="538">
        <f t="shared" si="393"/>
        <v>0</v>
      </c>
      <c r="G1409" s="538">
        <f t="shared" si="394"/>
        <v>0</v>
      </c>
    </row>
    <row r="1410" spans="1:7" ht="19.899999999999999" customHeight="1" x14ac:dyDescent="0.2">
      <c r="A1410" s="584">
        <f t="shared" si="390"/>
        <v>0</v>
      </c>
      <c r="B1410" s="544">
        <f t="shared" si="391"/>
        <v>0</v>
      </c>
      <c r="C1410" s="544"/>
      <c r="D1410" s="596">
        <f t="shared" si="392"/>
        <v>0</v>
      </c>
      <c r="E1410" s="536"/>
      <c r="F1410" s="538">
        <f t="shared" si="393"/>
        <v>0</v>
      </c>
      <c r="G1410" s="538">
        <f t="shared" si="394"/>
        <v>0</v>
      </c>
    </row>
    <row r="1411" spans="1:7" ht="19.899999999999999" customHeight="1" x14ac:dyDescent="0.2">
      <c r="A1411" s="584">
        <f t="shared" si="390"/>
        <v>0</v>
      </c>
      <c r="B1411" s="544">
        <f t="shared" si="391"/>
        <v>0</v>
      </c>
      <c r="C1411" s="544"/>
      <c r="D1411" s="596">
        <f t="shared" si="392"/>
        <v>0</v>
      </c>
      <c r="E1411" s="536"/>
      <c r="F1411" s="538">
        <f t="shared" si="393"/>
        <v>0</v>
      </c>
      <c r="G1411" s="538">
        <f t="shared" si="394"/>
        <v>0</v>
      </c>
    </row>
    <row r="1412" spans="1:7" ht="19.899999999999999" customHeight="1" x14ac:dyDescent="0.2">
      <c r="A1412" s="584">
        <f t="shared" si="390"/>
        <v>0</v>
      </c>
      <c r="B1412" s="544">
        <f t="shared" si="391"/>
        <v>0</v>
      </c>
      <c r="C1412" s="544"/>
      <c r="D1412" s="596">
        <f t="shared" si="392"/>
        <v>0</v>
      </c>
      <c r="E1412" s="536"/>
      <c r="F1412" s="538">
        <f t="shared" si="393"/>
        <v>0</v>
      </c>
      <c r="G1412" s="538">
        <f t="shared" si="394"/>
        <v>0</v>
      </c>
    </row>
    <row r="1413" spans="1:7" ht="19.899999999999999" customHeight="1" x14ac:dyDescent="0.2">
      <c r="A1413" s="584">
        <f t="shared" si="390"/>
        <v>0</v>
      </c>
      <c r="B1413" s="544">
        <f t="shared" si="391"/>
        <v>0</v>
      </c>
      <c r="C1413" s="544"/>
      <c r="D1413" s="596">
        <f t="shared" si="392"/>
        <v>0</v>
      </c>
      <c r="E1413" s="536"/>
      <c r="F1413" s="538">
        <f t="shared" si="393"/>
        <v>0</v>
      </c>
      <c r="G1413" s="538">
        <f t="shared" si="394"/>
        <v>0</v>
      </c>
    </row>
    <row r="1414" spans="1:7" ht="19.899999999999999" customHeight="1" x14ac:dyDescent="0.2">
      <c r="A1414" s="584">
        <f t="shared" si="390"/>
        <v>0</v>
      </c>
      <c r="B1414" s="544">
        <f t="shared" si="391"/>
        <v>0</v>
      </c>
      <c r="C1414" s="544"/>
      <c r="D1414" s="596">
        <f t="shared" si="392"/>
        <v>0</v>
      </c>
      <c r="E1414" s="536"/>
      <c r="F1414" s="538">
        <f t="shared" si="393"/>
        <v>0</v>
      </c>
      <c r="G1414" s="538">
        <f t="shared" si="394"/>
        <v>0</v>
      </c>
    </row>
    <row r="1415" spans="1:7" ht="19.899999999999999" customHeight="1" x14ac:dyDescent="0.2">
      <c r="A1415" s="582"/>
      <c r="B1415" s="528"/>
      <c r="C1415" s="528"/>
      <c r="D1415" s="524"/>
      <c r="E1415" s="525"/>
      <c r="F1415" s="770" t="s">
        <v>29</v>
      </c>
      <c r="G1415" s="588">
        <f>SUBTOTAL(9,G1404:G1414)</f>
        <v>0</v>
      </c>
    </row>
    <row r="1416" spans="1:7" ht="19.899999999999999" customHeight="1" x14ac:dyDescent="0.2">
      <c r="A1416" s="582"/>
      <c r="B1416" s="528"/>
      <c r="C1416" s="520" t="s">
        <v>993</v>
      </c>
      <c r="D1416" s="524"/>
      <c r="E1416" s="525"/>
      <c r="F1416" s="526"/>
      <c r="G1416" s="583"/>
    </row>
    <row r="1417" spans="1:7" ht="19.899999999999999" customHeight="1" x14ac:dyDescent="0.2">
      <c r="A1417" s="793" t="s">
        <v>576</v>
      </c>
      <c r="B1417" s="794"/>
      <c r="C1417" s="795" t="s">
        <v>0</v>
      </c>
      <c r="D1417" s="795" t="s">
        <v>1740</v>
      </c>
      <c r="E1417" s="797" t="s">
        <v>24</v>
      </c>
      <c r="F1417" s="799" t="s">
        <v>25</v>
      </c>
      <c r="G1417" s="801" t="s">
        <v>26</v>
      </c>
    </row>
    <row r="1418" spans="1:7" ht="19.899999999999999" customHeight="1" x14ac:dyDescent="0.2">
      <c r="A1418" s="543" t="s">
        <v>577</v>
      </c>
      <c r="B1418" s="543" t="s">
        <v>578</v>
      </c>
      <c r="C1418" s="796"/>
      <c r="D1418" s="796"/>
      <c r="E1418" s="798"/>
      <c r="F1418" s="800"/>
      <c r="G1418" s="802"/>
    </row>
    <row r="1419" spans="1:7" ht="19.899999999999999" customHeight="1" x14ac:dyDescent="0.2">
      <c r="A1419" s="584">
        <f>IFERROR(VLOOKUP(C1419,T_Insumos,4,FALSE),0)</f>
        <v>0</v>
      </c>
      <c r="B1419" s="544">
        <f>IFERROR(VLOOKUP(C1419,T_Insumos,5,FALSE),0)</f>
        <v>0</v>
      </c>
      <c r="C1419" s="535"/>
      <c r="D1419" s="596">
        <f>IF(C1419=0,0,"$/tnkm")</f>
        <v>0</v>
      </c>
      <c r="E1419" s="536"/>
      <c r="F1419" s="538">
        <f>IFERROR(VLOOKUP(C1419,T_Insumos,3,FALSE),0)</f>
        <v>0</v>
      </c>
      <c r="G1419" s="538">
        <f>ROUND(E1419*F1419,2)</f>
        <v>0</v>
      </c>
    </row>
    <row r="1420" spans="1:7" ht="19.899999999999999" customHeight="1" x14ac:dyDescent="0.2">
      <c r="A1420" s="584">
        <f>IFERROR(VLOOKUP(C1420,T_Insumos,4,FALSE),0)</f>
        <v>0</v>
      </c>
      <c r="B1420" s="544">
        <f>IFERROR(VLOOKUP(C1420,T_Insumos,5,FALSE),0)</f>
        <v>0</v>
      </c>
      <c r="C1420" s="535"/>
      <c r="D1420" s="596">
        <f>IF(C1420=0,0,"$/tnkm")</f>
        <v>0</v>
      </c>
      <c r="E1420" s="552"/>
      <c r="F1420" s="538">
        <f>IFERROR(VLOOKUP(C1420,T_Insumos,3,FALSE),0)</f>
        <v>0</v>
      </c>
      <c r="G1420" s="538">
        <f t="shared" ref="G1420" si="395">ROUND(E1420*F1420,2)</f>
        <v>0</v>
      </c>
    </row>
    <row r="1421" spans="1:7" ht="19.899999999999999" customHeight="1" x14ac:dyDescent="0.2">
      <c r="A1421" s="582"/>
      <c r="B1421" s="528"/>
      <c r="C1421" s="528"/>
      <c r="D1421" s="524"/>
      <c r="E1421" s="525"/>
      <c r="F1421" s="770" t="s">
        <v>994</v>
      </c>
      <c r="G1421" s="588">
        <f>SUBTOTAL(9,G1419:G1420)</f>
        <v>0</v>
      </c>
    </row>
    <row r="1422" spans="1:7" ht="19.899999999999999" customHeight="1" x14ac:dyDescent="0.2">
      <c r="A1422" s="585"/>
      <c r="B1422" s="524"/>
      <c r="C1422" s="528"/>
      <c r="D1422" s="524"/>
      <c r="E1422" s="525"/>
      <c r="F1422" s="526"/>
      <c r="G1422" s="583"/>
    </row>
    <row r="1423" spans="1:7" ht="19.899999999999999" customHeight="1" x14ac:dyDescent="0.2">
      <c r="A1423" s="647" t="str">
        <f>B1357</f>
        <v>4.6</v>
      </c>
      <c r="B1423" s="644" t="str">
        <f ca="1">C1357</f>
        <v>Demolicion de puente</v>
      </c>
      <c r="C1423" s="524"/>
      <c r="D1423" s="524" t="s">
        <v>1719</v>
      </c>
      <c r="E1423" s="645"/>
      <c r="F1423" s="646" t="str">
        <f ca="1">"$/"&amp;G1357</f>
        <v>$/m3</v>
      </c>
      <c r="G1423" s="593">
        <f>SUBTOTAL(9,G1380:G1422)</f>
        <v>0</v>
      </c>
    </row>
    <row r="1424" spans="1:7" ht="19.899999999999999" customHeight="1" x14ac:dyDescent="0.2">
      <c r="A1424" s="589"/>
      <c r="B1424" s="590"/>
      <c r="C1424" s="591"/>
      <c r="D1424" s="591" t="s">
        <v>1915</v>
      </c>
      <c r="E1424" s="592"/>
      <c r="F1424" s="648" t="str">
        <f ca="1">"$/"&amp;G1357</f>
        <v>$/m3</v>
      </c>
      <c r="G1424" s="593">
        <f>ROUND(G1423*Coeficiente_Paso,2)</f>
        <v>0</v>
      </c>
    </row>
  </sheetData>
  <sheetProtection insertRows="0" deleteRows="0"/>
  <mergeCells count="494">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51:G1351"/>
    <mergeCell ref="C1357:E135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316:B1316"/>
    <mergeCell ref="C1316:C1317"/>
    <mergeCell ref="D1316:D1317"/>
    <mergeCell ref="E1316:E1317"/>
    <mergeCell ref="F1316:F1317"/>
    <mergeCell ref="G1316:G1317"/>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A1177:B1177"/>
    <mergeCell ref="C1177:C1178"/>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C67:C68"/>
    <mergeCell ref="D67:D68"/>
    <mergeCell ref="E67:E68"/>
    <mergeCell ref="F67:F68"/>
    <mergeCell ref="G67:G68"/>
    <mergeCell ref="A327:B327"/>
    <mergeCell ref="C327:C328"/>
    <mergeCell ref="D327:D328"/>
    <mergeCell ref="E327:E328"/>
    <mergeCell ref="G142:G143"/>
    <mergeCell ref="F292:F293"/>
    <mergeCell ref="G292:G293"/>
    <mergeCell ref="A217:B217"/>
    <mergeCell ref="C217:C218"/>
    <mergeCell ref="D217:D218"/>
    <mergeCell ref="E217:E218"/>
    <mergeCell ref="E252:E253"/>
    <mergeCell ref="F252:F253"/>
    <mergeCell ref="A826:G826"/>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C127:C128"/>
    <mergeCell ref="D127:D128"/>
    <mergeCell ref="A301:G301"/>
    <mergeCell ref="C307:E307"/>
    <mergeCell ref="A341:B341"/>
    <mergeCell ref="C341:C342"/>
    <mergeCell ref="G177:G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352:G353"/>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442:B442"/>
    <mergeCell ref="C442:C443"/>
    <mergeCell ref="D442:D443"/>
    <mergeCell ref="E442:E443"/>
    <mergeCell ref="D1166:D1167"/>
    <mergeCell ref="A777:B777"/>
    <mergeCell ref="C777:C778"/>
    <mergeCell ref="D777:D778"/>
    <mergeCell ref="E777:E778"/>
    <mergeCell ref="A292:B292"/>
    <mergeCell ref="C292:C293"/>
    <mergeCell ref="D292:D293"/>
    <mergeCell ref="E292:E293"/>
    <mergeCell ref="A727:B727"/>
    <mergeCell ref="C727:C728"/>
    <mergeCell ref="D727:D728"/>
    <mergeCell ref="E727:E728"/>
    <mergeCell ref="A601:G601"/>
    <mergeCell ref="C607:E607"/>
    <mergeCell ref="A627:B627"/>
    <mergeCell ref="C627:C628"/>
    <mergeCell ref="D627:D628"/>
    <mergeCell ref="E627:E628"/>
    <mergeCell ref="F627:F628"/>
    <mergeCell ref="G627:G628"/>
    <mergeCell ref="A526:G526"/>
    <mergeCell ref="C532:E532"/>
    <mergeCell ref="A552:B552"/>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G252:G25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D341:D342"/>
    <mergeCell ref="E341:E342"/>
    <mergeCell ref="F341:F342"/>
    <mergeCell ref="G341:G342"/>
    <mergeCell ref="A352:B352"/>
    <mergeCell ref="C352:C353"/>
    <mergeCell ref="D352:D353"/>
    <mergeCell ref="E352:E353"/>
    <mergeCell ref="F352:F353"/>
    <mergeCell ref="F442:F44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A641:B641"/>
    <mergeCell ref="C641:C642"/>
    <mergeCell ref="D641:D642"/>
    <mergeCell ref="E641:E642"/>
    <mergeCell ref="F641:F642"/>
    <mergeCell ref="G641:G642"/>
    <mergeCell ref="A652:B652"/>
    <mergeCell ref="C652:C653"/>
    <mergeCell ref="D652:D653"/>
    <mergeCell ref="E652:E653"/>
    <mergeCell ref="F652:F653"/>
    <mergeCell ref="G652:G653"/>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C866:C867"/>
    <mergeCell ref="D866:D867"/>
    <mergeCell ref="E866:E867"/>
    <mergeCell ref="F866:F867"/>
    <mergeCell ref="G866:G867"/>
    <mergeCell ref="A877:B877"/>
    <mergeCell ref="C877:C878"/>
    <mergeCell ref="D877:D878"/>
    <mergeCell ref="E877:E878"/>
    <mergeCell ref="F877:F878"/>
    <mergeCell ref="G877:G878"/>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1166:B1166"/>
    <mergeCell ref="C1166:C1167"/>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002:E1003"/>
    <mergeCell ref="F1002:F1003"/>
    <mergeCell ref="G1002:G1003"/>
    <mergeCell ref="A976:G976"/>
    <mergeCell ref="C982:E982"/>
    <mergeCell ref="A1016:B1016"/>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s>
  <pageMargins left="1.1811023622047245" right="0.78740157480314965" top="1.1811023622047245" bottom="0.78740157480314965" header="0.39370078740157483" footer="0.39370078740157483"/>
  <pageSetup paperSize="9" scale="36" fitToHeight="0" orientation="portrait" r:id="rId1"/>
  <headerFooter>
    <oddHeader>&amp;L&amp;G</oddHeader>
  </headerFooter>
  <rowBreaks count="18" manualBreakCount="18">
    <brk id="75" max="6" man="1"/>
    <brk id="150" max="6" man="1"/>
    <brk id="225" max="6" man="1"/>
    <brk id="300" max="6" man="1"/>
    <brk id="375" max="6" man="1"/>
    <brk id="450" max="6" man="1"/>
    <brk id="525" max="6" man="1"/>
    <brk id="600" max="6" man="1"/>
    <brk id="675" max="6" man="1"/>
    <brk id="750" max="6" man="1"/>
    <brk id="825" max="6" man="1"/>
    <brk id="900" max="6" man="1"/>
    <brk id="975" max="6" man="1"/>
    <brk id="1050" max="6" man="1"/>
    <brk id="1125" max="6" man="1"/>
    <brk id="1200" max="6" man="1"/>
    <brk id="1275" max="6" man="1"/>
    <brk id="1350"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11"/>
  <sheetViews>
    <sheetView workbookViewId="0">
      <selection activeCell="O33" sqref="O33"/>
    </sheetView>
  </sheetViews>
  <sheetFormatPr baseColWidth="10" defaultRowHeight="12.75" x14ac:dyDescent="0.2"/>
  <cols>
    <col min="1" max="1" width="33.7109375" style="667" customWidth="1"/>
    <col min="2" max="2" width="15.85546875" style="667" customWidth="1"/>
    <col min="3" max="4" width="13.85546875" style="667" customWidth="1"/>
    <col min="5" max="5" width="15.140625" style="667" customWidth="1"/>
    <col min="6" max="9" width="13.85546875" style="667" customWidth="1"/>
    <col min="10" max="10" width="16.7109375" style="667" customWidth="1"/>
    <col min="11" max="11" width="13.85546875" style="667" customWidth="1"/>
    <col min="12" max="14" width="11.42578125" style="667"/>
    <col min="15" max="15" width="49.85546875" style="667" bestFit="1" customWidth="1"/>
    <col min="16" max="16384" width="11.42578125" style="667"/>
  </cols>
  <sheetData>
    <row r="1" spans="1:17" x14ac:dyDescent="0.2">
      <c r="A1" s="667" t="s">
        <v>1946</v>
      </c>
    </row>
    <row r="2" spans="1:17" x14ac:dyDescent="0.2">
      <c r="A2" s="667" t="s">
        <v>1945</v>
      </c>
    </row>
    <row r="3" spans="1:17" x14ac:dyDescent="0.2">
      <c r="A3" s="667" t="s">
        <v>1943</v>
      </c>
    </row>
    <row r="4" spans="1:17" x14ac:dyDescent="0.2">
      <c r="A4" s="667" t="s">
        <v>1944</v>
      </c>
    </row>
    <row r="6" spans="1:17" ht="15.75" x14ac:dyDescent="0.25">
      <c r="A6" s="809" t="s">
        <v>1706</v>
      </c>
      <c r="B6" s="809"/>
      <c r="C6" s="809"/>
      <c r="D6" s="809"/>
      <c r="E6" s="809"/>
      <c r="F6" s="809"/>
      <c r="G6" s="809"/>
      <c r="H6" s="809"/>
      <c r="I6" s="809"/>
      <c r="J6" s="809"/>
      <c r="K6" s="809"/>
      <c r="P6" s="667">
        <v>140</v>
      </c>
      <c r="Q6" s="667">
        <v>900000</v>
      </c>
    </row>
    <row r="7" spans="1:17" x14ac:dyDescent="0.2">
      <c r="P7" s="667">
        <v>140</v>
      </c>
      <c r="Q7" s="667">
        <v>1260000</v>
      </c>
    </row>
    <row r="8" spans="1:17" s="672" customFormat="1" ht="38.25" x14ac:dyDescent="0.2">
      <c r="A8" s="662" t="s">
        <v>1707</v>
      </c>
      <c r="B8" s="662" t="s">
        <v>1708</v>
      </c>
      <c r="C8" s="662" t="s">
        <v>1709</v>
      </c>
      <c r="D8" s="662" t="s">
        <v>1710</v>
      </c>
      <c r="E8" s="662" t="s">
        <v>1717</v>
      </c>
      <c r="F8" s="662" t="s">
        <v>1711</v>
      </c>
      <c r="G8" s="662" t="s">
        <v>1712</v>
      </c>
      <c r="H8" s="662" t="s">
        <v>1713</v>
      </c>
      <c r="I8" s="662" t="s">
        <v>1714</v>
      </c>
      <c r="J8" s="662" t="s">
        <v>1715</v>
      </c>
      <c r="K8" s="662" t="s">
        <v>1716</v>
      </c>
      <c r="O8" s="667"/>
      <c r="P8" s="667">
        <v>140</v>
      </c>
      <c r="Q8" s="667">
        <v>1080000</v>
      </c>
    </row>
    <row r="9" spans="1:17" s="672" customFormat="1" x14ac:dyDescent="0.2">
      <c r="A9" s="663" t="s">
        <v>1728</v>
      </c>
      <c r="B9" s="662"/>
      <c r="C9" s="662"/>
      <c r="D9" s="662"/>
      <c r="E9" s="662"/>
      <c r="F9" s="662"/>
      <c r="G9" s="662"/>
      <c r="H9" s="662"/>
      <c r="I9" s="662"/>
      <c r="J9" s="662"/>
      <c r="K9" s="662"/>
      <c r="O9" s="667"/>
      <c r="P9" s="667"/>
      <c r="Q9" s="667"/>
    </row>
    <row r="10" spans="1:17" x14ac:dyDescent="0.2">
      <c r="A10" s="664"/>
      <c r="B10" s="664"/>
      <c r="C10" s="664"/>
      <c r="D10" s="665"/>
      <c r="E10" s="666"/>
      <c r="F10" s="664"/>
      <c r="G10" s="664"/>
      <c r="H10" s="664"/>
      <c r="I10" s="664"/>
      <c r="J10" s="664"/>
      <c r="K10" s="664"/>
      <c r="P10" s="667">
        <v>110</v>
      </c>
      <c r="Q10" s="667">
        <v>630000</v>
      </c>
    </row>
    <row r="11" spans="1:17" x14ac:dyDescent="0.2">
      <c r="A11" s="664"/>
      <c r="B11" s="664"/>
      <c r="C11" s="664"/>
      <c r="D11" s="665"/>
      <c r="E11" s="666"/>
      <c r="F11" s="664"/>
      <c r="G11" s="664"/>
      <c r="H11" s="664"/>
      <c r="I11" s="664"/>
      <c r="J11" s="664"/>
      <c r="K11" s="664"/>
      <c r="P11" s="667">
        <v>160</v>
      </c>
      <c r="Q11" s="667">
        <v>1260000</v>
      </c>
    </row>
    <row r="12" spans="1:17" x14ac:dyDescent="0.2">
      <c r="A12" s="664"/>
      <c r="B12" s="664"/>
      <c r="C12" s="664"/>
      <c r="D12" s="665"/>
      <c r="E12" s="666"/>
      <c r="F12" s="664"/>
      <c r="G12" s="664"/>
      <c r="H12" s="664"/>
      <c r="I12" s="664"/>
      <c r="J12" s="664"/>
      <c r="K12" s="664"/>
      <c r="P12" s="667">
        <v>360</v>
      </c>
      <c r="Q12" s="667">
        <v>1800000</v>
      </c>
    </row>
    <row r="13" spans="1:17" x14ac:dyDescent="0.2">
      <c r="A13" s="664"/>
      <c r="B13" s="664"/>
      <c r="C13" s="664"/>
      <c r="D13" s="665"/>
      <c r="E13" s="666"/>
      <c r="F13" s="664"/>
      <c r="G13" s="664"/>
      <c r="H13" s="664"/>
      <c r="I13" s="664"/>
      <c r="J13" s="664"/>
      <c r="K13" s="664"/>
      <c r="P13" s="667">
        <v>120</v>
      </c>
      <c r="Q13" s="667">
        <v>270000</v>
      </c>
    </row>
    <row r="14" spans="1:17" x14ac:dyDescent="0.2">
      <c r="A14" s="664"/>
      <c r="B14" s="664"/>
      <c r="C14" s="664"/>
      <c r="D14" s="665"/>
      <c r="E14" s="666"/>
      <c r="F14" s="664"/>
      <c r="G14" s="664"/>
      <c r="H14" s="664"/>
      <c r="I14" s="664"/>
      <c r="J14" s="664"/>
      <c r="K14" s="664"/>
      <c r="P14" s="667">
        <v>140</v>
      </c>
      <c r="Q14" s="667">
        <v>900000</v>
      </c>
    </row>
    <row r="15" spans="1:17" x14ac:dyDescent="0.2">
      <c r="A15" s="664"/>
      <c r="B15" s="664"/>
      <c r="C15" s="664"/>
      <c r="D15" s="665"/>
      <c r="E15" s="666"/>
      <c r="F15" s="664"/>
      <c r="G15" s="664"/>
      <c r="H15" s="664"/>
      <c r="I15" s="664"/>
      <c r="J15" s="664"/>
      <c r="K15" s="664"/>
      <c r="P15" s="667">
        <v>200</v>
      </c>
      <c r="Q15" s="667">
        <v>3240000</v>
      </c>
    </row>
    <row r="16" spans="1:17" x14ac:dyDescent="0.2">
      <c r="A16" s="664"/>
      <c r="B16" s="664"/>
      <c r="C16" s="664"/>
      <c r="D16" s="665"/>
      <c r="E16" s="666"/>
      <c r="F16" s="664"/>
      <c r="G16" s="664"/>
      <c r="H16" s="664"/>
      <c r="I16" s="664"/>
      <c r="J16" s="664"/>
      <c r="K16" s="664"/>
      <c r="P16" s="667">
        <v>90</v>
      </c>
      <c r="Q16" s="667">
        <v>1170000</v>
      </c>
    </row>
    <row r="17" spans="1:17" x14ac:dyDescent="0.2">
      <c r="A17" s="664"/>
      <c r="D17" s="665"/>
      <c r="E17" s="666"/>
      <c r="F17" s="664"/>
      <c r="G17" s="664"/>
      <c r="H17" s="664"/>
      <c r="I17" s="664"/>
      <c r="J17" s="664"/>
      <c r="K17" s="664"/>
      <c r="P17" s="667">
        <v>260</v>
      </c>
      <c r="Q17" s="667">
        <v>3960000</v>
      </c>
    </row>
    <row r="18" spans="1:17" x14ac:dyDescent="0.2">
      <c r="A18" s="664"/>
      <c r="B18" s="664"/>
      <c r="C18" s="664"/>
      <c r="D18" s="665"/>
      <c r="E18" s="666"/>
      <c r="F18" s="664"/>
      <c r="G18" s="664"/>
      <c r="H18" s="664"/>
      <c r="I18" s="664"/>
      <c r="J18" s="664"/>
      <c r="K18" s="664"/>
      <c r="P18" s="667">
        <v>75</v>
      </c>
      <c r="Q18" s="667">
        <v>1170000</v>
      </c>
    </row>
    <row r="19" spans="1:17" x14ac:dyDescent="0.2">
      <c r="A19" s="664"/>
      <c r="B19" s="664"/>
      <c r="C19" s="664"/>
      <c r="D19" s="665"/>
      <c r="E19" s="666"/>
      <c r="F19" s="664"/>
      <c r="G19" s="664"/>
      <c r="H19" s="664"/>
      <c r="I19" s="664"/>
      <c r="J19" s="664"/>
      <c r="K19" s="664"/>
      <c r="P19" s="667">
        <v>90</v>
      </c>
      <c r="Q19" s="667">
        <v>2700000</v>
      </c>
    </row>
    <row r="20" spans="1:17" x14ac:dyDescent="0.2">
      <c r="A20" s="664"/>
      <c r="B20" s="664"/>
      <c r="C20" s="664"/>
      <c r="D20" s="665"/>
      <c r="E20" s="666"/>
      <c r="F20" s="664"/>
      <c r="G20" s="664"/>
      <c r="H20" s="664"/>
      <c r="I20" s="664"/>
      <c r="J20" s="664"/>
      <c r="K20" s="664"/>
      <c r="P20" s="667">
        <v>110</v>
      </c>
      <c r="Q20" s="667">
        <v>1260000</v>
      </c>
    </row>
    <row r="21" spans="1:17" x14ac:dyDescent="0.2">
      <c r="A21" s="664"/>
      <c r="B21" s="664"/>
      <c r="C21" s="664"/>
      <c r="D21" s="665"/>
      <c r="E21" s="666"/>
      <c r="F21" s="664"/>
      <c r="G21" s="664"/>
      <c r="H21" s="664"/>
      <c r="I21" s="664"/>
      <c r="J21" s="664"/>
      <c r="K21" s="664"/>
      <c r="P21" s="667">
        <v>140</v>
      </c>
      <c r="Q21" s="667">
        <v>1080000</v>
      </c>
    </row>
    <row r="22" spans="1:17" x14ac:dyDescent="0.2">
      <c r="A22" s="664"/>
      <c r="B22" s="664"/>
      <c r="C22" s="664"/>
      <c r="D22" s="665"/>
      <c r="E22" s="666"/>
      <c r="F22" s="664"/>
      <c r="G22" s="664"/>
      <c r="H22" s="664"/>
      <c r="I22" s="664"/>
      <c r="J22" s="664"/>
      <c r="K22" s="664"/>
      <c r="P22" s="667">
        <v>110</v>
      </c>
      <c r="Q22" s="667">
        <v>1260000</v>
      </c>
    </row>
    <row r="23" spans="1:17" x14ac:dyDescent="0.2">
      <c r="A23" s="664"/>
      <c r="B23" s="664"/>
      <c r="C23" s="664"/>
      <c r="D23" s="665"/>
      <c r="E23" s="666"/>
      <c r="F23" s="664"/>
      <c r="G23" s="664"/>
      <c r="H23" s="664"/>
      <c r="I23" s="664"/>
      <c r="J23" s="664"/>
      <c r="K23" s="664"/>
    </row>
    <row r="24" spans="1:17" x14ac:dyDescent="0.2">
      <c r="A24" s="664"/>
      <c r="B24" s="664"/>
      <c r="C24" s="664"/>
      <c r="D24" s="665"/>
      <c r="E24" s="666"/>
      <c r="F24" s="664"/>
      <c r="G24" s="664"/>
      <c r="H24" s="664"/>
      <c r="I24" s="664"/>
      <c r="J24" s="664"/>
      <c r="K24" s="664"/>
    </row>
    <row r="25" spans="1:17" x14ac:dyDescent="0.2">
      <c r="A25" s="664"/>
      <c r="B25" s="664"/>
      <c r="C25" s="664"/>
      <c r="D25" s="665"/>
      <c r="E25" s="666"/>
      <c r="F25" s="664"/>
      <c r="G25" s="664"/>
      <c r="H25" s="664"/>
      <c r="I25" s="664"/>
      <c r="J25" s="664"/>
      <c r="K25" s="664"/>
    </row>
    <row r="26" spans="1:17" x14ac:dyDescent="0.2">
      <c r="A26" s="664"/>
      <c r="B26" s="664"/>
      <c r="C26" s="664"/>
      <c r="D26" s="665"/>
      <c r="E26" s="668"/>
      <c r="F26" s="664"/>
      <c r="G26" s="664"/>
      <c r="H26" s="664"/>
      <c r="I26" s="664"/>
      <c r="J26" s="664"/>
      <c r="K26" s="664"/>
    </row>
    <row r="27" spans="1:17" x14ac:dyDescent="0.2">
      <c r="A27" s="664"/>
      <c r="B27" s="664"/>
      <c r="C27" s="669"/>
      <c r="D27" s="670"/>
      <c r="E27" s="671"/>
      <c r="F27" s="664"/>
      <c r="G27" s="664"/>
      <c r="H27" s="664"/>
      <c r="I27" s="664"/>
      <c r="J27" s="664"/>
      <c r="K27" s="664"/>
    </row>
    <row r="28" spans="1:17" x14ac:dyDescent="0.2">
      <c r="A28" s="664"/>
      <c r="B28" s="664"/>
      <c r="C28" s="669"/>
      <c r="D28" s="670"/>
      <c r="E28" s="671"/>
      <c r="F28" s="664"/>
      <c r="G28" s="664"/>
      <c r="H28" s="664"/>
      <c r="I28" s="664"/>
      <c r="J28" s="664"/>
      <c r="K28" s="664"/>
    </row>
    <row r="29" spans="1:17" x14ac:dyDescent="0.2">
      <c r="A29" s="664"/>
      <c r="B29" s="664"/>
      <c r="C29" s="669"/>
      <c r="D29" s="670"/>
      <c r="E29" s="671"/>
      <c r="F29" s="664"/>
      <c r="G29" s="664"/>
      <c r="H29" s="664"/>
      <c r="I29" s="664"/>
      <c r="J29" s="664"/>
      <c r="K29" s="664"/>
    </row>
    <row r="30" spans="1:17" x14ac:dyDescent="0.2">
      <c r="A30" s="664"/>
      <c r="B30" s="664"/>
      <c r="C30" s="669"/>
      <c r="D30" s="670"/>
      <c r="E30" s="671"/>
      <c r="F30" s="664"/>
      <c r="G30" s="664"/>
      <c r="H30" s="664"/>
      <c r="I30" s="664"/>
      <c r="J30" s="664"/>
      <c r="K30" s="664"/>
    </row>
    <row r="31" spans="1:17" x14ac:dyDescent="0.2">
      <c r="A31" s="664"/>
      <c r="B31" s="664"/>
      <c r="C31" s="669"/>
      <c r="D31" s="670"/>
      <c r="E31" s="671"/>
      <c r="F31" s="664"/>
      <c r="G31" s="664"/>
      <c r="H31" s="664"/>
      <c r="I31" s="664"/>
      <c r="J31" s="664"/>
      <c r="K31" s="664"/>
    </row>
    <row r="32" spans="1:17" x14ac:dyDescent="0.2">
      <c r="A32" s="664"/>
      <c r="B32" s="664"/>
      <c r="C32" s="669"/>
      <c r="D32" s="670"/>
      <c r="E32" s="671"/>
      <c r="F32" s="664"/>
      <c r="G32" s="664"/>
      <c r="H32" s="664"/>
      <c r="I32" s="664"/>
      <c r="J32" s="664"/>
      <c r="K32" s="664"/>
    </row>
    <row r="33" spans="1:11" x14ac:dyDescent="0.2">
      <c r="A33" s="664"/>
      <c r="B33" s="664"/>
      <c r="C33" s="669"/>
      <c r="D33" s="670"/>
      <c r="E33" s="671"/>
      <c r="F33" s="664"/>
      <c r="G33" s="664"/>
      <c r="H33" s="664"/>
      <c r="I33" s="664"/>
      <c r="J33" s="664"/>
      <c r="K33" s="664"/>
    </row>
    <row r="34" spans="1:11" x14ac:dyDescent="0.2">
      <c r="A34" s="664"/>
      <c r="B34" s="664"/>
      <c r="C34" s="669"/>
      <c r="D34" s="670"/>
      <c r="E34" s="671"/>
      <c r="F34" s="664"/>
      <c r="G34" s="664"/>
      <c r="H34" s="664"/>
      <c r="I34" s="664"/>
      <c r="J34" s="664"/>
      <c r="K34" s="664"/>
    </row>
    <row r="35" spans="1:11" x14ac:dyDescent="0.2">
      <c r="A35" s="664"/>
      <c r="B35" s="664"/>
      <c r="C35" s="669"/>
      <c r="D35" s="670"/>
      <c r="E35" s="671"/>
      <c r="F35" s="664"/>
      <c r="G35" s="664"/>
      <c r="H35" s="664"/>
      <c r="I35" s="664"/>
      <c r="J35" s="664"/>
      <c r="K35" s="664"/>
    </row>
    <row r="36" spans="1:11" x14ac:dyDescent="0.2">
      <c r="A36" s="664"/>
      <c r="B36" s="664"/>
      <c r="C36" s="669"/>
      <c r="D36" s="670"/>
      <c r="E36" s="671"/>
      <c r="F36" s="664"/>
      <c r="G36" s="664"/>
      <c r="H36" s="664"/>
      <c r="I36" s="664"/>
      <c r="J36" s="664"/>
      <c r="K36" s="664"/>
    </row>
    <row r="37" spans="1:11" x14ac:dyDescent="0.2">
      <c r="A37" s="664"/>
      <c r="B37" s="664"/>
      <c r="C37" s="669"/>
      <c r="D37" s="670"/>
      <c r="E37" s="671"/>
      <c r="F37" s="664"/>
      <c r="G37" s="664"/>
      <c r="H37" s="664"/>
      <c r="I37" s="664"/>
      <c r="J37" s="664"/>
      <c r="K37" s="664"/>
    </row>
    <row r="38" spans="1:11" x14ac:dyDescent="0.2">
      <c r="A38" s="664"/>
      <c r="B38" s="664"/>
      <c r="C38" s="669"/>
      <c r="D38" s="670"/>
      <c r="E38" s="671"/>
      <c r="F38" s="664"/>
      <c r="G38" s="664"/>
      <c r="H38" s="664"/>
      <c r="I38" s="664"/>
      <c r="J38" s="664"/>
      <c r="K38" s="664"/>
    </row>
    <row r="39" spans="1:11" x14ac:dyDescent="0.2">
      <c r="A39" s="664"/>
      <c r="B39" s="664"/>
      <c r="C39" s="669"/>
      <c r="D39" s="670"/>
      <c r="E39" s="671"/>
      <c r="F39" s="664"/>
      <c r="G39" s="664"/>
      <c r="H39" s="664"/>
      <c r="I39" s="664"/>
      <c r="J39" s="664"/>
      <c r="K39" s="664"/>
    </row>
    <row r="40" spans="1:11" x14ac:dyDescent="0.2">
      <c r="A40" s="664"/>
      <c r="B40" s="664"/>
      <c r="C40" s="669"/>
      <c r="D40" s="670"/>
      <c r="E40" s="671"/>
      <c r="F40" s="664"/>
      <c r="G40" s="664"/>
      <c r="H40" s="664"/>
      <c r="I40" s="664"/>
      <c r="J40" s="664"/>
      <c r="K40" s="664"/>
    </row>
    <row r="41" spans="1:11" x14ac:dyDescent="0.2">
      <c r="A41" s="664"/>
      <c r="B41" s="664"/>
      <c r="C41" s="669"/>
      <c r="D41" s="670"/>
      <c r="E41" s="671"/>
      <c r="F41" s="664"/>
      <c r="G41" s="664"/>
      <c r="H41" s="664"/>
      <c r="I41" s="664"/>
      <c r="J41" s="664"/>
      <c r="K41" s="664"/>
    </row>
    <row r="42" spans="1:11" x14ac:dyDescent="0.2">
      <c r="A42" s="664"/>
      <c r="B42" s="664"/>
      <c r="C42" s="669"/>
      <c r="D42" s="670"/>
      <c r="E42" s="671"/>
      <c r="F42" s="664"/>
      <c r="G42" s="664"/>
      <c r="H42" s="664"/>
      <c r="I42" s="664"/>
      <c r="J42" s="664"/>
      <c r="K42" s="664"/>
    </row>
    <row r="43" spans="1:11" x14ac:dyDescent="0.2">
      <c r="A43" s="664"/>
      <c r="B43" s="664"/>
      <c r="C43" s="669"/>
      <c r="D43" s="670"/>
      <c r="E43" s="671"/>
      <c r="F43" s="664"/>
      <c r="G43" s="664"/>
      <c r="H43" s="664"/>
      <c r="I43" s="664"/>
      <c r="J43" s="664"/>
      <c r="K43" s="664"/>
    </row>
    <row r="44" spans="1:11" x14ac:dyDescent="0.2">
      <c r="A44" s="664"/>
      <c r="B44" s="664"/>
      <c r="C44" s="669"/>
      <c r="D44" s="670"/>
      <c r="E44" s="671"/>
      <c r="F44" s="664"/>
      <c r="G44" s="664"/>
      <c r="H44" s="664"/>
      <c r="I44" s="664"/>
      <c r="J44" s="664"/>
      <c r="K44" s="664"/>
    </row>
    <row r="45" spans="1:11" x14ac:dyDescent="0.2">
      <c r="A45" s="664"/>
      <c r="B45" s="664"/>
      <c r="C45" s="669"/>
      <c r="D45" s="670"/>
      <c r="E45" s="671"/>
      <c r="F45" s="664"/>
      <c r="G45" s="664"/>
      <c r="H45" s="664"/>
      <c r="I45" s="664"/>
      <c r="J45" s="664"/>
      <c r="K45" s="664"/>
    </row>
    <row r="46" spans="1:11" x14ac:dyDescent="0.2">
      <c r="A46" s="664"/>
      <c r="B46" s="664"/>
      <c r="C46" s="669"/>
      <c r="D46" s="670"/>
      <c r="E46" s="671"/>
      <c r="F46" s="664"/>
      <c r="G46" s="664"/>
      <c r="H46" s="664"/>
      <c r="I46" s="664"/>
      <c r="J46" s="664"/>
      <c r="K46" s="664"/>
    </row>
    <row r="47" spans="1:11" x14ac:dyDescent="0.2">
      <c r="A47" s="664"/>
      <c r="B47" s="664"/>
      <c r="C47" s="669"/>
      <c r="D47" s="670"/>
      <c r="E47" s="671"/>
      <c r="F47" s="664"/>
      <c r="G47" s="664"/>
      <c r="H47" s="664"/>
      <c r="I47" s="664"/>
      <c r="J47" s="664"/>
      <c r="K47" s="664"/>
    </row>
    <row r="48" spans="1:11" x14ac:dyDescent="0.2">
      <c r="A48" s="664"/>
      <c r="B48" s="664"/>
      <c r="C48" s="669"/>
      <c r="D48" s="670"/>
      <c r="E48" s="671"/>
      <c r="F48" s="664"/>
      <c r="G48" s="664"/>
      <c r="H48" s="664"/>
      <c r="I48" s="664"/>
      <c r="J48" s="664"/>
      <c r="K48" s="664"/>
    </row>
    <row r="49" spans="1:11" x14ac:dyDescent="0.2">
      <c r="A49" s="664"/>
      <c r="B49" s="664"/>
      <c r="C49" s="669"/>
      <c r="D49" s="670"/>
      <c r="E49" s="671"/>
      <c r="F49" s="664"/>
      <c r="G49" s="664"/>
      <c r="H49" s="664"/>
      <c r="I49" s="664"/>
      <c r="J49" s="664"/>
      <c r="K49" s="664"/>
    </row>
    <row r="50" spans="1:11" x14ac:dyDescent="0.2">
      <c r="A50" s="664"/>
      <c r="B50" s="664"/>
      <c r="C50" s="669"/>
      <c r="D50" s="670"/>
      <c r="E50" s="671"/>
      <c r="F50" s="664"/>
      <c r="G50" s="664"/>
      <c r="H50" s="664"/>
      <c r="I50" s="664"/>
      <c r="J50" s="664"/>
      <c r="K50" s="664"/>
    </row>
    <row r="527" spans="15:17" x14ac:dyDescent="0.2">
      <c r="O527" s="672"/>
      <c r="P527" s="672"/>
      <c r="Q527" s="672"/>
    </row>
    <row r="528" spans="15:17" x14ac:dyDescent="0.2">
      <c r="Q528" s="667" t="s">
        <v>32</v>
      </c>
    </row>
    <row r="541" spans="17:17" x14ac:dyDescent="0.2">
      <c r="Q541" s="667">
        <v>0</v>
      </c>
    </row>
    <row r="542" spans="17:17" x14ac:dyDescent="0.2">
      <c r="Q542" s="667">
        <v>0</v>
      </c>
    </row>
    <row r="543" spans="17:17" x14ac:dyDescent="0.2">
      <c r="Q543" s="667">
        <v>0</v>
      </c>
    </row>
    <row r="544" spans="17:17" x14ac:dyDescent="0.2">
      <c r="Q544" s="667">
        <v>0</v>
      </c>
    </row>
    <row r="545" spans="17:17" x14ac:dyDescent="0.2">
      <c r="Q545" s="667">
        <v>0</v>
      </c>
    </row>
    <row r="546" spans="17:17" x14ac:dyDescent="0.2">
      <c r="Q546" s="667" t="s">
        <v>27</v>
      </c>
    </row>
    <row r="549" spans="17:17" x14ac:dyDescent="0.2">
      <c r="Q549" s="667">
        <v>27</v>
      </c>
    </row>
    <row r="550" spans="17:17" x14ac:dyDescent="0.2">
      <c r="Q550" s="667" t="s">
        <v>28</v>
      </c>
    </row>
    <row r="558" spans="17:17" x14ac:dyDescent="0.2">
      <c r="Q558" s="667" t="s">
        <v>29</v>
      </c>
    </row>
    <row r="561" spans="17:17" x14ac:dyDescent="0.2">
      <c r="Q561" s="667" t="s">
        <v>994</v>
      </c>
    </row>
    <row r="563" spans="17:17" x14ac:dyDescent="0.2">
      <c r="Q563" s="667" t="s">
        <v>1726</v>
      </c>
    </row>
    <row r="568" spans="17:17" x14ac:dyDescent="0.2">
      <c r="Q568" s="667" t="s">
        <v>32</v>
      </c>
    </row>
    <row r="584" spans="17:17" x14ac:dyDescent="0.2">
      <c r="Q584" s="667">
        <v>0</v>
      </c>
    </row>
    <row r="585" spans="17:17" x14ac:dyDescent="0.2">
      <c r="Q585" s="667">
        <v>0</v>
      </c>
    </row>
    <row r="586" spans="17:17" x14ac:dyDescent="0.2">
      <c r="Q586" s="667">
        <v>0</v>
      </c>
    </row>
    <row r="587" spans="17:17" x14ac:dyDescent="0.2">
      <c r="Q587" s="667">
        <v>0</v>
      </c>
    </row>
    <row r="588" spans="17:17" x14ac:dyDescent="0.2">
      <c r="Q588" s="667">
        <v>0</v>
      </c>
    </row>
    <row r="589" spans="17:17" x14ac:dyDescent="0.2">
      <c r="Q589" s="667" t="s">
        <v>27</v>
      </c>
    </row>
    <row r="592" spans="17:17" x14ac:dyDescent="0.2">
      <c r="Q592" s="667">
        <v>320</v>
      </c>
    </row>
    <row r="593" spans="17:17" x14ac:dyDescent="0.2">
      <c r="Q593" s="667" t="s">
        <v>28</v>
      </c>
    </row>
    <row r="606" spans="17:17" x14ac:dyDescent="0.2">
      <c r="Q606" s="667" t="s">
        <v>29</v>
      </c>
    </row>
    <row r="609" spans="17:17" x14ac:dyDescent="0.2">
      <c r="Q609" s="667" t="s">
        <v>994</v>
      </c>
    </row>
    <row r="611" spans="17:17" x14ac:dyDescent="0.2">
      <c r="Q611" s="667" t="s">
        <v>1726</v>
      </c>
    </row>
    <row r="616" spans="17:17" x14ac:dyDescent="0.2">
      <c r="Q616" s="667" t="s">
        <v>32</v>
      </c>
    </row>
    <row r="631" spans="17:17" x14ac:dyDescent="0.2">
      <c r="Q631" s="667">
        <v>0</v>
      </c>
    </row>
    <row r="632" spans="17:17" x14ac:dyDescent="0.2">
      <c r="Q632" s="667">
        <v>0</v>
      </c>
    </row>
    <row r="633" spans="17:17" x14ac:dyDescent="0.2">
      <c r="Q633" s="667">
        <v>0</v>
      </c>
    </row>
    <row r="634" spans="17:17" x14ac:dyDescent="0.2">
      <c r="Q634" s="667">
        <v>0</v>
      </c>
    </row>
    <row r="635" spans="17:17" x14ac:dyDescent="0.2">
      <c r="Q635" s="667">
        <v>0</v>
      </c>
    </row>
    <row r="636" spans="17:17" x14ac:dyDescent="0.2">
      <c r="Q636" s="667" t="s">
        <v>27</v>
      </c>
    </row>
    <row r="639" spans="17:17" x14ac:dyDescent="0.2">
      <c r="Q639" s="667">
        <v>380</v>
      </c>
    </row>
    <row r="640" spans="17:17" x14ac:dyDescent="0.2">
      <c r="Q640" s="667" t="s">
        <v>28</v>
      </c>
    </row>
    <row r="652" spans="17:17" x14ac:dyDescent="0.2">
      <c r="Q652" s="667" t="s">
        <v>29</v>
      </c>
    </row>
    <row r="655" spans="17:17" x14ac:dyDescent="0.2">
      <c r="Q655" s="667" t="s">
        <v>994</v>
      </c>
    </row>
    <row r="657" spans="17:17" x14ac:dyDescent="0.2">
      <c r="Q657" s="667" t="s">
        <v>1726</v>
      </c>
    </row>
    <row r="662" spans="17:17" x14ac:dyDescent="0.2">
      <c r="Q662" s="667" t="s">
        <v>32</v>
      </c>
    </row>
    <row r="677" spans="17:17" x14ac:dyDescent="0.2">
      <c r="Q677" s="667">
        <v>0</v>
      </c>
    </row>
    <row r="678" spans="17:17" x14ac:dyDescent="0.2">
      <c r="Q678" s="667">
        <v>0</v>
      </c>
    </row>
    <row r="679" spans="17:17" x14ac:dyDescent="0.2">
      <c r="Q679" s="667">
        <v>0</v>
      </c>
    </row>
    <row r="680" spans="17:17" x14ac:dyDescent="0.2">
      <c r="Q680" s="667">
        <v>0</v>
      </c>
    </row>
    <row r="681" spans="17:17" x14ac:dyDescent="0.2">
      <c r="Q681" s="667">
        <v>0</v>
      </c>
    </row>
    <row r="682" spans="17:17" x14ac:dyDescent="0.2">
      <c r="Q682" s="667" t="s">
        <v>27</v>
      </c>
    </row>
    <row r="685" spans="17:17" x14ac:dyDescent="0.2">
      <c r="Q685" s="667">
        <v>275</v>
      </c>
    </row>
    <row r="686" spans="17:17" x14ac:dyDescent="0.2">
      <c r="Q686" s="667" t="s">
        <v>28</v>
      </c>
    </row>
    <row r="698" spans="17:17" x14ac:dyDescent="0.2">
      <c r="Q698" s="667" t="s">
        <v>29</v>
      </c>
    </row>
    <row r="701" spans="17:17" x14ac:dyDescent="0.2">
      <c r="Q701" s="667" t="s">
        <v>994</v>
      </c>
    </row>
    <row r="703" spans="17:17" x14ac:dyDescent="0.2">
      <c r="Q703" s="667" t="s">
        <v>1727</v>
      </c>
    </row>
    <row r="708" spans="17:17" x14ac:dyDescent="0.2">
      <c r="Q708" s="667" t="s">
        <v>32</v>
      </c>
    </row>
    <row r="723" spans="17:17" x14ac:dyDescent="0.2">
      <c r="Q723" s="667">
        <v>0</v>
      </c>
    </row>
    <row r="724" spans="17:17" x14ac:dyDescent="0.2">
      <c r="Q724" s="667">
        <v>0</v>
      </c>
    </row>
    <row r="725" spans="17:17" x14ac:dyDescent="0.2">
      <c r="Q725" s="667">
        <v>0</v>
      </c>
    </row>
    <row r="726" spans="17:17" x14ac:dyDescent="0.2">
      <c r="Q726" s="667">
        <v>0</v>
      </c>
    </row>
    <row r="727" spans="17:17" x14ac:dyDescent="0.2">
      <c r="Q727" s="667">
        <v>0</v>
      </c>
    </row>
    <row r="728" spans="17:17" x14ac:dyDescent="0.2">
      <c r="Q728" s="667" t="s">
        <v>27</v>
      </c>
    </row>
    <row r="731" spans="17:17" x14ac:dyDescent="0.2">
      <c r="Q731" s="667">
        <v>260</v>
      </c>
    </row>
    <row r="732" spans="17:17" x14ac:dyDescent="0.2">
      <c r="Q732" s="667" t="s">
        <v>28</v>
      </c>
    </row>
    <row r="744" spans="17:17" x14ac:dyDescent="0.2">
      <c r="Q744" s="667" t="s">
        <v>29</v>
      </c>
    </row>
    <row r="747" spans="17:17" x14ac:dyDescent="0.2">
      <c r="Q747" s="667" t="s">
        <v>994</v>
      </c>
    </row>
    <row r="749" spans="17:17" x14ac:dyDescent="0.2">
      <c r="Q749" s="667" t="e">
        <v>#N/A</v>
      </c>
    </row>
    <row r="754" spans="17:17" x14ac:dyDescent="0.2">
      <c r="Q754" s="667" t="s">
        <v>32</v>
      </c>
    </row>
    <row r="771" spans="17:17" x14ac:dyDescent="0.2">
      <c r="Q771" s="667">
        <v>0</v>
      </c>
    </row>
    <row r="772" spans="17:17" x14ac:dyDescent="0.2">
      <c r="Q772" s="667">
        <v>0</v>
      </c>
    </row>
    <row r="773" spans="17:17" x14ac:dyDescent="0.2">
      <c r="Q773" s="667">
        <v>0</v>
      </c>
    </row>
    <row r="774" spans="17:17" x14ac:dyDescent="0.2">
      <c r="Q774" s="667">
        <v>0</v>
      </c>
    </row>
    <row r="775" spans="17:17" x14ac:dyDescent="0.2">
      <c r="Q775" s="667">
        <v>0</v>
      </c>
    </row>
    <row r="776" spans="17:17" x14ac:dyDescent="0.2">
      <c r="Q776" s="667" t="s">
        <v>27</v>
      </c>
    </row>
    <row r="779" spans="17:17" x14ac:dyDescent="0.2">
      <c r="Q779" s="667">
        <v>4800</v>
      </c>
    </row>
    <row r="780" spans="17:17" x14ac:dyDescent="0.2">
      <c r="Q780" s="667" t="s">
        <v>28</v>
      </c>
    </row>
    <row r="792" spans="17:17" x14ac:dyDescent="0.2">
      <c r="Q792" s="667" t="s">
        <v>29</v>
      </c>
    </row>
    <row r="796" spans="17:17" x14ac:dyDescent="0.2">
      <c r="Q796" s="667" t="s">
        <v>994</v>
      </c>
    </row>
    <row r="798" spans="17:17" x14ac:dyDescent="0.2">
      <c r="Q798" s="667" t="e">
        <v>#N/A</v>
      </c>
    </row>
    <row r="803" spans="17:17" x14ac:dyDescent="0.2">
      <c r="Q803" s="667" t="s">
        <v>32</v>
      </c>
    </row>
    <row r="820" spans="17:17" x14ac:dyDescent="0.2">
      <c r="Q820" s="667">
        <v>0</v>
      </c>
    </row>
    <row r="821" spans="17:17" x14ac:dyDescent="0.2">
      <c r="Q821" s="667">
        <v>0</v>
      </c>
    </row>
    <row r="822" spans="17:17" x14ac:dyDescent="0.2">
      <c r="Q822" s="667">
        <v>0</v>
      </c>
    </row>
    <row r="823" spans="17:17" x14ac:dyDescent="0.2">
      <c r="Q823" s="667">
        <v>0</v>
      </c>
    </row>
    <row r="824" spans="17:17" x14ac:dyDescent="0.2">
      <c r="Q824" s="667">
        <v>0</v>
      </c>
    </row>
    <row r="825" spans="17:17" x14ac:dyDescent="0.2">
      <c r="Q825" s="667" t="s">
        <v>27</v>
      </c>
    </row>
    <row r="828" spans="17:17" x14ac:dyDescent="0.2">
      <c r="Q828" s="667">
        <v>5500</v>
      </c>
    </row>
    <row r="829" spans="17:17" x14ac:dyDescent="0.2">
      <c r="Q829" s="667" t="s">
        <v>28</v>
      </c>
    </row>
    <row r="841" spans="17:17" x14ac:dyDescent="0.2">
      <c r="Q841" s="667" t="s">
        <v>29</v>
      </c>
    </row>
    <row r="845" spans="17:17" x14ac:dyDescent="0.2">
      <c r="Q845" s="667" t="s">
        <v>994</v>
      </c>
    </row>
    <row r="847" spans="17:17" x14ac:dyDescent="0.2">
      <c r="Q847" s="667" t="e">
        <v>#N/A</v>
      </c>
    </row>
    <row r="852" spans="17:17" x14ac:dyDescent="0.2">
      <c r="Q852" s="667" t="s">
        <v>32</v>
      </c>
    </row>
    <row r="867" spans="17:17" x14ac:dyDescent="0.2">
      <c r="Q867" s="667">
        <v>0</v>
      </c>
    </row>
    <row r="868" spans="17:17" x14ac:dyDescent="0.2">
      <c r="Q868" s="667">
        <v>0</v>
      </c>
    </row>
    <row r="869" spans="17:17" x14ac:dyDescent="0.2">
      <c r="Q869" s="667">
        <v>0</v>
      </c>
    </row>
    <row r="870" spans="17:17" x14ac:dyDescent="0.2">
      <c r="Q870" s="667">
        <v>0</v>
      </c>
    </row>
    <row r="871" spans="17:17" x14ac:dyDescent="0.2">
      <c r="Q871" s="667">
        <v>0</v>
      </c>
    </row>
    <row r="872" spans="17:17" x14ac:dyDescent="0.2">
      <c r="Q872" s="667" t="s">
        <v>27</v>
      </c>
    </row>
    <row r="875" spans="17:17" x14ac:dyDescent="0.2">
      <c r="Q875" s="667">
        <v>2333.3333333333335</v>
      </c>
    </row>
    <row r="876" spans="17:17" x14ac:dyDescent="0.2">
      <c r="Q876" s="667" t="s">
        <v>28</v>
      </c>
    </row>
    <row r="888" spans="17:17" x14ac:dyDescent="0.2">
      <c r="Q888" s="667" t="s">
        <v>29</v>
      </c>
    </row>
    <row r="891" spans="17:17" x14ac:dyDescent="0.2">
      <c r="Q891" s="667" t="s">
        <v>994</v>
      </c>
    </row>
    <row r="893" spans="17:17" x14ac:dyDescent="0.2">
      <c r="Q893" s="667" t="e">
        <v>#N/A</v>
      </c>
    </row>
    <row r="898" spans="17:17" x14ac:dyDescent="0.2">
      <c r="Q898" s="667" t="s">
        <v>32</v>
      </c>
    </row>
    <row r="913" spans="17:17" x14ac:dyDescent="0.2">
      <c r="Q913" s="667">
        <v>0</v>
      </c>
    </row>
    <row r="914" spans="17:17" x14ac:dyDescent="0.2">
      <c r="Q914" s="667">
        <v>0</v>
      </c>
    </row>
    <row r="915" spans="17:17" x14ac:dyDescent="0.2">
      <c r="Q915" s="667">
        <v>0</v>
      </c>
    </row>
    <row r="916" spans="17:17" x14ac:dyDescent="0.2">
      <c r="Q916" s="667">
        <v>0</v>
      </c>
    </row>
    <row r="917" spans="17:17" x14ac:dyDescent="0.2">
      <c r="Q917" s="667">
        <v>0</v>
      </c>
    </row>
    <row r="918" spans="17:17" x14ac:dyDescent="0.2">
      <c r="Q918" s="667" t="s">
        <v>27</v>
      </c>
    </row>
    <row r="921" spans="17:17" x14ac:dyDescent="0.2">
      <c r="Q921" s="667">
        <v>290</v>
      </c>
    </row>
    <row r="922" spans="17:17" x14ac:dyDescent="0.2">
      <c r="Q922" s="667" t="s">
        <v>28</v>
      </c>
    </row>
    <row r="934" spans="17:17" x14ac:dyDescent="0.2">
      <c r="Q934" s="667" t="s">
        <v>29</v>
      </c>
    </row>
    <row r="937" spans="17:17" x14ac:dyDescent="0.2">
      <c r="Q937" s="667" t="s">
        <v>994</v>
      </c>
    </row>
    <row r="939" spans="17:17" x14ac:dyDescent="0.2">
      <c r="Q939" s="667" t="e">
        <v>#N/A</v>
      </c>
    </row>
    <row r="944" spans="17:17" x14ac:dyDescent="0.2">
      <c r="Q944" s="667" t="s">
        <v>32</v>
      </c>
    </row>
    <row r="958" spans="17:17" x14ac:dyDescent="0.2">
      <c r="Q958" s="667">
        <v>0</v>
      </c>
    </row>
    <row r="959" spans="17:17" x14ac:dyDescent="0.2">
      <c r="Q959" s="667">
        <v>0</v>
      </c>
    </row>
    <row r="960" spans="17:17" x14ac:dyDescent="0.2">
      <c r="Q960" s="667">
        <v>0</v>
      </c>
    </row>
    <row r="961" spans="17:17" x14ac:dyDescent="0.2">
      <c r="Q961" s="667">
        <v>0</v>
      </c>
    </row>
    <row r="962" spans="17:17" x14ac:dyDescent="0.2">
      <c r="Q962" s="667">
        <v>0</v>
      </c>
    </row>
    <row r="963" spans="17:17" x14ac:dyDescent="0.2">
      <c r="Q963" s="667" t="s">
        <v>27</v>
      </c>
    </row>
    <row r="966" spans="17:17" x14ac:dyDescent="0.2">
      <c r="Q966" s="667">
        <v>3</v>
      </c>
    </row>
    <row r="967" spans="17:17" x14ac:dyDescent="0.2">
      <c r="Q967" s="667" t="s">
        <v>28</v>
      </c>
    </row>
    <row r="980" spans="17:17" x14ac:dyDescent="0.2">
      <c r="Q980" s="667" t="s">
        <v>29</v>
      </c>
    </row>
    <row r="983" spans="17:17" x14ac:dyDescent="0.2">
      <c r="Q983" s="667" t="s">
        <v>994</v>
      </c>
    </row>
    <row r="985" spans="17:17" x14ac:dyDescent="0.2">
      <c r="Q985" s="667" t="e">
        <v>#N/A</v>
      </c>
    </row>
    <row r="990" spans="17:17" x14ac:dyDescent="0.2">
      <c r="Q990" s="667" t="s">
        <v>32</v>
      </c>
    </row>
    <row r="1004" spans="17:17" x14ac:dyDescent="0.2">
      <c r="Q1004" s="667">
        <v>0</v>
      </c>
    </row>
    <row r="1005" spans="17:17" x14ac:dyDescent="0.2">
      <c r="Q1005" s="667">
        <v>0</v>
      </c>
    </row>
    <row r="1006" spans="17:17" x14ac:dyDescent="0.2">
      <c r="Q1006" s="667">
        <v>0</v>
      </c>
    </row>
    <row r="1007" spans="17:17" x14ac:dyDescent="0.2">
      <c r="Q1007" s="667">
        <v>0</v>
      </c>
    </row>
    <row r="1008" spans="17:17" x14ac:dyDescent="0.2">
      <c r="Q1008" s="667">
        <v>0</v>
      </c>
    </row>
    <row r="1009" spans="17:17" x14ac:dyDescent="0.2">
      <c r="Q1009" s="667" t="s">
        <v>27</v>
      </c>
    </row>
    <row r="1012" spans="17:17" x14ac:dyDescent="0.2">
      <c r="Q1012" s="667">
        <v>3</v>
      </c>
    </row>
    <row r="1013" spans="17:17" x14ac:dyDescent="0.2">
      <c r="Q1013" s="667" t="s">
        <v>28</v>
      </c>
    </row>
    <row r="1026" spans="17:17" x14ac:dyDescent="0.2">
      <c r="Q1026" s="667" t="s">
        <v>29</v>
      </c>
    </row>
    <row r="1030" spans="17:17" x14ac:dyDescent="0.2">
      <c r="Q1030" s="667" t="s">
        <v>994</v>
      </c>
    </row>
    <row r="1032" spans="17:17" x14ac:dyDescent="0.2">
      <c r="Q1032" s="667" t="e">
        <v>#N/A</v>
      </c>
    </row>
    <row r="1037" spans="17:17" x14ac:dyDescent="0.2">
      <c r="Q1037" s="667" t="s">
        <v>32</v>
      </c>
    </row>
    <row r="1052" spans="17:17" x14ac:dyDescent="0.2">
      <c r="Q1052" s="667">
        <v>0</v>
      </c>
    </row>
    <row r="1053" spans="17:17" x14ac:dyDescent="0.2">
      <c r="Q1053" s="667">
        <v>0</v>
      </c>
    </row>
    <row r="1054" spans="17:17" x14ac:dyDescent="0.2">
      <c r="Q1054" s="667">
        <v>0</v>
      </c>
    </row>
    <row r="1055" spans="17:17" x14ac:dyDescent="0.2">
      <c r="Q1055" s="667">
        <v>0</v>
      </c>
    </row>
    <row r="1056" spans="17:17" x14ac:dyDescent="0.2">
      <c r="Q1056" s="667">
        <v>0</v>
      </c>
    </row>
    <row r="1057" spans="17:17" x14ac:dyDescent="0.2">
      <c r="Q1057" s="667" t="s">
        <v>27</v>
      </c>
    </row>
    <row r="1060" spans="17:17" x14ac:dyDescent="0.2">
      <c r="Q1060" s="667">
        <v>7</v>
      </c>
    </row>
    <row r="1061" spans="17:17" x14ac:dyDescent="0.2">
      <c r="Q1061" s="667" t="s">
        <v>28</v>
      </c>
    </row>
    <row r="1069" spans="17:17" x14ac:dyDescent="0.2">
      <c r="Q1069" s="667" t="s">
        <v>29</v>
      </c>
    </row>
    <row r="1073" spans="17:17" x14ac:dyDescent="0.2">
      <c r="Q1073" s="667" t="s">
        <v>994</v>
      </c>
    </row>
    <row r="1075" spans="17:17" x14ac:dyDescent="0.2">
      <c r="Q1075" s="667" t="e">
        <v>#N/A</v>
      </c>
    </row>
    <row r="1080" spans="17:17" x14ac:dyDescent="0.2">
      <c r="Q1080" s="667" t="s">
        <v>32</v>
      </c>
    </row>
    <row r="1095" spans="17:17" x14ac:dyDescent="0.2">
      <c r="Q1095" s="667">
        <v>0</v>
      </c>
    </row>
    <row r="1096" spans="17:17" x14ac:dyDescent="0.2">
      <c r="Q1096" s="667">
        <v>0</v>
      </c>
    </row>
    <row r="1097" spans="17:17" x14ac:dyDescent="0.2">
      <c r="Q1097" s="667">
        <v>0</v>
      </c>
    </row>
    <row r="1098" spans="17:17" x14ac:dyDescent="0.2">
      <c r="Q1098" s="667">
        <v>0</v>
      </c>
    </row>
    <row r="1099" spans="17:17" x14ac:dyDescent="0.2">
      <c r="Q1099" s="667">
        <v>0</v>
      </c>
    </row>
    <row r="1100" spans="17:17" x14ac:dyDescent="0.2">
      <c r="Q1100" s="667" t="s">
        <v>27</v>
      </c>
    </row>
    <row r="1103" spans="17:17" x14ac:dyDescent="0.2">
      <c r="Q1103" s="667">
        <v>5</v>
      </c>
    </row>
    <row r="1104" spans="17:17" x14ac:dyDescent="0.2">
      <c r="Q1104" s="667" t="s">
        <v>28</v>
      </c>
    </row>
    <row r="1115" spans="17:17" x14ac:dyDescent="0.2">
      <c r="Q1115" s="667" t="s">
        <v>29</v>
      </c>
    </row>
    <row r="1119" spans="17:17" x14ac:dyDescent="0.2">
      <c r="Q1119" s="667" t="s">
        <v>994</v>
      </c>
    </row>
    <row r="1121" spans="17:17" x14ac:dyDescent="0.2">
      <c r="Q1121" s="667" t="e">
        <v>#N/A</v>
      </c>
    </row>
    <row r="1126" spans="17:17" x14ac:dyDescent="0.2">
      <c r="Q1126" s="667" t="s">
        <v>32</v>
      </c>
    </row>
    <row r="1141" spans="17:17" x14ac:dyDescent="0.2">
      <c r="Q1141" s="667">
        <v>0</v>
      </c>
    </row>
    <row r="1142" spans="17:17" x14ac:dyDescent="0.2">
      <c r="Q1142" s="667">
        <v>0</v>
      </c>
    </row>
    <row r="1143" spans="17:17" x14ac:dyDescent="0.2">
      <c r="Q1143" s="667">
        <v>0</v>
      </c>
    </row>
    <row r="1144" spans="17:17" x14ac:dyDescent="0.2">
      <c r="Q1144" s="667">
        <v>0</v>
      </c>
    </row>
    <row r="1145" spans="17:17" x14ac:dyDescent="0.2">
      <c r="Q1145" s="667">
        <v>0</v>
      </c>
    </row>
    <row r="1146" spans="17:17" x14ac:dyDescent="0.2">
      <c r="Q1146" s="667" t="s">
        <v>27</v>
      </c>
    </row>
    <row r="1149" spans="17:17" x14ac:dyDescent="0.2">
      <c r="Q1149" s="667">
        <v>3</v>
      </c>
    </row>
    <row r="1150" spans="17:17" x14ac:dyDescent="0.2">
      <c r="Q1150" s="667" t="s">
        <v>28</v>
      </c>
    </row>
    <row r="1159" spans="17:17" x14ac:dyDescent="0.2">
      <c r="Q1159" s="667" t="s">
        <v>29</v>
      </c>
    </row>
    <row r="1163" spans="17:17" x14ac:dyDescent="0.2">
      <c r="Q1163" s="667" t="s">
        <v>994</v>
      </c>
    </row>
    <row r="1165" spans="17:17" x14ac:dyDescent="0.2">
      <c r="Q1165" s="667" t="e">
        <v>#N/A</v>
      </c>
    </row>
    <row r="1170" spans="17:17" x14ac:dyDescent="0.2">
      <c r="Q1170" s="667" t="s">
        <v>32</v>
      </c>
    </row>
    <row r="1187" spans="17:17" x14ac:dyDescent="0.2">
      <c r="Q1187" s="667">
        <v>0</v>
      </c>
    </row>
    <row r="1188" spans="17:17" x14ac:dyDescent="0.2">
      <c r="Q1188" s="667">
        <v>0</v>
      </c>
    </row>
    <row r="1189" spans="17:17" x14ac:dyDescent="0.2">
      <c r="Q1189" s="667">
        <v>0</v>
      </c>
    </row>
    <row r="1190" spans="17:17" x14ac:dyDescent="0.2">
      <c r="Q1190" s="667">
        <v>0</v>
      </c>
    </row>
    <row r="1191" spans="17:17" x14ac:dyDescent="0.2">
      <c r="Q1191" s="667">
        <v>0</v>
      </c>
    </row>
    <row r="1192" spans="17:17" x14ac:dyDescent="0.2">
      <c r="Q1192" s="667" t="s">
        <v>27</v>
      </c>
    </row>
    <row r="1195" spans="17:17" x14ac:dyDescent="0.2">
      <c r="Q1195" s="667">
        <v>0.2</v>
      </c>
    </row>
    <row r="1196" spans="17:17" x14ac:dyDescent="0.2">
      <c r="Q1196" s="667" t="s">
        <v>28</v>
      </c>
    </row>
    <row r="1209" spans="17:17" x14ac:dyDescent="0.2">
      <c r="Q1209" s="667" t="s">
        <v>29</v>
      </c>
    </row>
    <row r="1213" spans="17:17" x14ac:dyDescent="0.2">
      <c r="Q1213" s="667" t="s">
        <v>994</v>
      </c>
    </row>
    <row r="1215" spans="17:17" x14ac:dyDescent="0.2">
      <c r="Q1215" s="667" t="e">
        <v>#N/A</v>
      </c>
    </row>
    <row r="1220" spans="17:17" x14ac:dyDescent="0.2">
      <c r="Q1220" s="667" t="s">
        <v>32</v>
      </c>
    </row>
    <row r="1238" spans="17:17" x14ac:dyDescent="0.2">
      <c r="Q1238" s="667">
        <v>0</v>
      </c>
    </row>
    <row r="1239" spans="17:17" x14ac:dyDescent="0.2">
      <c r="Q1239" s="667">
        <v>0</v>
      </c>
    </row>
    <row r="1240" spans="17:17" x14ac:dyDescent="0.2">
      <c r="Q1240" s="667">
        <v>0</v>
      </c>
    </row>
    <row r="1241" spans="17:17" x14ac:dyDescent="0.2">
      <c r="Q1241" s="667">
        <v>0</v>
      </c>
    </row>
    <row r="1242" spans="17:17" x14ac:dyDescent="0.2">
      <c r="Q1242" s="667">
        <v>0</v>
      </c>
    </row>
    <row r="1243" spans="17:17" x14ac:dyDescent="0.2">
      <c r="Q1243" s="667" t="s">
        <v>27</v>
      </c>
    </row>
    <row r="1246" spans="17:17" x14ac:dyDescent="0.2">
      <c r="Q1246" s="667">
        <v>0.2</v>
      </c>
    </row>
    <row r="1247" spans="17:17" x14ac:dyDescent="0.2">
      <c r="Q1247" s="667" t="s">
        <v>28</v>
      </c>
    </row>
    <row r="1259" spans="17:17" x14ac:dyDescent="0.2">
      <c r="Q1259" s="667" t="s">
        <v>29</v>
      </c>
    </row>
    <row r="1263" spans="17:17" x14ac:dyDescent="0.2">
      <c r="Q1263" s="667" t="s">
        <v>994</v>
      </c>
    </row>
    <row r="1265" spans="17:17" x14ac:dyDescent="0.2">
      <c r="Q1265" s="667" t="e">
        <v>#N/A</v>
      </c>
    </row>
    <row r="1269" spans="17:17" x14ac:dyDescent="0.2">
      <c r="Q1269" s="667" t="s">
        <v>32</v>
      </c>
    </row>
    <row r="1286" spans="17:17" x14ac:dyDescent="0.2">
      <c r="Q1286" s="667">
        <v>0</v>
      </c>
    </row>
    <row r="1287" spans="17:17" x14ac:dyDescent="0.2">
      <c r="Q1287" s="667">
        <v>0</v>
      </c>
    </row>
    <row r="1288" spans="17:17" x14ac:dyDescent="0.2">
      <c r="Q1288" s="667">
        <v>0</v>
      </c>
    </row>
    <row r="1289" spans="17:17" x14ac:dyDescent="0.2">
      <c r="Q1289" s="667">
        <v>0</v>
      </c>
    </row>
    <row r="1290" spans="17:17" x14ac:dyDescent="0.2">
      <c r="Q1290" s="667">
        <v>0</v>
      </c>
    </row>
    <row r="1291" spans="17:17" x14ac:dyDescent="0.2">
      <c r="Q1291" s="667" t="s">
        <v>27</v>
      </c>
    </row>
    <row r="1294" spans="17:17" x14ac:dyDescent="0.2">
      <c r="Q1294" s="667">
        <v>0.2</v>
      </c>
    </row>
    <row r="1295" spans="17:17" x14ac:dyDescent="0.2">
      <c r="Q1295" s="667" t="s">
        <v>28</v>
      </c>
    </row>
    <row r="1308" spans="17:17" x14ac:dyDescent="0.2">
      <c r="Q1308" s="667" t="s">
        <v>29</v>
      </c>
    </row>
    <row r="1312" spans="17:17" x14ac:dyDescent="0.2">
      <c r="Q1312" s="667" t="s">
        <v>994</v>
      </c>
    </row>
    <row r="1314" spans="17:17" x14ac:dyDescent="0.2">
      <c r="Q1314" s="667" t="e">
        <v>#N/A</v>
      </c>
    </row>
    <row r="1318" spans="17:17" x14ac:dyDescent="0.2">
      <c r="Q1318" s="667" t="s">
        <v>32</v>
      </c>
    </row>
    <row r="1335" spans="17:17" x14ac:dyDescent="0.2">
      <c r="Q1335" s="667">
        <v>0</v>
      </c>
    </row>
    <row r="1336" spans="17:17" x14ac:dyDescent="0.2">
      <c r="Q1336" s="667">
        <v>0</v>
      </c>
    </row>
    <row r="1337" spans="17:17" x14ac:dyDescent="0.2">
      <c r="Q1337" s="667">
        <v>0</v>
      </c>
    </row>
    <row r="1338" spans="17:17" x14ac:dyDescent="0.2">
      <c r="Q1338" s="667">
        <v>0</v>
      </c>
    </row>
    <row r="1339" spans="17:17" x14ac:dyDescent="0.2">
      <c r="Q1339" s="667">
        <v>0</v>
      </c>
    </row>
    <row r="1340" spans="17:17" x14ac:dyDescent="0.2">
      <c r="Q1340" s="667" t="s">
        <v>27</v>
      </c>
    </row>
    <row r="1343" spans="17:17" x14ac:dyDescent="0.2">
      <c r="Q1343" s="667">
        <v>600</v>
      </c>
    </row>
    <row r="1344" spans="17:17" x14ac:dyDescent="0.2">
      <c r="Q1344" s="667" t="s">
        <v>28</v>
      </c>
    </row>
    <row r="1357" spans="17:17" x14ac:dyDescent="0.2">
      <c r="Q1357" s="667" t="s">
        <v>29</v>
      </c>
    </row>
    <row r="1361" spans="17:17" x14ac:dyDescent="0.2">
      <c r="Q1361" s="667" t="s">
        <v>994</v>
      </c>
    </row>
    <row r="1363" spans="17:17" x14ac:dyDescent="0.2">
      <c r="Q1363" s="667" t="e">
        <v>#N/A</v>
      </c>
    </row>
    <row r="1367" spans="17:17" x14ac:dyDescent="0.2">
      <c r="Q1367" s="667" t="s">
        <v>32</v>
      </c>
    </row>
    <row r="1384" spans="17:17" x14ac:dyDescent="0.2">
      <c r="Q1384" s="667">
        <v>0</v>
      </c>
    </row>
    <row r="1385" spans="17:17" x14ac:dyDescent="0.2">
      <c r="Q1385" s="667">
        <v>0</v>
      </c>
    </row>
    <row r="1386" spans="17:17" x14ac:dyDescent="0.2">
      <c r="Q1386" s="667">
        <v>0</v>
      </c>
    </row>
    <row r="1387" spans="17:17" x14ac:dyDescent="0.2">
      <c r="Q1387" s="667">
        <v>0</v>
      </c>
    </row>
    <row r="1388" spans="17:17" x14ac:dyDescent="0.2">
      <c r="Q1388" s="667">
        <v>0</v>
      </c>
    </row>
    <row r="1389" spans="17:17" x14ac:dyDescent="0.2">
      <c r="Q1389" s="667" t="s">
        <v>27</v>
      </c>
    </row>
    <row r="1392" spans="17:17" x14ac:dyDescent="0.2">
      <c r="Q1392" s="667">
        <v>8.5000000000000006E-3</v>
      </c>
    </row>
    <row r="1393" spans="17:17" x14ac:dyDescent="0.2">
      <c r="Q1393" s="667" t="s">
        <v>28</v>
      </c>
    </row>
    <row r="1405" spans="17:17" x14ac:dyDescent="0.2">
      <c r="Q1405" s="667" t="s">
        <v>29</v>
      </c>
    </row>
    <row r="1409" spans="17:17" x14ac:dyDescent="0.2">
      <c r="Q1409" s="667" t="s">
        <v>994</v>
      </c>
    </row>
    <row r="1411" spans="17:17" x14ac:dyDescent="0.2">
      <c r="Q1411" s="667" t="e">
        <v>#N/A</v>
      </c>
    </row>
  </sheetData>
  <sortState ref="O1:Q1411">
    <sortCondition ref="O1:O1411"/>
  </sortState>
  <mergeCells count="1">
    <mergeCell ref="A6:K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A9" sqref="A9"/>
    </sheetView>
  </sheetViews>
  <sheetFormatPr baseColWidth="10" defaultColWidth="11.42578125" defaultRowHeight="12" x14ac:dyDescent="0.2"/>
  <cols>
    <col min="1" max="1" width="46.42578125" style="71" customWidth="1"/>
    <col min="2" max="2" width="7.28515625" style="73" customWidth="1"/>
    <col min="3" max="3" width="15.140625" style="726" bestFit="1" customWidth="1"/>
    <col min="4" max="4" width="19" style="71" customWidth="1"/>
    <col min="5" max="5" width="46.5703125" style="71" customWidth="1"/>
    <col min="6" max="16384" width="11.42578125" style="71"/>
  </cols>
  <sheetData>
    <row r="1" spans="1:5" x14ac:dyDescent="0.2">
      <c r="A1" s="70" t="s">
        <v>906</v>
      </c>
    </row>
    <row r="3" spans="1:5" s="73" customFormat="1" x14ac:dyDescent="0.2">
      <c r="A3" s="72" t="s">
        <v>923</v>
      </c>
      <c r="B3" s="72" t="s">
        <v>1</v>
      </c>
      <c r="C3" s="727" t="s">
        <v>905</v>
      </c>
      <c r="D3" s="72" t="s">
        <v>899</v>
      </c>
      <c r="E3" s="72" t="s">
        <v>900</v>
      </c>
    </row>
    <row r="4" spans="1:5" x14ac:dyDescent="0.2">
      <c r="A4" s="74" t="s">
        <v>267</v>
      </c>
      <c r="B4" s="72"/>
      <c r="C4" s="728"/>
      <c r="D4" s="74" t="s">
        <v>1965</v>
      </c>
      <c r="E4" s="74" t="str">
        <f t="shared" ref="E4:E68" si="0">IFERROR(VLOOKUP(D4,T_Indices,5,FALSE),"")</f>
        <v>Mano de Obra</v>
      </c>
    </row>
    <row r="5" spans="1:5" x14ac:dyDescent="0.2">
      <c r="A5" s="74" t="s">
        <v>2009</v>
      </c>
      <c r="B5" s="72"/>
      <c r="C5" s="728"/>
      <c r="D5" s="74" t="s">
        <v>908</v>
      </c>
      <c r="E5" s="74" t="str">
        <f t="shared" si="0"/>
        <v>Hormigón elaborado</v>
      </c>
    </row>
    <row r="6" spans="1:5" x14ac:dyDescent="0.2">
      <c r="A6" s="74" t="s">
        <v>2010</v>
      </c>
      <c r="B6" s="72"/>
      <c r="C6" s="728"/>
      <c r="D6" s="74" t="s">
        <v>1594</v>
      </c>
      <c r="E6" s="74" t="str">
        <f t="shared" si="0"/>
        <v>Equipo - Amortización de equipo</v>
      </c>
    </row>
    <row r="7" spans="1:5" x14ac:dyDescent="0.2">
      <c r="A7" s="74" t="s">
        <v>2011</v>
      </c>
      <c r="B7" s="72"/>
      <c r="C7" s="728"/>
      <c r="D7" s="74" t="s">
        <v>909</v>
      </c>
      <c r="E7" s="74" t="str">
        <f t="shared" si="0"/>
        <v>Acero aletado conformado, en barra</v>
      </c>
    </row>
    <row r="8" spans="1:5" x14ac:dyDescent="0.2">
      <c r="A8" s="74" t="s">
        <v>1966</v>
      </c>
      <c r="B8" s="72"/>
      <c r="C8" s="728"/>
      <c r="D8" s="74" t="s">
        <v>1967</v>
      </c>
      <c r="E8" s="74" t="str">
        <f t="shared" si="0"/>
        <v>Gastos generales</v>
      </c>
    </row>
    <row r="9" spans="1:5" x14ac:dyDescent="0.2">
      <c r="A9" s="74"/>
      <c r="B9" s="72"/>
      <c r="C9" s="728"/>
      <c r="D9" s="74"/>
      <c r="E9" s="74" t="str">
        <f t="shared" si="0"/>
        <v/>
      </c>
    </row>
    <row r="10" spans="1:5" x14ac:dyDescent="0.2">
      <c r="A10" s="74"/>
      <c r="B10" s="72"/>
      <c r="C10" s="728"/>
      <c r="D10" s="74"/>
      <c r="E10" s="74" t="str">
        <f t="shared" si="0"/>
        <v/>
      </c>
    </row>
    <row r="11" spans="1:5" x14ac:dyDescent="0.2">
      <c r="A11" s="74"/>
      <c r="B11" s="72"/>
      <c r="C11" s="728"/>
      <c r="D11" s="74"/>
      <c r="E11" s="74" t="str">
        <f t="shared" si="0"/>
        <v/>
      </c>
    </row>
    <row r="12" spans="1:5" x14ac:dyDescent="0.2">
      <c r="A12" s="74"/>
      <c r="B12" s="72"/>
      <c r="C12" s="728"/>
      <c r="D12" s="74"/>
      <c r="E12" s="74" t="str">
        <f t="shared" si="0"/>
        <v/>
      </c>
    </row>
    <row r="13" spans="1:5" x14ac:dyDescent="0.2">
      <c r="A13" s="74"/>
      <c r="B13" s="72"/>
      <c r="C13" s="728"/>
      <c r="D13" s="74"/>
      <c r="E13" s="74" t="str">
        <f t="shared" si="0"/>
        <v/>
      </c>
    </row>
    <row r="14" spans="1:5" x14ac:dyDescent="0.2">
      <c r="A14" s="74"/>
      <c r="B14" s="72"/>
      <c r="C14" s="729"/>
      <c r="D14" s="74"/>
      <c r="E14" s="74" t="str">
        <f t="shared" si="0"/>
        <v/>
      </c>
    </row>
    <row r="15" spans="1:5" x14ac:dyDescent="0.2">
      <c r="A15" s="74"/>
      <c r="B15" s="72"/>
      <c r="C15" s="729"/>
      <c r="D15" s="74"/>
      <c r="E15" s="74" t="str">
        <f t="shared" si="0"/>
        <v/>
      </c>
    </row>
    <row r="16" spans="1:5" x14ac:dyDescent="0.2">
      <c r="A16" s="74"/>
      <c r="B16" s="72"/>
      <c r="C16" s="729"/>
      <c r="D16" s="74"/>
      <c r="E16" s="74" t="str">
        <f t="shared" si="0"/>
        <v/>
      </c>
    </row>
    <row r="17" spans="1:5" x14ac:dyDescent="0.2">
      <c r="A17" s="74"/>
      <c r="B17" s="72"/>
      <c r="C17" s="729"/>
      <c r="D17" s="74"/>
      <c r="E17" s="74" t="str">
        <f t="shared" si="0"/>
        <v/>
      </c>
    </row>
    <row r="18" spans="1:5" x14ac:dyDescent="0.2">
      <c r="A18" s="74"/>
      <c r="B18" s="72"/>
      <c r="C18" s="729"/>
      <c r="D18" s="74"/>
      <c r="E18" s="74" t="str">
        <f t="shared" si="0"/>
        <v/>
      </c>
    </row>
    <row r="19" spans="1:5" x14ac:dyDescent="0.2">
      <c r="A19" s="74"/>
      <c r="B19" s="72"/>
      <c r="C19" s="729"/>
      <c r="D19" s="75"/>
      <c r="E19" s="74" t="str">
        <f t="shared" si="0"/>
        <v/>
      </c>
    </row>
    <row r="20" spans="1:5" x14ac:dyDescent="0.2">
      <c r="A20" s="74"/>
      <c r="B20" s="72"/>
      <c r="C20" s="729"/>
      <c r="D20" s="74"/>
      <c r="E20" s="74" t="str">
        <f t="shared" si="0"/>
        <v/>
      </c>
    </row>
    <row r="21" spans="1:5" x14ac:dyDescent="0.2">
      <c r="A21" s="74"/>
      <c r="B21" s="72"/>
      <c r="C21" s="729"/>
      <c r="D21" s="74"/>
      <c r="E21" s="74" t="str">
        <f t="shared" ref="E21" si="1">IFERROR(VLOOKUP(D21,T_Indices,5,FALSE),"")</f>
        <v/>
      </c>
    </row>
    <row r="22" spans="1:5" x14ac:dyDescent="0.2">
      <c r="A22" s="74"/>
      <c r="B22" s="72"/>
      <c r="C22" s="729"/>
      <c r="D22" s="74"/>
      <c r="E22" s="74" t="str">
        <f t="shared" si="0"/>
        <v/>
      </c>
    </row>
    <row r="23" spans="1:5" x14ac:dyDescent="0.2">
      <c r="A23" s="74"/>
      <c r="B23" s="72"/>
      <c r="C23" s="729"/>
      <c r="D23" s="74"/>
      <c r="E23" s="74" t="str">
        <f t="shared" si="0"/>
        <v/>
      </c>
    </row>
    <row r="24" spans="1:5" x14ac:dyDescent="0.2">
      <c r="A24" s="74"/>
      <c r="B24" s="72"/>
      <c r="C24" s="729"/>
      <c r="D24" s="74"/>
      <c r="E24" s="74" t="str">
        <f t="shared" si="0"/>
        <v/>
      </c>
    </row>
    <row r="25" spans="1:5" x14ac:dyDescent="0.2">
      <c r="A25" s="74"/>
      <c r="B25" s="72"/>
      <c r="C25" s="729"/>
      <c r="D25" s="74"/>
      <c r="E25" s="74" t="str">
        <f t="shared" si="0"/>
        <v/>
      </c>
    </row>
    <row r="26" spans="1:5" x14ac:dyDescent="0.2">
      <c r="A26" s="74"/>
      <c r="B26" s="72"/>
      <c r="C26" s="729"/>
      <c r="D26" s="74"/>
      <c r="E26" s="74" t="str">
        <f t="shared" si="0"/>
        <v/>
      </c>
    </row>
    <row r="27" spans="1:5" x14ac:dyDescent="0.2">
      <c r="A27" s="74"/>
      <c r="B27" s="72"/>
      <c r="C27" s="729"/>
      <c r="D27" s="74"/>
      <c r="E27" s="74" t="str">
        <f t="shared" si="0"/>
        <v/>
      </c>
    </row>
    <row r="28" spans="1:5" x14ac:dyDescent="0.2">
      <c r="A28" s="74"/>
      <c r="B28" s="72"/>
      <c r="C28" s="728"/>
      <c r="D28" s="74"/>
      <c r="E28" s="74" t="str">
        <f t="shared" si="0"/>
        <v/>
      </c>
    </row>
    <row r="29" spans="1:5" x14ac:dyDescent="0.2">
      <c r="A29" s="74"/>
      <c r="B29" s="72"/>
      <c r="C29" s="728"/>
      <c r="D29" s="74"/>
      <c r="E29" s="74" t="str">
        <f t="shared" si="0"/>
        <v/>
      </c>
    </row>
    <row r="30" spans="1:5" x14ac:dyDescent="0.2">
      <c r="A30" s="74"/>
      <c r="B30" s="72"/>
      <c r="C30" s="728"/>
      <c r="D30" s="74"/>
      <c r="E30" s="74" t="str">
        <f t="shared" si="0"/>
        <v/>
      </c>
    </row>
    <row r="31" spans="1:5" x14ac:dyDescent="0.2">
      <c r="A31" s="74"/>
      <c r="B31" s="72"/>
      <c r="C31" s="728"/>
      <c r="D31" s="74"/>
      <c r="E31" s="74" t="str">
        <f t="shared" si="0"/>
        <v/>
      </c>
    </row>
    <row r="32" spans="1:5" x14ac:dyDescent="0.2">
      <c r="A32" s="74"/>
      <c r="B32" s="72"/>
      <c r="C32" s="728"/>
      <c r="D32" s="74"/>
      <c r="E32" s="74" t="str">
        <f t="shared" si="0"/>
        <v/>
      </c>
    </row>
    <row r="33" spans="1:5" x14ac:dyDescent="0.2">
      <c r="A33" s="74"/>
      <c r="B33" s="72"/>
      <c r="C33" s="728"/>
      <c r="D33" s="74"/>
      <c r="E33" s="74" t="str">
        <f t="shared" si="0"/>
        <v/>
      </c>
    </row>
    <row r="34" spans="1:5" x14ac:dyDescent="0.2">
      <c r="A34" s="74"/>
      <c r="B34" s="72"/>
      <c r="C34" s="728"/>
      <c r="D34" s="74"/>
      <c r="E34" s="74" t="str">
        <f t="shared" si="0"/>
        <v/>
      </c>
    </row>
    <row r="35" spans="1:5" x14ac:dyDescent="0.2">
      <c r="A35" s="74"/>
      <c r="B35" s="72"/>
      <c r="C35" s="728"/>
      <c r="D35" s="74"/>
      <c r="E35" s="74" t="str">
        <f t="shared" si="0"/>
        <v/>
      </c>
    </row>
    <row r="36" spans="1:5" x14ac:dyDescent="0.2">
      <c r="A36" s="74"/>
      <c r="B36" s="72"/>
      <c r="C36" s="728"/>
      <c r="D36" s="75"/>
      <c r="E36" s="74" t="str">
        <f t="shared" si="0"/>
        <v/>
      </c>
    </row>
    <row r="37" spans="1:5" x14ac:dyDescent="0.2">
      <c r="A37" s="74"/>
      <c r="B37" s="72"/>
      <c r="C37" s="728"/>
      <c r="D37" s="75"/>
      <c r="E37" s="74" t="str">
        <f t="shared" si="0"/>
        <v/>
      </c>
    </row>
    <row r="38" spans="1:5" x14ac:dyDescent="0.2">
      <c r="A38" s="74"/>
      <c r="B38" s="72"/>
      <c r="C38" s="728"/>
      <c r="D38" s="74"/>
      <c r="E38" s="74" t="str">
        <f t="shared" si="0"/>
        <v/>
      </c>
    </row>
    <row r="39" spans="1:5" x14ac:dyDescent="0.2">
      <c r="A39" s="74"/>
      <c r="B39" s="72"/>
      <c r="C39" s="728"/>
      <c r="D39" s="74"/>
      <c r="E39" s="74" t="str">
        <f t="shared" si="0"/>
        <v/>
      </c>
    </row>
    <row r="40" spans="1:5" x14ac:dyDescent="0.2">
      <c r="A40" s="74"/>
      <c r="B40" s="72"/>
      <c r="C40" s="728"/>
      <c r="D40" s="74"/>
      <c r="E40" s="74" t="str">
        <f t="shared" si="0"/>
        <v/>
      </c>
    </row>
    <row r="41" spans="1:5" x14ac:dyDescent="0.2">
      <c r="A41" s="75"/>
      <c r="B41" s="72"/>
      <c r="C41" s="728"/>
      <c r="D41" s="74"/>
      <c r="E41" s="74" t="str">
        <f t="shared" si="0"/>
        <v/>
      </c>
    </row>
    <row r="42" spans="1:5" x14ac:dyDescent="0.2">
      <c r="A42" s="75"/>
      <c r="B42" s="72"/>
      <c r="C42" s="728"/>
      <c r="D42" s="164"/>
      <c r="E42" s="74" t="str">
        <f t="shared" si="0"/>
        <v/>
      </c>
    </row>
    <row r="43" spans="1:5" x14ac:dyDescent="0.2">
      <c r="A43" s="75"/>
      <c r="B43" s="72"/>
      <c r="C43" s="728"/>
      <c r="D43" s="164"/>
      <c r="E43" s="74" t="str">
        <f t="shared" si="0"/>
        <v/>
      </c>
    </row>
    <row r="44" spans="1:5" x14ac:dyDescent="0.2">
      <c r="A44" s="75"/>
      <c r="B44" s="72"/>
      <c r="C44" s="728"/>
      <c r="D44" s="164"/>
      <c r="E44" s="74" t="str">
        <f t="shared" si="0"/>
        <v/>
      </c>
    </row>
    <row r="45" spans="1:5" x14ac:dyDescent="0.2">
      <c r="A45" s="75"/>
      <c r="B45" s="72"/>
      <c r="C45" s="728"/>
      <c r="D45" s="74"/>
      <c r="E45" s="74" t="str">
        <f t="shared" si="0"/>
        <v/>
      </c>
    </row>
    <row r="46" spans="1:5" x14ac:dyDescent="0.2">
      <c r="A46" s="75"/>
      <c r="B46" s="72"/>
      <c r="C46" s="728"/>
      <c r="D46" s="75"/>
      <c r="E46" s="74" t="str">
        <f t="shared" si="0"/>
        <v/>
      </c>
    </row>
    <row r="47" spans="1:5" x14ac:dyDescent="0.2">
      <c r="A47" s="75"/>
      <c r="B47" s="72"/>
      <c r="C47" s="728"/>
      <c r="D47" s="75"/>
      <c r="E47" s="74" t="str">
        <f t="shared" si="0"/>
        <v/>
      </c>
    </row>
    <row r="48" spans="1:5" x14ac:dyDescent="0.2">
      <c r="A48" s="75"/>
      <c r="B48" s="72"/>
      <c r="C48" s="728"/>
      <c r="D48" s="75"/>
      <c r="E48" s="74" t="str">
        <f t="shared" si="0"/>
        <v/>
      </c>
    </row>
    <row r="49" spans="1:5" x14ac:dyDescent="0.2">
      <c r="A49" s="75"/>
      <c r="B49" s="72"/>
      <c r="C49" s="728"/>
      <c r="D49" s="75"/>
      <c r="E49" s="74" t="str">
        <f t="shared" si="0"/>
        <v/>
      </c>
    </row>
    <row r="50" spans="1:5" x14ac:dyDescent="0.2">
      <c r="A50" s="75"/>
      <c r="B50" s="72"/>
      <c r="C50" s="728"/>
      <c r="D50" s="75"/>
      <c r="E50" s="74" t="str">
        <f t="shared" si="0"/>
        <v/>
      </c>
    </row>
    <row r="51" spans="1:5" x14ac:dyDescent="0.2">
      <c r="A51" s="75"/>
      <c r="B51" s="72"/>
      <c r="C51" s="728"/>
      <c r="D51" s="75"/>
      <c r="E51" s="74" t="str">
        <f t="shared" si="0"/>
        <v/>
      </c>
    </row>
    <row r="52" spans="1:5" x14ac:dyDescent="0.2">
      <c r="A52" s="75"/>
      <c r="B52" s="72"/>
      <c r="C52" s="728"/>
      <c r="D52" s="75"/>
      <c r="E52" s="74" t="str">
        <f t="shared" si="0"/>
        <v/>
      </c>
    </row>
    <row r="53" spans="1:5" x14ac:dyDescent="0.2">
      <c r="A53" s="75"/>
      <c r="B53" s="72"/>
      <c r="C53" s="728"/>
      <c r="D53" s="75"/>
      <c r="E53" s="74" t="str">
        <f t="shared" si="0"/>
        <v/>
      </c>
    </row>
    <row r="54" spans="1:5" x14ac:dyDescent="0.2">
      <c r="A54" s="75"/>
      <c r="B54" s="72"/>
      <c r="C54" s="728"/>
      <c r="D54" s="75"/>
      <c r="E54" s="74" t="str">
        <f t="shared" si="0"/>
        <v/>
      </c>
    </row>
    <row r="55" spans="1:5" x14ac:dyDescent="0.2">
      <c r="A55" s="75"/>
      <c r="B55" s="72"/>
      <c r="C55" s="728"/>
      <c r="D55" s="75"/>
      <c r="E55" s="74" t="str">
        <f t="shared" si="0"/>
        <v/>
      </c>
    </row>
    <row r="56" spans="1:5" x14ac:dyDescent="0.2">
      <c r="A56" s="75"/>
      <c r="B56" s="72"/>
      <c r="C56" s="728"/>
      <c r="D56" s="75"/>
      <c r="E56" s="74" t="str">
        <f t="shared" si="0"/>
        <v/>
      </c>
    </row>
    <row r="57" spans="1:5" x14ac:dyDescent="0.2">
      <c r="A57" s="75"/>
      <c r="B57" s="72"/>
      <c r="C57" s="728"/>
      <c r="D57" s="75"/>
      <c r="E57" s="74" t="str">
        <f t="shared" si="0"/>
        <v/>
      </c>
    </row>
    <row r="58" spans="1:5" x14ac:dyDescent="0.2">
      <c r="A58" s="75"/>
      <c r="B58" s="72"/>
      <c r="C58" s="728"/>
      <c r="D58" s="75"/>
      <c r="E58" s="74" t="str">
        <f t="shared" si="0"/>
        <v/>
      </c>
    </row>
    <row r="59" spans="1:5" x14ac:dyDescent="0.2">
      <c r="A59" s="75"/>
      <c r="B59" s="72"/>
      <c r="C59" s="728"/>
      <c r="D59" s="75"/>
      <c r="E59" s="74" t="str">
        <f t="shared" si="0"/>
        <v/>
      </c>
    </row>
    <row r="60" spans="1:5" x14ac:dyDescent="0.2">
      <c r="A60" s="75"/>
      <c r="B60" s="72"/>
      <c r="C60" s="728"/>
      <c r="D60" s="74"/>
      <c r="E60" s="74" t="str">
        <f t="shared" si="0"/>
        <v/>
      </c>
    </row>
    <row r="61" spans="1:5" x14ac:dyDescent="0.2">
      <c r="A61" s="75"/>
      <c r="B61" s="72"/>
      <c r="C61" s="728"/>
      <c r="D61" s="75"/>
      <c r="E61" s="74" t="str">
        <f t="shared" si="0"/>
        <v/>
      </c>
    </row>
    <row r="62" spans="1:5" x14ac:dyDescent="0.2">
      <c r="A62" s="75"/>
      <c r="B62" s="72"/>
      <c r="C62" s="728"/>
      <c r="D62" s="75"/>
      <c r="E62" s="74" t="str">
        <f t="shared" si="0"/>
        <v/>
      </c>
    </row>
    <row r="63" spans="1:5" x14ac:dyDescent="0.2">
      <c r="A63" s="75"/>
      <c r="B63" s="72"/>
      <c r="C63" s="728"/>
      <c r="D63" s="75"/>
      <c r="E63" s="74" t="str">
        <f t="shared" si="0"/>
        <v/>
      </c>
    </row>
    <row r="64" spans="1:5" x14ac:dyDescent="0.2">
      <c r="A64" s="75"/>
      <c r="B64" s="72"/>
      <c r="C64" s="728"/>
      <c r="D64" s="75"/>
      <c r="E64" s="74" t="str">
        <f t="shared" si="0"/>
        <v/>
      </c>
    </row>
    <row r="65" spans="1:5" x14ac:dyDescent="0.2">
      <c r="A65" s="75"/>
      <c r="B65" s="72"/>
      <c r="C65" s="728"/>
      <c r="D65" s="74"/>
      <c r="E65" s="74" t="str">
        <f t="shared" si="0"/>
        <v/>
      </c>
    </row>
    <row r="66" spans="1:5" x14ac:dyDescent="0.2">
      <c r="A66" s="75"/>
      <c r="B66" s="72"/>
      <c r="C66" s="728"/>
      <c r="D66" s="75"/>
      <c r="E66" s="74" t="str">
        <f t="shared" si="0"/>
        <v/>
      </c>
    </row>
    <row r="67" spans="1:5" x14ac:dyDescent="0.2">
      <c r="A67" s="75"/>
      <c r="B67" s="72"/>
      <c r="C67" s="728"/>
      <c r="D67" s="75"/>
      <c r="E67" s="74" t="str">
        <f t="shared" si="0"/>
        <v/>
      </c>
    </row>
    <row r="68" spans="1:5" x14ac:dyDescent="0.2">
      <c r="A68" s="75"/>
      <c r="B68" s="72"/>
      <c r="C68" s="728"/>
      <c r="D68" s="75"/>
      <c r="E68" s="74" t="str">
        <f t="shared" si="0"/>
        <v/>
      </c>
    </row>
    <row r="69" spans="1:5" x14ac:dyDescent="0.2">
      <c r="A69" s="75"/>
      <c r="B69" s="72"/>
      <c r="C69" s="728"/>
      <c r="D69" s="75"/>
      <c r="E69" s="74" t="str">
        <f t="shared" ref="E69:E132" si="2">IFERROR(VLOOKUP(D69,T_Indices,5,FALSE),"")</f>
        <v/>
      </c>
    </row>
    <row r="70" spans="1:5" x14ac:dyDescent="0.2">
      <c r="A70" s="75"/>
      <c r="B70" s="72"/>
      <c r="C70" s="728"/>
      <c r="D70" s="74"/>
      <c r="E70" s="74" t="str">
        <f t="shared" si="2"/>
        <v/>
      </c>
    </row>
    <row r="71" spans="1:5" x14ac:dyDescent="0.2">
      <c r="A71" s="75"/>
      <c r="B71" s="72"/>
      <c r="C71" s="728"/>
      <c r="D71" s="75"/>
      <c r="E71" s="74" t="str">
        <f t="shared" si="2"/>
        <v/>
      </c>
    </row>
    <row r="72" spans="1:5" x14ac:dyDescent="0.2">
      <c r="A72" s="74"/>
      <c r="B72" s="72"/>
      <c r="C72" s="728"/>
      <c r="D72" s="74"/>
      <c r="E72" s="74" t="str">
        <f t="shared" si="2"/>
        <v/>
      </c>
    </row>
    <row r="73" spans="1:5" x14ac:dyDescent="0.2">
      <c r="A73" s="74"/>
      <c r="B73" s="72"/>
      <c r="C73" s="728"/>
      <c r="D73" s="74"/>
      <c r="E73" s="74" t="str">
        <f t="shared" si="2"/>
        <v/>
      </c>
    </row>
    <row r="74" spans="1:5" x14ac:dyDescent="0.2">
      <c r="A74" s="75"/>
      <c r="B74" s="775"/>
      <c r="C74" s="776"/>
      <c r="D74" s="75"/>
      <c r="E74" s="75"/>
    </row>
    <row r="75" spans="1:5" x14ac:dyDescent="0.2">
      <c r="A75" s="75"/>
      <c r="B75" s="775"/>
      <c r="C75" s="776"/>
      <c r="D75" s="75"/>
      <c r="E75" s="75"/>
    </row>
    <row r="76" spans="1:5" x14ac:dyDescent="0.2">
      <c r="A76" s="75"/>
      <c r="B76" s="775"/>
      <c r="C76" s="776"/>
      <c r="D76" s="75"/>
      <c r="E76" s="75"/>
    </row>
    <row r="77" spans="1:5" x14ac:dyDescent="0.2">
      <c r="A77" s="75"/>
      <c r="B77" s="775"/>
      <c r="C77" s="776"/>
      <c r="D77" s="75"/>
      <c r="E77" s="75"/>
    </row>
    <row r="78" spans="1:5" x14ac:dyDescent="0.2">
      <c r="A78" s="75"/>
      <c r="B78" s="775"/>
      <c r="C78" s="776"/>
      <c r="D78" s="75"/>
      <c r="E78" s="75"/>
    </row>
    <row r="79" spans="1:5" x14ac:dyDescent="0.2">
      <c r="A79" s="75"/>
      <c r="B79" s="775"/>
      <c r="C79" s="776"/>
      <c r="D79" s="75"/>
      <c r="E79" s="75"/>
    </row>
    <row r="80" spans="1:5" x14ac:dyDescent="0.2">
      <c r="A80" s="75"/>
      <c r="B80" s="775"/>
      <c r="C80" s="776"/>
      <c r="D80" s="75"/>
      <c r="E80" s="75"/>
    </row>
    <row r="81" spans="1:5" x14ac:dyDescent="0.2">
      <c r="A81" s="75"/>
      <c r="B81" s="775"/>
      <c r="C81" s="776"/>
      <c r="D81" s="75"/>
      <c r="E81" s="75"/>
    </row>
    <row r="82" spans="1:5" x14ac:dyDescent="0.2">
      <c r="A82" s="75"/>
      <c r="B82" s="775"/>
      <c r="C82" s="776"/>
      <c r="D82" s="75"/>
      <c r="E82" s="75"/>
    </row>
    <row r="83" spans="1:5" x14ac:dyDescent="0.2">
      <c r="A83" s="75"/>
      <c r="B83" s="775"/>
      <c r="C83" s="776"/>
      <c r="D83" s="75"/>
      <c r="E83" s="75"/>
    </row>
    <row r="84" spans="1:5" x14ac:dyDescent="0.2">
      <c r="A84" s="75"/>
      <c r="B84" s="775"/>
      <c r="C84" s="776"/>
      <c r="D84" s="75"/>
      <c r="E84" s="75"/>
    </row>
    <row r="85" spans="1:5" x14ac:dyDescent="0.2">
      <c r="A85" s="75"/>
      <c r="B85" s="775"/>
      <c r="C85" s="776"/>
      <c r="D85" s="75"/>
      <c r="E85" s="75"/>
    </row>
    <row r="86" spans="1:5" x14ac:dyDescent="0.2">
      <c r="A86" s="75"/>
      <c r="B86" s="775"/>
      <c r="C86" s="776"/>
      <c r="D86" s="75"/>
      <c r="E86" s="75"/>
    </row>
    <row r="87" spans="1:5" x14ac:dyDescent="0.2">
      <c r="A87" s="75"/>
      <c r="B87" s="775"/>
      <c r="C87" s="776"/>
      <c r="D87" s="75"/>
      <c r="E87" s="75"/>
    </row>
    <row r="88" spans="1:5" x14ac:dyDescent="0.2">
      <c r="A88" s="75"/>
      <c r="B88" s="775"/>
      <c r="C88" s="776"/>
      <c r="D88" s="75"/>
      <c r="E88" s="75"/>
    </row>
    <row r="89" spans="1:5" x14ac:dyDescent="0.2">
      <c r="A89" s="75"/>
      <c r="B89" s="775"/>
      <c r="C89" s="776"/>
      <c r="D89" s="75"/>
      <c r="E89" s="75"/>
    </row>
    <row r="90" spans="1:5" x14ac:dyDescent="0.2">
      <c r="A90" s="75"/>
      <c r="B90" s="775"/>
      <c r="C90" s="776"/>
      <c r="D90" s="75"/>
      <c r="E90" s="75"/>
    </row>
    <row r="91" spans="1:5" x14ac:dyDescent="0.2">
      <c r="A91" s="75"/>
      <c r="B91" s="775"/>
      <c r="C91" s="776"/>
      <c r="D91" s="75"/>
      <c r="E91" s="75"/>
    </row>
    <row r="92" spans="1:5" x14ac:dyDescent="0.2">
      <c r="A92" s="75"/>
      <c r="B92" s="775"/>
      <c r="C92" s="776"/>
      <c r="D92" s="75"/>
      <c r="E92" s="75"/>
    </row>
    <row r="93" spans="1:5" x14ac:dyDescent="0.2">
      <c r="A93" s="75"/>
      <c r="B93" s="775"/>
      <c r="C93" s="776"/>
      <c r="D93" s="75"/>
      <c r="E93" s="75"/>
    </row>
    <row r="94" spans="1:5" x14ac:dyDescent="0.2">
      <c r="A94" s="75"/>
      <c r="B94" s="775"/>
      <c r="C94" s="776"/>
      <c r="D94" s="75"/>
      <c r="E94" s="75"/>
    </row>
    <row r="95" spans="1:5" x14ac:dyDescent="0.2">
      <c r="A95" s="75"/>
      <c r="B95" s="775"/>
      <c r="C95" s="776"/>
      <c r="D95" s="75"/>
      <c r="E95" s="75"/>
    </row>
    <row r="96" spans="1:5" x14ac:dyDescent="0.2">
      <c r="A96" s="75"/>
      <c r="B96" s="775"/>
      <c r="C96" s="776"/>
      <c r="D96" s="75"/>
      <c r="E96" s="75"/>
    </row>
    <row r="97" spans="1:5" x14ac:dyDescent="0.2">
      <c r="A97" s="75"/>
      <c r="B97" s="775"/>
      <c r="C97" s="776"/>
      <c r="D97" s="75"/>
      <c r="E97" s="75"/>
    </row>
    <row r="98" spans="1:5" x14ac:dyDescent="0.2">
      <c r="A98" s="75"/>
      <c r="B98" s="775"/>
      <c r="C98" s="776"/>
      <c r="D98" s="75"/>
      <c r="E98" s="75"/>
    </row>
    <row r="99" spans="1:5" x14ac:dyDescent="0.2">
      <c r="A99" s="75"/>
      <c r="B99" s="775"/>
      <c r="C99" s="776"/>
      <c r="D99" s="75"/>
      <c r="E99" s="75"/>
    </row>
    <row r="100" spans="1:5" x14ac:dyDescent="0.2">
      <c r="A100" s="75"/>
      <c r="B100" s="775"/>
      <c r="C100" s="776"/>
      <c r="D100" s="75"/>
      <c r="E100" s="75"/>
    </row>
    <row r="101" spans="1:5" x14ac:dyDescent="0.2">
      <c r="A101" s="75"/>
      <c r="B101" s="775"/>
      <c r="C101" s="776"/>
      <c r="D101" s="75"/>
      <c r="E101" s="75"/>
    </row>
    <row r="102" spans="1:5" x14ac:dyDescent="0.2">
      <c r="A102" s="75"/>
      <c r="B102" s="775"/>
      <c r="C102" s="776"/>
      <c r="D102" s="75"/>
      <c r="E102" s="75"/>
    </row>
    <row r="103" spans="1:5" x14ac:dyDescent="0.2">
      <c r="A103" s="75"/>
      <c r="B103" s="775"/>
      <c r="C103" s="776"/>
      <c r="D103" s="75"/>
      <c r="E103" s="75"/>
    </row>
    <row r="104" spans="1:5" x14ac:dyDescent="0.2">
      <c r="A104" s="75"/>
      <c r="B104" s="775"/>
      <c r="C104" s="776"/>
      <c r="D104" s="75"/>
      <c r="E104" s="75"/>
    </row>
    <row r="105" spans="1:5" x14ac:dyDescent="0.2">
      <c r="A105" s="75"/>
      <c r="B105" s="775"/>
      <c r="C105" s="776"/>
      <c r="D105" s="75"/>
      <c r="E105" s="75"/>
    </row>
    <row r="106" spans="1:5" x14ac:dyDescent="0.2">
      <c r="A106" s="75"/>
      <c r="B106" s="775"/>
      <c r="C106" s="776"/>
      <c r="D106" s="75"/>
      <c r="E106" s="75"/>
    </row>
    <row r="107" spans="1:5" x14ac:dyDescent="0.2">
      <c r="A107" s="75"/>
      <c r="B107" s="775"/>
      <c r="C107" s="776"/>
      <c r="D107" s="75"/>
      <c r="E107" s="75"/>
    </row>
    <row r="108" spans="1:5" x14ac:dyDescent="0.2">
      <c r="A108" s="75"/>
      <c r="B108" s="775"/>
      <c r="C108" s="776"/>
      <c r="D108" s="75"/>
      <c r="E108" s="75"/>
    </row>
    <row r="109" spans="1:5" x14ac:dyDescent="0.2">
      <c r="A109" s="75"/>
      <c r="B109" s="775"/>
      <c r="C109" s="776"/>
      <c r="D109" s="75"/>
      <c r="E109" s="75"/>
    </row>
    <row r="110" spans="1:5" x14ac:dyDescent="0.2">
      <c r="A110" s="75"/>
      <c r="B110" s="775"/>
      <c r="C110" s="776"/>
      <c r="D110" s="75"/>
      <c r="E110" s="75"/>
    </row>
    <row r="111" spans="1:5" x14ac:dyDescent="0.2">
      <c r="A111" s="75"/>
      <c r="B111" s="775"/>
      <c r="C111" s="776"/>
      <c r="D111" s="75"/>
      <c r="E111" s="75"/>
    </row>
    <row r="112" spans="1:5" x14ac:dyDescent="0.2">
      <c r="A112" s="75"/>
      <c r="B112" s="775"/>
      <c r="C112" s="776"/>
      <c r="D112" s="75"/>
      <c r="E112" s="75"/>
    </row>
    <row r="113" spans="1:5" x14ac:dyDescent="0.2">
      <c r="A113" s="75"/>
      <c r="B113" s="775"/>
      <c r="C113" s="776"/>
      <c r="D113" s="75"/>
      <c r="E113" s="75"/>
    </row>
    <row r="114" spans="1:5" x14ac:dyDescent="0.2">
      <c r="A114" s="75"/>
      <c r="B114" s="775"/>
      <c r="C114" s="776"/>
      <c r="D114" s="75"/>
      <c r="E114" s="75"/>
    </row>
    <row r="115" spans="1:5" x14ac:dyDescent="0.2">
      <c r="A115" s="75"/>
      <c r="B115" s="775"/>
      <c r="C115" s="776"/>
      <c r="D115" s="75"/>
      <c r="E115" s="75"/>
    </row>
    <row r="116" spans="1:5" x14ac:dyDescent="0.2">
      <c r="A116" s="75"/>
      <c r="B116" s="775"/>
      <c r="C116" s="776"/>
      <c r="D116" s="75"/>
      <c r="E116" s="75"/>
    </row>
    <row r="117" spans="1:5" x14ac:dyDescent="0.2">
      <c r="A117" s="75"/>
      <c r="B117" s="775"/>
      <c r="C117" s="776"/>
      <c r="D117" s="75"/>
      <c r="E117" s="75"/>
    </row>
    <row r="118" spans="1:5" x14ac:dyDescent="0.2">
      <c r="A118" s="74"/>
      <c r="B118" s="72"/>
      <c r="C118" s="728"/>
      <c r="D118" s="74"/>
      <c r="E118" s="74" t="str">
        <f t="shared" si="2"/>
        <v/>
      </c>
    </row>
    <row r="119" spans="1:5" x14ac:dyDescent="0.2">
      <c r="A119" s="74"/>
      <c r="B119" s="72"/>
      <c r="C119" s="728"/>
      <c r="D119" s="74"/>
      <c r="E119" s="74" t="str">
        <f t="shared" si="2"/>
        <v/>
      </c>
    </row>
    <row r="120" spans="1:5" x14ac:dyDescent="0.2">
      <c r="A120" s="74"/>
      <c r="B120" s="72"/>
      <c r="C120" s="728"/>
      <c r="D120" s="74"/>
      <c r="E120" s="74" t="str">
        <f t="shared" si="2"/>
        <v/>
      </c>
    </row>
    <row r="121" spans="1:5" x14ac:dyDescent="0.2">
      <c r="A121" s="74"/>
      <c r="B121" s="72"/>
      <c r="C121" s="728"/>
      <c r="D121" s="74"/>
      <c r="E121" s="74" t="str">
        <f t="shared" si="2"/>
        <v/>
      </c>
    </row>
    <row r="122" spans="1:5" x14ac:dyDescent="0.2">
      <c r="A122" s="74"/>
      <c r="B122" s="72"/>
      <c r="C122" s="728"/>
      <c r="D122" s="74"/>
      <c r="E122" s="74" t="str">
        <f t="shared" si="2"/>
        <v/>
      </c>
    </row>
    <row r="123" spans="1:5" x14ac:dyDescent="0.2">
      <c r="A123" s="74"/>
      <c r="B123" s="72"/>
      <c r="C123" s="728"/>
      <c r="D123" s="74"/>
      <c r="E123" s="74" t="str">
        <f t="shared" si="2"/>
        <v/>
      </c>
    </row>
    <row r="124" spans="1:5" x14ac:dyDescent="0.2">
      <c r="A124" s="74"/>
      <c r="B124" s="72"/>
      <c r="C124" s="728"/>
      <c r="D124" s="74"/>
      <c r="E124" s="74" t="str">
        <f t="shared" si="2"/>
        <v/>
      </c>
    </row>
    <row r="125" spans="1:5" x14ac:dyDescent="0.2">
      <c r="A125" s="74"/>
      <c r="B125" s="72"/>
      <c r="C125" s="728"/>
      <c r="D125" s="74"/>
      <c r="E125" s="74" t="str">
        <f t="shared" si="2"/>
        <v/>
      </c>
    </row>
    <row r="126" spans="1:5" x14ac:dyDescent="0.2">
      <c r="A126" s="74"/>
      <c r="B126" s="72"/>
      <c r="C126" s="728"/>
      <c r="D126" s="74"/>
      <c r="E126" s="74" t="str">
        <f t="shared" si="2"/>
        <v/>
      </c>
    </row>
    <row r="127" spans="1:5" x14ac:dyDescent="0.2">
      <c r="A127" s="74"/>
      <c r="B127" s="72"/>
      <c r="C127" s="728"/>
      <c r="D127" s="74"/>
      <c r="E127" s="74" t="str">
        <f t="shared" si="2"/>
        <v/>
      </c>
    </row>
    <row r="128" spans="1:5" x14ac:dyDescent="0.2">
      <c r="A128" s="74"/>
      <c r="B128" s="72"/>
      <c r="C128" s="728"/>
      <c r="D128" s="74"/>
      <c r="E128" s="74" t="str">
        <f t="shared" si="2"/>
        <v/>
      </c>
    </row>
    <row r="129" spans="1:5" x14ac:dyDescent="0.2">
      <c r="A129" s="74"/>
      <c r="B129" s="72"/>
      <c r="C129" s="728"/>
      <c r="D129" s="74"/>
      <c r="E129" s="74" t="str">
        <f t="shared" si="2"/>
        <v/>
      </c>
    </row>
    <row r="130" spans="1:5" x14ac:dyDescent="0.2">
      <c r="A130" s="74"/>
      <c r="B130" s="72"/>
      <c r="C130" s="728"/>
      <c r="D130" s="74"/>
      <c r="E130" s="74" t="str">
        <f t="shared" si="2"/>
        <v/>
      </c>
    </row>
    <row r="131" spans="1:5" x14ac:dyDescent="0.2">
      <c r="A131" s="74"/>
      <c r="B131" s="72"/>
      <c r="C131" s="728"/>
      <c r="D131" s="74"/>
      <c r="E131" s="74" t="str">
        <f t="shared" si="2"/>
        <v/>
      </c>
    </row>
    <row r="132" spans="1:5" x14ac:dyDescent="0.2">
      <c r="A132" s="74"/>
      <c r="B132" s="72"/>
      <c r="C132" s="728"/>
      <c r="D132" s="74"/>
      <c r="E132" s="74" t="str">
        <f t="shared" si="2"/>
        <v/>
      </c>
    </row>
    <row r="133" spans="1:5" x14ac:dyDescent="0.2">
      <c r="A133" s="74"/>
      <c r="B133" s="72"/>
      <c r="C133" s="728"/>
      <c r="D133" s="74"/>
      <c r="E133" s="74" t="str">
        <f t="shared" ref="E133:E196" si="3">IFERROR(VLOOKUP(D133,T_Indices,5,FALSE),"")</f>
        <v/>
      </c>
    </row>
    <row r="134" spans="1:5" x14ac:dyDescent="0.2">
      <c r="A134" s="74"/>
      <c r="B134" s="72"/>
      <c r="C134" s="728"/>
      <c r="D134" s="74"/>
      <c r="E134" s="74" t="str">
        <f t="shared" si="3"/>
        <v/>
      </c>
    </row>
    <row r="135" spans="1:5" x14ac:dyDescent="0.2">
      <c r="A135" s="74"/>
      <c r="B135" s="72"/>
      <c r="C135" s="728"/>
      <c r="D135" s="74"/>
      <c r="E135" s="74" t="str">
        <f t="shared" si="3"/>
        <v/>
      </c>
    </row>
    <row r="136" spans="1:5" x14ac:dyDescent="0.2">
      <c r="A136" s="74"/>
      <c r="B136" s="72"/>
      <c r="C136" s="728"/>
      <c r="D136" s="74"/>
      <c r="E136" s="74" t="str">
        <f t="shared" si="3"/>
        <v/>
      </c>
    </row>
    <row r="137" spans="1:5" x14ac:dyDescent="0.2">
      <c r="A137" s="74"/>
      <c r="B137" s="72"/>
      <c r="C137" s="728"/>
      <c r="D137" s="74"/>
      <c r="E137" s="74" t="str">
        <f t="shared" si="3"/>
        <v/>
      </c>
    </row>
    <row r="138" spans="1:5" x14ac:dyDescent="0.2">
      <c r="A138" s="74"/>
      <c r="B138" s="72"/>
      <c r="C138" s="728"/>
      <c r="D138" s="74"/>
      <c r="E138" s="74" t="str">
        <f t="shared" si="3"/>
        <v/>
      </c>
    </row>
    <row r="139" spans="1:5" x14ac:dyDescent="0.2">
      <c r="A139" s="74"/>
      <c r="B139" s="72"/>
      <c r="C139" s="728"/>
      <c r="D139" s="74"/>
      <c r="E139" s="74" t="str">
        <f t="shared" si="3"/>
        <v/>
      </c>
    </row>
    <row r="140" spans="1:5" x14ac:dyDescent="0.2">
      <c r="A140" s="74"/>
      <c r="B140" s="72"/>
      <c r="C140" s="728"/>
      <c r="D140" s="74"/>
      <c r="E140" s="74" t="str">
        <f t="shared" si="3"/>
        <v/>
      </c>
    </row>
    <row r="141" spans="1:5" x14ac:dyDescent="0.2">
      <c r="A141" s="74"/>
      <c r="B141" s="72"/>
      <c r="C141" s="728"/>
      <c r="D141" s="74"/>
      <c r="E141" s="74" t="str">
        <f t="shared" si="3"/>
        <v/>
      </c>
    </row>
    <row r="142" spans="1:5" x14ac:dyDescent="0.2">
      <c r="A142" s="74"/>
      <c r="B142" s="72"/>
      <c r="C142" s="728"/>
      <c r="D142" s="74"/>
      <c r="E142" s="74" t="str">
        <f t="shared" si="3"/>
        <v/>
      </c>
    </row>
    <row r="143" spans="1:5" x14ac:dyDescent="0.2">
      <c r="A143" s="74"/>
      <c r="B143" s="72"/>
      <c r="C143" s="728"/>
      <c r="D143" s="74"/>
      <c r="E143" s="74" t="str">
        <f t="shared" si="3"/>
        <v/>
      </c>
    </row>
    <row r="144" spans="1:5" x14ac:dyDescent="0.2">
      <c r="A144" s="74"/>
      <c r="B144" s="72"/>
      <c r="C144" s="728"/>
      <c r="D144" s="74"/>
      <c r="E144" s="74" t="str">
        <f t="shared" si="3"/>
        <v/>
      </c>
    </row>
    <row r="145" spans="1:5" x14ac:dyDescent="0.2">
      <c r="A145" s="74"/>
      <c r="B145" s="72"/>
      <c r="C145" s="728"/>
      <c r="D145" s="74"/>
      <c r="E145" s="74" t="str">
        <f t="shared" si="3"/>
        <v/>
      </c>
    </row>
    <row r="146" spans="1:5" x14ac:dyDescent="0.2">
      <c r="A146" s="74"/>
      <c r="B146" s="72"/>
      <c r="C146" s="728"/>
      <c r="D146" s="74"/>
      <c r="E146" s="74" t="str">
        <f t="shared" si="3"/>
        <v/>
      </c>
    </row>
    <row r="147" spans="1:5" x14ac:dyDescent="0.2">
      <c r="A147" s="74"/>
      <c r="B147" s="72"/>
      <c r="C147" s="728"/>
      <c r="D147" s="74"/>
      <c r="E147" s="74" t="str">
        <f t="shared" si="3"/>
        <v/>
      </c>
    </row>
    <row r="148" spans="1:5" x14ac:dyDescent="0.2">
      <c r="A148" s="74"/>
      <c r="B148" s="72"/>
      <c r="C148" s="728"/>
      <c r="D148" s="74"/>
      <c r="E148" s="74" t="str">
        <f t="shared" si="3"/>
        <v/>
      </c>
    </row>
    <row r="149" spans="1:5" x14ac:dyDescent="0.2">
      <c r="A149" s="74"/>
      <c r="B149" s="72"/>
      <c r="C149" s="728"/>
      <c r="D149" s="74"/>
      <c r="E149" s="74" t="str">
        <f t="shared" si="3"/>
        <v/>
      </c>
    </row>
    <row r="150" spans="1:5" x14ac:dyDescent="0.2">
      <c r="A150" s="74"/>
      <c r="B150" s="72"/>
      <c r="C150" s="728"/>
      <c r="D150" s="74"/>
      <c r="E150" s="74" t="str">
        <f t="shared" si="3"/>
        <v/>
      </c>
    </row>
    <row r="151" spans="1:5" x14ac:dyDescent="0.2">
      <c r="A151" s="74"/>
      <c r="B151" s="72"/>
      <c r="C151" s="728"/>
      <c r="D151" s="74"/>
      <c r="E151" s="74" t="str">
        <f t="shared" si="3"/>
        <v/>
      </c>
    </row>
    <row r="152" spans="1:5" x14ac:dyDescent="0.2">
      <c r="A152" s="74"/>
      <c r="B152" s="72"/>
      <c r="C152" s="728"/>
      <c r="D152" s="74"/>
      <c r="E152" s="74" t="str">
        <f t="shared" si="3"/>
        <v/>
      </c>
    </row>
    <row r="153" spans="1:5" x14ac:dyDescent="0.2">
      <c r="A153" s="74"/>
      <c r="B153" s="72"/>
      <c r="C153" s="728"/>
      <c r="D153" s="74"/>
      <c r="E153" s="74" t="str">
        <f t="shared" si="3"/>
        <v/>
      </c>
    </row>
    <row r="154" spans="1:5" x14ac:dyDescent="0.2">
      <c r="A154" s="74"/>
      <c r="B154" s="72"/>
      <c r="C154" s="728"/>
      <c r="D154" s="74"/>
      <c r="E154" s="74" t="str">
        <f t="shared" si="3"/>
        <v/>
      </c>
    </row>
    <row r="155" spans="1:5" x14ac:dyDescent="0.2">
      <c r="A155" s="74"/>
      <c r="B155" s="72"/>
      <c r="C155" s="728"/>
      <c r="D155" s="74"/>
      <c r="E155" s="74" t="str">
        <f t="shared" si="3"/>
        <v/>
      </c>
    </row>
    <row r="156" spans="1:5" x14ac:dyDescent="0.2">
      <c r="A156" s="74"/>
      <c r="B156" s="72"/>
      <c r="C156" s="728"/>
      <c r="D156" s="74"/>
      <c r="E156" s="74" t="str">
        <f t="shared" si="3"/>
        <v/>
      </c>
    </row>
    <row r="157" spans="1:5" x14ac:dyDescent="0.2">
      <c r="A157" s="74"/>
      <c r="B157" s="72"/>
      <c r="C157" s="728"/>
      <c r="D157" s="74"/>
      <c r="E157" s="74" t="str">
        <f t="shared" si="3"/>
        <v/>
      </c>
    </row>
    <row r="158" spans="1:5" x14ac:dyDescent="0.2">
      <c r="A158" s="74"/>
      <c r="B158" s="72"/>
      <c r="C158" s="728"/>
      <c r="D158" s="74"/>
      <c r="E158" s="74" t="str">
        <f t="shared" si="3"/>
        <v/>
      </c>
    </row>
    <row r="159" spans="1:5" x14ac:dyDescent="0.2">
      <c r="A159" s="74"/>
      <c r="B159" s="72"/>
      <c r="C159" s="728"/>
      <c r="D159" s="74"/>
      <c r="E159" s="74" t="str">
        <f t="shared" si="3"/>
        <v/>
      </c>
    </row>
    <row r="160" spans="1:5" x14ac:dyDescent="0.2">
      <c r="A160" s="74"/>
      <c r="B160" s="72"/>
      <c r="C160" s="728"/>
      <c r="D160" s="74"/>
      <c r="E160" s="74" t="str">
        <f t="shared" si="3"/>
        <v/>
      </c>
    </row>
    <row r="161" spans="1:5" x14ac:dyDescent="0.2">
      <c r="A161" s="74"/>
      <c r="B161" s="72"/>
      <c r="C161" s="728"/>
      <c r="D161" s="74"/>
      <c r="E161" s="74" t="str">
        <f t="shared" si="3"/>
        <v/>
      </c>
    </row>
    <row r="162" spans="1:5" x14ac:dyDescent="0.2">
      <c r="A162" s="74"/>
      <c r="B162" s="72"/>
      <c r="C162" s="728"/>
      <c r="D162" s="74"/>
      <c r="E162" s="74" t="str">
        <f t="shared" si="3"/>
        <v/>
      </c>
    </row>
    <row r="163" spans="1:5" x14ac:dyDescent="0.2">
      <c r="A163" s="74"/>
      <c r="B163" s="72"/>
      <c r="C163" s="728"/>
      <c r="D163" s="74"/>
      <c r="E163" s="74" t="str">
        <f t="shared" si="3"/>
        <v/>
      </c>
    </row>
    <row r="164" spans="1:5" x14ac:dyDescent="0.2">
      <c r="A164" s="74"/>
      <c r="B164" s="72"/>
      <c r="C164" s="728"/>
      <c r="D164" s="74"/>
      <c r="E164" s="74" t="str">
        <f t="shared" si="3"/>
        <v/>
      </c>
    </row>
    <row r="165" spans="1:5" x14ac:dyDescent="0.2">
      <c r="A165" s="74"/>
      <c r="B165" s="72"/>
      <c r="C165" s="728"/>
      <c r="D165" s="74"/>
      <c r="E165" s="74" t="str">
        <f t="shared" si="3"/>
        <v/>
      </c>
    </row>
    <row r="166" spans="1:5" x14ac:dyDescent="0.2">
      <c r="A166" s="74"/>
      <c r="B166" s="72"/>
      <c r="C166" s="728"/>
      <c r="D166" s="74"/>
      <c r="E166" s="74" t="str">
        <f t="shared" si="3"/>
        <v/>
      </c>
    </row>
    <row r="167" spans="1:5" x14ac:dyDescent="0.2">
      <c r="A167" s="74"/>
      <c r="B167" s="72"/>
      <c r="C167" s="728"/>
      <c r="D167" s="74"/>
      <c r="E167" s="74" t="str">
        <f t="shared" si="3"/>
        <v/>
      </c>
    </row>
    <row r="168" spans="1:5" x14ac:dyDescent="0.2">
      <c r="A168" s="74"/>
      <c r="B168" s="72"/>
      <c r="C168" s="728"/>
      <c r="D168" s="74"/>
      <c r="E168" s="74" t="str">
        <f t="shared" si="3"/>
        <v/>
      </c>
    </row>
    <row r="169" spans="1:5" x14ac:dyDescent="0.2">
      <c r="A169" s="74"/>
      <c r="B169" s="72"/>
      <c r="C169" s="728"/>
      <c r="D169" s="74"/>
      <c r="E169" s="74" t="str">
        <f t="shared" si="3"/>
        <v/>
      </c>
    </row>
    <row r="170" spans="1:5" x14ac:dyDescent="0.2">
      <c r="A170" s="74"/>
      <c r="B170" s="72"/>
      <c r="C170" s="728"/>
      <c r="D170" s="74"/>
      <c r="E170" s="74" t="str">
        <f t="shared" si="3"/>
        <v/>
      </c>
    </row>
    <row r="171" spans="1:5" x14ac:dyDescent="0.2">
      <c r="A171" s="74"/>
      <c r="B171" s="72"/>
      <c r="C171" s="728"/>
      <c r="D171" s="74"/>
      <c r="E171" s="74" t="str">
        <f t="shared" si="3"/>
        <v/>
      </c>
    </row>
    <row r="172" spans="1:5" x14ac:dyDescent="0.2">
      <c r="A172" s="74"/>
      <c r="B172" s="72"/>
      <c r="C172" s="728"/>
      <c r="D172" s="74"/>
      <c r="E172" s="74" t="str">
        <f t="shared" si="3"/>
        <v/>
      </c>
    </row>
    <row r="173" spans="1:5" x14ac:dyDescent="0.2">
      <c r="A173" s="74"/>
      <c r="B173" s="72"/>
      <c r="C173" s="728"/>
      <c r="D173" s="74"/>
      <c r="E173" s="74" t="str">
        <f t="shared" si="3"/>
        <v/>
      </c>
    </row>
    <row r="174" spans="1:5" x14ac:dyDescent="0.2">
      <c r="A174" s="74"/>
      <c r="B174" s="72"/>
      <c r="C174" s="728"/>
      <c r="D174" s="74"/>
      <c r="E174" s="74" t="str">
        <f t="shared" si="3"/>
        <v/>
      </c>
    </row>
    <row r="175" spans="1:5" x14ac:dyDescent="0.2">
      <c r="A175" s="74"/>
      <c r="B175" s="72"/>
      <c r="C175" s="728"/>
      <c r="D175" s="74"/>
      <c r="E175" s="74" t="str">
        <f t="shared" si="3"/>
        <v/>
      </c>
    </row>
    <row r="176" spans="1:5" x14ac:dyDescent="0.2">
      <c r="A176" s="74"/>
      <c r="B176" s="72"/>
      <c r="C176" s="728"/>
      <c r="D176" s="74"/>
      <c r="E176" s="74" t="str">
        <f t="shared" si="3"/>
        <v/>
      </c>
    </row>
    <row r="177" spans="1:5" x14ac:dyDescent="0.2">
      <c r="A177" s="74"/>
      <c r="B177" s="72"/>
      <c r="C177" s="728"/>
      <c r="D177" s="74"/>
      <c r="E177" s="74" t="str">
        <f t="shared" si="3"/>
        <v/>
      </c>
    </row>
    <row r="178" spans="1:5" x14ac:dyDescent="0.2">
      <c r="A178" s="74"/>
      <c r="B178" s="72"/>
      <c r="C178" s="728"/>
      <c r="D178" s="74"/>
      <c r="E178" s="74" t="str">
        <f t="shared" si="3"/>
        <v/>
      </c>
    </row>
    <row r="179" spans="1:5" x14ac:dyDescent="0.2">
      <c r="A179" s="74"/>
      <c r="B179" s="72"/>
      <c r="C179" s="728"/>
      <c r="D179" s="74"/>
      <c r="E179" s="74" t="str">
        <f t="shared" si="3"/>
        <v/>
      </c>
    </row>
    <row r="180" spans="1:5" x14ac:dyDescent="0.2">
      <c r="A180" s="74"/>
      <c r="B180" s="72"/>
      <c r="C180" s="728"/>
      <c r="D180" s="74"/>
      <c r="E180" s="74" t="str">
        <f t="shared" si="3"/>
        <v/>
      </c>
    </row>
    <row r="181" spans="1:5" x14ac:dyDescent="0.2">
      <c r="A181" s="74"/>
      <c r="B181" s="72"/>
      <c r="C181" s="728"/>
      <c r="D181" s="74"/>
      <c r="E181" s="74" t="str">
        <f t="shared" si="3"/>
        <v/>
      </c>
    </row>
    <row r="182" spans="1:5" x14ac:dyDescent="0.2">
      <c r="A182" s="74"/>
      <c r="B182" s="72"/>
      <c r="C182" s="728"/>
      <c r="D182" s="74"/>
      <c r="E182" s="74" t="str">
        <f t="shared" si="3"/>
        <v/>
      </c>
    </row>
    <row r="183" spans="1:5" x14ac:dyDescent="0.2">
      <c r="A183" s="74"/>
      <c r="B183" s="72"/>
      <c r="C183" s="728"/>
      <c r="D183" s="74"/>
      <c r="E183" s="74" t="str">
        <f t="shared" si="3"/>
        <v/>
      </c>
    </row>
    <row r="184" spans="1:5" x14ac:dyDescent="0.2">
      <c r="A184" s="74"/>
      <c r="B184" s="72"/>
      <c r="C184" s="728"/>
      <c r="D184" s="74"/>
      <c r="E184" s="74" t="str">
        <f t="shared" si="3"/>
        <v/>
      </c>
    </row>
    <row r="185" spans="1:5" x14ac:dyDescent="0.2">
      <c r="A185" s="74"/>
      <c r="B185" s="72"/>
      <c r="C185" s="728"/>
      <c r="D185" s="74"/>
      <c r="E185" s="74" t="str">
        <f t="shared" si="3"/>
        <v/>
      </c>
    </row>
    <row r="186" spans="1:5" x14ac:dyDescent="0.2">
      <c r="A186" s="74"/>
      <c r="B186" s="72"/>
      <c r="C186" s="728"/>
      <c r="D186" s="74"/>
      <c r="E186" s="74" t="str">
        <f t="shared" si="3"/>
        <v/>
      </c>
    </row>
    <row r="187" spans="1:5" x14ac:dyDescent="0.2">
      <c r="A187" s="74"/>
      <c r="B187" s="72"/>
      <c r="C187" s="728"/>
      <c r="D187" s="74"/>
      <c r="E187" s="74" t="str">
        <f t="shared" si="3"/>
        <v/>
      </c>
    </row>
    <row r="188" spans="1:5" x14ac:dyDescent="0.2">
      <c r="A188" s="74"/>
      <c r="B188" s="72"/>
      <c r="C188" s="728"/>
      <c r="D188" s="74"/>
      <c r="E188" s="74" t="str">
        <f t="shared" si="3"/>
        <v/>
      </c>
    </row>
    <row r="189" spans="1:5" x14ac:dyDescent="0.2">
      <c r="A189" s="74"/>
      <c r="B189" s="72"/>
      <c r="C189" s="728"/>
      <c r="D189" s="74"/>
      <c r="E189" s="74" t="str">
        <f t="shared" si="3"/>
        <v/>
      </c>
    </row>
    <row r="190" spans="1:5" x14ac:dyDescent="0.2">
      <c r="A190" s="74"/>
      <c r="B190" s="72"/>
      <c r="C190" s="728"/>
      <c r="D190" s="74"/>
      <c r="E190" s="74" t="str">
        <f t="shared" si="3"/>
        <v/>
      </c>
    </row>
    <row r="191" spans="1:5" x14ac:dyDescent="0.2">
      <c r="A191" s="74"/>
      <c r="B191" s="72"/>
      <c r="C191" s="728"/>
      <c r="D191" s="74"/>
      <c r="E191" s="74" t="str">
        <f t="shared" si="3"/>
        <v/>
      </c>
    </row>
    <row r="192" spans="1:5" x14ac:dyDescent="0.2">
      <c r="A192" s="74"/>
      <c r="B192" s="72"/>
      <c r="C192" s="728"/>
      <c r="D192" s="74"/>
      <c r="E192" s="74" t="str">
        <f t="shared" si="3"/>
        <v/>
      </c>
    </row>
    <row r="193" spans="1:5" x14ac:dyDescent="0.2">
      <c r="A193" s="74"/>
      <c r="B193" s="72"/>
      <c r="C193" s="728"/>
      <c r="D193" s="74"/>
      <c r="E193" s="74" t="str">
        <f t="shared" si="3"/>
        <v/>
      </c>
    </row>
    <row r="194" spans="1:5" x14ac:dyDescent="0.2">
      <c r="A194" s="74"/>
      <c r="B194" s="72"/>
      <c r="C194" s="728"/>
      <c r="D194" s="74"/>
      <c r="E194" s="74" t="str">
        <f t="shared" si="3"/>
        <v/>
      </c>
    </row>
    <row r="195" spans="1:5" x14ac:dyDescent="0.2">
      <c r="A195" s="74"/>
      <c r="B195" s="72"/>
      <c r="C195" s="728"/>
      <c r="D195" s="74"/>
      <c r="E195" s="74" t="str">
        <f t="shared" si="3"/>
        <v/>
      </c>
    </row>
    <row r="196" spans="1:5" x14ac:dyDescent="0.2">
      <c r="A196" s="74"/>
      <c r="B196" s="72"/>
      <c r="C196" s="728"/>
      <c r="D196" s="74"/>
      <c r="E196" s="74" t="str">
        <f t="shared" si="3"/>
        <v/>
      </c>
    </row>
    <row r="197" spans="1:5" x14ac:dyDescent="0.2">
      <c r="A197" s="74"/>
      <c r="B197" s="72"/>
      <c r="C197" s="728"/>
      <c r="D197" s="74"/>
      <c r="E197" s="74" t="str">
        <f t="shared" ref="E197:E260" si="4">IFERROR(VLOOKUP(D197,T_Indices,5,FALSE),"")</f>
        <v/>
      </c>
    </row>
    <row r="198" spans="1:5" x14ac:dyDescent="0.2">
      <c r="A198" s="74"/>
      <c r="B198" s="72"/>
      <c r="C198" s="728"/>
      <c r="D198" s="74"/>
      <c r="E198" s="74" t="str">
        <f t="shared" si="4"/>
        <v/>
      </c>
    </row>
    <row r="199" spans="1:5" x14ac:dyDescent="0.2">
      <c r="A199" s="74"/>
      <c r="B199" s="72"/>
      <c r="C199" s="728"/>
      <c r="D199" s="74"/>
      <c r="E199" s="74" t="str">
        <f t="shared" si="4"/>
        <v/>
      </c>
    </row>
    <row r="200" spans="1:5" x14ac:dyDescent="0.2">
      <c r="A200" s="74"/>
      <c r="B200" s="72"/>
      <c r="C200" s="728"/>
      <c r="D200" s="74"/>
      <c r="E200" s="74" t="str">
        <f t="shared" si="4"/>
        <v/>
      </c>
    </row>
    <row r="201" spans="1:5" x14ac:dyDescent="0.2">
      <c r="A201" s="74"/>
      <c r="B201" s="72"/>
      <c r="C201" s="728"/>
      <c r="D201" s="74"/>
      <c r="E201" s="74" t="str">
        <f t="shared" si="4"/>
        <v/>
      </c>
    </row>
    <row r="202" spans="1:5" x14ac:dyDescent="0.2">
      <c r="A202" s="74"/>
      <c r="B202" s="72"/>
      <c r="C202" s="728"/>
      <c r="D202" s="74"/>
      <c r="E202" s="74" t="str">
        <f t="shared" si="4"/>
        <v/>
      </c>
    </row>
    <row r="203" spans="1:5" x14ac:dyDescent="0.2">
      <c r="A203" s="74"/>
      <c r="B203" s="72"/>
      <c r="C203" s="728"/>
      <c r="D203" s="74"/>
      <c r="E203" s="74" t="str">
        <f t="shared" si="4"/>
        <v/>
      </c>
    </row>
    <row r="204" spans="1:5" x14ac:dyDescent="0.2">
      <c r="A204" s="74"/>
      <c r="B204" s="72"/>
      <c r="C204" s="728"/>
      <c r="D204" s="74"/>
      <c r="E204" s="74" t="str">
        <f t="shared" si="4"/>
        <v/>
      </c>
    </row>
    <row r="205" spans="1:5" x14ac:dyDescent="0.2">
      <c r="A205" s="74"/>
      <c r="B205" s="72"/>
      <c r="C205" s="728"/>
      <c r="D205" s="74"/>
      <c r="E205" s="74" t="str">
        <f t="shared" si="4"/>
        <v/>
      </c>
    </row>
    <row r="206" spans="1:5" x14ac:dyDescent="0.2">
      <c r="A206" s="74"/>
      <c r="B206" s="72"/>
      <c r="C206" s="728"/>
      <c r="D206" s="74"/>
      <c r="E206" s="74" t="str">
        <f t="shared" si="4"/>
        <v/>
      </c>
    </row>
    <row r="207" spans="1:5" x14ac:dyDescent="0.2">
      <c r="A207" s="74"/>
      <c r="B207" s="72"/>
      <c r="C207" s="728"/>
      <c r="D207" s="74"/>
      <c r="E207" s="74" t="str">
        <f t="shared" si="4"/>
        <v/>
      </c>
    </row>
    <row r="208" spans="1:5" x14ac:dyDescent="0.2">
      <c r="A208" s="74"/>
      <c r="B208" s="72"/>
      <c r="C208" s="728"/>
      <c r="D208" s="74"/>
      <c r="E208" s="74" t="str">
        <f t="shared" si="4"/>
        <v/>
      </c>
    </row>
    <row r="209" spans="1:5" x14ac:dyDescent="0.2">
      <c r="A209" s="74"/>
      <c r="B209" s="72"/>
      <c r="C209" s="728"/>
      <c r="D209" s="74"/>
      <c r="E209" s="74" t="str">
        <f t="shared" si="4"/>
        <v/>
      </c>
    </row>
    <row r="210" spans="1:5" x14ac:dyDescent="0.2">
      <c r="A210" s="74"/>
      <c r="B210" s="72"/>
      <c r="C210" s="728"/>
      <c r="D210" s="74"/>
      <c r="E210" s="74" t="str">
        <f t="shared" si="4"/>
        <v/>
      </c>
    </row>
    <row r="211" spans="1:5" x14ac:dyDescent="0.2">
      <c r="A211" s="74"/>
      <c r="B211" s="72"/>
      <c r="C211" s="728"/>
      <c r="D211" s="74"/>
      <c r="E211" s="74" t="str">
        <f t="shared" si="4"/>
        <v/>
      </c>
    </row>
    <row r="212" spans="1:5" x14ac:dyDescent="0.2">
      <c r="A212" s="74"/>
      <c r="B212" s="72"/>
      <c r="C212" s="728"/>
      <c r="D212" s="74"/>
      <c r="E212" s="74" t="str">
        <f t="shared" si="4"/>
        <v/>
      </c>
    </row>
    <row r="213" spans="1:5" x14ac:dyDescent="0.2">
      <c r="A213" s="74"/>
      <c r="B213" s="72"/>
      <c r="C213" s="728"/>
      <c r="D213" s="74"/>
      <c r="E213" s="74" t="str">
        <f t="shared" si="4"/>
        <v/>
      </c>
    </row>
    <row r="214" spans="1:5" x14ac:dyDescent="0.2">
      <c r="A214" s="74"/>
      <c r="B214" s="72"/>
      <c r="C214" s="728"/>
      <c r="D214" s="74"/>
      <c r="E214" s="74" t="str">
        <f t="shared" si="4"/>
        <v/>
      </c>
    </row>
    <row r="215" spans="1:5" x14ac:dyDescent="0.2">
      <c r="A215" s="74"/>
      <c r="B215" s="72"/>
      <c r="C215" s="728"/>
      <c r="D215" s="74"/>
      <c r="E215" s="74" t="str">
        <f t="shared" si="4"/>
        <v/>
      </c>
    </row>
    <row r="216" spans="1:5" x14ac:dyDescent="0.2">
      <c r="A216" s="74"/>
      <c r="B216" s="72"/>
      <c r="C216" s="728"/>
      <c r="D216" s="74"/>
      <c r="E216" s="74" t="str">
        <f t="shared" si="4"/>
        <v/>
      </c>
    </row>
    <row r="217" spans="1:5" x14ac:dyDescent="0.2">
      <c r="A217" s="74"/>
      <c r="B217" s="72"/>
      <c r="C217" s="728"/>
      <c r="D217" s="74"/>
      <c r="E217" s="74" t="str">
        <f t="shared" si="4"/>
        <v/>
      </c>
    </row>
    <row r="218" spans="1:5" x14ac:dyDescent="0.2">
      <c r="A218" s="74"/>
      <c r="B218" s="72"/>
      <c r="C218" s="728"/>
      <c r="D218" s="74"/>
      <c r="E218" s="74" t="str">
        <f t="shared" si="4"/>
        <v/>
      </c>
    </row>
    <row r="219" spans="1:5" x14ac:dyDescent="0.2">
      <c r="A219" s="74"/>
      <c r="B219" s="72"/>
      <c r="C219" s="728"/>
      <c r="D219" s="74"/>
      <c r="E219" s="74" t="str">
        <f t="shared" si="4"/>
        <v/>
      </c>
    </row>
    <row r="220" spans="1:5" x14ac:dyDescent="0.2">
      <c r="A220" s="74"/>
      <c r="B220" s="72"/>
      <c r="C220" s="728"/>
      <c r="D220" s="74"/>
      <c r="E220" s="74" t="str">
        <f t="shared" si="4"/>
        <v/>
      </c>
    </row>
    <row r="221" spans="1:5" x14ac:dyDescent="0.2">
      <c r="A221" s="74"/>
      <c r="B221" s="72"/>
      <c r="C221" s="728"/>
      <c r="D221" s="74"/>
      <c r="E221" s="74" t="str">
        <f t="shared" si="4"/>
        <v/>
      </c>
    </row>
    <row r="222" spans="1:5" x14ac:dyDescent="0.2">
      <c r="A222" s="74"/>
      <c r="B222" s="72"/>
      <c r="C222" s="728"/>
      <c r="D222" s="74"/>
      <c r="E222" s="74" t="str">
        <f t="shared" si="4"/>
        <v/>
      </c>
    </row>
    <row r="223" spans="1:5" x14ac:dyDescent="0.2">
      <c r="A223" s="74"/>
      <c r="B223" s="72"/>
      <c r="C223" s="728"/>
      <c r="D223" s="74"/>
      <c r="E223" s="74" t="str">
        <f t="shared" si="4"/>
        <v/>
      </c>
    </row>
    <row r="224" spans="1:5" x14ac:dyDescent="0.2">
      <c r="A224" s="74"/>
      <c r="B224" s="72"/>
      <c r="C224" s="728"/>
      <c r="D224" s="74"/>
      <c r="E224" s="74" t="str">
        <f t="shared" si="4"/>
        <v/>
      </c>
    </row>
    <row r="225" spans="1:5" x14ac:dyDescent="0.2">
      <c r="A225" s="74"/>
      <c r="B225" s="72"/>
      <c r="C225" s="728"/>
      <c r="D225" s="74"/>
      <c r="E225" s="74" t="str">
        <f t="shared" si="4"/>
        <v/>
      </c>
    </row>
    <row r="226" spans="1:5" x14ac:dyDescent="0.2">
      <c r="A226" s="74"/>
      <c r="B226" s="72"/>
      <c r="C226" s="728"/>
      <c r="D226" s="74"/>
      <c r="E226" s="74" t="str">
        <f t="shared" si="4"/>
        <v/>
      </c>
    </row>
    <row r="227" spans="1:5" x14ac:dyDescent="0.2">
      <c r="A227" s="74"/>
      <c r="B227" s="72"/>
      <c r="C227" s="728"/>
      <c r="D227" s="74"/>
      <c r="E227" s="74" t="str">
        <f t="shared" si="4"/>
        <v/>
      </c>
    </row>
    <row r="228" spans="1:5" x14ac:dyDescent="0.2">
      <c r="A228" s="74"/>
      <c r="B228" s="72"/>
      <c r="C228" s="728"/>
      <c r="D228" s="74"/>
      <c r="E228" s="74" t="str">
        <f t="shared" si="4"/>
        <v/>
      </c>
    </row>
    <row r="229" spans="1:5" x14ac:dyDescent="0.2">
      <c r="A229" s="74"/>
      <c r="B229" s="72"/>
      <c r="C229" s="728"/>
      <c r="D229" s="74"/>
      <c r="E229" s="74" t="str">
        <f t="shared" si="4"/>
        <v/>
      </c>
    </row>
    <row r="230" spans="1:5" x14ac:dyDescent="0.2">
      <c r="A230" s="74"/>
      <c r="B230" s="72"/>
      <c r="C230" s="728"/>
      <c r="D230" s="74"/>
      <c r="E230" s="74" t="str">
        <f t="shared" si="4"/>
        <v/>
      </c>
    </row>
    <row r="231" spans="1:5" x14ac:dyDescent="0.2">
      <c r="A231" s="74"/>
      <c r="B231" s="72"/>
      <c r="C231" s="728"/>
      <c r="D231" s="74"/>
      <c r="E231" s="74" t="str">
        <f t="shared" si="4"/>
        <v/>
      </c>
    </row>
    <row r="232" spans="1:5" x14ac:dyDescent="0.2">
      <c r="A232" s="74"/>
      <c r="B232" s="72"/>
      <c r="C232" s="728"/>
      <c r="D232" s="74"/>
      <c r="E232" s="74" t="str">
        <f t="shared" si="4"/>
        <v/>
      </c>
    </row>
    <row r="233" spans="1:5" x14ac:dyDescent="0.2">
      <c r="A233" s="74"/>
      <c r="B233" s="72"/>
      <c r="C233" s="728"/>
      <c r="D233" s="74"/>
      <c r="E233" s="74" t="str">
        <f t="shared" si="4"/>
        <v/>
      </c>
    </row>
    <row r="234" spans="1:5" x14ac:dyDescent="0.2">
      <c r="A234" s="74"/>
      <c r="B234" s="72"/>
      <c r="C234" s="728"/>
      <c r="D234" s="74"/>
      <c r="E234" s="74" t="str">
        <f t="shared" si="4"/>
        <v/>
      </c>
    </row>
    <row r="235" spans="1:5" x14ac:dyDescent="0.2">
      <c r="A235" s="74"/>
      <c r="B235" s="72"/>
      <c r="C235" s="728"/>
      <c r="D235" s="74"/>
      <c r="E235" s="74" t="str">
        <f t="shared" si="4"/>
        <v/>
      </c>
    </row>
    <row r="236" spans="1:5" x14ac:dyDescent="0.2">
      <c r="A236" s="74"/>
      <c r="B236" s="72"/>
      <c r="C236" s="728"/>
      <c r="D236" s="74"/>
      <c r="E236" s="74" t="str">
        <f t="shared" si="4"/>
        <v/>
      </c>
    </row>
    <row r="237" spans="1:5" x14ac:dyDescent="0.2">
      <c r="A237" s="74"/>
      <c r="B237" s="72"/>
      <c r="C237" s="728"/>
      <c r="D237" s="74"/>
      <c r="E237" s="74" t="str">
        <f t="shared" si="4"/>
        <v/>
      </c>
    </row>
    <row r="238" spans="1:5" x14ac:dyDescent="0.2">
      <c r="A238" s="74"/>
      <c r="B238" s="72"/>
      <c r="C238" s="728"/>
      <c r="D238" s="74"/>
      <c r="E238" s="74" t="str">
        <f t="shared" si="4"/>
        <v/>
      </c>
    </row>
    <row r="239" spans="1:5" x14ac:dyDescent="0.2">
      <c r="A239" s="74"/>
      <c r="B239" s="72"/>
      <c r="C239" s="728"/>
      <c r="D239" s="74"/>
      <c r="E239" s="74" t="str">
        <f t="shared" si="4"/>
        <v/>
      </c>
    </row>
    <row r="240" spans="1:5" x14ac:dyDescent="0.2">
      <c r="A240" s="74"/>
      <c r="B240" s="72"/>
      <c r="C240" s="728"/>
      <c r="D240" s="74"/>
      <c r="E240" s="74" t="str">
        <f t="shared" si="4"/>
        <v/>
      </c>
    </row>
    <row r="241" spans="1:5" x14ac:dyDescent="0.2">
      <c r="A241" s="74"/>
      <c r="B241" s="72"/>
      <c r="C241" s="728"/>
      <c r="D241" s="74"/>
      <c r="E241" s="74" t="str">
        <f t="shared" si="4"/>
        <v/>
      </c>
    </row>
    <row r="242" spans="1:5" x14ac:dyDescent="0.2">
      <c r="A242" s="74"/>
      <c r="B242" s="72"/>
      <c r="C242" s="728"/>
      <c r="D242" s="74"/>
      <c r="E242" s="74" t="str">
        <f t="shared" si="4"/>
        <v/>
      </c>
    </row>
    <row r="243" spans="1:5" x14ac:dyDescent="0.2">
      <c r="A243" s="74"/>
      <c r="B243" s="72"/>
      <c r="C243" s="728"/>
      <c r="D243" s="74"/>
      <c r="E243" s="74" t="str">
        <f t="shared" si="4"/>
        <v/>
      </c>
    </row>
    <row r="244" spans="1:5" x14ac:dyDescent="0.2">
      <c r="A244" s="74"/>
      <c r="B244" s="72"/>
      <c r="C244" s="728"/>
      <c r="D244" s="74"/>
      <c r="E244" s="74" t="str">
        <f t="shared" si="4"/>
        <v/>
      </c>
    </row>
    <row r="245" spans="1:5" x14ac:dyDescent="0.2">
      <c r="A245" s="74"/>
      <c r="B245" s="72"/>
      <c r="C245" s="728"/>
      <c r="D245" s="74"/>
      <c r="E245" s="74" t="str">
        <f t="shared" si="4"/>
        <v/>
      </c>
    </row>
    <row r="246" spans="1:5" x14ac:dyDescent="0.2">
      <c r="A246" s="74"/>
      <c r="B246" s="72"/>
      <c r="C246" s="728"/>
      <c r="D246" s="74"/>
      <c r="E246" s="74" t="str">
        <f t="shared" si="4"/>
        <v/>
      </c>
    </row>
    <row r="247" spans="1:5" x14ac:dyDescent="0.2">
      <c r="A247" s="74"/>
      <c r="B247" s="72"/>
      <c r="C247" s="728"/>
      <c r="D247" s="74"/>
      <c r="E247" s="74" t="str">
        <f t="shared" si="4"/>
        <v/>
      </c>
    </row>
    <row r="248" spans="1:5" x14ac:dyDescent="0.2">
      <c r="A248" s="74"/>
      <c r="B248" s="72"/>
      <c r="C248" s="728"/>
      <c r="D248" s="74"/>
      <c r="E248" s="74" t="str">
        <f t="shared" si="4"/>
        <v/>
      </c>
    </row>
    <row r="249" spans="1:5" x14ac:dyDescent="0.2">
      <c r="A249" s="74"/>
      <c r="B249" s="72"/>
      <c r="C249" s="728"/>
      <c r="D249" s="74"/>
      <c r="E249" s="74" t="str">
        <f t="shared" si="4"/>
        <v/>
      </c>
    </row>
    <row r="250" spans="1:5" x14ac:dyDescent="0.2">
      <c r="A250" s="74"/>
      <c r="B250" s="72"/>
      <c r="C250" s="728"/>
      <c r="D250" s="74"/>
      <c r="E250" s="74" t="str">
        <f t="shared" si="4"/>
        <v/>
      </c>
    </row>
    <row r="251" spans="1:5" x14ac:dyDescent="0.2">
      <c r="A251" s="74"/>
      <c r="B251" s="72"/>
      <c r="C251" s="728"/>
      <c r="D251" s="74"/>
      <c r="E251" s="74" t="str">
        <f t="shared" si="4"/>
        <v/>
      </c>
    </row>
    <row r="252" spans="1:5" x14ac:dyDescent="0.2">
      <c r="A252" s="74"/>
      <c r="B252" s="72"/>
      <c r="C252" s="728"/>
      <c r="D252" s="74"/>
      <c r="E252" s="74" t="str">
        <f t="shared" si="4"/>
        <v/>
      </c>
    </row>
    <row r="253" spans="1:5" x14ac:dyDescent="0.2">
      <c r="A253" s="74"/>
      <c r="B253" s="72"/>
      <c r="C253" s="728"/>
      <c r="D253" s="74"/>
      <c r="E253" s="74" t="str">
        <f t="shared" si="4"/>
        <v/>
      </c>
    </row>
    <row r="254" spans="1:5" x14ac:dyDescent="0.2">
      <c r="A254" s="74"/>
      <c r="B254" s="72"/>
      <c r="C254" s="728"/>
      <c r="D254" s="74"/>
      <c r="E254" s="74" t="str">
        <f t="shared" si="4"/>
        <v/>
      </c>
    </row>
    <row r="255" spans="1:5" x14ac:dyDescent="0.2">
      <c r="A255" s="74"/>
      <c r="B255" s="72"/>
      <c r="C255" s="728"/>
      <c r="D255" s="74"/>
      <c r="E255" s="74" t="str">
        <f t="shared" si="4"/>
        <v/>
      </c>
    </row>
    <row r="256" spans="1:5" x14ac:dyDescent="0.2">
      <c r="A256" s="74"/>
      <c r="B256" s="72"/>
      <c r="C256" s="728"/>
      <c r="D256" s="74"/>
      <c r="E256" s="74" t="str">
        <f t="shared" si="4"/>
        <v/>
      </c>
    </row>
    <row r="257" spans="1:5" x14ac:dyDescent="0.2">
      <c r="A257" s="74"/>
      <c r="B257" s="72"/>
      <c r="C257" s="728"/>
      <c r="D257" s="74"/>
      <c r="E257" s="74" t="str">
        <f t="shared" si="4"/>
        <v/>
      </c>
    </row>
    <row r="258" spans="1:5" x14ac:dyDescent="0.2">
      <c r="A258" s="74"/>
      <c r="B258" s="72"/>
      <c r="C258" s="728"/>
      <c r="D258" s="74"/>
      <c r="E258" s="74" t="str">
        <f t="shared" si="4"/>
        <v/>
      </c>
    </row>
    <row r="259" spans="1:5" x14ac:dyDescent="0.2">
      <c r="A259" s="74"/>
      <c r="B259" s="72"/>
      <c r="C259" s="728"/>
      <c r="D259" s="74"/>
      <c r="E259" s="74" t="str">
        <f t="shared" si="4"/>
        <v/>
      </c>
    </row>
    <row r="260" spans="1:5" x14ac:dyDescent="0.2">
      <c r="A260" s="74"/>
      <c r="B260" s="72"/>
      <c r="C260" s="728"/>
      <c r="D260" s="74"/>
      <c r="E260" s="74" t="str">
        <f t="shared" si="4"/>
        <v/>
      </c>
    </row>
    <row r="261" spans="1:5" x14ac:dyDescent="0.2">
      <c r="A261" s="74"/>
      <c r="B261" s="72"/>
      <c r="C261" s="728"/>
      <c r="D261" s="74"/>
      <c r="E261" s="74" t="str">
        <f t="shared" ref="E261:E324" si="5">IFERROR(VLOOKUP(D261,T_Indices,5,FALSE),"")</f>
        <v/>
      </c>
    </row>
    <row r="262" spans="1:5" x14ac:dyDescent="0.2">
      <c r="A262" s="74"/>
      <c r="B262" s="72"/>
      <c r="C262" s="728"/>
      <c r="D262" s="74"/>
      <c r="E262" s="74" t="str">
        <f t="shared" si="5"/>
        <v/>
      </c>
    </row>
    <row r="263" spans="1:5" x14ac:dyDescent="0.2">
      <c r="A263" s="74"/>
      <c r="B263" s="72"/>
      <c r="C263" s="728"/>
      <c r="D263" s="74"/>
      <c r="E263" s="74" t="str">
        <f t="shared" si="5"/>
        <v/>
      </c>
    </row>
    <row r="264" spans="1:5" x14ac:dyDescent="0.2">
      <c r="A264" s="74"/>
      <c r="B264" s="72"/>
      <c r="C264" s="728"/>
      <c r="D264" s="74"/>
      <c r="E264" s="74" t="str">
        <f t="shared" si="5"/>
        <v/>
      </c>
    </row>
    <row r="265" spans="1:5" x14ac:dyDescent="0.2">
      <c r="A265" s="74"/>
      <c r="B265" s="72"/>
      <c r="C265" s="728"/>
      <c r="D265" s="74"/>
      <c r="E265" s="74" t="str">
        <f t="shared" si="5"/>
        <v/>
      </c>
    </row>
    <row r="266" spans="1:5" x14ac:dyDescent="0.2">
      <c r="A266" s="74"/>
      <c r="B266" s="72"/>
      <c r="C266" s="728"/>
      <c r="D266" s="74"/>
      <c r="E266" s="74" t="str">
        <f t="shared" si="5"/>
        <v/>
      </c>
    </row>
    <row r="267" spans="1:5" x14ac:dyDescent="0.2">
      <c r="A267" s="74"/>
      <c r="B267" s="72"/>
      <c r="C267" s="728"/>
      <c r="D267" s="74"/>
      <c r="E267" s="74" t="str">
        <f t="shared" si="5"/>
        <v/>
      </c>
    </row>
    <row r="268" spans="1:5" x14ac:dyDescent="0.2">
      <c r="A268" s="74"/>
      <c r="B268" s="72"/>
      <c r="C268" s="728"/>
      <c r="D268" s="74"/>
      <c r="E268" s="74" t="str">
        <f t="shared" si="5"/>
        <v/>
      </c>
    </row>
    <row r="269" spans="1:5" x14ac:dyDescent="0.2">
      <c r="A269" s="74"/>
      <c r="B269" s="72"/>
      <c r="C269" s="728"/>
      <c r="D269" s="74"/>
      <c r="E269" s="74" t="str">
        <f t="shared" si="5"/>
        <v/>
      </c>
    </row>
    <row r="270" spans="1:5" x14ac:dyDescent="0.2">
      <c r="A270" s="74"/>
      <c r="B270" s="72"/>
      <c r="C270" s="728"/>
      <c r="D270" s="74"/>
      <c r="E270" s="74" t="str">
        <f t="shared" si="5"/>
        <v/>
      </c>
    </row>
    <row r="271" spans="1:5" x14ac:dyDescent="0.2">
      <c r="A271" s="74"/>
      <c r="B271" s="72"/>
      <c r="C271" s="728"/>
      <c r="D271" s="74"/>
      <c r="E271" s="74" t="str">
        <f t="shared" si="5"/>
        <v/>
      </c>
    </row>
    <row r="272" spans="1:5" x14ac:dyDescent="0.2">
      <c r="A272" s="74"/>
      <c r="B272" s="72"/>
      <c r="C272" s="728"/>
      <c r="D272" s="74"/>
      <c r="E272" s="74" t="str">
        <f t="shared" si="5"/>
        <v/>
      </c>
    </row>
    <row r="273" spans="1:5" x14ac:dyDescent="0.2">
      <c r="A273" s="74"/>
      <c r="B273" s="72"/>
      <c r="C273" s="728"/>
      <c r="D273" s="74"/>
      <c r="E273" s="74" t="str">
        <f t="shared" si="5"/>
        <v/>
      </c>
    </row>
    <row r="274" spans="1:5" x14ac:dyDescent="0.2">
      <c r="A274" s="74"/>
      <c r="B274" s="72"/>
      <c r="C274" s="728"/>
      <c r="D274" s="74"/>
      <c r="E274" s="74" t="str">
        <f t="shared" si="5"/>
        <v/>
      </c>
    </row>
    <row r="275" spans="1:5" x14ac:dyDescent="0.2">
      <c r="A275" s="74"/>
      <c r="B275" s="72"/>
      <c r="C275" s="728"/>
      <c r="D275" s="74"/>
      <c r="E275" s="74" t="str">
        <f t="shared" si="5"/>
        <v/>
      </c>
    </row>
    <row r="276" spans="1:5" x14ac:dyDescent="0.2">
      <c r="A276" s="74"/>
      <c r="B276" s="72"/>
      <c r="C276" s="728"/>
      <c r="D276" s="74"/>
      <c r="E276" s="74" t="str">
        <f t="shared" si="5"/>
        <v/>
      </c>
    </row>
    <row r="277" spans="1:5" x14ac:dyDescent="0.2">
      <c r="A277" s="74"/>
      <c r="B277" s="72"/>
      <c r="C277" s="728"/>
      <c r="D277" s="74"/>
      <c r="E277" s="74" t="str">
        <f t="shared" si="5"/>
        <v/>
      </c>
    </row>
    <row r="278" spans="1:5" x14ac:dyDescent="0.2">
      <c r="A278" s="74"/>
      <c r="B278" s="72"/>
      <c r="C278" s="728"/>
      <c r="D278" s="74"/>
      <c r="E278" s="74" t="str">
        <f t="shared" si="5"/>
        <v/>
      </c>
    </row>
    <row r="279" spans="1:5" x14ac:dyDescent="0.2">
      <c r="A279" s="74"/>
      <c r="B279" s="72"/>
      <c r="C279" s="728"/>
      <c r="D279" s="74"/>
      <c r="E279" s="74" t="str">
        <f t="shared" si="5"/>
        <v/>
      </c>
    </row>
    <row r="280" spans="1:5" x14ac:dyDescent="0.2">
      <c r="A280" s="74"/>
      <c r="B280" s="72"/>
      <c r="C280" s="728"/>
      <c r="D280" s="74"/>
      <c r="E280" s="74" t="str">
        <f t="shared" si="5"/>
        <v/>
      </c>
    </row>
    <row r="281" spans="1:5" x14ac:dyDescent="0.2">
      <c r="A281" s="74"/>
      <c r="B281" s="72"/>
      <c r="C281" s="728"/>
      <c r="D281" s="74"/>
      <c r="E281" s="74" t="str">
        <f t="shared" si="5"/>
        <v/>
      </c>
    </row>
    <row r="282" spans="1:5" x14ac:dyDescent="0.2">
      <c r="A282" s="74"/>
      <c r="B282" s="72"/>
      <c r="C282" s="728"/>
      <c r="D282" s="74"/>
      <c r="E282" s="74" t="str">
        <f t="shared" si="5"/>
        <v/>
      </c>
    </row>
    <row r="283" spans="1:5" x14ac:dyDescent="0.2">
      <c r="A283" s="74"/>
      <c r="B283" s="72"/>
      <c r="C283" s="728"/>
      <c r="D283" s="74"/>
      <c r="E283" s="74" t="str">
        <f t="shared" si="5"/>
        <v/>
      </c>
    </row>
    <row r="284" spans="1:5" x14ac:dyDescent="0.2">
      <c r="A284" s="74"/>
      <c r="B284" s="72"/>
      <c r="C284" s="728"/>
      <c r="D284" s="74"/>
      <c r="E284" s="74" t="str">
        <f t="shared" si="5"/>
        <v/>
      </c>
    </row>
    <row r="285" spans="1:5" x14ac:dyDescent="0.2">
      <c r="A285" s="74"/>
      <c r="B285" s="72"/>
      <c r="C285" s="728"/>
      <c r="D285" s="74"/>
      <c r="E285" s="74" t="str">
        <f t="shared" si="5"/>
        <v/>
      </c>
    </row>
    <row r="286" spans="1:5" x14ac:dyDescent="0.2">
      <c r="A286" s="74"/>
      <c r="B286" s="72"/>
      <c r="C286" s="728"/>
      <c r="D286" s="74"/>
      <c r="E286" s="74" t="str">
        <f t="shared" si="5"/>
        <v/>
      </c>
    </row>
    <row r="287" spans="1:5" x14ac:dyDescent="0.2">
      <c r="A287" s="74"/>
      <c r="B287" s="72"/>
      <c r="C287" s="728"/>
      <c r="D287" s="74"/>
      <c r="E287" s="74" t="str">
        <f t="shared" si="5"/>
        <v/>
      </c>
    </row>
    <row r="288" spans="1:5" x14ac:dyDescent="0.2">
      <c r="A288" s="74"/>
      <c r="B288" s="72"/>
      <c r="C288" s="728"/>
      <c r="D288" s="74"/>
      <c r="E288" s="74" t="str">
        <f t="shared" si="5"/>
        <v/>
      </c>
    </row>
    <row r="289" spans="1:5" x14ac:dyDescent="0.2">
      <c r="A289" s="74"/>
      <c r="B289" s="72"/>
      <c r="C289" s="728"/>
      <c r="D289" s="74"/>
      <c r="E289" s="74" t="str">
        <f t="shared" si="5"/>
        <v/>
      </c>
    </row>
    <row r="290" spans="1:5" x14ac:dyDescent="0.2">
      <c r="A290" s="74"/>
      <c r="B290" s="72"/>
      <c r="C290" s="728"/>
      <c r="D290" s="74"/>
      <c r="E290" s="74" t="str">
        <f t="shared" si="5"/>
        <v/>
      </c>
    </row>
    <row r="291" spans="1:5" x14ac:dyDescent="0.2">
      <c r="A291" s="74"/>
      <c r="B291" s="72"/>
      <c r="C291" s="728"/>
      <c r="D291" s="74"/>
      <c r="E291" s="74" t="str">
        <f t="shared" si="5"/>
        <v/>
      </c>
    </row>
    <row r="292" spans="1:5" x14ac:dyDescent="0.2">
      <c r="A292" s="74"/>
      <c r="B292" s="72"/>
      <c r="C292" s="728"/>
      <c r="D292" s="74"/>
      <c r="E292" s="74" t="str">
        <f t="shared" si="5"/>
        <v/>
      </c>
    </row>
    <row r="293" spans="1:5" x14ac:dyDescent="0.2">
      <c r="A293" s="74"/>
      <c r="B293" s="72"/>
      <c r="C293" s="728"/>
      <c r="D293" s="74"/>
      <c r="E293" s="74" t="str">
        <f t="shared" si="5"/>
        <v/>
      </c>
    </row>
    <row r="294" spans="1:5" x14ac:dyDescent="0.2">
      <c r="A294" s="74"/>
      <c r="B294" s="72"/>
      <c r="C294" s="728"/>
      <c r="D294" s="74"/>
      <c r="E294" s="74" t="str">
        <f t="shared" si="5"/>
        <v/>
      </c>
    </row>
    <row r="295" spans="1:5" x14ac:dyDescent="0.2">
      <c r="A295" s="74"/>
      <c r="B295" s="72"/>
      <c r="C295" s="728"/>
      <c r="D295" s="74"/>
      <c r="E295" s="74" t="str">
        <f t="shared" si="5"/>
        <v/>
      </c>
    </row>
    <row r="296" spans="1:5" x14ac:dyDescent="0.2">
      <c r="A296" s="74"/>
      <c r="B296" s="72"/>
      <c r="C296" s="728"/>
      <c r="D296" s="74"/>
      <c r="E296" s="74" t="str">
        <f t="shared" si="5"/>
        <v/>
      </c>
    </row>
    <row r="297" spans="1:5" x14ac:dyDescent="0.2">
      <c r="A297" s="74"/>
      <c r="B297" s="72"/>
      <c r="C297" s="728"/>
      <c r="D297" s="74"/>
      <c r="E297" s="74" t="str">
        <f t="shared" si="5"/>
        <v/>
      </c>
    </row>
    <row r="298" spans="1:5" x14ac:dyDescent="0.2">
      <c r="A298" s="74"/>
      <c r="B298" s="72"/>
      <c r="C298" s="728"/>
      <c r="D298" s="74"/>
      <c r="E298" s="74" t="str">
        <f t="shared" si="5"/>
        <v/>
      </c>
    </row>
    <row r="299" spans="1:5" x14ac:dyDescent="0.2">
      <c r="A299" s="74"/>
      <c r="B299" s="72"/>
      <c r="C299" s="728"/>
      <c r="D299" s="74"/>
      <c r="E299" s="74" t="str">
        <f t="shared" si="5"/>
        <v/>
      </c>
    </row>
    <row r="300" spans="1:5" x14ac:dyDescent="0.2">
      <c r="A300" s="74"/>
      <c r="B300" s="72"/>
      <c r="C300" s="728"/>
      <c r="D300" s="74"/>
      <c r="E300" s="74" t="str">
        <f t="shared" si="5"/>
        <v/>
      </c>
    </row>
    <row r="301" spans="1:5" x14ac:dyDescent="0.2">
      <c r="A301" s="74"/>
      <c r="B301" s="72"/>
      <c r="C301" s="728"/>
      <c r="D301" s="74"/>
      <c r="E301" s="74" t="str">
        <f t="shared" si="5"/>
        <v/>
      </c>
    </row>
    <row r="302" spans="1:5" x14ac:dyDescent="0.2">
      <c r="A302" s="74"/>
      <c r="B302" s="72"/>
      <c r="C302" s="728"/>
      <c r="D302" s="74"/>
      <c r="E302" s="74" t="str">
        <f t="shared" si="5"/>
        <v/>
      </c>
    </row>
    <row r="303" spans="1:5" x14ac:dyDescent="0.2">
      <c r="A303" s="74"/>
      <c r="B303" s="72"/>
      <c r="C303" s="728"/>
      <c r="D303" s="74"/>
      <c r="E303" s="74" t="str">
        <f t="shared" si="5"/>
        <v/>
      </c>
    </row>
    <row r="304" spans="1:5" x14ac:dyDescent="0.2">
      <c r="A304" s="74"/>
      <c r="B304" s="72"/>
      <c r="C304" s="728"/>
      <c r="D304" s="74"/>
      <c r="E304" s="74" t="str">
        <f t="shared" si="5"/>
        <v/>
      </c>
    </row>
    <row r="305" spans="1:5" x14ac:dyDescent="0.2">
      <c r="A305" s="74"/>
      <c r="B305" s="72"/>
      <c r="C305" s="728"/>
      <c r="D305" s="74"/>
      <c r="E305" s="74" t="str">
        <f t="shared" si="5"/>
        <v/>
      </c>
    </row>
    <row r="306" spans="1:5" x14ac:dyDescent="0.2">
      <c r="A306" s="74"/>
      <c r="B306" s="72"/>
      <c r="C306" s="728"/>
      <c r="D306" s="74"/>
      <c r="E306" s="74" t="str">
        <f t="shared" si="5"/>
        <v/>
      </c>
    </row>
    <row r="307" spans="1:5" x14ac:dyDescent="0.2">
      <c r="A307" s="74"/>
      <c r="B307" s="72"/>
      <c r="C307" s="728"/>
      <c r="D307" s="74"/>
      <c r="E307" s="74" t="str">
        <f t="shared" si="5"/>
        <v/>
      </c>
    </row>
    <row r="308" spans="1:5" x14ac:dyDescent="0.2">
      <c r="A308" s="74"/>
      <c r="B308" s="72"/>
      <c r="C308" s="728"/>
      <c r="D308" s="74"/>
      <c r="E308" s="74" t="str">
        <f t="shared" si="5"/>
        <v/>
      </c>
    </row>
    <row r="309" spans="1:5" x14ac:dyDescent="0.2">
      <c r="A309" s="74"/>
      <c r="B309" s="72"/>
      <c r="C309" s="728"/>
      <c r="D309" s="74"/>
      <c r="E309" s="74" t="str">
        <f t="shared" si="5"/>
        <v/>
      </c>
    </row>
    <row r="310" spans="1:5" x14ac:dyDescent="0.2">
      <c r="A310" s="74"/>
      <c r="B310" s="72"/>
      <c r="C310" s="728"/>
      <c r="D310" s="74"/>
      <c r="E310" s="74" t="str">
        <f t="shared" si="5"/>
        <v/>
      </c>
    </row>
    <row r="311" spans="1:5" x14ac:dyDescent="0.2">
      <c r="A311" s="74"/>
      <c r="B311" s="72"/>
      <c r="C311" s="728"/>
      <c r="D311" s="74"/>
      <c r="E311" s="74" t="str">
        <f t="shared" si="5"/>
        <v/>
      </c>
    </row>
    <row r="312" spans="1:5" x14ac:dyDescent="0.2">
      <c r="A312" s="74"/>
      <c r="B312" s="72"/>
      <c r="C312" s="728"/>
      <c r="D312" s="74"/>
      <c r="E312" s="74" t="str">
        <f t="shared" si="5"/>
        <v/>
      </c>
    </row>
    <row r="313" spans="1:5" x14ac:dyDescent="0.2">
      <c r="A313" s="74"/>
      <c r="B313" s="72"/>
      <c r="C313" s="728"/>
      <c r="D313" s="74"/>
      <c r="E313" s="74" t="str">
        <f t="shared" si="5"/>
        <v/>
      </c>
    </row>
    <row r="314" spans="1:5" x14ac:dyDescent="0.2">
      <c r="A314" s="74"/>
      <c r="B314" s="72"/>
      <c r="C314" s="728"/>
      <c r="D314" s="74"/>
      <c r="E314" s="74" t="str">
        <f t="shared" si="5"/>
        <v/>
      </c>
    </row>
    <row r="315" spans="1:5" x14ac:dyDescent="0.2">
      <c r="A315" s="74"/>
      <c r="B315" s="72"/>
      <c r="C315" s="728"/>
      <c r="D315" s="74"/>
      <c r="E315" s="74" t="str">
        <f t="shared" si="5"/>
        <v/>
      </c>
    </row>
    <row r="316" spans="1:5" x14ac:dyDescent="0.2">
      <c r="A316" s="74"/>
      <c r="B316" s="72"/>
      <c r="C316" s="728"/>
      <c r="D316" s="74"/>
      <c r="E316" s="74" t="str">
        <f t="shared" si="5"/>
        <v/>
      </c>
    </row>
    <row r="317" spans="1:5" x14ac:dyDescent="0.2">
      <c r="A317" s="74"/>
      <c r="B317" s="72"/>
      <c r="C317" s="728"/>
      <c r="D317" s="74"/>
      <c r="E317" s="74" t="str">
        <f t="shared" si="5"/>
        <v/>
      </c>
    </row>
    <row r="318" spans="1:5" x14ac:dyDescent="0.2">
      <c r="A318" s="74"/>
      <c r="B318" s="72"/>
      <c r="C318" s="728"/>
      <c r="D318" s="74"/>
      <c r="E318" s="74" t="str">
        <f t="shared" si="5"/>
        <v/>
      </c>
    </row>
    <row r="319" spans="1:5" x14ac:dyDescent="0.2">
      <c r="A319" s="74"/>
      <c r="B319" s="72"/>
      <c r="C319" s="728"/>
      <c r="D319" s="74"/>
      <c r="E319" s="74" t="str">
        <f t="shared" si="5"/>
        <v/>
      </c>
    </row>
    <row r="320" spans="1:5" x14ac:dyDescent="0.2">
      <c r="A320" s="74"/>
      <c r="B320" s="72"/>
      <c r="C320" s="728"/>
      <c r="D320" s="74"/>
      <c r="E320" s="74" t="str">
        <f t="shared" si="5"/>
        <v/>
      </c>
    </row>
    <row r="321" spans="1:5" x14ac:dyDescent="0.2">
      <c r="A321" s="74"/>
      <c r="B321" s="72"/>
      <c r="C321" s="728"/>
      <c r="D321" s="74"/>
      <c r="E321" s="74" t="str">
        <f t="shared" si="5"/>
        <v/>
      </c>
    </row>
    <row r="322" spans="1:5" x14ac:dyDescent="0.2">
      <c r="A322" s="74"/>
      <c r="B322" s="72"/>
      <c r="C322" s="728"/>
      <c r="D322" s="74"/>
      <c r="E322" s="74" t="str">
        <f t="shared" si="5"/>
        <v/>
      </c>
    </row>
    <row r="323" spans="1:5" x14ac:dyDescent="0.2">
      <c r="A323" s="74"/>
      <c r="B323" s="72"/>
      <c r="C323" s="728"/>
      <c r="D323" s="74"/>
      <c r="E323" s="74" t="str">
        <f t="shared" si="5"/>
        <v/>
      </c>
    </row>
    <row r="324" spans="1:5" x14ac:dyDescent="0.2">
      <c r="A324" s="74"/>
      <c r="B324" s="72"/>
      <c r="C324" s="728"/>
      <c r="D324" s="74"/>
      <c r="E324" s="74" t="str">
        <f t="shared" si="5"/>
        <v/>
      </c>
    </row>
    <row r="325" spans="1:5" x14ac:dyDescent="0.2">
      <c r="A325" s="74"/>
      <c r="B325" s="72"/>
      <c r="C325" s="728"/>
      <c r="D325" s="74"/>
      <c r="E325" s="74" t="str">
        <f t="shared" ref="E325:E388" si="6">IFERROR(VLOOKUP(D325,T_Indices,5,FALSE),"")</f>
        <v/>
      </c>
    </row>
    <row r="326" spans="1:5" x14ac:dyDescent="0.2">
      <c r="A326" s="74"/>
      <c r="B326" s="72"/>
      <c r="C326" s="728"/>
      <c r="D326" s="74"/>
      <c r="E326" s="74" t="str">
        <f t="shared" si="6"/>
        <v/>
      </c>
    </row>
    <row r="327" spans="1:5" x14ac:dyDescent="0.2">
      <c r="A327" s="74"/>
      <c r="B327" s="72"/>
      <c r="C327" s="728"/>
      <c r="D327" s="74"/>
      <c r="E327" s="74" t="str">
        <f t="shared" si="6"/>
        <v/>
      </c>
    </row>
    <row r="328" spans="1:5" x14ac:dyDescent="0.2">
      <c r="A328" s="74"/>
      <c r="B328" s="72"/>
      <c r="C328" s="728"/>
      <c r="D328" s="74"/>
      <c r="E328" s="74" t="str">
        <f t="shared" si="6"/>
        <v/>
      </c>
    </row>
    <row r="329" spans="1:5" x14ac:dyDescent="0.2">
      <c r="A329" s="74"/>
      <c r="B329" s="72"/>
      <c r="C329" s="728"/>
      <c r="D329" s="74"/>
      <c r="E329" s="74" t="str">
        <f t="shared" si="6"/>
        <v/>
      </c>
    </row>
    <row r="330" spans="1:5" x14ac:dyDescent="0.2">
      <c r="A330" s="74"/>
      <c r="B330" s="72"/>
      <c r="C330" s="728"/>
      <c r="D330" s="74"/>
      <c r="E330" s="74" t="str">
        <f t="shared" si="6"/>
        <v/>
      </c>
    </row>
    <row r="331" spans="1:5" x14ac:dyDescent="0.2">
      <c r="A331" s="74"/>
      <c r="B331" s="72"/>
      <c r="C331" s="728"/>
      <c r="D331" s="74"/>
      <c r="E331" s="74" t="str">
        <f t="shared" si="6"/>
        <v/>
      </c>
    </row>
    <row r="332" spans="1:5" x14ac:dyDescent="0.2">
      <c r="A332" s="74"/>
      <c r="B332" s="72"/>
      <c r="C332" s="728"/>
      <c r="D332" s="74"/>
      <c r="E332" s="74" t="str">
        <f t="shared" si="6"/>
        <v/>
      </c>
    </row>
    <row r="333" spans="1:5" x14ac:dyDescent="0.2">
      <c r="A333" s="74"/>
      <c r="B333" s="72"/>
      <c r="C333" s="728"/>
      <c r="D333" s="74"/>
      <c r="E333" s="74" t="str">
        <f t="shared" si="6"/>
        <v/>
      </c>
    </row>
    <row r="334" spans="1:5" x14ac:dyDescent="0.2">
      <c r="A334" s="74"/>
      <c r="B334" s="72"/>
      <c r="C334" s="728"/>
      <c r="D334" s="74"/>
      <c r="E334" s="74" t="str">
        <f t="shared" si="6"/>
        <v/>
      </c>
    </row>
    <row r="335" spans="1:5" x14ac:dyDescent="0.2">
      <c r="A335" s="74"/>
      <c r="B335" s="72"/>
      <c r="C335" s="728"/>
      <c r="D335" s="74"/>
      <c r="E335" s="74" t="str">
        <f t="shared" si="6"/>
        <v/>
      </c>
    </row>
    <row r="336" spans="1:5" x14ac:dyDescent="0.2">
      <c r="A336" s="74"/>
      <c r="B336" s="72"/>
      <c r="C336" s="728"/>
      <c r="D336" s="74"/>
      <c r="E336" s="74" t="str">
        <f t="shared" si="6"/>
        <v/>
      </c>
    </row>
    <row r="337" spans="1:5" x14ac:dyDescent="0.2">
      <c r="A337" s="74"/>
      <c r="B337" s="72"/>
      <c r="C337" s="728"/>
      <c r="D337" s="74"/>
      <c r="E337" s="74" t="str">
        <f t="shared" si="6"/>
        <v/>
      </c>
    </row>
    <row r="338" spans="1:5" x14ac:dyDescent="0.2">
      <c r="A338" s="74"/>
      <c r="B338" s="72"/>
      <c r="C338" s="728"/>
      <c r="D338" s="74"/>
      <c r="E338" s="74" t="str">
        <f t="shared" si="6"/>
        <v/>
      </c>
    </row>
    <row r="339" spans="1:5" x14ac:dyDescent="0.2">
      <c r="A339" s="74"/>
      <c r="B339" s="72"/>
      <c r="C339" s="728"/>
      <c r="D339" s="74"/>
      <c r="E339" s="74" t="str">
        <f t="shared" si="6"/>
        <v/>
      </c>
    </row>
    <row r="340" spans="1:5" x14ac:dyDescent="0.2">
      <c r="A340" s="74"/>
      <c r="B340" s="72"/>
      <c r="C340" s="728"/>
      <c r="D340" s="74"/>
      <c r="E340" s="74" t="str">
        <f t="shared" si="6"/>
        <v/>
      </c>
    </row>
    <row r="341" spans="1:5" x14ac:dyDescent="0.2">
      <c r="A341" s="74"/>
      <c r="B341" s="72"/>
      <c r="C341" s="728"/>
      <c r="D341" s="74"/>
      <c r="E341" s="74" t="str">
        <f t="shared" si="6"/>
        <v/>
      </c>
    </row>
    <row r="342" spans="1:5" x14ac:dyDescent="0.2">
      <c r="A342" s="74"/>
      <c r="B342" s="72"/>
      <c r="C342" s="728"/>
      <c r="D342" s="74"/>
      <c r="E342" s="74" t="str">
        <f t="shared" si="6"/>
        <v/>
      </c>
    </row>
    <row r="343" spans="1:5" x14ac:dyDescent="0.2">
      <c r="A343" s="74"/>
      <c r="B343" s="72"/>
      <c r="C343" s="728"/>
      <c r="D343" s="74"/>
      <c r="E343" s="74" t="str">
        <f t="shared" si="6"/>
        <v/>
      </c>
    </row>
    <row r="344" spans="1:5" x14ac:dyDescent="0.2">
      <c r="A344" s="74"/>
      <c r="B344" s="72"/>
      <c r="C344" s="728"/>
      <c r="D344" s="74"/>
      <c r="E344" s="74" t="str">
        <f t="shared" si="6"/>
        <v/>
      </c>
    </row>
    <row r="345" spans="1:5" x14ac:dyDescent="0.2">
      <c r="A345" s="74"/>
      <c r="B345" s="72"/>
      <c r="C345" s="728"/>
      <c r="D345" s="74"/>
      <c r="E345" s="74" t="str">
        <f t="shared" si="6"/>
        <v/>
      </c>
    </row>
    <row r="346" spans="1:5" x14ac:dyDescent="0.2">
      <c r="A346" s="74"/>
      <c r="B346" s="72"/>
      <c r="C346" s="728"/>
      <c r="D346" s="74"/>
      <c r="E346" s="74" t="str">
        <f t="shared" si="6"/>
        <v/>
      </c>
    </row>
    <row r="347" spans="1:5" x14ac:dyDescent="0.2">
      <c r="A347" s="74"/>
      <c r="B347" s="72"/>
      <c r="C347" s="728"/>
      <c r="D347" s="74"/>
      <c r="E347" s="74" t="str">
        <f t="shared" si="6"/>
        <v/>
      </c>
    </row>
    <row r="348" spans="1:5" x14ac:dyDescent="0.2">
      <c r="A348" s="74"/>
      <c r="B348" s="72"/>
      <c r="C348" s="728"/>
      <c r="D348" s="74"/>
      <c r="E348" s="74" t="str">
        <f t="shared" si="6"/>
        <v/>
      </c>
    </row>
    <row r="349" spans="1:5" x14ac:dyDescent="0.2">
      <c r="A349" s="74"/>
      <c r="B349" s="72"/>
      <c r="C349" s="728"/>
      <c r="D349" s="74"/>
      <c r="E349" s="74" t="str">
        <f t="shared" si="6"/>
        <v/>
      </c>
    </row>
    <row r="350" spans="1:5" x14ac:dyDescent="0.2">
      <c r="A350" s="74"/>
      <c r="B350" s="72"/>
      <c r="C350" s="728"/>
      <c r="D350" s="74"/>
      <c r="E350" s="74" t="str">
        <f t="shared" si="6"/>
        <v/>
      </c>
    </row>
    <row r="351" spans="1:5" x14ac:dyDescent="0.2">
      <c r="A351" s="74"/>
      <c r="B351" s="72"/>
      <c r="C351" s="728"/>
      <c r="D351" s="74"/>
      <c r="E351" s="74" t="str">
        <f t="shared" si="6"/>
        <v/>
      </c>
    </row>
    <row r="352" spans="1:5" x14ac:dyDescent="0.2">
      <c r="A352" s="74"/>
      <c r="B352" s="72"/>
      <c r="C352" s="728"/>
      <c r="D352" s="74"/>
      <c r="E352" s="74" t="str">
        <f t="shared" si="6"/>
        <v/>
      </c>
    </row>
    <row r="353" spans="1:5" x14ac:dyDescent="0.2">
      <c r="A353" s="74"/>
      <c r="B353" s="72"/>
      <c r="C353" s="728"/>
      <c r="D353" s="74"/>
      <c r="E353" s="74" t="str">
        <f t="shared" si="6"/>
        <v/>
      </c>
    </row>
    <row r="354" spans="1:5" x14ac:dyDescent="0.2">
      <c r="A354" s="74"/>
      <c r="B354" s="72"/>
      <c r="C354" s="728"/>
      <c r="D354" s="74"/>
      <c r="E354" s="74" t="str">
        <f t="shared" si="6"/>
        <v/>
      </c>
    </row>
    <row r="355" spans="1:5" x14ac:dyDescent="0.2">
      <c r="A355" s="74"/>
      <c r="B355" s="72"/>
      <c r="C355" s="728"/>
      <c r="D355" s="74"/>
      <c r="E355" s="74" t="str">
        <f t="shared" si="6"/>
        <v/>
      </c>
    </row>
    <row r="356" spans="1:5" x14ac:dyDescent="0.2">
      <c r="A356" s="74"/>
      <c r="B356" s="72"/>
      <c r="C356" s="728"/>
      <c r="D356" s="74"/>
      <c r="E356" s="74" t="str">
        <f t="shared" si="6"/>
        <v/>
      </c>
    </row>
    <row r="357" spans="1:5" x14ac:dyDescent="0.2">
      <c r="A357" s="74"/>
      <c r="B357" s="72"/>
      <c r="C357" s="728"/>
      <c r="D357" s="74"/>
      <c r="E357" s="74" t="str">
        <f t="shared" si="6"/>
        <v/>
      </c>
    </row>
    <row r="358" spans="1:5" x14ac:dyDescent="0.2">
      <c r="A358" s="74"/>
      <c r="B358" s="72"/>
      <c r="C358" s="728"/>
      <c r="D358" s="74"/>
      <c r="E358" s="74" t="str">
        <f t="shared" si="6"/>
        <v/>
      </c>
    </row>
    <row r="359" spans="1:5" x14ac:dyDescent="0.2">
      <c r="A359" s="74"/>
      <c r="B359" s="72"/>
      <c r="C359" s="728"/>
      <c r="D359" s="74"/>
      <c r="E359" s="74" t="str">
        <f t="shared" si="6"/>
        <v/>
      </c>
    </row>
    <row r="360" spans="1:5" x14ac:dyDescent="0.2">
      <c r="A360" s="74"/>
      <c r="B360" s="72"/>
      <c r="C360" s="728"/>
      <c r="D360" s="74"/>
      <c r="E360" s="74" t="str">
        <f t="shared" si="6"/>
        <v/>
      </c>
    </row>
    <row r="361" spans="1:5" x14ac:dyDescent="0.2">
      <c r="A361" s="74"/>
      <c r="B361" s="72"/>
      <c r="C361" s="728"/>
      <c r="D361" s="74"/>
      <c r="E361" s="74" t="str">
        <f t="shared" si="6"/>
        <v/>
      </c>
    </row>
    <row r="362" spans="1:5" x14ac:dyDescent="0.2">
      <c r="A362" s="74"/>
      <c r="B362" s="72"/>
      <c r="C362" s="728"/>
      <c r="D362" s="74"/>
      <c r="E362" s="74" t="str">
        <f t="shared" si="6"/>
        <v/>
      </c>
    </row>
    <row r="363" spans="1:5" x14ac:dyDescent="0.2">
      <c r="A363" s="74"/>
      <c r="B363" s="72"/>
      <c r="C363" s="728"/>
      <c r="D363" s="74"/>
      <c r="E363" s="74" t="str">
        <f t="shared" si="6"/>
        <v/>
      </c>
    </row>
    <row r="364" spans="1:5" x14ac:dyDescent="0.2">
      <c r="A364" s="74"/>
      <c r="B364" s="72"/>
      <c r="C364" s="728"/>
      <c r="D364" s="74"/>
      <c r="E364" s="74" t="str">
        <f t="shared" si="6"/>
        <v/>
      </c>
    </row>
    <row r="365" spans="1:5" x14ac:dyDescent="0.2">
      <c r="A365" s="74"/>
      <c r="B365" s="72"/>
      <c r="C365" s="728"/>
      <c r="D365" s="74"/>
      <c r="E365" s="74" t="str">
        <f t="shared" si="6"/>
        <v/>
      </c>
    </row>
    <row r="366" spans="1:5" x14ac:dyDescent="0.2">
      <c r="A366" s="74"/>
      <c r="B366" s="72"/>
      <c r="C366" s="728"/>
      <c r="D366" s="74"/>
      <c r="E366" s="74" t="str">
        <f t="shared" si="6"/>
        <v/>
      </c>
    </row>
    <row r="367" spans="1:5" x14ac:dyDescent="0.2">
      <c r="A367" s="74"/>
      <c r="B367" s="72"/>
      <c r="C367" s="728"/>
      <c r="D367" s="74"/>
      <c r="E367" s="74" t="str">
        <f t="shared" si="6"/>
        <v/>
      </c>
    </row>
    <row r="368" spans="1:5" x14ac:dyDescent="0.2">
      <c r="A368" s="74"/>
      <c r="B368" s="72"/>
      <c r="C368" s="728"/>
      <c r="D368" s="74"/>
      <c r="E368" s="74" t="str">
        <f t="shared" si="6"/>
        <v/>
      </c>
    </row>
    <row r="369" spans="1:5" x14ac:dyDescent="0.2">
      <c r="A369" s="74"/>
      <c r="B369" s="72"/>
      <c r="C369" s="728"/>
      <c r="D369" s="74"/>
      <c r="E369" s="74" t="str">
        <f t="shared" si="6"/>
        <v/>
      </c>
    </row>
    <row r="370" spans="1:5" x14ac:dyDescent="0.2">
      <c r="A370" s="74"/>
      <c r="B370" s="72"/>
      <c r="C370" s="728"/>
      <c r="D370" s="74"/>
      <c r="E370" s="74" t="str">
        <f t="shared" si="6"/>
        <v/>
      </c>
    </row>
    <row r="371" spans="1:5" x14ac:dyDescent="0.2">
      <c r="A371" s="74"/>
      <c r="B371" s="72"/>
      <c r="C371" s="728"/>
      <c r="D371" s="74"/>
      <c r="E371" s="74" t="str">
        <f t="shared" si="6"/>
        <v/>
      </c>
    </row>
    <row r="372" spans="1:5" x14ac:dyDescent="0.2">
      <c r="A372" s="74"/>
      <c r="B372" s="72"/>
      <c r="C372" s="728"/>
      <c r="D372" s="74"/>
      <c r="E372" s="74" t="str">
        <f t="shared" si="6"/>
        <v/>
      </c>
    </row>
    <row r="373" spans="1:5" x14ac:dyDescent="0.2">
      <c r="A373" s="74"/>
      <c r="B373" s="72"/>
      <c r="C373" s="728"/>
      <c r="D373" s="74"/>
      <c r="E373" s="74" t="str">
        <f t="shared" si="6"/>
        <v/>
      </c>
    </row>
    <row r="374" spans="1:5" x14ac:dyDescent="0.2">
      <c r="A374" s="74"/>
      <c r="B374" s="72"/>
      <c r="C374" s="728"/>
      <c r="D374" s="74"/>
      <c r="E374" s="74" t="str">
        <f t="shared" si="6"/>
        <v/>
      </c>
    </row>
    <row r="375" spans="1:5" x14ac:dyDescent="0.2">
      <c r="A375" s="74"/>
      <c r="B375" s="72"/>
      <c r="C375" s="728"/>
      <c r="D375" s="74"/>
      <c r="E375" s="74" t="str">
        <f t="shared" si="6"/>
        <v/>
      </c>
    </row>
    <row r="376" spans="1:5" x14ac:dyDescent="0.2">
      <c r="A376" s="74"/>
      <c r="B376" s="72"/>
      <c r="C376" s="728"/>
      <c r="D376" s="74"/>
      <c r="E376" s="74" t="str">
        <f t="shared" si="6"/>
        <v/>
      </c>
    </row>
    <row r="377" spans="1:5" x14ac:dyDescent="0.2">
      <c r="A377" s="74"/>
      <c r="B377" s="72"/>
      <c r="C377" s="728"/>
      <c r="D377" s="74"/>
      <c r="E377" s="74" t="str">
        <f t="shared" si="6"/>
        <v/>
      </c>
    </row>
    <row r="378" spans="1:5" x14ac:dyDescent="0.2">
      <c r="A378" s="74"/>
      <c r="B378" s="72"/>
      <c r="C378" s="728"/>
      <c r="D378" s="74"/>
      <c r="E378" s="74" t="str">
        <f t="shared" si="6"/>
        <v/>
      </c>
    </row>
    <row r="379" spans="1:5" x14ac:dyDescent="0.2">
      <c r="A379" s="74"/>
      <c r="B379" s="72"/>
      <c r="C379" s="728"/>
      <c r="D379" s="74"/>
      <c r="E379" s="74" t="str">
        <f t="shared" si="6"/>
        <v/>
      </c>
    </row>
    <row r="380" spans="1:5" x14ac:dyDescent="0.2">
      <c r="A380" s="74"/>
      <c r="B380" s="72"/>
      <c r="C380" s="728"/>
      <c r="D380" s="74"/>
      <c r="E380" s="74" t="str">
        <f t="shared" si="6"/>
        <v/>
      </c>
    </row>
    <row r="381" spans="1:5" x14ac:dyDescent="0.2">
      <c r="A381" s="74"/>
      <c r="B381" s="72"/>
      <c r="C381" s="728"/>
      <c r="D381" s="74"/>
      <c r="E381" s="74" t="str">
        <f t="shared" si="6"/>
        <v/>
      </c>
    </row>
    <row r="382" spans="1:5" x14ac:dyDescent="0.2">
      <c r="A382" s="74"/>
      <c r="B382" s="72"/>
      <c r="C382" s="728"/>
      <c r="D382" s="74"/>
      <c r="E382" s="74" t="str">
        <f t="shared" si="6"/>
        <v/>
      </c>
    </row>
    <row r="383" spans="1:5" x14ac:dyDescent="0.2">
      <c r="A383" s="74"/>
      <c r="B383" s="72"/>
      <c r="C383" s="728"/>
      <c r="D383" s="74"/>
      <c r="E383" s="74" t="str">
        <f t="shared" si="6"/>
        <v/>
      </c>
    </row>
    <row r="384" spans="1:5" x14ac:dyDescent="0.2">
      <c r="A384" s="74"/>
      <c r="B384" s="72"/>
      <c r="C384" s="728"/>
      <c r="D384" s="74"/>
      <c r="E384" s="74" t="str">
        <f t="shared" si="6"/>
        <v/>
      </c>
    </row>
    <row r="385" spans="1:5" x14ac:dyDescent="0.2">
      <c r="A385" s="74"/>
      <c r="B385" s="72"/>
      <c r="C385" s="728"/>
      <c r="D385" s="74"/>
      <c r="E385" s="74" t="str">
        <f t="shared" si="6"/>
        <v/>
      </c>
    </row>
    <row r="386" spans="1:5" x14ac:dyDescent="0.2">
      <c r="A386" s="74"/>
      <c r="B386" s="72"/>
      <c r="C386" s="728"/>
      <c r="D386" s="74"/>
      <c r="E386" s="74" t="str">
        <f t="shared" si="6"/>
        <v/>
      </c>
    </row>
    <row r="387" spans="1:5" x14ac:dyDescent="0.2">
      <c r="A387" s="74"/>
      <c r="B387" s="72"/>
      <c r="C387" s="728"/>
      <c r="D387" s="74"/>
      <c r="E387" s="74" t="str">
        <f t="shared" si="6"/>
        <v/>
      </c>
    </row>
    <row r="388" spans="1:5" x14ac:dyDescent="0.2">
      <c r="A388" s="74"/>
      <c r="B388" s="72"/>
      <c r="C388" s="728"/>
      <c r="D388" s="74"/>
      <c r="E388" s="74" t="str">
        <f t="shared" si="6"/>
        <v/>
      </c>
    </row>
    <row r="389" spans="1:5" x14ac:dyDescent="0.2">
      <c r="A389" s="74"/>
      <c r="B389" s="72"/>
      <c r="C389" s="728"/>
      <c r="D389" s="74"/>
      <c r="E389" s="74" t="str">
        <f t="shared" ref="E389:E452" si="7">IFERROR(VLOOKUP(D389,T_Indices,5,FALSE),"")</f>
        <v/>
      </c>
    </row>
    <row r="390" spans="1:5" x14ac:dyDescent="0.2">
      <c r="A390" s="74"/>
      <c r="B390" s="72"/>
      <c r="C390" s="728"/>
      <c r="D390" s="74"/>
      <c r="E390" s="74" t="str">
        <f t="shared" si="7"/>
        <v/>
      </c>
    </row>
    <row r="391" spans="1:5" x14ac:dyDescent="0.2">
      <c r="A391" s="74"/>
      <c r="B391" s="72"/>
      <c r="C391" s="728"/>
      <c r="D391" s="74"/>
      <c r="E391" s="74" t="str">
        <f t="shared" si="7"/>
        <v/>
      </c>
    </row>
    <row r="392" spans="1:5" x14ac:dyDescent="0.2">
      <c r="A392" s="74"/>
      <c r="B392" s="72"/>
      <c r="C392" s="728"/>
      <c r="D392" s="74"/>
      <c r="E392" s="74" t="str">
        <f t="shared" si="7"/>
        <v/>
      </c>
    </row>
    <row r="393" spans="1:5" x14ac:dyDescent="0.2">
      <c r="A393" s="74"/>
      <c r="B393" s="72"/>
      <c r="C393" s="728"/>
      <c r="D393" s="74"/>
      <c r="E393" s="74" t="str">
        <f t="shared" si="7"/>
        <v/>
      </c>
    </row>
    <row r="394" spans="1:5" x14ac:dyDescent="0.2">
      <c r="A394" s="74"/>
      <c r="B394" s="72"/>
      <c r="C394" s="728"/>
      <c r="D394" s="74"/>
      <c r="E394" s="74" t="str">
        <f t="shared" si="7"/>
        <v/>
      </c>
    </row>
    <row r="395" spans="1:5" x14ac:dyDescent="0.2">
      <c r="A395" s="74"/>
      <c r="B395" s="72"/>
      <c r="C395" s="728"/>
      <c r="D395" s="74"/>
      <c r="E395" s="74" t="str">
        <f t="shared" si="7"/>
        <v/>
      </c>
    </row>
    <row r="396" spans="1:5" x14ac:dyDescent="0.2">
      <c r="A396" s="74"/>
      <c r="B396" s="72"/>
      <c r="C396" s="728"/>
      <c r="D396" s="74"/>
      <c r="E396" s="74" t="str">
        <f t="shared" si="7"/>
        <v/>
      </c>
    </row>
    <row r="397" spans="1:5" x14ac:dyDescent="0.2">
      <c r="A397" s="74"/>
      <c r="B397" s="72"/>
      <c r="C397" s="728"/>
      <c r="D397" s="74"/>
      <c r="E397" s="74" t="str">
        <f t="shared" si="7"/>
        <v/>
      </c>
    </row>
    <row r="398" spans="1:5" x14ac:dyDescent="0.2">
      <c r="A398" s="74"/>
      <c r="B398" s="72"/>
      <c r="C398" s="728"/>
      <c r="D398" s="74"/>
      <c r="E398" s="74" t="str">
        <f t="shared" si="7"/>
        <v/>
      </c>
    </row>
    <row r="399" spans="1:5" x14ac:dyDescent="0.2">
      <c r="A399" s="74"/>
      <c r="B399" s="72"/>
      <c r="C399" s="728"/>
      <c r="D399" s="74"/>
      <c r="E399" s="74" t="str">
        <f t="shared" si="7"/>
        <v/>
      </c>
    </row>
    <row r="400" spans="1:5" x14ac:dyDescent="0.2">
      <c r="A400" s="74"/>
      <c r="B400" s="72"/>
      <c r="C400" s="728"/>
      <c r="D400" s="74"/>
      <c r="E400" s="74" t="str">
        <f t="shared" si="7"/>
        <v/>
      </c>
    </row>
    <row r="401" spans="1:5" x14ac:dyDescent="0.2">
      <c r="A401" s="74"/>
      <c r="B401" s="72"/>
      <c r="C401" s="728"/>
      <c r="D401" s="74"/>
      <c r="E401" s="74" t="str">
        <f t="shared" si="7"/>
        <v/>
      </c>
    </row>
    <row r="402" spans="1:5" x14ac:dyDescent="0.2">
      <c r="A402" s="74"/>
      <c r="B402" s="72"/>
      <c r="C402" s="728"/>
      <c r="D402" s="74"/>
      <c r="E402" s="74" t="str">
        <f t="shared" si="7"/>
        <v/>
      </c>
    </row>
    <row r="403" spans="1:5" x14ac:dyDescent="0.2">
      <c r="A403" s="74"/>
      <c r="B403" s="72"/>
      <c r="C403" s="728"/>
      <c r="D403" s="74"/>
      <c r="E403" s="74" t="str">
        <f t="shared" si="7"/>
        <v/>
      </c>
    </row>
    <row r="404" spans="1:5" x14ac:dyDescent="0.2">
      <c r="A404" s="74"/>
      <c r="B404" s="72"/>
      <c r="C404" s="728"/>
      <c r="D404" s="74"/>
      <c r="E404" s="74" t="str">
        <f t="shared" si="7"/>
        <v/>
      </c>
    </row>
    <row r="405" spans="1:5" x14ac:dyDescent="0.2">
      <c r="A405" s="74"/>
      <c r="B405" s="72"/>
      <c r="C405" s="728"/>
      <c r="D405" s="74"/>
      <c r="E405" s="74" t="str">
        <f t="shared" si="7"/>
        <v/>
      </c>
    </row>
    <row r="406" spans="1:5" x14ac:dyDescent="0.2">
      <c r="A406" s="74"/>
      <c r="B406" s="72"/>
      <c r="C406" s="728"/>
      <c r="D406" s="74"/>
      <c r="E406" s="74" t="str">
        <f t="shared" si="7"/>
        <v/>
      </c>
    </row>
    <row r="407" spans="1:5" x14ac:dyDescent="0.2">
      <c r="A407" s="74"/>
      <c r="B407" s="72"/>
      <c r="C407" s="728"/>
      <c r="D407" s="74"/>
      <c r="E407" s="74" t="str">
        <f t="shared" si="7"/>
        <v/>
      </c>
    </row>
    <row r="408" spans="1:5" x14ac:dyDescent="0.2">
      <c r="A408" s="74"/>
      <c r="B408" s="72"/>
      <c r="C408" s="728"/>
      <c r="D408" s="74"/>
      <c r="E408" s="74" t="str">
        <f t="shared" si="7"/>
        <v/>
      </c>
    </row>
    <row r="409" spans="1:5" x14ac:dyDescent="0.2">
      <c r="A409" s="74"/>
      <c r="B409" s="72"/>
      <c r="C409" s="728"/>
      <c r="D409" s="74"/>
      <c r="E409" s="74" t="str">
        <f t="shared" si="7"/>
        <v/>
      </c>
    </row>
    <row r="410" spans="1:5" x14ac:dyDescent="0.2">
      <c r="A410" s="74"/>
      <c r="B410" s="72"/>
      <c r="C410" s="728"/>
      <c r="D410" s="74"/>
      <c r="E410" s="74" t="str">
        <f t="shared" si="7"/>
        <v/>
      </c>
    </row>
    <row r="411" spans="1:5" x14ac:dyDescent="0.2">
      <c r="A411" s="74"/>
      <c r="B411" s="72"/>
      <c r="C411" s="728"/>
      <c r="D411" s="74"/>
      <c r="E411" s="74" t="str">
        <f t="shared" si="7"/>
        <v/>
      </c>
    </row>
    <row r="412" spans="1:5" x14ac:dyDescent="0.2">
      <c r="A412" s="74"/>
      <c r="B412" s="72"/>
      <c r="C412" s="728"/>
      <c r="D412" s="74"/>
      <c r="E412" s="74" t="str">
        <f t="shared" si="7"/>
        <v/>
      </c>
    </row>
    <row r="413" spans="1:5" x14ac:dyDescent="0.2">
      <c r="A413" s="74"/>
      <c r="B413" s="72"/>
      <c r="C413" s="728"/>
      <c r="D413" s="74"/>
      <c r="E413" s="74" t="str">
        <f t="shared" si="7"/>
        <v/>
      </c>
    </row>
    <row r="414" spans="1:5" x14ac:dyDescent="0.2">
      <c r="A414" s="74"/>
      <c r="B414" s="72"/>
      <c r="C414" s="728"/>
      <c r="D414" s="74"/>
      <c r="E414" s="74" t="str">
        <f t="shared" si="7"/>
        <v/>
      </c>
    </row>
    <row r="415" spans="1:5" x14ac:dyDescent="0.2">
      <c r="A415" s="74"/>
      <c r="B415" s="72"/>
      <c r="C415" s="728"/>
      <c r="D415" s="74"/>
      <c r="E415" s="74" t="str">
        <f t="shared" si="7"/>
        <v/>
      </c>
    </row>
    <row r="416" spans="1:5" x14ac:dyDescent="0.2">
      <c r="A416" s="74"/>
      <c r="B416" s="72"/>
      <c r="C416" s="728"/>
      <c r="D416" s="74"/>
      <c r="E416" s="74" t="str">
        <f t="shared" si="7"/>
        <v/>
      </c>
    </row>
    <row r="417" spans="1:5" x14ac:dyDescent="0.2">
      <c r="A417" s="74"/>
      <c r="B417" s="72"/>
      <c r="C417" s="728"/>
      <c r="D417" s="74"/>
      <c r="E417" s="74" t="str">
        <f t="shared" si="7"/>
        <v/>
      </c>
    </row>
    <row r="418" spans="1:5" x14ac:dyDescent="0.2">
      <c r="A418" s="74"/>
      <c r="B418" s="72"/>
      <c r="C418" s="728"/>
      <c r="D418" s="74"/>
      <c r="E418" s="74" t="str">
        <f t="shared" si="7"/>
        <v/>
      </c>
    </row>
    <row r="419" spans="1:5" x14ac:dyDescent="0.2">
      <c r="A419" s="74"/>
      <c r="B419" s="72"/>
      <c r="C419" s="728"/>
      <c r="D419" s="74"/>
      <c r="E419" s="74" t="str">
        <f t="shared" si="7"/>
        <v/>
      </c>
    </row>
    <row r="420" spans="1:5" x14ac:dyDescent="0.2">
      <c r="A420" s="74"/>
      <c r="B420" s="72"/>
      <c r="C420" s="728"/>
      <c r="D420" s="74"/>
      <c r="E420" s="74" t="str">
        <f t="shared" si="7"/>
        <v/>
      </c>
    </row>
    <row r="421" spans="1:5" x14ac:dyDescent="0.2">
      <c r="A421" s="74"/>
      <c r="B421" s="72"/>
      <c r="C421" s="728"/>
      <c r="D421" s="74"/>
      <c r="E421" s="74" t="str">
        <f t="shared" si="7"/>
        <v/>
      </c>
    </row>
    <row r="422" spans="1:5" x14ac:dyDescent="0.2">
      <c r="A422" s="74"/>
      <c r="B422" s="72"/>
      <c r="C422" s="728"/>
      <c r="D422" s="74"/>
      <c r="E422" s="74" t="str">
        <f t="shared" si="7"/>
        <v/>
      </c>
    </row>
    <row r="423" spans="1:5" x14ac:dyDescent="0.2">
      <c r="A423" s="74"/>
      <c r="B423" s="72"/>
      <c r="C423" s="728"/>
      <c r="D423" s="74"/>
      <c r="E423" s="74" t="str">
        <f t="shared" si="7"/>
        <v/>
      </c>
    </row>
    <row r="424" spans="1:5" x14ac:dyDescent="0.2">
      <c r="A424" s="74"/>
      <c r="B424" s="72"/>
      <c r="C424" s="728"/>
      <c r="D424" s="74"/>
      <c r="E424" s="74" t="str">
        <f t="shared" si="7"/>
        <v/>
      </c>
    </row>
    <row r="425" spans="1:5" x14ac:dyDescent="0.2">
      <c r="A425" s="74"/>
      <c r="B425" s="72"/>
      <c r="C425" s="728"/>
      <c r="D425" s="74"/>
      <c r="E425" s="74" t="str">
        <f t="shared" si="7"/>
        <v/>
      </c>
    </row>
    <row r="426" spans="1:5" x14ac:dyDescent="0.2">
      <c r="A426" s="74"/>
      <c r="B426" s="72"/>
      <c r="C426" s="728"/>
      <c r="D426" s="74"/>
      <c r="E426" s="74" t="str">
        <f t="shared" si="7"/>
        <v/>
      </c>
    </row>
    <row r="427" spans="1:5" x14ac:dyDescent="0.2">
      <c r="A427" s="74"/>
      <c r="B427" s="72"/>
      <c r="C427" s="728"/>
      <c r="D427" s="74"/>
      <c r="E427" s="74" t="str">
        <f t="shared" si="7"/>
        <v/>
      </c>
    </row>
    <row r="428" spans="1:5" x14ac:dyDescent="0.2">
      <c r="A428" s="74"/>
      <c r="B428" s="72"/>
      <c r="C428" s="728"/>
      <c r="D428" s="74"/>
      <c r="E428" s="74" t="str">
        <f t="shared" si="7"/>
        <v/>
      </c>
    </row>
    <row r="429" spans="1:5" x14ac:dyDescent="0.2">
      <c r="A429" s="74"/>
      <c r="B429" s="72"/>
      <c r="C429" s="728"/>
      <c r="D429" s="74"/>
      <c r="E429" s="74" t="str">
        <f t="shared" si="7"/>
        <v/>
      </c>
    </row>
    <row r="430" spans="1:5" x14ac:dyDescent="0.2">
      <c r="A430" s="74"/>
      <c r="B430" s="72"/>
      <c r="C430" s="728"/>
      <c r="D430" s="74"/>
      <c r="E430" s="74" t="str">
        <f t="shared" si="7"/>
        <v/>
      </c>
    </row>
    <row r="431" spans="1:5" x14ac:dyDescent="0.2">
      <c r="A431" s="74"/>
      <c r="B431" s="72"/>
      <c r="C431" s="728"/>
      <c r="D431" s="74"/>
      <c r="E431" s="74" t="str">
        <f t="shared" si="7"/>
        <v/>
      </c>
    </row>
    <row r="432" spans="1:5" x14ac:dyDescent="0.2">
      <c r="A432" s="74"/>
      <c r="B432" s="72"/>
      <c r="C432" s="728"/>
      <c r="D432" s="74"/>
      <c r="E432" s="74" t="str">
        <f t="shared" si="7"/>
        <v/>
      </c>
    </row>
    <row r="433" spans="1:5" x14ac:dyDescent="0.2">
      <c r="A433" s="74"/>
      <c r="B433" s="72"/>
      <c r="C433" s="728"/>
      <c r="D433" s="74"/>
      <c r="E433" s="74" t="str">
        <f t="shared" si="7"/>
        <v/>
      </c>
    </row>
    <row r="434" spans="1:5" x14ac:dyDescent="0.2">
      <c r="A434" s="74"/>
      <c r="B434" s="72"/>
      <c r="C434" s="728"/>
      <c r="D434" s="74"/>
      <c r="E434" s="74" t="str">
        <f t="shared" si="7"/>
        <v/>
      </c>
    </row>
    <row r="435" spans="1:5" x14ac:dyDescent="0.2">
      <c r="A435" s="74"/>
      <c r="B435" s="72"/>
      <c r="C435" s="728"/>
      <c r="D435" s="74"/>
      <c r="E435" s="74" t="str">
        <f t="shared" si="7"/>
        <v/>
      </c>
    </row>
    <row r="436" spans="1:5" x14ac:dyDescent="0.2">
      <c r="A436" s="74"/>
      <c r="B436" s="72"/>
      <c r="C436" s="728"/>
      <c r="D436" s="74"/>
      <c r="E436" s="74" t="str">
        <f t="shared" si="7"/>
        <v/>
      </c>
    </row>
    <row r="437" spans="1:5" x14ac:dyDescent="0.2">
      <c r="A437" s="74"/>
      <c r="B437" s="72"/>
      <c r="C437" s="728"/>
      <c r="D437" s="74"/>
      <c r="E437" s="74" t="str">
        <f t="shared" si="7"/>
        <v/>
      </c>
    </row>
    <row r="438" spans="1:5" x14ac:dyDescent="0.2">
      <c r="A438" s="74"/>
      <c r="B438" s="72"/>
      <c r="C438" s="728"/>
      <c r="D438" s="74"/>
      <c r="E438" s="74" t="str">
        <f t="shared" si="7"/>
        <v/>
      </c>
    </row>
    <row r="439" spans="1:5" x14ac:dyDescent="0.2">
      <c r="A439" s="74"/>
      <c r="B439" s="72"/>
      <c r="C439" s="728"/>
      <c r="D439" s="74"/>
      <c r="E439" s="74" t="str">
        <f t="shared" si="7"/>
        <v/>
      </c>
    </row>
    <row r="440" spans="1:5" x14ac:dyDescent="0.2">
      <c r="A440" s="74"/>
      <c r="B440" s="72"/>
      <c r="C440" s="728"/>
      <c r="D440" s="74"/>
      <c r="E440" s="74" t="str">
        <f t="shared" si="7"/>
        <v/>
      </c>
    </row>
    <row r="441" spans="1:5" x14ac:dyDescent="0.2">
      <c r="A441" s="74"/>
      <c r="B441" s="72"/>
      <c r="C441" s="728"/>
      <c r="D441" s="74"/>
      <c r="E441" s="74" t="str">
        <f t="shared" si="7"/>
        <v/>
      </c>
    </row>
    <row r="442" spans="1:5" x14ac:dyDescent="0.2">
      <c r="A442" s="74"/>
      <c r="B442" s="72"/>
      <c r="C442" s="728"/>
      <c r="D442" s="74"/>
      <c r="E442" s="74" t="str">
        <f t="shared" si="7"/>
        <v/>
      </c>
    </row>
    <row r="443" spans="1:5" x14ac:dyDescent="0.2">
      <c r="A443" s="74"/>
      <c r="B443" s="72"/>
      <c r="C443" s="728"/>
      <c r="D443" s="74"/>
      <c r="E443" s="74" t="str">
        <f t="shared" si="7"/>
        <v/>
      </c>
    </row>
    <row r="444" spans="1:5" x14ac:dyDescent="0.2">
      <c r="A444" s="74"/>
      <c r="B444" s="72"/>
      <c r="C444" s="728"/>
      <c r="D444" s="74"/>
      <c r="E444" s="74" t="str">
        <f t="shared" si="7"/>
        <v/>
      </c>
    </row>
    <row r="445" spans="1:5" x14ac:dyDescent="0.2">
      <c r="A445" s="74"/>
      <c r="B445" s="72"/>
      <c r="C445" s="728"/>
      <c r="D445" s="74"/>
      <c r="E445" s="74" t="str">
        <f t="shared" si="7"/>
        <v/>
      </c>
    </row>
    <row r="446" spans="1:5" x14ac:dyDescent="0.2">
      <c r="A446" s="74"/>
      <c r="B446" s="72"/>
      <c r="C446" s="728"/>
      <c r="D446" s="74"/>
      <c r="E446" s="74" t="str">
        <f t="shared" si="7"/>
        <v/>
      </c>
    </row>
    <row r="447" spans="1:5" x14ac:dyDescent="0.2">
      <c r="A447" s="74"/>
      <c r="B447" s="72"/>
      <c r="C447" s="728"/>
      <c r="D447" s="74"/>
      <c r="E447" s="74" t="str">
        <f t="shared" si="7"/>
        <v/>
      </c>
    </row>
    <row r="448" spans="1:5" x14ac:dyDescent="0.2">
      <c r="A448" s="74"/>
      <c r="B448" s="72"/>
      <c r="C448" s="728"/>
      <c r="D448" s="74"/>
      <c r="E448" s="74" t="str">
        <f t="shared" si="7"/>
        <v/>
      </c>
    </row>
    <row r="449" spans="1:5" x14ac:dyDescent="0.2">
      <c r="A449" s="74"/>
      <c r="B449" s="72"/>
      <c r="C449" s="728"/>
      <c r="D449" s="74"/>
      <c r="E449" s="74" t="str">
        <f t="shared" si="7"/>
        <v/>
      </c>
    </row>
    <row r="450" spans="1:5" x14ac:dyDescent="0.2">
      <c r="A450" s="74"/>
      <c r="B450" s="72"/>
      <c r="C450" s="728"/>
      <c r="D450" s="74"/>
      <c r="E450" s="74" t="str">
        <f t="shared" si="7"/>
        <v/>
      </c>
    </row>
    <row r="451" spans="1:5" x14ac:dyDescent="0.2">
      <c r="A451" s="74"/>
      <c r="B451" s="72"/>
      <c r="C451" s="728"/>
      <c r="D451" s="74"/>
      <c r="E451" s="74" t="str">
        <f t="shared" si="7"/>
        <v/>
      </c>
    </row>
    <row r="452" spans="1:5" x14ac:dyDescent="0.2">
      <c r="A452" s="74"/>
      <c r="B452" s="72"/>
      <c r="C452" s="728"/>
      <c r="D452" s="74"/>
      <c r="E452" s="74" t="str">
        <f t="shared" si="7"/>
        <v/>
      </c>
    </row>
    <row r="453" spans="1:5" x14ac:dyDescent="0.2">
      <c r="A453" s="74"/>
      <c r="B453" s="72"/>
      <c r="C453" s="728"/>
      <c r="D453" s="74"/>
      <c r="E453" s="74" t="str">
        <f t="shared" ref="E453:E516" si="8">IFERROR(VLOOKUP(D453,T_Indices,5,FALSE),"")</f>
        <v/>
      </c>
    </row>
    <row r="454" spans="1:5" x14ac:dyDescent="0.2">
      <c r="A454" s="74"/>
      <c r="B454" s="72"/>
      <c r="C454" s="728"/>
      <c r="D454" s="74"/>
      <c r="E454" s="74" t="str">
        <f t="shared" si="8"/>
        <v/>
      </c>
    </row>
    <row r="455" spans="1:5" x14ac:dyDescent="0.2">
      <c r="A455" s="74"/>
      <c r="B455" s="72"/>
      <c r="C455" s="728"/>
      <c r="D455" s="74"/>
      <c r="E455" s="74" t="str">
        <f t="shared" si="8"/>
        <v/>
      </c>
    </row>
    <row r="456" spans="1:5" x14ac:dyDescent="0.2">
      <c r="A456" s="74"/>
      <c r="B456" s="72"/>
      <c r="C456" s="728"/>
      <c r="D456" s="74"/>
      <c r="E456" s="74" t="str">
        <f t="shared" si="8"/>
        <v/>
      </c>
    </row>
    <row r="457" spans="1:5" x14ac:dyDescent="0.2">
      <c r="A457" s="74"/>
      <c r="B457" s="72"/>
      <c r="C457" s="728"/>
      <c r="D457" s="74"/>
      <c r="E457" s="74" t="str">
        <f t="shared" si="8"/>
        <v/>
      </c>
    </row>
    <row r="458" spans="1:5" x14ac:dyDescent="0.2">
      <c r="A458" s="74"/>
      <c r="B458" s="72"/>
      <c r="C458" s="728"/>
      <c r="D458" s="74"/>
      <c r="E458" s="74" t="str">
        <f t="shared" si="8"/>
        <v/>
      </c>
    </row>
    <row r="459" spans="1:5" x14ac:dyDescent="0.2">
      <c r="A459" s="74"/>
      <c r="B459" s="72"/>
      <c r="C459" s="728"/>
      <c r="D459" s="74"/>
      <c r="E459" s="74" t="str">
        <f t="shared" si="8"/>
        <v/>
      </c>
    </row>
    <row r="460" spans="1:5" x14ac:dyDescent="0.2">
      <c r="A460" s="74"/>
      <c r="B460" s="72"/>
      <c r="C460" s="728"/>
      <c r="D460" s="74"/>
      <c r="E460" s="74" t="str">
        <f t="shared" si="8"/>
        <v/>
      </c>
    </row>
    <row r="461" spans="1:5" x14ac:dyDescent="0.2">
      <c r="A461" s="74"/>
      <c r="B461" s="72"/>
      <c r="C461" s="728"/>
      <c r="D461" s="74"/>
      <c r="E461" s="74" t="str">
        <f t="shared" si="8"/>
        <v/>
      </c>
    </row>
    <row r="462" spans="1:5" x14ac:dyDescent="0.2">
      <c r="A462" s="74"/>
      <c r="B462" s="72"/>
      <c r="C462" s="728"/>
      <c r="D462" s="74"/>
      <c r="E462" s="74" t="str">
        <f t="shared" si="8"/>
        <v/>
      </c>
    </row>
    <row r="463" spans="1:5" x14ac:dyDescent="0.2">
      <c r="A463" s="74"/>
      <c r="B463" s="72"/>
      <c r="C463" s="728"/>
      <c r="D463" s="74"/>
      <c r="E463" s="74" t="str">
        <f t="shared" si="8"/>
        <v/>
      </c>
    </row>
    <row r="464" spans="1:5" x14ac:dyDescent="0.2">
      <c r="A464" s="74"/>
      <c r="B464" s="72"/>
      <c r="C464" s="728"/>
      <c r="D464" s="74"/>
      <c r="E464" s="74" t="str">
        <f t="shared" si="8"/>
        <v/>
      </c>
    </row>
    <row r="465" spans="1:5" x14ac:dyDescent="0.2">
      <c r="A465" s="74"/>
      <c r="B465" s="72"/>
      <c r="C465" s="728"/>
      <c r="D465" s="74"/>
      <c r="E465" s="74" t="str">
        <f t="shared" si="8"/>
        <v/>
      </c>
    </row>
    <row r="466" spans="1:5" x14ac:dyDescent="0.2">
      <c r="A466" s="74"/>
      <c r="B466" s="72"/>
      <c r="C466" s="728"/>
      <c r="D466" s="74"/>
      <c r="E466" s="74" t="str">
        <f t="shared" si="8"/>
        <v/>
      </c>
    </row>
    <row r="467" spans="1:5" x14ac:dyDescent="0.2">
      <c r="A467" s="74"/>
      <c r="B467" s="72"/>
      <c r="C467" s="728"/>
      <c r="D467" s="74"/>
      <c r="E467" s="74" t="str">
        <f t="shared" si="8"/>
        <v/>
      </c>
    </row>
    <row r="468" spans="1:5" x14ac:dyDescent="0.2">
      <c r="A468" s="74"/>
      <c r="B468" s="72"/>
      <c r="C468" s="728"/>
      <c r="D468" s="74"/>
      <c r="E468" s="74" t="str">
        <f t="shared" si="8"/>
        <v/>
      </c>
    </row>
    <row r="469" spans="1:5" x14ac:dyDescent="0.2">
      <c r="A469" s="74"/>
      <c r="B469" s="72"/>
      <c r="C469" s="728"/>
      <c r="D469" s="74"/>
      <c r="E469" s="74" t="str">
        <f t="shared" si="8"/>
        <v/>
      </c>
    </row>
    <row r="470" spans="1:5" x14ac:dyDescent="0.2">
      <c r="A470" s="74"/>
      <c r="B470" s="72"/>
      <c r="C470" s="728"/>
      <c r="D470" s="74"/>
      <c r="E470" s="74" t="str">
        <f t="shared" si="8"/>
        <v/>
      </c>
    </row>
    <row r="471" spans="1:5" x14ac:dyDescent="0.2">
      <c r="A471" s="74"/>
      <c r="B471" s="72"/>
      <c r="C471" s="728"/>
      <c r="D471" s="74"/>
      <c r="E471" s="74" t="str">
        <f t="shared" si="8"/>
        <v/>
      </c>
    </row>
    <row r="472" spans="1:5" x14ac:dyDescent="0.2">
      <c r="A472" s="74"/>
      <c r="B472" s="72"/>
      <c r="C472" s="728"/>
      <c r="D472" s="74"/>
      <c r="E472" s="74" t="str">
        <f t="shared" si="8"/>
        <v/>
      </c>
    </row>
    <row r="473" spans="1:5" x14ac:dyDescent="0.2">
      <c r="A473" s="74"/>
      <c r="B473" s="72"/>
      <c r="C473" s="728"/>
      <c r="D473" s="74"/>
      <c r="E473" s="74" t="str">
        <f t="shared" si="8"/>
        <v/>
      </c>
    </row>
    <row r="474" spans="1:5" x14ac:dyDescent="0.2">
      <c r="A474" s="74"/>
      <c r="B474" s="72"/>
      <c r="C474" s="728"/>
      <c r="D474" s="74"/>
      <c r="E474" s="74" t="str">
        <f t="shared" si="8"/>
        <v/>
      </c>
    </row>
    <row r="475" spans="1:5" x14ac:dyDescent="0.2">
      <c r="A475" s="74"/>
      <c r="B475" s="72"/>
      <c r="C475" s="728"/>
      <c r="D475" s="74"/>
      <c r="E475" s="74" t="str">
        <f t="shared" si="8"/>
        <v/>
      </c>
    </row>
    <row r="476" spans="1:5" x14ac:dyDescent="0.2">
      <c r="A476" s="74"/>
      <c r="B476" s="72"/>
      <c r="C476" s="728"/>
      <c r="D476" s="74"/>
      <c r="E476" s="74" t="str">
        <f t="shared" si="8"/>
        <v/>
      </c>
    </row>
    <row r="477" spans="1:5" x14ac:dyDescent="0.2">
      <c r="A477" s="74"/>
      <c r="B477" s="72"/>
      <c r="C477" s="728"/>
      <c r="D477" s="74"/>
      <c r="E477" s="74" t="str">
        <f t="shared" si="8"/>
        <v/>
      </c>
    </row>
    <row r="478" spans="1:5" x14ac:dyDescent="0.2">
      <c r="A478" s="74"/>
      <c r="B478" s="72"/>
      <c r="C478" s="728"/>
      <c r="D478" s="74"/>
      <c r="E478" s="74" t="str">
        <f t="shared" si="8"/>
        <v/>
      </c>
    </row>
    <row r="479" spans="1:5" x14ac:dyDescent="0.2">
      <c r="A479" s="74"/>
      <c r="B479" s="72"/>
      <c r="C479" s="728"/>
      <c r="D479" s="74"/>
      <c r="E479" s="74" t="str">
        <f t="shared" si="8"/>
        <v/>
      </c>
    </row>
    <row r="480" spans="1:5" x14ac:dyDescent="0.2">
      <c r="A480" s="74"/>
      <c r="B480" s="72"/>
      <c r="C480" s="728"/>
      <c r="D480" s="74"/>
      <c r="E480" s="74" t="str">
        <f t="shared" si="8"/>
        <v/>
      </c>
    </row>
    <row r="481" spans="1:5" x14ac:dyDescent="0.2">
      <c r="A481" s="74"/>
      <c r="B481" s="72"/>
      <c r="C481" s="728"/>
      <c r="D481" s="74"/>
      <c r="E481" s="74" t="str">
        <f t="shared" si="8"/>
        <v/>
      </c>
    </row>
    <row r="482" spans="1:5" x14ac:dyDescent="0.2">
      <c r="A482" s="74"/>
      <c r="B482" s="72"/>
      <c r="C482" s="728"/>
      <c r="D482" s="74"/>
      <c r="E482" s="74" t="str">
        <f t="shared" si="8"/>
        <v/>
      </c>
    </row>
    <row r="483" spans="1:5" x14ac:dyDescent="0.2">
      <c r="A483" s="74"/>
      <c r="B483" s="72"/>
      <c r="C483" s="728"/>
      <c r="D483" s="74"/>
      <c r="E483" s="74" t="str">
        <f t="shared" si="8"/>
        <v/>
      </c>
    </row>
    <row r="484" spans="1:5" x14ac:dyDescent="0.2">
      <c r="A484" s="74"/>
      <c r="B484" s="72"/>
      <c r="C484" s="728"/>
      <c r="D484" s="74"/>
      <c r="E484" s="74" t="str">
        <f t="shared" si="8"/>
        <v/>
      </c>
    </row>
    <row r="485" spans="1:5" x14ac:dyDescent="0.2">
      <c r="A485" s="74"/>
      <c r="B485" s="72"/>
      <c r="C485" s="728"/>
      <c r="D485" s="74"/>
      <c r="E485" s="74" t="str">
        <f t="shared" si="8"/>
        <v/>
      </c>
    </row>
    <row r="486" spans="1:5" x14ac:dyDescent="0.2">
      <c r="A486" s="74"/>
      <c r="B486" s="72"/>
      <c r="C486" s="728"/>
      <c r="D486" s="74"/>
      <c r="E486" s="74" t="str">
        <f t="shared" si="8"/>
        <v/>
      </c>
    </row>
    <row r="487" spans="1:5" x14ac:dyDescent="0.2">
      <c r="A487" s="74"/>
      <c r="B487" s="72"/>
      <c r="C487" s="728"/>
      <c r="D487" s="74"/>
      <c r="E487" s="74" t="str">
        <f t="shared" si="8"/>
        <v/>
      </c>
    </row>
    <row r="488" spans="1:5" x14ac:dyDescent="0.2">
      <c r="A488" s="74"/>
      <c r="B488" s="72"/>
      <c r="C488" s="728"/>
      <c r="D488" s="74"/>
      <c r="E488" s="74" t="str">
        <f t="shared" si="8"/>
        <v/>
      </c>
    </row>
    <row r="489" spans="1:5" x14ac:dyDescent="0.2">
      <c r="A489" s="74"/>
      <c r="B489" s="72"/>
      <c r="C489" s="728"/>
      <c r="D489" s="74"/>
      <c r="E489" s="74" t="str">
        <f t="shared" si="8"/>
        <v/>
      </c>
    </row>
    <row r="490" spans="1:5" x14ac:dyDescent="0.2">
      <c r="A490" s="74"/>
      <c r="B490" s="72"/>
      <c r="C490" s="728"/>
      <c r="D490" s="74"/>
      <c r="E490" s="74" t="str">
        <f t="shared" si="8"/>
        <v/>
      </c>
    </row>
    <row r="491" spans="1:5" x14ac:dyDescent="0.2">
      <c r="A491" s="74"/>
      <c r="B491" s="72"/>
      <c r="C491" s="728"/>
      <c r="D491" s="74"/>
      <c r="E491" s="74" t="str">
        <f t="shared" si="8"/>
        <v/>
      </c>
    </row>
    <row r="492" spans="1:5" x14ac:dyDescent="0.2">
      <c r="A492" s="74"/>
      <c r="B492" s="72"/>
      <c r="C492" s="728"/>
      <c r="D492" s="74"/>
      <c r="E492" s="74" t="str">
        <f t="shared" si="8"/>
        <v/>
      </c>
    </row>
    <row r="493" spans="1:5" x14ac:dyDescent="0.2">
      <c r="A493" s="74"/>
      <c r="B493" s="72"/>
      <c r="C493" s="728"/>
      <c r="D493" s="74"/>
      <c r="E493" s="74" t="str">
        <f t="shared" si="8"/>
        <v/>
      </c>
    </row>
    <row r="494" spans="1:5" x14ac:dyDescent="0.2">
      <c r="A494" s="74"/>
      <c r="B494" s="72"/>
      <c r="C494" s="728"/>
      <c r="D494" s="74"/>
      <c r="E494" s="74" t="str">
        <f t="shared" si="8"/>
        <v/>
      </c>
    </row>
    <row r="495" spans="1:5" x14ac:dyDescent="0.2">
      <c r="A495" s="74"/>
      <c r="B495" s="72"/>
      <c r="C495" s="728"/>
      <c r="D495" s="74"/>
      <c r="E495" s="74" t="str">
        <f t="shared" si="8"/>
        <v/>
      </c>
    </row>
    <row r="496" spans="1:5" x14ac:dyDescent="0.2">
      <c r="A496" s="74"/>
      <c r="B496" s="72"/>
      <c r="C496" s="728"/>
      <c r="D496" s="74"/>
      <c r="E496" s="74" t="str">
        <f t="shared" si="8"/>
        <v/>
      </c>
    </row>
    <row r="497" spans="1:5" x14ac:dyDescent="0.2">
      <c r="A497" s="74"/>
      <c r="B497" s="72"/>
      <c r="C497" s="728"/>
      <c r="D497" s="74"/>
      <c r="E497" s="74" t="str">
        <f t="shared" si="8"/>
        <v/>
      </c>
    </row>
    <row r="498" spans="1:5" x14ac:dyDescent="0.2">
      <c r="A498" s="74"/>
      <c r="B498" s="72"/>
      <c r="C498" s="728"/>
      <c r="D498" s="74"/>
      <c r="E498" s="74" t="str">
        <f t="shared" si="8"/>
        <v/>
      </c>
    </row>
    <row r="499" spans="1:5" x14ac:dyDescent="0.2">
      <c r="A499" s="74"/>
      <c r="B499" s="72"/>
      <c r="C499" s="728"/>
      <c r="D499" s="74"/>
      <c r="E499" s="74" t="str">
        <f t="shared" si="8"/>
        <v/>
      </c>
    </row>
    <row r="500" spans="1:5" x14ac:dyDescent="0.2">
      <c r="A500" s="74"/>
      <c r="B500" s="72"/>
      <c r="C500" s="728"/>
      <c r="D500" s="74"/>
      <c r="E500" s="74" t="str">
        <f t="shared" si="8"/>
        <v/>
      </c>
    </row>
    <row r="501" spans="1:5" x14ac:dyDescent="0.2">
      <c r="A501" s="74"/>
      <c r="B501" s="72"/>
      <c r="C501" s="728"/>
      <c r="D501" s="74"/>
      <c r="E501" s="74" t="str">
        <f t="shared" si="8"/>
        <v/>
      </c>
    </row>
    <row r="502" spans="1:5" x14ac:dyDescent="0.2">
      <c r="A502" s="74"/>
      <c r="B502" s="72"/>
      <c r="C502" s="728"/>
      <c r="D502" s="74"/>
      <c r="E502" s="74" t="str">
        <f t="shared" si="8"/>
        <v/>
      </c>
    </row>
    <row r="503" spans="1:5" x14ac:dyDescent="0.2">
      <c r="A503" s="74"/>
      <c r="B503" s="72"/>
      <c r="C503" s="728"/>
      <c r="D503" s="74"/>
      <c r="E503" s="74" t="str">
        <f t="shared" si="8"/>
        <v/>
      </c>
    </row>
    <row r="504" spans="1:5" x14ac:dyDescent="0.2">
      <c r="A504" s="74"/>
      <c r="B504" s="72"/>
      <c r="C504" s="728"/>
      <c r="D504" s="74"/>
      <c r="E504" s="74" t="str">
        <f t="shared" si="8"/>
        <v/>
      </c>
    </row>
    <row r="505" spans="1:5" x14ac:dyDescent="0.2">
      <c r="A505" s="74"/>
      <c r="B505" s="72"/>
      <c r="C505" s="728"/>
      <c r="D505" s="74"/>
      <c r="E505" s="74" t="str">
        <f t="shared" si="8"/>
        <v/>
      </c>
    </row>
    <row r="506" spans="1:5" x14ac:dyDescent="0.2">
      <c r="A506" s="74"/>
      <c r="B506" s="72"/>
      <c r="C506" s="728"/>
      <c r="D506" s="74"/>
      <c r="E506" s="74" t="str">
        <f t="shared" si="8"/>
        <v/>
      </c>
    </row>
    <row r="507" spans="1:5" x14ac:dyDescent="0.2">
      <c r="A507" s="74"/>
      <c r="B507" s="72"/>
      <c r="C507" s="728"/>
      <c r="D507" s="74"/>
      <c r="E507" s="74" t="str">
        <f t="shared" si="8"/>
        <v/>
      </c>
    </row>
    <row r="508" spans="1:5" x14ac:dyDescent="0.2">
      <c r="A508" s="74"/>
      <c r="B508" s="72"/>
      <c r="C508" s="728"/>
      <c r="D508" s="74"/>
      <c r="E508" s="74" t="str">
        <f t="shared" si="8"/>
        <v/>
      </c>
    </row>
    <row r="509" spans="1:5" x14ac:dyDescent="0.2">
      <c r="A509" s="74"/>
      <c r="B509" s="72"/>
      <c r="C509" s="728"/>
      <c r="D509" s="74"/>
      <c r="E509" s="74" t="str">
        <f t="shared" si="8"/>
        <v/>
      </c>
    </row>
    <row r="510" spans="1:5" x14ac:dyDescent="0.2">
      <c r="A510" s="74"/>
      <c r="B510" s="72"/>
      <c r="C510" s="728"/>
      <c r="D510" s="74"/>
      <c r="E510" s="74" t="str">
        <f t="shared" si="8"/>
        <v/>
      </c>
    </row>
    <row r="511" spans="1:5" x14ac:dyDescent="0.2">
      <c r="A511" s="74"/>
      <c r="B511" s="72"/>
      <c r="C511" s="728"/>
      <c r="D511" s="74"/>
      <c r="E511" s="74" t="str">
        <f t="shared" si="8"/>
        <v/>
      </c>
    </row>
    <row r="512" spans="1:5" x14ac:dyDescent="0.2">
      <c r="A512" s="74"/>
      <c r="B512" s="72"/>
      <c r="C512" s="728"/>
      <c r="D512" s="74"/>
      <c r="E512" s="74" t="str">
        <f t="shared" si="8"/>
        <v/>
      </c>
    </row>
    <row r="513" spans="1:5" x14ac:dyDescent="0.2">
      <c r="A513" s="74"/>
      <c r="B513" s="72"/>
      <c r="C513" s="728"/>
      <c r="D513" s="74"/>
      <c r="E513" s="74" t="str">
        <f t="shared" si="8"/>
        <v/>
      </c>
    </row>
    <row r="514" spans="1:5" x14ac:dyDescent="0.2">
      <c r="A514" s="74"/>
      <c r="B514" s="72"/>
      <c r="C514" s="728"/>
      <c r="D514" s="74"/>
      <c r="E514" s="74" t="str">
        <f t="shared" si="8"/>
        <v/>
      </c>
    </row>
    <row r="515" spans="1:5" x14ac:dyDescent="0.2">
      <c r="A515" s="74"/>
      <c r="B515" s="72"/>
      <c r="C515" s="728"/>
      <c r="D515" s="74"/>
      <c r="E515" s="74" t="str">
        <f t="shared" si="8"/>
        <v/>
      </c>
    </row>
    <row r="516" spans="1:5" x14ac:dyDescent="0.2">
      <c r="A516" s="74"/>
      <c r="B516" s="72"/>
      <c r="C516" s="728"/>
      <c r="D516" s="74"/>
      <c r="E516" s="74" t="str">
        <f t="shared" si="8"/>
        <v/>
      </c>
    </row>
    <row r="517" spans="1:5" x14ac:dyDescent="0.2">
      <c r="A517" s="74"/>
      <c r="B517" s="72"/>
      <c r="C517" s="728"/>
      <c r="D517" s="74"/>
      <c r="E517" s="74" t="str">
        <f t="shared" ref="E517:E545" si="9">IFERROR(VLOOKUP(D517,T_Indices,5,FALSE),"")</f>
        <v/>
      </c>
    </row>
    <row r="518" spans="1:5" x14ac:dyDescent="0.2">
      <c r="A518" s="74"/>
      <c r="B518" s="72"/>
      <c r="C518" s="728"/>
      <c r="D518" s="74"/>
      <c r="E518" s="74" t="str">
        <f t="shared" si="9"/>
        <v/>
      </c>
    </row>
    <row r="519" spans="1:5" x14ac:dyDescent="0.2">
      <c r="A519" s="74"/>
      <c r="B519" s="72"/>
      <c r="C519" s="728"/>
      <c r="D519" s="74"/>
      <c r="E519" s="74" t="str">
        <f t="shared" si="9"/>
        <v/>
      </c>
    </row>
    <row r="520" spans="1:5" x14ac:dyDescent="0.2">
      <c r="A520" s="74"/>
      <c r="B520" s="72"/>
      <c r="C520" s="728"/>
      <c r="D520" s="74"/>
      <c r="E520" s="74" t="str">
        <f t="shared" si="9"/>
        <v/>
      </c>
    </row>
    <row r="521" spans="1:5" x14ac:dyDescent="0.2">
      <c r="A521" s="74"/>
      <c r="B521" s="72"/>
      <c r="C521" s="728"/>
      <c r="D521" s="74"/>
      <c r="E521" s="74" t="str">
        <f t="shared" si="9"/>
        <v/>
      </c>
    </row>
    <row r="522" spans="1:5" x14ac:dyDescent="0.2">
      <c r="A522" s="74"/>
      <c r="B522" s="72"/>
      <c r="C522" s="728"/>
      <c r="D522" s="74"/>
      <c r="E522" s="74" t="str">
        <f t="shared" si="9"/>
        <v/>
      </c>
    </row>
    <row r="523" spans="1:5" x14ac:dyDescent="0.2">
      <c r="A523" s="74"/>
      <c r="B523" s="72"/>
      <c r="C523" s="728"/>
      <c r="D523" s="74"/>
      <c r="E523" s="74" t="str">
        <f t="shared" si="9"/>
        <v/>
      </c>
    </row>
    <row r="524" spans="1:5" x14ac:dyDescent="0.2">
      <c r="A524" s="74"/>
      <c r="B524" s="72"/>
      <c r="C524" s="728"/>
      <c r="D524" s="74"/>
      <c r="E524" s="74" t="str">
        <f t="shared" si="9"/>
        <v/>
      </c>
    </row>
    <row r="525" spans="1:5" x14ac:dyDescent="0.2">
      <c r="A525" s="74"/>
      <c r="B525" s="72"/>
      <c r="C525" s="728"/>
      <c r="D525" s="74"/>
      <c r="E525" s="74" t="str">
        <f t="shared" si="9"/>
        <v/>
      </c>
    </row>
    <row r="526" spans="1:5" x14ac:dyDescent="0.2">
      <c r="A526" s="74"/>
      <c r="B526" s="72"/>
      <c r="C526" s="728"/>
      <c r="D526" s="74"/>
      <c r="E526" s="74" t="str">
        <f t="shared" si="9"/>
        <v/>
      </c>
    </row>
    <row r="527" spans="1:5" x14ac:dyDescent="0.2">
      <c r="A527" s="74"/>
      <c r="B527" s="72"/>
      <c r="C527" s="728"/>
      <c r="D527" s="74"/>
      <c r="E527" s="74" t="str">
        <f t="shared" si="9"/>
        <v/>
      </c>
    </row>
    <row r="528" spans="1:5" x14ac:dyDescent="0.2">
      <c r="A528" s="74"/>
      <c r="B528" s="72"/>
      <c r="C528" s="728"/>
      <c r="D528" s="74"/>
      <c r="E528" s="74" t="str">
        <f t="shared" si="9"/>
        <v/>
      </c>
    </row>
    <row r="529" spans="1:5" x14ac:dyDescent="0.2">
      <c r="A529" s="74"/>
      <c r="B529" s="72"/>
      <c r="C529" s="728"/>
      <c r="D529" s="74"/>
      <c r="E529" s="74" t="str">
        <f t="shared" si="9"/>
        <v/>
      </c>
    </row>
    <row r="530" spans="1:5" x14ac:dyDescent="0.2">
      <c r="A530" s="74"/>
      <c r="B530" s="72"/>
      <c r="C530" s="728"/>
      <c r="D530" s="74"/>
      <c r="E530" s="74" t="str">
        <f t="shared" si="9"/>
        <v/>
      </c>
    </row>
    <row r="531" spans="1:5" x14ac:dyDescent="0.2">
      <c r="A531" s="74"/>
      <c r="B531" s="72"/>
      <c r="C531" s="728"/>
      <c r="D531" s="74"/>
      <c r="E531" s="74" t="str">
        <f t="shared" si="9"/>
        <v/>
      </c>
    </row>
    <row r="532" spans="1:5" x14ac:dyDescent="0.2">
      <c r="A532" s="74"/>
      <c r="B532" s="72"/>
      <c r="C532" s="728"/>
      <c r="D532" s="74"/>
      <c r="E532" s="74" t="str">
        <f t="shared" si="9"/>
        <v/>
      </c>
    </row>
    <row r="533" spans="1:5" x14ac:dyDescent="0.2">
      <c r="A533" s="74"/>
      <c r="B533" s="72"/>
      <c r="C533" s="728"/>
      <c r="D533" s="74"/>
      <c r="E533" s="74" t="str">
        <f t="shared" si="9"/>
        <v/>
      </c>
    </row>
    <row r="534" spans="1:5" x14ac:dyDescent="0.2">
      <c r="A534" s="74"/>
      <c r="B534" s="72"/>
      <c r="C534" s="728"/>
      <c r="D534" s="74"/>
      <c r="E534" s="74" t="str">
        <f t="shared" si="9"/>
        <v/>
      </c>
    </row>
    <row r="535" spans="1:5" x14ac:dyDescent="0.2">
      <c r="A535" s="74"/>
      <c r="B535" s="72"/>
      <c r="C535" s="728"/>
      <c r="D535" s="74"/>
      <c r="E535" s="74" t="str">
        <f t="shared" si="9"/>
        <v/>
      </c>
    </row>
    <row r="536" spans="1:5" x14ac:dyDescent="0.2">
      <c r="A536" s="74"/>
      <c r="B536" s="72"/>
      <c r="C536" s="728"/>
      <c r="D536" s="74"/>
      <c r="E536" s="74" t="str">
        <f t="shared" si="9"/>
        <v/>
      </c>
    </row>
    <row r="537" spans="1:5" x14ac:dyDescent="0.2">
      <c r="A537" s="74"/>
      <c r="B537" s="72"/>
      <c r="C537" s="728"/>
      <c r="D537" s="74"/>
      <c r="E537" s="74" t="str">
        <f t="shared" si="9"/>
        <v/>
      </c>
    </row>
    <row r="538" spans="1:5" x14ac:dyDescent="0.2">
      <c r="A538" s="74"/>
      <c r="B538" s="72"/>
      <c r="C538" s="728"/>
      <c r="D538" s="74"/>
      <c r="E538" s="74" t="str">
        <f t="shared" si="9"/>
        <v/>
      </c>
    </row>
    <row r="539" spans="1:5" x14ac:dyDescent="0.2">
      <c r="A539" s="74"/>
      <c r="B539" s="72"/>
      <c r="C539" s="728"/>
      <c r="D539" s="74"/>
      <c r="E539" s="74" t="str">
        <f t="shared" si="9"/>
        <v/>
      </c>
    </row>
    <row r="540" spans="1:5" x14ac:dyDescent="0.2">
      <c r="A540" s="74"/>
      <c r="B540" s="72"/>
      <c r="C540" s="728"/>
      <c r="D540" s="74"/>
      <c r="E540" s="74" t="str">
        <f t="shared" si="9"/>
        <v/>
      </c>
    </row>
    <row r="541" spans="1:5" x14ac:dyDescent="0.2">
      <c r="A541" s="74"/>
      <c r="B541" s="72"/>
      <c r="C541" s="728"/>
      <c r="D541" s="74"/>
      <c r="E541" s="74" t="str">
        <f t="shared" si="9"/>
        <v/>
      </c>
    </row>
    <row r="542" spans="1:5" x14ac:dyDescent="0.2">
      <c r="A542" s="74"/>
      <c r="B542" s="72"/>
      <c r="C542" s="728"/>
      <c r="D542" s="74"/>
      <c r="E542" s="74" t="str">
        <f t="shared" si="9"/>
        <v/>
      </c>
    </row>
    <row r="543" spans="1:5" x14ac:dyDescent="0.2">
      <c r="A543" s="74"/>
      <c r="B543" s="72"/>
      <c r="C543" s="728"/>
      <c r="D543" s="74"/>
      <c r="E543" s="74" t="str">
        <f t="shared" si="9"/>
        <v/>
      </c>
    </row>
    <row r="544" spans="1:5" x14ac:dyDescent="0.2">
      <c r="A544" s="74"/>
      <c r="B544" s="72"/>
      <c r="C544" s="728"/>
      <c r="D544" s="74"/>
      <c r="E544" s="74" t="str">
        <f t="shared" si="9"/>
        <v/>
      </c>
    </row>
    <row r="545" spans="1:5" x14ac:dyDescent="0.2">
      <c r="A545" s="74"/>
      <c r="B545" s="72"/>
      <c r="C545" s="728"/>
      <c r="D545" s="74"/>
      <c r="E545" s="74" t="str">
        <f t="shared" si="9"/>
        <v/>
      </c>
    </row>
  </sheetData>
  <sortState ref="A33:G320">
    <sortCondition ref="A33:A320"/>
  </sortState>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B45"/>
  <sheetViews>
    <sheetView showZeros="0" view="pageBreakPreview" topLeftCell="A13" zoomScaleNormal="100" zoomScaleSheetLayoutView="100" workbookViewId="0">
      <selection activeCell="D34" sqref="D3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9" width="15.7109375" style="9" customWidth="1"/>
    <col min="10" max="10" width="10.7109375" style="10" customWidth="1"/>
    <col min="11" max="11" width="10.7109375" style="9" customWidth="1"/>
    <col min="12" max="31" width="10.7109375" style="88" customWidth="1"/>
    <col min="32" max="80" width="11.42578125" style="88"/>
    <col min="81" max="16384" width="11.42578125" style="9"/>
  </cols>
  <sheetData>
    <row r="1" spans="1:80" s="5" customFormat="1" ht="20.100000000000001" customHeight="1" x14ac:dyDescent="0.2">
      <c r="A1" s="3" t="s">
        <v>8</v>
      </c>
      <c r="B1" s="3"/>
      <c r="C1" s="3" t="str">
        <f>Comitente</f>
        <v>DEPARTAMENTO DE HIDRAULICA</v>
      </c>
      <c r="D1" s="4"/>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row>
    <row r="2" spans="1:80" s="6" customFormat="1" ht="20.100000000000001" customHeight="1" x14ac:dyDescent="0.2">
      <c r="A2" s="13" t="s">
        <v>9</v>
      </c>
      <c r="B2" s="13"/>
      <c r="C2" s="13" t="str">
        <f>Obra</f>
        <v>ENCAMISADO CANAL GENERAL COCHAGUAL</v>
      </c>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row>
    <row r="3" spans="1:80" s="6" customFormat="1" ht="20.100000000000001" customHeight="1" x14ac:dyDescent="0.2">
      <c r="A3" s="13" t="s">
        <v>13</v>
      </c>
      <c r="B3" s="13"/>
      <c r="C3" s="13" t="str">
        <f>Ubicación</f>
        <v>DEPARTAMENTO SARMIENTO</v>
      </c>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row>
    <row r="4" spans="1:80" s="6" customFormat="1" ht="20.100000000000001" customHeight="1" x14ac:dyDescent="0.2">
      <c r="A4" s="13" t="s">
        <v>12</v>
      </c>
      <c r="B4" s="14"/>
      <c r="C4" s="68" t="str">
        <f>Licitación_N°</f>
        <v>06/2021</v>
      </c>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row>
    <row r="5" spans="1:80" s="6" customFormat="1" ht="20.100000000000001" customHeight="1" x14ac:dyDescent="0.2">
      <c r="A5" s="13" t="s">
        <v>14</v>
      </c>
      <c r="B5" s="14"/>
      <c r="C5" s="69">
        <f>Plazo_Obra</f>
        <v>120</v>
      </c>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row>
    <row r="6" spans="1:80" s="6" customFormat="1" ht="20.100000000000001" customHeight="1" x14ac:dyDescent="0.2">
      <c r="A6" s="13" t="s">
        <v>10</v>
      </c>
      <c r="B6" s="13"/>
      <c r="C6" s="13">
        <f>Contratista</f>
        <v>0</v>
      </c>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row>
    <row r="7" spans="1:80" s="2" customFormat="1" ht="20.100000000000001" customHeight="1" x14ac:dyDescent="0.2">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row>
    <row r="8" spans="1:80" s="2" customFormat="1" ht="20.100000000000001" customHeight="1" x14ac:dyDescent="0.2">
      <c r="A8" s="810" t="s">
        <v>39</v>
      </c>
      <c r="B8" s="811"/>
      <c r="C8" s="811"/>
      <c r="D8" s="812"/>
      <c r="E8" s="8"/>
      <c r="F8" s="8"/>
      <c r="G8" s="8"/>
      <c r="H8" s="8"/>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row>
    <row r="10" spans="1:80" ht="20.100000000000001" customHeight="1" x14ac:dyDescent="0.2">
      <c r="A10" s="785" t="s">
        <v>893</v>
      </c>
      <c r="B10" s="813" t="s">
        <v>0</v>
      </c>
      <c r="C10" s="813"/>
      <c r="D10" s="815" t="s">
        <v>11</v>
      </c>
      <c r="E10" s="47"/>
      <c r="F10" s="813" t="s">
        <v>17</v>
      </c>
      <c r="G10" s="813"/>
      <c r="H10" s="813"/>
      <c r="I10" s="813"/>
      <c r="J10" s="21"/>
      <c r="K10" s="814" t="s">
        <v>16</v>
      </c>
    </row>
    <row r="11" spans="1:80" ht="20.100000000000001" customHeight="1" x14ac:dyDescent="0.2">
      <c r="A11" s="785"/>
      <c r="B11" s="813"/>
      <c r="C11" s="813"/>
      <c r="D11" s="815"/>
      <c r="E11" s="47">
        <v>0</v>
      </c>
      <c r="F11" s="30">
        <v>1</v>
      </c>
      <c r="G11" s="30">
        <f>F11+1</f>
        <v>2</v>
      </c>
      <c r="H11" s="30">
        <f t="shared" ref="H11:I11" si="0">G11+1</f>
        <v>3</v>
      </c>
      <c r="I11" s="30">
        <f t="shared" si="0"/>
        <v>4</v>
      </c>
      <c r="J11" s="22"/>
      <c r="K11" s="814"/>
    </row>
    <row r="12" spans="1:80" ht="20.100000000000001" customHeight="1" x14ac:dyDescent="0.2">
      <c r="A12" s="31"/>
      <c r="B12" s="51"/>
      <c r="C12" s="51"/>
      <c r="D12" s="52"/>
      <c r="E12" s="47"/>
      <c r="F12" s="32"/>
      <c r="G12" s="58"/>
      <c r="H12" s="58"/>
      <c r="I12" s="58"/>
      <c r="J12" s="22"/>
      <c r="K12" s="80"/>
    </row>
    <row r="13" spans="1:80" ht="20.100000000000001" customHeight="1" x14ac:dyDescent="0.2">
      <c r="A13" s="177">
        <f ca="1">INDIRECT("Datos!B"&amp;MATCH("RUBRO ITEM",Datos!B:B,0)+ROW()-MATCH("RUBRO ITEM",A:A,0)-1)</f>
        <v>1</v>
      </c>
      <c r="B13" s="33" t="str">
        <f t="shared" ref="B13:B35" ca="1" si="1">IFERROR(VLOOKUP(A13,T_Computo_Presupuesto,2,FALSE),"")</f>
        <v>ELABORACION PROYECTO EJECUTIVO</v>
      </c>
      <c r="C13" s="34"/>
      <c r="D13" s="15">
        <f t="shared" ref="D13:D35" ca="1" si="2">IFERROR(VLOOKUP(A13,T_Computo_Presupuesto,9,FALSE),0)</f>
        <v>0</v>
      </c>
      <c r="E13" s="36"/>
      <c r="F13" s="500"/>
      <c r="G13" s="500"/>
      <c r="H13" s="500"/>
      <c r="I13" s="500"/>
      <c r="J13" s="23"/>
      <c r="K13" s="24">
        <f t="shared" ref="K13:K36" si="3">SUM(F13:I13)</f>
        <v>0</v>
      </c>
    </row>
    <row r="14" spans="1:80" ht="20.100000000000001" customHeight="1" x14ac:dyDescent="0.2">
      <c r="A14" s="177" t="str">
        <f ca="1">INDIRECT("Datos!B"&amp;MATCH("RUBRO ITEM",Datos!B:B,0)+ROW()-MATCH("RUBRO ITEM",A:A,0)-1)</f>
        <v>1.1</v>
      </c>
      <c r="B14" s="33" t="str">
        <f t="shared" ca="1" si="1"/>
        <v>Elaboracion Proyecto Ejecutivo</v>
      </c>
      <c r="C14" s="34"/>
      <c r="D14" s="15">
        <f t="shared" ca="1" si="2"/>
        <v>0</v>
      </c>
      <c r="E14" s="48"/>
      <c r="F14" s="500"/>
      <c r="G14" s="500"/>
      <c r="H14" s="500"/>
      <c r="I14" s="500"/>
      <c r="J14" s="25"/>
      <c r="K14" s="24">
        <f t="shared" si="3"/>
        <v>0</v>
      </c>
    </row>
    <row r="15" spans="1:80" ht="20.100000000000001" customHeight="1" x14ac:dyDescent="0.2">
      <c r="A15" s="177">
        <f ca="1">INDIRECT("Datos!B"&amp;MATCH("RUBRO ITEM",Datos!B:B,0)+ROW()-MATCH("RUBRO ITEM",A:A,0)-1)</f>
        <v>2</v>
      </c>
      <c r="B15" s="33" t="str">
        <f t="shared" ca="1" si="1"/>
        <v>CANAL GENERAL COCHAGUAL Progresiva 4080-4880</v>
      </c>
      <c r="C15" s="34"/>
      <c r="D15" s="15">
        <f t="shared" ca="1" si="2"/>
        <v>0</v>
      </c>
      <c r="E15" s="48"/>
      <c r="F15" s="500"/>
      <c r="G15" s="500"/>
      <c r="H15" s="500"/>
      <c r="I15" s="500"/>
      <c r="J15" s="25"/>
      <c r="K15" s="24">
        <f t="shared" si="3"/>
        <v>0</v>
      </c>
    </row>
    <row r="16" spans="1:80" ht="20.100000000000001" customHeight="1" x14ac:dyDescent="0.2">
      <c r="A16" s="177" t="str">
        <f ca="1">INDIRECT("Datos!B"&amp;MATCH("RUBRO ITEM",Datos!B:B,0)+ROW()-MATCH("RUBRO ITEM",A:A,0)-1)</f>
        <v>2.1</v>
      </c>
      <c r="B16" s="33" t="str">
        <f t="shared" ca="1" si="1"/>
        <v>Limpieza y Replanteo</v>
      </c>
      <c r="C16" s="34"/>
      <c r="D16" s="15">
        <f t="shared" ca="1" si="2"/>
        <v>0</v>
      </c>
      <c r="E16" s="48"/>
      <c r="F16" s="500"/>
      <c r="G16" s="500"/>
      <c r="H16" s="500"/>
      <c r="I16" s="500"/>
      <c r="J16" s="25"/>
      <c r="K16" s="24">
        <f t="shared" si="3"/>
        <v>0</v>
      </c>
    </row>
    <row r="17" spans="1:11" ht="20.100000000000001" customHeight="1" x14ac:dyDescent="0.2">
      <c r="A17" s="177" t="str">
        <f ca="1">INDIRECT("Datos!B"&amp;MATCH("RUBRO ITEM",Datos!B:B,0)+ROW()-MATCH("RUBRO ITEM",A:A,0)-1)</f>
        <v>2.2</v>
      </c>
      <c r="B17" s="33" t="str">
        <f t="shared" ca="1" si="1"/>
        <v>Relleno y compactacion de posibles oquedadas laterales</v>
      </c>
      <c r="C17" s="34"/>
      <c r="D17" s="15">
        <f t="shared" ca="1" si="2"/>
        <v>0</v>
      </c>
      <c r="E17" s="48"/>
      <c r="F17" s="500"/>
      <c r="G17" s="500"/>
      <c r="H17" s="500"/>
      <c r="I17" s="500"/>
      <c r="J17" s="25"/>
      <c r="K17" s="24">
        <f t="shared" si="3"/>
        <v>0</v>
      </c>
    </row>
    <row r="18" spans="1:11" ht="20.100000000000001" customHeight="1" x14ac:dyDescent="0.2">
      <c r="A18" s="177" t="str">
        <f ca="1">INDIRECT("Datos!B"&amp;MATCH("RUBRO ITEM",Datos!B:B,0)+ROW()-MATCH("RUBRO ITEM",A:A,0)-1)</f>
        <v>2.3</v>
      </c>
      <c r="B18" s="33" t="str">
        <f t="shared" ca="1" si="1"/>
        <v>Relleno y compactacion de posibles oquedades laterales con la adicion de una bolsa de cemento portland puzolanico por m3 de rellemo</v>
      </c>
      <c r="C18" s="34"/>
      <c r="D18" s="15">
        <f t="shared" ca="1" si="2"/>
        <v>0</v>
      </c>
      <c r="E18" s="48"/>
      <c r="F18" s="500"/>
      <c r="G18" s="500"/>
      <c r="H18" s="500"/>
      <c r="I18" s="500"/>
      <c r="J18" s="25"/>
      <c r="K18" s="24">
        <f t="shared" si="3"/>
        <v>0</v>
      </c>
    </row>
    <row r="19" spans="1:11" ht="20.100000000000001" customHeight="1" x14ac:dyDescent="0.2">
      <c r="A19" s="177" t="str">
        <f ca="1">INDIRECT("Datos!B"&amp;MATCH("RUBRO ITEM",Datos!B:B,0)+ROW()-MATCH("RUBRO ITEM",A:A,0)-1)</f>
        <v>2.4</v>
      </c>
      <c r="B19" s="33" t="str">
        <f t="shared" ca="1" si="1"/>
        <v>Hormigon de encamisado H-21</v>
      </c>
      <c r="C19" s="34"/>
      <c r="D19" s="15">
        <f t="shared" ca="1" si="2"/>
        <v>0</v>
      </c>
      <c r="E19" s="48"/>
      <c r="F19" s="500"/>
      <c r="G19" s="500"/>
      <c r="H19" s="500"/>
      <c r="I19" s="500"/>
      <c r="J19" s="25"/>
      <c r="K19" s="24">
        <f t="shared" si="3"/>
        <v>0</v>
      </c>
    </row>
    <row r="20" spans="1:11" ht="20.100000000000001" customHeight="1" x14ac:dyDescent="0.2">
      <c r="A20" s="177" t="str">
        <f ca="1">INDIRECT("Datos!B"&amp;MATCH("RUBRO ITEM",Datos!B:B,0)+ROW()-MATCH("RUBRO ITEM",A:A,0)-1)</f>
        <v>2.5</v>
      </c>
      <c r="B20" s="33" t="str">
        <f t="shared" ca="1" si="1"/>
        <v>Armadura colocada en obra</v>
      </c>
      <c r="C20" s="34"/>
      <c r="D20" s="15">
        <f t="shared" ca="1" si="2"/>
        <v>0</v>
      </c>
      <c r="E20" s="48"/>
      <c r="F20" s="500"/>
      <c r="G20" s="500"/>
      <c r="H20" s="500"/>
      <c r="I20" s="500"/>
      <c r="J20" s="25"/>
      <c r="K20" s="24">
        <f t="shared" si="3"/>
        <v>0</v>
      </c>
    </row>
    <row r="21" spans="1:11" ht="20.100000000000001" customHeight="1" x14ac:dyDescent="0.2">
      <c r="A21" s="177" t="str">
        <f ca="1">INDIRECT("Datos!B"&amp;MATCH("RUBRO ITEM",Datos!B:B,0)+ROW()-MATCH("RUBRO ITEM",A:A,0)-1)</f>
        <v>2.6</v>
      </c>
      <c r="B21" s="33" t="str">
        <f t="shared" ca="1" si="1"/>
        <v>Juntas de contraccion y dilatacion</v>
      </c>
      <c r="C21" s="34"/>
      <c r="D21" s="15">
        <f t="shared" ca="1" si="2"/>
        <v>0</v>
      </c>
      <c r="E21" s="48"/>
      <c r="F21" s="500"/>
      <c r="G21" s="500"/>
      <c r="H21" s="500"/>
      <c r="I21" s="500"/>
      <c r="J21" s="25"/>
      <c r="K21" s="24">
        <f t="shared" si="3"/>
        <v>0</v>
      </c>
    </row>
    <row r="22" spans="1:11" ht="20.100000000000001" customHeight="1" x14ac:dyDescent="0.2">
      <c r="A22" s="177">
        <f ca="1">INDIRECT("Datos!B"&amp;MATCH("RUBRO ITEM",Datos!B:B,0)+ROW()-MATCH("RUBRO ITEM",A:A,0)-1)</f>
        <v>3</v>
      </c>
      <c r="B22" s="33" t="str">
        <f t="shared" ca="1" si="1"/>
        <v>CANAL GENERAL COCHAGUAL Progresiva 9860-10860</v>
      </c>
      <c r="C22" s="34"/>
      <c r="D22" s="15">
        <f t="shared" ca="1" si="2"/>
        <v>0</v>
      </c>
      <c r="E22" s="48"/>
      <c r="F22" s="500"/>
      <c r="G22" s="500"/>
      <c r="H22" s="500"/>
      <c r="I22" s="500"/>
      <c r="J22" s="25"/>
      <c r="K22" s="24">
        <f t="shared" si="3"/>
        <v>0</v>
      </c>
    </row>
    <row r="23" spans="1:11" ht="20.100000000000001" customHeight="1" x14ac:dyDescent="0.2">
      <c r="A23" s="177" t="str">
        <f ca="1">INDIRECT("Datos!B"&amp;MATCH("RUBRO ITEM",Datos!B:B,0)+ROW()-MATCH("RUBRO ITEM",A:A,0)-1)</f>
        <v>3.1</v>
      </c>
      <c r="B23" s="33" t="str">
        <f t="shared" ca="1" si="1"/>
        <v>Limpieza y Replanteo</v>
      </c>
      <c r="C23" s="34"/>
      <c r="D23" s="15">
        <f t="shared" ca="1" si="2"/>
        <v>0</v>
      </c>
      <c r="E23" s="48"/>
      <c r="F23" s="500"/>
      <c r="G23" s="500"/>
      <c r="H23" s="500"/>
      <c r="I23" s="500"/>
      <c r="J23" s="25"/>
      <c r="K23" s="24">
        <f t="shared" si="3"/>
        <v>0</v>
      </c>
    </row>
    <row r="24" spans="1:11" ht="20.100000000000001" customHeight="1" x14ac:dyDescent="0.2">
      <c r="A24" s="177" t="str">
        <f ca="1">INDIRECT("Datos!B"&amp;MATCH("RUBRO ITEM",Datos!B:B,0)+ROW()-MATCH("RUBRO ITEM",A:A,0)-1)</f>
        <v>3.2</v>
      </c>
      <c r="B24" s="33" t="str">
        <f t="shared" ca="1" si="1"/>
        <v>Relleno y compactacion de posibles oquedadas laterales</v>
      </c>
      <c r="C24" s="34"/>
      <c r="D24" s="15">
        <f t="shared" ca="1" si="2"/>
        <v>0</v>
      </c>
      <c r="E24" s="48"/>
      <c r="F24" s="500"/>
      <c r="G24" s="500"/>
      <c r="H24" s="500"/>
      <c r="I24" s="500"/>
      <c r="J24" s="25"/>
      <c r="K24" s="24">
        <f t="shared" si="3"/>
        <v>0</v>
      </c>
    </row>
    <row r="25" spans="1:11" ht="20.100000000000001" customHeight="1" x14ac:dyDescent="0.2">
      <c r="A25" s="177" t="str">
        <f ca="1">INDIRECT("Datos!B"&amp;MATCH("RUBRO ITEM",Datos!B:B,0)+ROW()-MATCH("RUBRO ITEM",A:A,0)-1)</f>
        <v>3.3</v>
      </c>
      <c r="B25" s="33" t="str">
        <f t="shared" ca="1" si="1"/>
        <v>Relleno y compactacion de posibles oquedades laterales con la adicion de una bolsa de cemento portland puzolanico por m3 de rellemo</v>
      </c>
      <c r="C25" s="34"/>
      <c r="D25" s="15">
        <f t="shared" ca="1" si="2"/>
        <v>0</v>
      </c>
      <c r="E25" s="48"/>
      <c r="F25" s="500"/>
      <c r="G25" s="500"/>
      <c r="H25" s="500"/>
      <c r="I25" s="500"/>
      <c r="J25" s="25"/>
      <c r="K25" s="24">
        <f t="shared" si="3"/>
        <v>0</v>
      </c>
    </row>
    <row r="26" spans="1:11" ht="20.100000000000001" customHeight="1" x14ac:dyDescent="0.2">
      <c r="A26" s="177" t="str">
        <f ca="1">INDIRECT("Datos!B"&amp;MATCH("RUBRO ITEM",Datos!B:B,0)+ROW()-MATCH("RUBRO ITEM",A:A,0)-1)</f>
        <v>3.4</v>
      </c>
      <c r="B26" s="33" t="str">
        <f t="shared" ca="1" si="1"/>
        <v>Hormigon de encamisado H-21</v>
      </c>
      <c r="C26" s="34"/>
      <c r="D26" s="15">
        <f t="shared" ca="1" si="2"/>
        <v>0</v>
      </c>
      <c r="E26" s="48"/>
      <c r="F26" s="500"/>
      <c r="G26" s="500"/>
      <c r="H26" s="500"/>
      <c r="I26" s="500"/>
      <c r="J26" s="25"/>
      <c r="K26" s="24">
        <f t="shared" si="3"/>
        <v>0</v>
      </c>
    </row>
    <row r="27" spans="1:11" ht="20.100000000000001" customHeight="1" x14ac:dyDescent="0.2">
      <c r="A27" s="177" t="str">
        <f ca="1">INDIRECT("Datos!B"&amp;MATCH("RUBRO ITEM",Datos!B:B,0)+ROW()-MATCH("RUBRO ITEM",A:A,0)-1)</f>
        <v>3.5</v>
      </c>
      <c r="B27" s="33" t="str">
        <f t="shared" ca="1" si="1"/>
        <v>Armadura colocada en obra</v>
      </c>
      <c r="C27" s="34"/>
      <c r="D27" s="15">
        <f t="shared" ca="1" si="2"/>
        <v>0</v>
      </c>
      <c r="E27" s="48"/>
      <c r="F27" s="500"/>
      <c r="G27" s="500"/>
      <c r="H27" s="500"/>
      <c r="I27" s="500"/>
      <c r="J27" s="25"/>
      <c r="K27" s="24">
        <f t="shared" si="3"/>
        <v>0</v>
      </c>
    </row>
    <row r="28" spans="1:11" ht="20.100000000000001" customHeight="1" x14ac:dyDescent="0.2">
      <c r="A28" s="177" t="str">
        <f ca="1">INDIRECT("Datos!B"&amp;MATCH("RUBRO ITEM",Datos!B:B,0)+ROW()-MATCH("RUBRO ITEM",A:A,0)-1)</f>
        <v>3.6</v>
      </c>
      <c r="B28" s="33" t="str">
        <f t="shared" ca="1" si="1"/>
        <v>Juntas de contraccion y dilatacion</v>
      </c>
      <c r="C28" s="34"/>
      <c r="D28" s="15">
        <f t="shared" ca="1" si="2"/>
        <v>0</v>
      </c>
      <c r="E28" s="48"/>
      <c r="F28" s="500"/>
      <c r="G28" s="500"/>
      <c r="H28" s="500"/>
      <c r="I28" s="500"/>
      <c r="J28" s="25"/>
      <c r="K28" s="24">
        <f t="shared" si="3"/>
        <v>0</v>
      </c>
    </row>
    <row r="29" spans="1:11" ht="20.100000000000001" customHeight="1" x14ac:dyDescent="0.2">
      <c r="A29" s="177">
        <f ca="1">INDIRECT("Datos!B"&amp;MATCH("RUBRO ITEM",Datos!B:B,0)+ROW()-MATCH("RUBRO ITEM",A:A,0)-1)</f>
        <v>4</v>
      </c>
      <c r="B29" s="33" t="str">
        <f t="shared" ca="1" si="1"/>
        <v>PUENTES SOBRE CANAL</v>
      </c>
      <c r="C29" s="34"/>
      <c r="D29" s="15">
        <f t="shared" ca="1" si="2"/>
        <v>0</v>
      </c>
      <c r="E29" s="48"/>
      <c r="F29" s="500"/>
      <c r="G29" s="746"/>
      <c r="H29" s="746"/>
      <c r="I29" s="746"/>
      <c r="J29" s="25"/>
      <c r="K29" s="24">
        <f t="shared" si="3"/>
        <v>0</v>
      </c>
    </row>
    <row r="30" spans="1:11" ht="20.100000000000001" customHeight="1" x14ac:dyDescent="0.2">
      <c r="A30" s="177" t="str">
        <f ca="1">INDIRECT("Datos!B"&amp;MATCH("RUBRO ITEM",Datos!B:B,0)+ROW()-MATCH("RUBRO ITEM",A:A,0)-1)</f>
        <v>4.1</v>
      </c>
      <c r="B30" s="33" t="str">
        <f t="shared" ca="1" si="1"/>
        <v>Limpieza y Replanteo</v>
      </c>
      <c r="C30" s="34"/>
      <c r="D30" s="15">
        <f t="shared" ca="1" si="2"/>
        <v>0</v>
      </c>
      <c r="E30" s="48"/>
      <c r="F30" s="500"/>
      <c r="G30" s="500"/>
      <c r="H30" s="500"/>
      <c r="I30" s="500"/>
      <c r="J30" s="25"/>
      <c r="K30" s="24">
        <f t="shared" si="3"/>
        <v>0</v>
      </c>
    </row>
    <row r="31" spans="1:11" ht="20.100000000000001" customHeight="1" x14ac:dyDescent="0.2">
      <c r="A31" s="177" t="str">
        <f ca="1">INDIRECT("Datos!B"&amp;MATCH("RUBRO ITEM",Datos!B:B,0)+ROW()-MATCH("RUBRO ITEM",A:A,0)-1)</f>
        <v>4.2</v>
      </c>
      <c r="B31" s="33" t="str">
        <f t="shared" ca="1" si="1"/>
        <v>Excavacion</v>
      </c>
      <c r="C31" s="34"/>
      <c r="D31" s="15">
        <f t="shared" ca="1" si="2"/>
        <v>0</v>
      </c>
      <c r="E31" s="48"/>
      <c r="F31" s="500"/>
      <c r="G31" s="500"/>
      <c r="H31" s="500"/>
      <c r="I31" s="500"/>
      <c r="J31" s="25"/>
      <c r="K31" s="24">
        <f t="shared" si="3"/>
        <v>0</v>
      </c>
    </row>
    <row r="32" spans="1:11" ht="20.100000000000001" customHeight="1" x14ac:dyDescent="0.2">
      <c r="A32" s="177" t="str">
        <f ca="1">INDIRECT("Datos!B"&amp;MATCH("RUBRO ITEM",Datos!B:B,0)+ROW()-MATCH("RUBRO ITEM",A:A,0)-1)</f>
        <v>4.3</v>
      </c>
      <c r="B32" s="33" t="str">
        <f t="shared" ca="1" si="1"/>
        <v>Hormigon H-21</v>
      </c>
      <c r="C32" s="34"/>
      <c r="D32" s="15">
        <f t="shared" ca="1" si="2"/>
        <v>0</v>
      </c>
      <c r="E32" s="48"/>
      <c r="F32" s="500"/>
      <c r="G32" s="500"/>
      <c r="H32" s="500"/>
      <c r="I32" s="500"/>
      <c r="J32" s="25"/>
      <c r="K32" s="24">
        <f t="shared" si="3"/>
        <v>0</v>
      </c>
    </row>
    <row r="33" spans="1:80" ht="20.100000000000001" customHeight="1" x14ac:dyDescent="0.2">
      <c r="A33" s="177" t="str">
        <f ca="1">INDIRECT("Datos!B"&amp;MATCH("RUBRO ITEM",Datos!B:B,0)+ROW()-MATCH("RUBRO ITEM",A:A,0)-1)</f>
        <v>4.4</v>
      </c>
      <c r="B33" s="33" t="str">
        <f t="shared" ca="1" si="1"/>
        <v>Hormigon Ciclopeo (30%piedra bola)</v>
      </c>
      <c r="C33" s="34"/>
      <c r="D33" s="15">
        <f t="shared" ca="1" si="2"/>
        <v>0</v>
      </c>
      <c r="E33" s="48"/>
      <c r="F33" s="500"/>
      <c r="G33" s="500"/>
      <c r="H33" s="500"/>
      <c r="I33" s="500"/>
      <c r="J33" s="25"/>
      <c r="K33" s="24">
        <f t="shared" si="3"/>
        <v>0</v>
      </c>
    </row>
    <row r="34" spans="1:80" ht="20.100000000000001" customHeight="1" x14ac:dyDescent="0.2">
      <c r="A34" s="177" t="str">
        <f ca="1">INDIRECT("Datos!B"&amp;MATCH("RUBRO ITEM",Datos!B:B,0)+ROW()-MATCH("RUBRO ITEM",A:A,0)-1)</f>
        <v>4.5</v>
      </c>
      <c r="B34" s="33" t="str">
        <f t="shared" ca="1" si="1"/>
        <v>Armadura colocada en obra</v>
      </c>
      <c r="C34" s="34"/>
      <c r="D34" s="15">
        <f t="shared" ca="1" si="2"/>
        <v>0</v>
      </c>
      <c r="E34" s="48"/>
      <c r="F34" s="500"/>
      <c r="G34" s="500"/>
      <c r="H34" s="500"/>
      <c r="I34" s="500"/>
      <c r="J34" s="25"/>
      <c r="K34" s="24">
        <f t="shared" si="3"/>
        <v>0</v>
      </c>
    </row>
    <row r="35" spans="1:80" ht="20.100000000000001" customHeight="1" x14ac:dyDescent="0.2">
      <c r="A35" s="177" t="str">
        <f ca="1">INDIRECT("Datos!B"&amp;MATCH("RUBRO ITEM",Datos!B:B,0)+ROW()-MATCH("RUBRO ITEM",A:A,0)-1)</f>
        <v>4.6</v>
      </c>
      <c r="B35" s="33" t="str">
        <f t="shared" ca="1" si="1"/>
        <v>Demolicion de puente</v>
      </c>
      <c r="C35" s="34"/>
      <c r="D35" s="15">
        <f t="shared" ca="1" si="2"/>
        <v>0</v>
      </c>
      <c r="E35" s="48"/>
      <c r="F35" s="500"/>
      <c r="G35" s="500"/>
      <c r="H35" s="500"/>
      <c r="I35" s="500"/>
      <c r="J35" s="25"/>
      <c r="K35" s="24">
        <f t="shared" si="3"/>
        <v>0</v>
      </c>
    </row>
    <row r="36" spans="1:80" s="10" customFormat="1" ht="20.100000000000001" customHeight="1" x14ac:dyDescent="0.2">
      <c r="A36" s="53" t="s">
        <v>3</v>
      </c>
      <c r="B36" s="35" t="s">
        <v>3</v>
      </c>
      <c r="C36" s="35"/>
      <c r="D36" s="54" t="s">
        <v>4</v>
      </c>
      <c r="E36" s="36"/>
      <c r="F36" s="56"/>
      <c r="G36" s="57"/>
      <c r="H36" s="57"/>
      <c r="I36" s="57"/>
      <c r="K36" s="26">
        <f t="shared" si="3"/>
        <v>0</v>
      </c>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row>
    <row r="37" spans="1:80" ht="20.100000000000001" customHeight="1" x14ac:dyDescent="0.2">
      <c r="A37" s="53" t="s">
        <v>3</v>
      </c>
      <c r="B37" s="51" t="s">
        <v>7</v>
      </c>
      <c r="C37" s="55"/>
      <c r="D37" s="50">
        <f ca="1">SUM(D13:D36)</f>
        <v>0</v>
      </c>
      <c r="E37" s="49"/>
      <c r="F37" s="37"/>
      <c r="G37" s="37"/>
      <c r="H37" s="37"/>
      <c r="I37" s="37"/>
    </row>
    <row r="38" spans="1:80" ht="20.100000000000001" customHeight="1" x14ac:dyDescent="0.2">
      <c r="A38" s="38"/>
      <c r="B38" s="38"/>
      <c r="C38" s="38"/>
      <c r="D38" s="38"/>
      <c r="E38" s="39"/>
      <c r="F38" s="38"/>
      <c r="G38" s="38"/>
      <c r="H38" s="38"/>
      <c r="I38" s="38"/>
    </row>
    <row r="39" spans="1:80" ht="20.100000000000001" customHeight="1" x14ac:dyDescent="0.2">
      <c r="A39" s="38"/>
      <c r="B39" s="38"/>
      <c r="C39" s="38"/>
      <c r="D39" s="40" t="s">
        <v>18</v>
      </c>
      <c r="E39" s="39">
        <v>0</v>
      </c>
      <c r="F39" s="41">
        <f ca="1">SUMPRODUCT($D$13:$D$35,F13:F35)</f>
        <v>0</v>
      </c>
      <c r="G39" s="41">
        <f ca="1">SUMPRODUCT($D$13:$D$35,G13:G35)</f>
        <v>0</v>
      </c>
      <c r="H39" s="41">
        <f ca="1">SUMPRODUCT($D$13:$D$35,H13:H35)</f>
        <v>0</v>
      </c>
      <c r="I39" s="41">
        <f ca="1">SUMPRODUCT($D$13:$D$35,I13:I35)</f>
        <v>0</v>
      </c>
      <c r="J39" s="27"/>
    </row>
    <row r="40" spans="1:80" ht="20.100000000000001" customHeight="1" x14ac:dyDescent="0.2">
      <c r="A40" s="38"/>
      <c r="B40" s="38"/>
      <c r="C40" s="38"/>
      <c r="D40" s="40" t="s">
        <v>19</v>
      </c>
      <c r="E40" s="39">
        <v>0</v>
      </c>
      <c r="F40" s="41">
        <f ca="1">E40+F39</f>
        <v>0</v>
      </c>
      <c r="G40" s="41">
        <f t="shared" ref="G40:I40" ca="1" si="4">F40+G39</f>
        <v>0</v>
      </c>
      <c r="H40" s="41">
        <f t="shared" ca="1" si="4"/>
        <v>0</v>
      </c>
      <c r="I40" s="41">
        <f t="shared" ca="1" si="4"/>
        <v>0</v>
      </c>
      <c r="J40" s="27"/>
    </row>
    <row r="41" spans="1:80" ht="20.100000000000001" customHeight="1" x14ac:dyDescent="0.2">
      <c r="A41" s="38"/>
      <c r="B41" s="38"/>
      <c r="C41" s="38"/>
      <c r="D41" s="42"/>
      <c r="E41" s="43" t="s">
        <v>920</v>
      </c>
      <c r="F41" s="747"/>
      <c r="G41" s="747"/>
      <c r="H41" s="747"/>
      <c r="I41" s="747"/>
    </row>
    <row r="42" spans="1:80" ht="20.100000000000001" customHeight="1" x14ac:dyDescent="0.2">
      <c r="A42" s="38"/>
      <c r="B42" s="38"/>
      <c r="C42" s="38"/>
      <c r="D42" s="40" t="s">
        <v>20</v>
      </c>
      <c r="E42" s="44">
        <f ca="1">Anticipo_Financiero*Monto_Oferta</f>
        <v>0</v>
      </c>
      <c r="F42" s="44">
        <f ca="1">Monto_Oferta*F39</f>
        <v>0</v>
      </c>
      <c r="G42" s="44">
        <f ca="1">Monto_Oferta*G39</f>
        <v>0</v>
      </c>
      <c r="H42" s="44">
        <f ca="1">Monto_Oferta*H39</f>
        <v>0</v>
      </c>
      <c r="I42" s="44">
        <f t="shared" ref="I42" ca="1" si="5">Monto_Oferta*I39</f>
        <v>0</v>
      </c>
      <c r="J42" s="11"/>
      <c r="K42" s="29"/>
    </row>
    <row r="43" spans="1:80" ht="20.100000000000001" customHeight="1" x14ac:dyDescent="0.2">
      <c r="A43" s="38"/>
      <c r="B43" s="38"/>
      <c r="C43" s="38"/>
      <c r="D43" s="40" t="s">
        <v>890</v>
      </c>
      <c r="E43" s="44">
        <f ca="1">E42</f>
        <v>0</v>
      </c>
      <c r="F43" s="44">
        <f t="shared" ref="F43" ca="1" si="6">E43+F42*(1-Anticipo_Financiero)</f>
        <v>0</v>
      </c>
      <c r="G43" s="44">
        <f t="shared" ref="G43" ca="1" si="7">F43+G42*(1-Anticipo_Financiero)</f>
        <v>0</v>
      </c>
      <c r="H43" s="44">
        <f t="shared" ref="H43" ca="1" si="8">G43+H42*(1-Anticipo_Financiero)</f>
        <v>0</v>
      </c>
      <c r="I43" s="44">
        <f t="shared" ref="I43" ca="1" si="9">H43+I42*(1-Anticipo_Financiero)</f>
        <v>0</v>
      </c>
      <c r="J43" s="11"/>
    </row>
    <row r="44" spans="1:80" ht="20.100000000000001" customHeight="1" x14ac:dyDescent="0.2">
      <c r="E44" s="28">
        <v>0</v>
      </c>
      <c r="F44" s="748"/>
      <c r="G44" s="748"/>
      <c r="H44" s="748"/>
      <c r="I44" s="748"/>
    </row>
    <row r="45" spans="1:80" ht="20.100000000000001" customHeight="1" x14ac:dyDescent="0.2">
      <c r="E45" s="28">
        <v>0</v>
      </c>
    </row>
  </sheetData>
  <mergeCells count="6">
    <mergeCell ref="A8:D8"/>
    <mergeCell ref="F10:I10"/>
    <mergeCell ref="K10:K11"/>
    <mergeCell ref="A10:A11"/>
    <mergeCell ref="B10:C11"/>
    <mergeCell ref="D10:D11"/>
  </mergeCells>
  <conditionalFormatting sqref="A36:A37 B13:B3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6:C36 C13:C35">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A13:A3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C15" sqref="C15"/>
    </sheetView>
  </sheetViews>
  <sheetFormatPr baseColWidth="10" defaultRowHeight="19.5" customHeight="1" x14ac:dyDescent="0.2"/>
  <cols>
    <col min="2" max="2" width="43.28515625" customWidth="1"/>
    <col min="3" max="3" width="52.28515625" bestFit="1" customWidth="1"/>
  </cols>
  <sheetData>
    <row r="1" spans="1:4" ht="19.5" customHeight="1" x14ac:dyDescent="0.2">
      <c r="A1" s="682" t="s">
        <v>10</v>
      </c>
      <c r="B1" s="682"/>
      <c r="C1" s="682" t="str">
        <f>+Contratista</f>
        <v>EMPRESA PRUEBA</v>
      </c>
      <c r="D1" s="682"/>
    </row>
    <row r="2" spans="1:4" ht="19.5" customHeight="1" x14ac:dyDescent="0.2">
      <c r="A2" s="682" t="s">
        <v>41</v>
      </c>
      <c r="B2" s="682"/>
      <c r="C2" s="683">
        <f ca="1">+Propuesta!G40</f>
        <v>0</v>
      </c>
      <c r="D2" s="682"/>
    </row>
    <row r="3" spans="1:4" ht="19.5" customHeight="1" x14ac:dyDescent="0.2">
      <c r="A3" s="682"/>
      <c r="B3" s="682"/>
      <c r="C3" s="682"/>
      <c r="D3" s="682"/>
    </row>
    <row r="4" spans="1:4" ht="19.5" customHeight="1" x14ac:dyDescent="0.2">
      <c r="A4" s="816" t="s">
        <v>1950</v>
      </c>
      <c r="B4" s="816"/>
      <c r="C4" s="816"/>
      <c r="D4" s="816"/>
    </row>
    <row r="5" spans="1:4" ht="19.5" customHeight="1" thickBot="1" x14ac:dyDescent="0.25">
      <c r="A5" s="682"/>
      <c r="B5" s="682"/>
      <c r="C5" s="682"/>
      <c r="D5" s="682"/>
    </row>
    <row r="6" spans="1:4" ht="19.5" customHeight="1" thickBot="1" x14ac:dyDescent="0.25">
      <c r="A6" s="684" t="s">
        <v>1951</v>
      </c>
      <c r="B6" s="685" t="s">
        <v>899</v>
      </c>
      <c r="C6" s="685" t="s">
        <v>900</v>
      </c>
      <c r="D6" s="686" t="s">
        <v>1952</v>
      </c>
    </row>
    <row r="7" spans="1:4" ht="19.5" customHeight="1" x14ac:dyDescent="0.2">
      <c r="A7" s="687">
        <v>1</v>
      </c>
      <c r="B7" s="688" t="str">
        <f>+Insumos!D4</f>
        <v>IIEE-SJ - 1</v>
      </c>
      <c r="C7" s="688" t="str">
        <f>+Insumos!E4</f>
        <v>Mano de Obra</v>
      </c>
      <c r="D7" s="689">
        <v>0.28000000000000003</v>
      </c>
    </row>
    <row r="8" spans="1:4" ht="19.5" customHeight="1" x14ac:dyDescent="0.2">
      <c r="A8" s="690">
        <v>2</v>
      </c>
      <c r="B8" s="688" t="str">
        <f>+Insumos!D5</f>
        <v>INDEC-CM - 37510-11</v>
      </c>
      <c r="C8" s="688" t="str">
        <f>+Insumos!E5</f>
        <v>Hormigón elaborado</v>
      </c>
      <c r="D8" s="691">
        <v>0.36</v>
      </c>
    </row>
    <row r="9" spans="1:4" ht="19.5" customHeight="1" x14ac:dyDescent="0.2">
      <c r="A9" s="690">
        <v>3</v>
      </c>
      <c r="B9" s="688" t="str">
        <f>+Insumos!D6</f>
        <v>INDEC-DCTO - Inciso j)</v>
      </c>
      <c r="C9" s="688" t="str">
        <f>+Insumos!E6</f>
        <v>Equipo - Amortización de equipo</v>
      </c>
      <c r="D9" s="691">
        <v>0.1</v>
      </c>
    </row>
    <row r="10" spans="1:4" ht="19.5" customHeight="1" x14ac:dyDescent="0.2">
      <c r="A10" s="690">
        <v>4</v>
      </c>
      <c r="B10" s="688" t="str">
        <f>+Insumos!D7</f>
        <v>INDEC-CM - 41242-11</v>
      </c>
      <c r="C10" s="688" t="str">
        <f>+Insumos!E7</f>
        <v>Acero aletado conformado, en barra</v>
      </c>
      <c r="D10" s="691">
        <v>0.11</v>
      </c>
    </row>
    <row r="11" spans="1:4" ht="19.5" customHeight="1" x14ac:dyDescent="0.2">
      <c r="A11" s="690">
        <v>5</v>
      </c>
      <c r="B11" s="688" t="str">
        <f>+Insumos!D8</f>
        <v>INDEC-DCTO - Inciso p)</v>
      </c>
      <c r="C11" s="688" t="str">
        <f>+Insumos!E8</f>
        <v>Gastos generales</v>
      </c>
      <c r="D11" s="691">
        <v>0.15</v>
      </c>
    </row>
    <row r="12" spans="1:4" ht="19.5" customHeight="1" x14ac:dyDescent="0.2">
      <c r="A12" t="s">
        <v>919</v>
      </c>
    </row>
  </sheetData>
  <mergeCells count="1">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Equipos</vt:lpstr>
      <vt:lpstr>Insumos</vt:lpstr>
      <vt:lpstr>PTyCI</vt:lpstr>
      <vt:lpstr>Polinomica</vt:lpstr>
      <vt:lpstr>MED SIGOP</vt:lpstr>
      <vt:lpstr>MED OBRA</vt:lpstr>
      <vt:lpstr>Rendimiento Equipo</vt:lpstr>
      <vt:lpstr>Avance Obra</vt:lpstr>
      <vt:lpstr>Curva Inversiones</vt:lpstr>
      <vt:lpstr>Gastos Generales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2021-04-12T12:07:49Z</dcterms:modified>
</cp:coreProperties>
</file>