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Hidraulica\Escritorio\BRUNO\Redeterminacion-Pliegos-Obras\Exp 506-3103-2019 - Perforacion en Chimbas\"/>
    </mc:Choice>
  </mc:AlternateContent>
  <bookViews>
    <workbookView xWindow="-120" yWindow="-120" windowWidth="19440" windowHeight="10440" tabRatio="855" activeTab="1"/>
  </bookViews>
  <sheets>
    <sheet name="Instrucciones" sheetId="25" r:id="rId1"/>
    <sheet name="Datos" sheetId="15" r:id="rId2"/>
    <sheet name="Propuesta" sheetId="18" r:id="rId3"/>
    <sheet name="CyP" sheetId="2" r:id="rId4"/>
    <sheet name="AP" sheetId="6" r:id="rId5"/>
    <sheet name="PTyCI" sheetId="9" r:id="rId6"/>
    <sheet name="Insumos" sheetId="14" r:id="rId7"/>
    <sheet name="Equipos" sheetId="22" r:id="rId8"/>
    <sheet name="Rendimiento Equipo" sheetId="23" r:id="rId9"/>
    <sheet name="Avance Obra" sheetId="4" r:id="rId10"/>
    <sheet name="Curva Inversiones" sheetId="5" r:id="rId11"/>
    <sheet name="Gastos Generales" sheetId="8" r:id="rId12"/>
    <sheet name="Coef-Equipos" sheetId="19" r:id="rId13"/>
    <sheet name="Transp. Camión Solo" sheetId="20" r:id="rId14"/>
    <sheet name="Transp. Camión con Acoplado" sheetId="21" r:id="rId15"/>
    <sheet name="Indices" sheetId="24" r:id="rId16"/>
    <sheet name="Items - Códigos" sheetId="12" r:id="rId17"/>
  </sheets>
  <functionGroups builtInGroupCount="18"/>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AP!$A$1:$A$374</definedName>
    <definedName name="_xlnm._FilterDatabase" localSheetId="12" hidden="1">'Coef-Equipos'!$C$1:$C$68</definedName>
    <definedName name="_xlnm._FilterDatabase" localSheetId="3" hidden="1">CyP!$A$1:$A$55</definedName>
    <definedName name="_xlnm._FilterDatabase" localSheetId="1" hidden="1">Datos!#REF!</definedName>
    <definedName name="_xlnm._FilterDatabase" localSheetId="2" hidden="1">Propuesta!#REF!</definedName>
    <definedName name="_xlnm._FilterDatabase" localSheetId="5" hidden="1">PTyCI!$D$1:$D$47</definedName>
    <definedName name="A" localSheetId="14">'Transp. Camión con Acoplado'!$O$4</definedName>
    <definedName name="A" localSheetId="13">'Transp. Camión Solo'!$O$4</definedName>
    <definedName name="Anticipo_Financiero">Datos!$C$12</definedName>
    <definedName name="_xlnm.Print_Area" localSheetId="4">AP!$A$1:$G$1574</definedName>
    <definedName name="_xlnm.Print_Area" localSheetId="3">CyP!$A$17:$I$55</definedName>
    <definedName name="_xlnm.Print_Area" localSheetId="1">Datos!$B$1:$J$58</definedName>
    <definedName name="_xlnm.Print_Area" localSheetId="2">Propuesta!$A$1:$G$53</definedName>
    <definedName name="_xlnm.Print_Area" localSheetId="5">PTyCI!$A$13:$I$44</definedName>
    <definedName name="B" localSheetId="14">'Transp. Camión con Acoplado'!$O$7</definedName>
    <definedName name="B" localSheetId="13">'Transp. Camión Solo'!$O$7</definedName>
    <definedName name="Beneficio">Datos!$C$27</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Datos!$C$30</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Datos!$C$21</definedName>
    <definedName name="Contratista_Caracter_F2">Datos!$C$24</definedName>
    <definedName name="Contratista_Firma1">Datos!$C$21</definedName>
    <definedName name="Contratista_Firma2">Datos!$C$23</definedName>
    <definedName name="Costo_de_cámaras_y_cubiertas_Camionetas" localSheetId="12">'Coef-Equipos'!$D$64</definedName>
    <definedName name="Costo_Financiero">Datos!$C$25</definedName>
    <definedName name="Costo_gasoil" localSheetId="14">'Transp. Camión con Acoplado'!$E$19</definedName>
    <definedName name="Costo_gasoil" localSheetId="13">'Transp. Camión Solo'!$E$19</definedName>
    <definedName name="Costo_Obra">CyP!$F$42</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Datos!$C$26</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Datos!$C$28</definedName>
    <definedName name="Interés_Anual" localSheetId="12">'Coef-Equipos'!$D$27</definedName>
    <definedName name="IVA">Datos!$C$29</definedName>
    <definedName name="Licitación_N°">Datos!$C$9</definedName>
    <definedName name="Mano_Obra_Lavado" localSheetId="14">'Transp. Camión con Acoplado'!$E$22</definedName>
    <definedName name="Mano_Obra_Lavado" localSheetId="13">'Transp. Camión Solo'!$E$22</definedName>
    <definedName name="Monto_Oferta">CyP!$H$42</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Datos!$2:$39</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 i="23" l="1"/>
  <c r="F16" i="23"/>
  <c r="F17" i="23"/>
  <c r="F18" i="23"/>
  <c r="F19" i="23"/>
  <c r="F20" i="23"/>
  <c r="F21" i="23"/>
  <c r="F22" i="23"/>
  <c r="F23" i="23"/>
  <c r="F24" i="23"/>
  <c r="F25" i="23"/>
  <c r="F26" i="23"/>
  <c r="F27" i="23"/>
  <c r="F28" i="23"/>
  <c r="F29" i="23"/>
  <c r="F30" i="23"/>
  <c r="D24" i="23"/>
  <c r="D25" i="23"/>
  <c r="D26" i="23"/>
  <c r="D27" i="23"/>
  <c r="D28" i="23"/>
  <c r="D29" i="23"/>
  <c r="D30" i="23"/>
  <c r="C24" i="23"/>
  <c r="C25" i="23"/>
  <c r="C26" i="23"/>
  <c r="C27" i="23"/>
  <c r="C28" i="23"/>
  <c r="C29" i="23"/>
  <c r="C30" i="23"/>
  <c r="B30" i="23"/>
  <c r="B27" i="23"/>
  <c r="B28" i="23"/>
  <c r="B29" i="23"/>
  <c r="B15" i="23"/>
  <c r="C15" i="23" s="1"/>
  <c r="D16" i="23"/>
  <c r="C16" i="23"/>
  <c r="B16" i="23"/>
  <c r="B17" i="23"/>
  <c r="C17" i="23" s="1"/>
  <c r="B18" i="23"/>
  <c r="C18" i="23" s="1"/>
  <c r="B19" i="23"/>
  <c r="D19" i="23" s="1"/>
  <c r="B20" i="23"/>
  <c r="D20" i="23" s="1"/>
  <c r="B21" i="23"/>
  <c r="C21" i="23" s="1"/>
  <c r="B22" i="23"/>
  <c r="C22" i="23" s="1"/>
  <c r="B23" i="23"/>
  <c r="D23" i="23" s="1"/>
  <c r="B24" i="23"/>
  <c r="B25" i="23"/>
  <c r="B26" i="23"/>
  <c r="K14" i="9"/>
  <c r="K15" i="9"/>
  <c r="K16" i="9"/>
  <c r="K17" i="9"/>
  <c r="K18" i="9"/>
  <c r="K19" i="9"/>
  <c r="K20" i="9"/>
  <c r="K21" i="9"/>
  <c r="K22" i="9"/>
  <c r="K23" i="9"/>
  <c r="K24" i="9"/>
  <c r="K25" i="9"/>
  <c r="K26" i="9"/>
  <c r="K27" i="9"/>
  <c r="K28" i="9"/>
  <c r="K29" i="9"/>
  <c r="K30" i="9"/>
  <c r="K31" i="9"/>
  <c r="K32" i="9"/>
  <c r="K33" i="9"/>
  <c r="K34" i="9"/>
  <c r="K35" i="9"/>
  <c r="K36" i="9"/>
  <c r="K37" i="9"/>
  <c r="K13" i="9"/>
  <c r="A35" i="9"/>
  <c r="A36" i="9"/>
  <c r="A37" i="9"/>
  <c r="A18" i="9"/>
  <c r="A22" i="9"/>
  <c r="A34" i="9"/>
  <c r="A19" i="9"/>
  <c r="A23" i="9"/>
  <c r="A27" i="9"/>
  <c r="A31" i="9"/>
  <c r="A25" i="9"/>
  <c r="A33" i="9"/>
  <c r="A30" i="9"/>
  <c r="A20" i="9"/>
  <c r="A24" i="9"/>
  <c r="A28" i="9"/>
  <c r="A32" i="9"/>
  <c r="A21" i="9"/>
  <c r="A29" i="9"/>
  <c r="A26" i="9"/>
  <c r="A17" i="9"/>
  <c r="C20" i="23" l="1"/>
  <c r="D22" i="23"/>
  <c r="D18" i="23"/>
  <c r="C23" i="23"/>
  <c r="C19" i="23"/>
  <c r="D21" i="23"/>
  <c r="D17" i="23"/>
  <c r="D15" i="23"/>
  <c r="G1570" i="6"/>
  <c r="F1570" i="6"/>
  <c r="D1570" i="6"/>
  <c r="B1570" i="6"/>
  <c r="A1570" i="6"/>
  <c r="G1569" i="6"/>
  <c r="G1571" i="6" s="1"/>
  <c r="F1569" i="6"/>
  <c r="D1569" i="6"/>
  <c r="B1569" i="6"/>
  <c r="A1569" i="6"/>
  <c r="F1564" i="6"/>
  <c r="G1564" i="6" s="1"/>
  <c r="D1564" i="6"/>
  <c r="B1564" i="6"/>
  <c r="A1564" i="6"/>
  <c r="G1563" i="6"/>
  <c r="F1563" i="6"/>
  <c r="D1563" i="6"/>
  <c r="B1563" i="6"/>
  <c r="A1563" i="6"/>
  <c r="G1562" i="6"/>
  <c r="F1562" i="6"/>
  <c r="D1562" i="6"/>
  <c r="B1562" i="6"/>
  <c r="A1562" i="6"/>
  <c r="F1561" i="6"/>
  <c r="G1561" i="6" s="1"/>
  <c r="D1561" i="6"/>
  <c r="B1561" i="6"/>
  <c r="A1561" i="6"/>
  <c r="F1560" i="6"/>
  <c r="G1560" i="6" s="1"/>
  <c r="D1560" i="6"/>
  <c r="B1560" i="6"/>
  <c r="A1560" i="6"/>
  <c r="G1559" i="6"/>
  <c r="F1559" i="6"/>
  <c r="D1559" i="6"/>
  <c r="B1559" i="6"/>
  <c r="A1559" i="6"/>
  <c r="G1558" i="6"/>
  <c r="F1558" i="6"/>
  <c r="D1558" i="6"/>
  <c r="B1558" i="6"/>
  <c r="A1558" i="6"/>
  <c r="F1557" i="6"/>
  <c r="G1557" i="6" s="1"/>
  <c r="D1557" i="6"/>
  <c r="B1557" i="6"/>
  <c r="A1557" i="6"/>
  <c r="F1556" i="6"/>
  <c r="G1556" i="6" s="1"/>
  <c r="D1556" i="6"/>
  <c r="B1556" i="6"/>
  <c r="A1556" i="6"/>
  <c r="G1555" i="6"/>
  <c r="F1555" i="6"/>
  <c r="D1555" i="6"/>
  <c r="B1555" i="6"/>
  <c r="A1555" i="6"/>
  <c r="G1554" i="6"/>
  <c r="F1554" i="6"/>
  <c r="D1554" i="6"/>
  <c r="B1554" i="6"/>
  <c r="A1554" i="6"/>
  <c r="F1549" i="6"/>
  <c r="E1549" i="6"/>
  <c r="B1549" i="6"/>
  <c r="A1549" i="6"/>
  <c r="F1548" i="6"/>
  <c r="B1548" i="6"/>
  <c r="A1548" i="6"/>
  <c r="F1547" i="6"/>
  <c r="G1547" i="6" s="1"/>
  <c r="E1547" i="6"/>
  <c r="B1547" i="6"/>
  <c r="A1547" i="6"/>
  <c r="F1546" i="6"/>
  <c r="E1546" i="6"/>
  <c r="G1546" i="6" s="1"/>
  <c r="G1545" i="6"/>
  <c r="F1545" i="6"/>
  <c r="E1545" i="6"/>
  <c r="G1544" i="6"/>
  <c r="F1544" i="6"/>
  <c r="E1544" i="6"/>
  <c r="F1543" i="6"/>
  <c r="E1543" i="6"/>
  <c r="E1548" i="6" s="1"/>
  <c r="G1548" i="6" s="1"/>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D1533" i="6"/>
  <c r="E1533" i="6" s="1"/>
  <c r="G1533" i="6" s="1"/>
  <c r="B1533" i="6"/>
  <c r="A1533" i="6"/>
  <c r="F1532" i="6"/>
  <c r="E1532" i="6"/>
  <c r="G1532" i="6" s="1"/>
  <c r="D1532" i="6"/>
  <c r="B1532" i="6"/>
  <c r="A1532" i="6"/>
  <c r="F1531" i="6"/>
  <c r="D1531" i="6"/>
  <c r="E1531" i="6" s="1"/>
  <c r="G1531" i="6" s="1"/>
  <c r="F1530" i="6"/>
  <c r="D1530" i="6"/>
  <c r="E1530" i="6" s="1"/>
  <c r="G1530" i="6" s="1"/>
  <c r="B1530" i="6"/>
  <c r="A1530" i="6"/>
  <c r="G1521" i="6"/>
  <c r="F1521" i="6"/>
  <c r="E1521" i="6"/>
  <c r="G1520" i="6"/>
  <c r="F1520" i="6"/>
  <c r="E1520" i="6"/>
  <c r="F1519" i="6"/>
  <c r="G1519" i="6" s="1"/>
  <c r="E1519" i="6"/>
  <c r="F1518" i="6"/>
  <c r="G1518" i="6" s="1"/>
  <c r="E1518" i="6"/>
  <c r="E1523" i="6" s="1"/>
  <c r="G1517" i="6"/>
  <c r="F1517" i="6"/>
  <c r="E1517" i="6"/>
  <c r="G1516" i="6"/>
  <c r="E1516" i="6"/>
  <c r="G1515" i="6"/>
  <c r="E1515" i="6"/>
  <c r="G1514" i="6"/>
  <c r="E1514" i="6"/>
  <c r="G1513" i="6"/>
  <c r="E1513" i="6"/>
  <c r="G1512" i="6"/>
  <c r="G1523" i="6" s="1"/>
  <c r="E1512" i="6"/>
  <c r="B1507" i="6"/>
  <c r="A1573" i="6" s="1"/>
  <c r="B1505" i="6"/>
  <c r="G1504" i="6"/>
  <c r="B1504" i="6"/>
  <c r="B1503" i="6"/>
  <c r="B1502" i="6"/>
  <c r="F1495" i="6"/>
  <c r="G1495" i="6" s="1"/>
  <c r="D1495" i="6"/>
  <c r="B1495" i="6"/>
  <c r="A1495" i="6"/>
  <c r="F1494" i="6"/>
  <c r="G1494" i="6" s="1"/>
  <c r="G1496"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G1490" i="6" s="1"/>
  <c r="D1479" i="6"/>
  <c r="B1479" i="6"/>
  <c r="A1479" i="6"/>
  <c r="F1474" i="6"/>
  <c r="E1474" i="6"/>
  <c r="B1474" i="6"/>
  <c r="A1474" i="6"/>
  <c r="F1473" i="6"/>
  <c r="B1473" i="6"/>
  <c r="A1473" i="6"/>
  <c r="F1472" i="6"/>
  <c r="E1472" i="6"/>
  <c r="B1472" i="6"/>
  <c r="A1472" i="6"/>
  <c r="F1471" i="6"/>
  <c r="E1471" i="6"/>
  <c r="G1471" i="6" s="1"/>
  <c r="F1470" i="6"/>
  <c r="E1470" i="6"/>
  <c r="G1470" i="6" s="1"/>
  <c r="G1469" i="6"/>
  <c r="F1469" i="6"/>
  <c r="E1469" i="6"/>
  <c r="G1468" i="6"/>
  <c r="F1468" i="6"/>
  <c r="E1468" i="6"/>
  <c r="E1473" i="6" s="1"/>
  <c r="G1473" i="6" s="1"/>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D1458" i="6"/>
  <c r="E1458" i="6" s="1"/>
  <c r="G1458" i="6" s="1"/>
  <c r="B1458" i="6"/>
  <c r="A1458" i="6"/>
  <c r="F1457" i="6"/>
  <c r="D1457" i="6"/>
  <c r="E1457" i="6" s="1"/>
  <c r="G1457" i="6" s="1"/>
  <c r="B1457" i="6"/>
  <c r="A1457" i="6"/>
  <c r="F1456" i="6"/>
  <c r="D1456" i="6"/>
  <c r="E1456" i="6" s="1"/>
  <c r="G1456" i="6" s="1"/>
  <c r="F1455" i="6"/>
  <c r="D1455" i="6"/>
  <c r="E1455" i="6" s="1"/>
  <c r="G1455" i="6" s="1"/>
  <c r="B1455" i="6"/>
  <c r="A1455" i="6"/>
  <c r="G1446" i="6"/>
  <c r="F1446" i="6"/>
  <c r="E1446" i="6"/>
  <c r="F1445" i="6"/>
  <c r="G1445" i="6" s="1"/>
  <c r="E1445" i="6"/>
  <c r="G1444" i="6"/>
  <c r="F1444" i="6"/>
  <c r="E1444" i="6"/>
  <c r="F1443" i="6"/>
  <c r="G1443" i="6" s="1"/>
  <c r="E1443" i="6"/>
  <c r="G1442" i="6"/>
  <c r="F1442" i="6"/>
  <c r="E1442" i="6"/>
  <c r="G1441" i="6"/>
  <c r="E1441" i="6"/>
  <c r="G1440" i="6"/>
  <c r="E1440" i="6"/>
  <c r="G1439" i="6"/>
  <c r="E1439" i="6"/>
  <c r="G1438" i="6"/>
  <c r="E1438" i="6"/>
  <c r="G1437" i="6"/>
  <c r="E1437" i="6"/>
  <c r="E1448" i="6" s="1"/>
  <c r="B1432" i="6"/>
  <c r="A1498" i="6" s="1"/>
  <c r="B1430" i="6"/>
  <c r="G1429" i="6"/>
  <c r="B1429" i="6"/>
  <c r="B1428" i="6"/>
  <c r="B1427" i="6"/>
  <c r="G1420" i="6"/>
  <c r="F1420" i="6"/>
  <c r="D1420" i="6"/>
  <c r="B1420" i="6"/>
  <c r="A1420" i="6"/>
  <c r="F1419" i="6"/>
  <c r="G1419" i="6" s="1"/>
  <c r="G1421" i="6" s="1"/>
  <c r="D1419" i="6"/>
  <c r="B1419" i="6"/>
  <c r="A1419" i="6"/>
  <c r="F1414" i="6"/>
  <c r="G1414" i="6" s="1"/>
  <c r="D1414" i="6"/>
  <c r="B1414" i="6"/>
  <c r="A1414" i="6"/>
  <c r="G1413" i="6"/>
  <c r="F1413" i="6"/>
  <c r="D1413" i="6"/>
  <c r="B1413" i="6"/>
  <c r="A1413" i="6"/>
  <c r="F1412" i="6"/>
  <c r="G1412" i="6" s="1"/>
  <c r="D1412" i="6"/>
  <c r="B1412" i="6"/>
  <c r="A1412" i="6"/>
  <c r="G1411" i="6"/>
  <c r="F1411" i="6"/>
  <c r="D1411" i="6"/>
  <c r="B1411" i="6"/>
  <c r="A1411" i="6"/>
  <c r="F1410" i="6"/>
  <c r="G1410" i="6" s="1"/>
  <c r="D1410" i="6"/>
  <c r="B1410" i="6"/>
  <c r="A1410" i="6"/>
  <c r="G1409" i="6"/>
  <c r="F1409" i="6"/>
  <c r="D1409" i="6"/>
  <c r="B1409" i="6"/>
  <c r="A1409" i="6"/>
  <c r="F1408" i="6"/>
  <c r="G1408" i="6" s="1"/>
  <c r="D1408" i="6"/>
  <c r="B1408" i="6"/>
  <c r="A1408" i="6"/>
  <c r="G1407" i="6"/>
  <c r="F1407" i="6"/>
  <c r="D1407" i="6"/>
  <c r="B1407" i="6"/>
  <c r="A1407" i="6"/>
  <c r="F1406" i="6"/>
  <c r="G1406" i="6" s="1"/>
  <c r="D1406" i="6"/>
  <c r="B1406" i="6"/>
  <c r="A1406" i="6"/>
  <c r="G1405" i="6"/>
  <c r="F1405" i="6"/>
  <c r="D1405" i="6"/>
  <c r="B1405" i="6"/>
  <c r="A1405" i="6"/>
  <c r="F1404" i="6"/>
  <c r="G1404" i="6" s="1"/>
  <c r="D1404" i="6"/>
  <c r="B1404" i="6"/>
  <c r="A1404" i="6"/>
  <c r="F1399" i="6"/>
  <c r="E1399" i="6"/>
  <c r="B1399" i="6"/>
  <c r="A1399" i="6"/>
  <c r="F1398" i="6"/>
  <c r="B1398" i="6"/>
  <c r="A1398" i="6"/>
  <c r="F1397" i="6"/>
  <c r="G1397" i="6" s="1"/>
  <c r="E1397" i="6"/>
  <c r="B1397" i="6"/>
  <c r="A1397" i="6"/>
  <c r="F1396" i="6"/>
  <c r="E1396" i="6"/>
  <c r="G1396" i="6" s="1"/>
  <c r="G1395" i="6"/>
  <c r="F1395" i="6"/>
  <c r="E1395" i="6"/>
  <c r="G1394" i="6"/>
  <c r="F1394" i="6"/>
  <c r="E1394" i="6"/>
  <c r="F1393" i="6"/>
  <c r="E1393" i="6"/>
  <c r="E1398" i="6" s="1"/>
  <c r="G1398" i="6" s="1"/>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G1383" i="6"/>
  <c r="F1383" i="6"/>
  <c r="E1383" i="6"/>
  <c r="D1383" i="6"/>
  <c r="B1383" i="6"/>
  <c r="A1383" i="6"/>
  <c r="F1382" i="6"/>
  <c r="E1382" i="6"/>
  <c r="G1382" i="6" s="1"/>
  <c r="D1382" i="6"/>
  <c r="B1382" i="6"/>
  <c r="A1382" i="6"/>
  <c r="F1381" i="6"/>
  <c r="D1381" i="6"/>
  <c r="E1381" i="6" s="1"/>
  <c r="G1381" i="6" s="1"/>
  <c r="F1380" i="6"/>
  <c r="D1380" i="6"/>
  <c r="E1380" i="6" s="1"/>
  <c r="G1380" i="6" s="1"/>
  <c r="B1380" i="6"/>
  <c r="A1380" i="6"/>
  <c r="G1371" i="6"/>
  <c r="F1371" i="6"/>
  <c r="E1371" i="6"/>
  <c r="G1370" i="6"/>
  <c r="F1370" i="6"/>
  <c r="E1370" i="6"/>
  <c r="F1369" i="6"/>
  <c r="G1369" i="6" s="1"/>
  <c r="E1369" i="6"/>
  <c r="F1368" i="6"/>
  <c r="G1368" i="6" s="1"/>
  <c r="E1368" i="6"/>
  <c r="E1373" i="6" s="1"/>
  <c r="G1367" i="6"/>
  <c r="F1367" i="6"/>
  <c r="E1367" i="6"/>
  <c r="G1366" i="6"/>
  <c r="E1366" i="6"/>
  <c r="G1365" i="6"/>
  <c r="E1365" i="6"/>
  <c r="G1364" i="6"/>
  <c r="E1364" i="6"/>
  <c r="G1363" i="6"/>
  <c r="E1363" i="6"/>
  <c r="G1362" i="6"/>
  <c r="G1373" i="6" s="1"/>
  <c r="E1362" i="6"/>
  <c r="B1357" i="6"/>
  <c r="A1423" i="6" s="1"/>
  <c r="B1355" i="6"/>
  <c r="G1354" i="6"/>
  <c r="B1354" i="6"/>
  <c r="B1353" i="6"/>
  <c r="B1352" i="6"/>
  <c r="G1345" i="6"/>
  <c r="F1345" i="6"/>
  <c r="D1345" i="6"/>
  <c r="B1345" i="6"/>
  <c r="A1345" i="6"/>
  <c r="F1344" i="6"/>
  <c r="G1344" i="6" s="1"/>
  <c r="G1346" i="6" s="1"/>
  <c r="D1344" i="6"/>
  <c r="B1344" i="6"/>
  <c r="A1344" i="6"/>
  <c r="F1339" i="6"/>
  <c r="G1339" i="6" s="1"/>
  <c r="D1339" i="6"/>
  <c r="B1339" i="6"/>
  <c r="A1339" i="6"/>
  <c r="G1338" i="6"/>
  <c r="F1338" i="6"/>
  <c r="D1338" i="6"/>
  <c r="B1338" i="6"/>
  <c r="A1338" i="6"/>
  <c r="F1337" i="6"/>
  <c r="G1337" i="6" s="1"/>
  <c r="D1337" i="6"/>
  <c r="B1337" i="6"/>
  <c r="A1337" i="6"/>
  <c r="G1336" i="6"/>
  <c r="F1336" i="6"/>
  <c r="D1336" i="6"/>
  <c r="B1336" i="6"/>
  <c r="A1336" i="6"/>
  <c r="F1335" i="6"/>
  <c r="G1335" i="6" s="1"/>
  <c r="D1335" i="6"/>
  <c r="B1335" i="6"/>
  <c r="A1335" i="6"/>
  <c r="G1334" i="6"/>
  <c r="F1334" i="6"/>
  <c r="D1334" i="6"/>
  <c r="B1334" i="6"/>
  <c r="A1334" i="6"/>
  <c r="F1333" i="6"/>
  <c r="G1333" i="6" s="1"/>
  <c r="D1333" i="6"/>
  <c r="B1333" i="6"/>
  <c r="A1333" i="6"/>
  <c r="G1332" i="6"/>
  <c r="F1332" i="6"/>
  <c r="D1332" i="6"/>
  <c r="B1332" i="6"/>
  <c r="A1332" i="6"/>
  <c r="F1331" i="6"/>
  <c r="G1331" i="6" s="1"/>
  <c r="D1331" i="6"/>
  <c r="B1331" i="6"/>
  <c r="A1331" i="6"/>
  <c r="G1330" i="6"/>
  <c r="F1330" i="6"/>
  <c r="D1330" i="6"/>
  <c r="B1330" i="6"/>
  <c r="A1330" i="6"/>
  <c r="F1329" i="6"/>
  <c r="G1329" i="6" s="1"/>
  <c r="D1329" i="6"/>
  <c r="B1329" i="6"/>
  <c r="A1329" i="6"/>
  <c r="F1324" i="6"/>
  <c r="E1324" i="6"/>
  <c r="B1324" i="6"/>
  <c r="A1324" i="6"/>
  <c r="F1323" i="6"/>
  <c r="B1323" i="6"/>
  <c r="A1323" i="6"/>
  <c r="F1322" i="6"/>
  <c r="G1322" i="6" s="1"/>
  <c r="E1322" i="6"/>
  <c r="B1322" i="6"/>
  <c r="A1322" i="6"/>
  <c r="F1321" i="6"/>
  <c r="E1321" i="6"/>
  <c r="G1321" i="6" s="1"/>
  <c r="F1320" i="6"/>
  <c r="G1320" i="6" s="1"/>
  <c r="E1320" i="6"/>
  <c r="G1319" i="6"/>
  <c r="F1319" i="6"/>
  <c r="E1319" i="6"/>
  <c r="F1318" i="6"/>
  <c r="E1318" i="6"/>
  <c r="E1323" i="6" s="1"/>
  <c r="G1323" i="6" s="1"/>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G1308" i="6"/>
  <c r="F1308" i="6"/>
  <c r="E1308" i="6"/>
  <c r="D1308" i="6"/>
  <c r="B1308" i="6"/>
  <c r="A1308" i="6"/>
  <c r="F1307" i="6"/>
  <c r="E1307" i="6"/>
  <c r="G1307" i="6" s="1"/>
  <c r="D1307" i="6"/>
  <c r="B1307" i="6"/>
  <c r="A1307" i="6"/>
  <c r="G1306" i="6"/>
  <c r="F1306" i="6"/>
  <c r="E1306" i="6"/>
  <c r="D1306" i="6"/>
  <c r="F1305" i="6"/>
  <c r="D1305" i="6"/>
  <c r="E1305" i="6" s="1"/>
  <c r="G1305" i="6" s="1"/>
  <c r="B1305" i="6"/>
  <c r="A1305" i="6"/>
  <c r="F1296" i="6"/>
  <c r="G1296" i="6" s="1"/>
  <c r="E1296" i="6"/>
  <c r="G1295" i="6"/>
  <c r="F1295" i="6"/>
  <c r="E1295" i="6"/>
  <c r="F1294" i="6"/>
  <c r="G1294" i="6" s="1"/>
  <c r="E1294" i="6"/>
  <c r="F1293" i="6"/>
  <c r="G1293" i="6" s="1"/>
  <c r="E1293" i="6"/>
  <c r="E1298" i="6" s="1"/>
  <c r="G1292" i="6"/>
  <c r="F1292" i="6"/>
  <c r="E1292" i="6"/>
  <c r="G1291" i="6"/>
  <c r="E1291" i="6"/>
  <c r="G1290" i="6"/>
  <c r="E1290" i="6"/>
  <c r="G1289" i="6"/>
  <c r="E1289" i="6"/>
  <c r="G1288" i="6"/>
  <c r="E1288" i="6"/>
  <c r="G1287" i="6"/>
  <c r="G1298" i="6" s="1"/>
  <c r="E1287" i="6"/>
  <c r="B1282" i="6"/>
  <c r="A1348" i="6" s="1"/>
  <c r="B1280" i="6"/>
  <c r="G1279" i="6"/>
  <c r="B1279" i="6"/>
  <c r="B1278" i="6"/>
  <c r="B1277" i="6"/>
  <c r="F1270" i="6"/>
  <c r="G1270" i="6" s="1"/>
  <c r="G1271" i="6" s="1"/>
  <c r="D1270" i="6"/>
  <c r="B1270" i="6"/>
  <c r="A1270" i="6"/>
  <c r="G1269" i="6"/>
  <c r="F1269" i="6"/>
  <c r="D1269" i="6"/>
  <c r="B1269" i="6"/>
  <c r="A1269" i="6"/>
  <c r="G1264" i="6"/>
  <c r="F1264" i="6"/>
  <c r="D1264" i="6"/>
  <c r="B1264" i="6"/>
  <c r="A1264" i="6"/>
  <c r="F1263" i="6"/>
  <c r="G1263" i="6" s="1"/>
  <c r="D1263" i="6"/>
  <c r="B1263" i="6"/>
  <c r="A1263" i="6"/>
  <c r="G1262" i="6"/>
  <c r="F1262" i="6"/>
  <c r="D1262" i="6"/>
  <c r="B1262" i="6"/>
  <c r="A1262" i="6"/>
  <c r="F1261" i="6"/>
  <c r="G1261" i="6" s="1"/>
  <c r="D1261" i="6"/>
  <c r="B1261" i="6"/>
  <c r="A1261" i="6"/>
  <c r="G1260" i="6"/>
  <c r="F1260" i="6"/>
  <c r="D1260" i="6"/>
  <c r="B1260" i="6"/>
  <c r="A1260" i="6"/>
  <c r="F1259" i="6"/>
  <c r="G1259" i="6" s="1"/>
  <c r="D1259" i="6"/>
  <c r="B1259" i="6"/>
  <c r="A1259" i="6"/>
  <c r="G1258" i="6"/>
  <c r="F1258" i="6"/>
  <c r="D1258" i="6"/>
  <c r="B1258" i="6"/>
  <c r="A1258" i="6"/>
  <c r="F1257" i="6"/>
  <c r="G1257" i="6" s="1"/>
  <c r="D1257" i="6"/>
  <c r="B1257" i="6"/>
  <c r="A1257" i="6"/>
  <c r="G1256" i="6"/>
  <c r="F1256" i="6"/>
  <c r="D1256" i="6"/>
  <c r="B1256" i="6"/>
  <c r="A1256" i="6"/>
  <c r="F1255" i="6"/>
  <c r="G1255" i="6" s="1"/>
  <c r="D1255" i="6"/>
  <c r="B1255" i="6"/>
  <c r="A1255" i="6"/>
  <c r="G1254" i="6"/>
  <c r="F1254" i="6"/>
  <c r="D1254" i="6"/>
  <c r="B1254" i="6"/>
  <c r="A1254" i="6"/>
  <c r="F1249" i="6"/>
  <c r="G1249" i="6" s="1"/>
  <c r="E1249" i="6"/>
  <c r="B1249" i="6"/>
  <c r="A1249" i="6"/>
  <c r="F1248" i="6"/>
  <c r="B1248" i="6"/>
  <c r="A1248" i="6"/>
  <c r="F1247" i="6"/>
  <c r="E1247" i="6"/>
  <c r="B1247" i="6"/>
  <c r="A1247" i="6"/>
  <c r="F1246" i="6"/>
  <c r="E1246" i="6"/>
  <c r="G1246" i="6" s="1"/>
  <c r="F1245" i="6"/>
  <c r="E1245" i="6"/>
  <c r="G1245" i="6" s="1"/>
  <c r="F1244" i="6"/>
  <c r="G1244" i="6" s="1"/>
  <c r="E1244" i="6"/>
  <c r="G1243" i="6"/>
  <c r="F1243" i="6"/>
  <c r="E1243" i="6"/>
  <c r="E1248" i="6" s="1"/>
  <c r="G1248" i="6" s="1"/>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D1233" i="6"/>
  <c r="E1233" i="6" s="1"/>
  <c r="G1233" i="6" s="1"/>
  <c r="B1233" i="6"/>
  <c r="A1233" i="6"/>
  <c r="F1232" i="6"/>
  <c r="D1232" i="6"/>
  <c r="E1232" i="6" s="1"/>
  <c r="G1232" i="6" s="1"/>
  <c r="B1232" i="6"/>
  <c r="A1232" i="6"/>
  <c r="F1231" i="6"/>
  <c r="D1231" i="6"/>
  <c r="E1231" i="6" s="1"/>
  <c r="G1231" i="6" s="1"/>
  <c r="F1230" i="6"/>
  <c r="D1230" i="6"/>
  <c r="E1230" i="6" s="1"/>
  <c r="G1230" i="6" s="1"/>
  <c r="B1230" i="6"/>
  <c r="A1230" i="6"/>
  <c r="G1221" i="6"/>
  <c r="F1221" i="6"/>
  <c r="E1221" i="6"/>
  <c r="F1220" i="6"/>
  <c r="G1220" i="6" s="1"/>
  <c r="E1220" i="6"/>
  <c r="G1219" i="6"/>
  <c r="F1219" i="6"/>
  <c r="E1219" i="6"/>
  <c r="F1218" i="6"/>
  <c r="G1218" i="6" s="1"/>
  <c r="G1223" i="6" s="1"/>
  <c r="E1218" i="6"/>
  <c r="G1217" i="6"/>
  <c r="F1217" i="6"/>
  <c r="E1217" i="6"/>
  <c r="G1216" i="6"/>
  <c r="E1216" i="6"/>
  <c r="G1215" i="6"/>
  <c r="E1215" i="6"/>
  <c r="G1214" i="6"/>
  <c r="E1214" i="6"/>
  <c r="G1213" i="6"/>
  <c r="E1213" i="6"/>
  <c r="G1212" i="6"/>
  <c r="E1212" i="6"/>
  <c r="E1223" i="6" s="1"/>
  <c r="B1207" i="6"/>
  <c r="A1273" i="6" s="1"/>
  <c r="B1205" i="6"/>
  <c r="G1204" i="6"/>
  <c r="B1204" i="6"/>
  <c r="B1203" i="6"/>
  <c r="B1202" i="6"/>
  <c r="G1195" i="6"/>
  <c r="F1195" i="6"/>
  <c r="D1195" i="6"/>
  <c r="B1195" i="6"/>
  <c r="A1195" i="6"/>
  <c r="F1194" i="6"/>
  <c r="G1194" i="6" s="1"/>
  <c r="G1196" i="6" s="1"/>
  <c r="D1194" i="6"/>
  <c r="B1194" i="6"/>
  <c r="A1194" i="6"/>
  <c r="F1189" i="6"/>
  <c r="G1189" i="6" s="1"/>
  <c r="D1189" i="6"/>
  <c r="B1189" i="6"/>
  <c r="A1189" i="6"/>
  <c r="G1188" i="6"/>
  <c r="F1188" i="6"/>
  <c r="D1188" i="6"/>
  <c r="B1188" i="6"/>
  <c r="A1188" i="6"/>
  <c r="F1187" i="6"/>
  <c r="G1187" i="6" s="1"/>
  <c r="D1187" i="6"/>
  <c r="B1187" i="6"/>
  <c r="A1187" i="6"/>
  <c r="G1186" i="6"/>
  <c r="F1186" i="6"/>
  <c r="D1186" i="6"/>
  <c r="B1186" i="6"/>
  <c r="A1186" i="6"/>
  <c r="F1185" i="6"/>
  <c r="G1185" i="6" s="1"/>
  <c r="D1185" i="6"/>
  <c r="B1185" i="6"/>
  <c r="A1185" i="6"/>
  <c r="G1184" i="6"/>
  <c r="F1184" i="6"/>
  <c r="D1184" i="6"/>
  <c r="B1184" i="6"/>
  <c r="A1184" i="6"/>
  <c r="F1183" i="6"/>
  <c r="G1183" i="6" s="1"/>
  <c r="D1183" i="6"/>
  <c r="B1183" i="6"/>
  <c r="A1183" i="6"/>
  <c r="G1182" i="6"/>
  <c r="F1182" i="6"/>
  <c r="D1182" i="6"/>
  <c r="B1182" i="6"/>
  <c r="A1182" i="6"/>
  <c r="F1181" i="6"/>
  <c r="G1181" i="6" s="1"/>
  <c r="D1181" i="6"/>
  <c r="B1181" i="6"/>
  <c r="A1181" i="6"/>
  <c r="G1180" i="6"/>
  <c r="F1180" i="6"/>
  <c r="D1180" i="6"/>
  <c r="B1180" i="6"/>
  <c r="A1180" i="6"/>
  <c r="F1179" i="6"/>
  <c r="G1179" i="6" s="1"/>
  <c r="D1179" i="6"/>
  <c r="B1179" i="6"/>
  <c r="A1179" i="6"/>
  <c r="F1174" i="6"/>
  <c r="E1174" i="6"/>
  <c r="B1174" i="6"/>
  <c r="A1174" i="6"/>
  <c r="F1173" i="6"/>
  <c r="B1173" i="6"/>
  <c r="A1173" i="6"/>
  <c r="F1172" i="6"/>
  <c r="E1172" i="6"/>
  <c r="B1172" i="6"/>
  <c r="A1172" i="6"/>
  <c r="F1171" i="6"/>
  <c r="E1171" i="6"/>
  <c r="G1171" i="6" s="1"/>
  <c r="F1170" i="6"/>
  <c r="E1170" i="6"/>
  <c r="G1170" i="6" s="1"/>
  <c r="G1169" i="6"/>
  <c r="F1169" i="6"/>
  <c r="E1169" i="6"/>
  <c r="E1173" i="6" s="1"/>
  <c r="G1173" i="6" s="1"/>
  <c r="F1168" i="6"/>
  <c r="E1168" i="6"/>
  <c r="G1168" i="6" s="1"/>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G1158" i="6"/>
  <c r="F1158" i="6"/>
  <c r="E1158" i="6"/>
  <c r="D1158" i="6"/>
  <c r="B1158" i="6"/>
  <c r="A1158" i="6"/>
  <c r="F1157" i="6"/>
  <c r="E1157" i="6"/>
  <c r="G1157" i="6" s="1"/>
  <c r="D1157" i="6"/>
  <c r="B1157" i="6"/>
  <c r="A1157" i="6"/>
  <c r="G1156" i="6"/>
  <c r="F1156" i="6"/>
  <c r="E1156" i="6"/>
  <c r="D1156" i="6"/>
  <c r="G1155" i="6"/>
  <c r="F1155" i="6"/>
  <c r="E1155" i="6"/>
  <c r="D1155" i="6"/>
  <c r="B1155" i="6"/>
  <c r="A1155" i="6"/>
  <c r="F1146" i="6"/>
  <c r="G1146" i="6" s="1"/>
  <c r="E1146" i="6"/>
  <c r="G1145" i="6"/>
  <c r="F1145" i="6"/>
  <c r="E1145" i="6"/>
  <c r="F1144" i="6"/>
  <c r="G1144" i="6" s="1"/>
  <c r="E1144" i="6"/>
  <c r="G1143" i="6"/>
  <c r="F1143" i="6"/>
  <c r="E1143" i="6"/>
  <c r="E1148" i="6" s="1"/>
  <c r="F1142" i="6"/>
  <c r="G1142" i="6" s="1"/>
  <c r="E1142" i="6"/>
  <c r="G1141" i="6"/>
  <c r="E1141" i="6"/>
  <c r="G1140" i="6"/>
  <c r="E1140" i="6"/>
  <c r="G1139" i="6"/>
  <c r="E1139" i="6"/>
  <c r="G1138" i="6"/>
  <c r="E1138" i="6"/>
  <c r="G1137" i="6"/>
  <c r="E1137" i="6"/>
  <c r="B1132" i="6"/>
  <c r="B1130" i="6"/>
  <c r="G1129" i="6"/>
  <c r="B1129" i="6"/>
  <c r="B1128" i="6"/>
  <c r="B1127" i="6"/>
  <c r="G1120" i="6"/>
  <c r="F1120" i="6"/>
  <c r="D1120" i="6"/>
  <c r="B1120" i="6"/>
  <c r="A1120" i="6"/>
  <c r="G1119" i="6"/>
  <c r="G1121" i="6" s="1"/>
  <c r="F1119" i="6"/>
  <c r="D1119" i="6"/>
  <c r="B1119" i="6"/>
  <c r="A1119" i="6"/>
  <c r="F1114" i="6"/>
  <c r="G1114" i="6" s="1"/>
  <c r="D1114" i="6"/>
  <c r="B1114" i="6"/>
  <c r="A1114" i="6"/>
  <c r="G1113" i="6"/>
  <c r="F1113" i="6"/>
  <c r="D1113" i="6"/>
  <c r="B1113" i="6"/>
  <c r="A1113" i="6"/>
  <c r="G1112" i="6"/>
  <c r="F1112" i="6"/>
  <c r="D1112" i="6"/>
  <c r="B1112" i="6"/>
  <c r="A1112" i="6"/>
  <c r="F1111" i="6"/>
  <c r="G1111" i="6" s="1"/>
  <c r="D1111" i="6"/>
  <c r="B1111" i="6"/>
  <c r="A1111" i="6"/>
  <c r="F1110" i="6"/>
  <c r="G1110" i="6" s="1"/>
  <c r="D1110" i="6"/>
  <c r="B1110" i="6"/>
  <c r="A1110" i="6"/>
  <c r="G1109" i="6"/>
  <c r="F1109" i="6"/>
  <c r="D1109" i="6"/>
  <c r="B1109" i="6"/>
  <c r="A1109" i="6"/>
  <c r="G1108" i="6"/>
  <c r="F1108" i="6"/>
  <c r="D1108" i="6"/>
  <c r="B1108" i="6"/>
  <c r="A1108" i="6"/>
  <c r="F1107" i="6"/>
  <c r="G1107" i="6" s="1"/>
  <c r="D1107" i="6"/>
  <c r="B1107" i="6"/>
  <c r="A1107" i="6"/>
  <c r="F1106" i="6"/>
  <c r="G1106" i="6" s="1"/>
  <c r="D1106" i="6"/>
  <c r="B1106" i="6"/>
  <c r="A1106" i="6"/>
  <c r="G1105" i="6"/>
  <c r="F1105" i="6"/>
  <c r="D1105" i="6"/>
  <c r="B1105" i="6"/>
  <c r="A1105" i="6"/>
  <c r="G1104" i="6"/>
  <c r="G1115" i="6" s="1"/>
  <c r="F1104" i="6"/>
  <c r="D1104" i="6"/>
  <c r="B1104" i="6"/>
  <c r="A1104" i="6"/>
  <c r="F1099" i="6"/>
  <c r="E1099" i="6"/>
  <c r="B1099" i="6"/>
  <c r="A1099" i="6"/>
  <c r="F1098" i="6"/>
  <c r="B1098" i="6"/>
  <c r="A1098" i="6"/>
  <c r="F1097" i="6"/>
  <c r="G1097" i="6" s="1"/>
  <c r="E1097" i="6"/>
  <c r="B1097" i="6"/>
  <c r="A1097" i="6"/>
  <c r="F1096" i="6"/>
  <c r="E1096" i="6"/>
  <c r="G1096" i="6" s="1"/>
  <c r="G1095" i="6"/>
  <c r="F1095" i="6"/>
  <c r="E1095" i="6"/>
  <c r="G1094" i="6"/>
  <c r="F1094" i="6"/>
  <c r="E1094" i="6"/>
  <c r="F1093" i="6"/>
  <c r="E1093" i="6"/>
  <c r="E1098" i="6" s="1"/>
  <c r="G1098" i="6" s="1"/>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D1083" i="6"/>
  <c r="E1083" i="6" s="1"/>
  <c r="G1083" i="6" s="1"/>
  <c r="B1083" i="6"/>
  <c r="A1083" i="6"/>
  <c r="F1082" i="6"/>
  <c r="E1082" i="6"/>
  <c r="G1082" i="6" s="1"/>
  <c r="D1082" i="6"/>
  <c r="B1082" i="6"/>
  <c r="A1082" i="6"/>
  <c r="F1081" i="6"/>
  <c r="D1081" i="6"/>
  <c r="E1081" i="6" s="1"/>
  <c r="G1081" i="6" s="1"/>
  <c r="F1080" i="6"/>
  <c r="D1080" i="6"/>
  <c r="E1080" i="6" s="1"/>
  <c r="G1080" i="6" s="1"/>
  <c r="B1080" i="6"/>
  <c r="A1080" i="6"/>
  <c r="G1071" i="6"/>
  <c r="F1071" i="6"/>
  <c r="E1071" i="6"/>
  <c r="G1070" i="6"/>
  <c r="F1070" i="6"/>
  <c r="E1070" i="6"/>
  <c r="F1069" i="6"/>
  <c r="G1069" i="6" s="1"/>
  <c r="E1069" i="6"/>
  <c r="F1068" i="6"/>
  <c r="G1068" i="6" s="1"/>
  <c r="E1068" i="6"/>
  <c r="E1073" i="6" s="1"/>
  <c r="G1067" i="6"/>
  <c r="F1067" i="6"/>
  <c r="E1067" i="6"/>
  <c r="G1066" i="6"/>
  <c r="E1066" i="6"/>
  <c r="G1065" i="6"/>
  <c r="E1065" i="6"/>
  <c r="G1064" i="6"/>
  <c r="E1064" i="6"/>
  <c r="G1063" i="6"/>
  <c r="E1063" i="6"/>
  <c r="G1062" i="6"/>
  <c r="E1062" i="6"/>
  <c r="B1057" i="6"/>
  <c r="A1123" i="6" s="1"/>
  <c r="B1055" i="6"/>
  <c r="G1054" i="6"/>
  <c r="B1054" i="6"/>
  <c r="B1053" i="6"/>
  <c r="B1052" i="6"/>
  <c r="G1045" i="6"/>
  <c r="F1045" i="6"/>
  <c r="D1045" i="6"/>
  <c r="B1045" i="6"/>
  <c r="A1045" i="6"/>
  <c r="F1044" i="6"/>
  <c r="G1044" i="6" s="1"/>
  <c r="G1046" i="6" s="1"/>
  <c r="D1044" i="6"/>
  <c r="B1044" i="6"/>
  <c r="A1044" i="6"/>
  <c r="F1039" i="6"/>
  <c r="G1039" i="6" s="1"/>
  <c r="D1039" i="6"/>
  <c r="B1039" i="6"/>
  <c r="A1039" i="6"/>
  <c r="G1038" i="6"/>
  <c r="F1038" i="6"/>
  <c r="D1038" i="6"/>
  <c r="B1038" i="6"/>
  <c r="A1038" i="6"/>
  <c r="F1037" i="6"/>
  <c r="G1037" i="6" s="1"/>
  <c r="D1037" i="6"/>
  <c r="B1037" i="6"/>
  <c r="A1037" i="6"/>
  <c r="G1036" i="6"/>
  <c r="F1036" i="6"/>
  <c r="D1036" i="6"/>
  <c r="B1036" i="6"/>
  <c r="A1036" i="6"/>
  <c r="F1035" i="6"/>
  <c r="G1035" i="6" s="1"/>
  <c r="D1035" i="6"/>
  <c r="B1035" i="6"/>
  <c r="A1035" i="6"/>
  <c r="G1034" i="6"/>
  <c r="F1034" i="6"/>
  <c r="D1034" i="6"/>
  <c r="B1034" i="6"/>
  <c r="A1034" i="6"/>
  <c r="F1033" i="6"/>
  <c r="G1033" i="6" s="1"/>
  <c r="D1033" i="6"/>
  <c r="B1033" i="6"/>
  <c r="A1033" i="6"/>
  <c r="G1032" i="6"/>
  <c r="F1032" i="6"/>
  <c r="D1032" i="6"/>
  <c r="B1032" i="6"/>
  <c r="A1032" i="6"/>
  <c r="F1031" i="6"/>
  <c r="G1031" i="6" s="1"/>
  <c r="D1031" i="6"/>
  <c r="B1031" i="6"/>
  <c r="A1031" i="6"/>
  <c r="G1030" i="6"/>
  <c r="F1030" i="6"/>
  <c r="D1030" i="6"/>
  <c r="B1030" i="6"/>
  <c r="A1030" i="6"/>
  <c r="F1029" i="6"/>
  <c r="G1029" i="6" s="1"/>
  <c r="D1029" i="6"/>
  <c r="B1029" i="6"/>
  <c r="A1029" i="6"/>
  <c r="F1024" i="6"/>
  <c r="E1024" i="6"/>
  <c r="B1024" i="6"/>
  <c r="A1024" i="6"/>
  <c r="F1023" i="6"/>
  <c r="B1023" i="6"/>
  <c r="A1023" i="6"/>
  <c r="F1022" i="6"/>
  <c r="G1022" i="6" s="1"/>
  <c r="E1022" i="6"/>
  <c r="B1022" i="6"/>
  <c r="A1022" i="6"/>
  <c r="F1021" i="6"/>
  <c r="E1021" i="6"/>
  <c r="G1021" i="6" s="1"/>
  <c r="F1020" i="6"/>
  <c r="G1020" i="6" s="1"/>
  <c r="E1020" i="6"/>
  <c r="G1019" i="6"/>
  <c r="F1019" i="6"/>
  <c r="E1019" i="6"/>
  <c r="F1018" i="6"/>
  <c r="E1018" i="6"/>
  <c r="E1023" i="6" s="1"/>
  <c r="G1023" i="6" s="1"/>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G1008" i="6"/>
  <c r="F1008" i="6"/>
  <c r="E1008" i="6"/>
  <c r="D1008" i="6"/>
  <c r="B1008" i="6"/>
  <c r="A1008" i="6"/>
  <c r="F1007" i="6"/>
  <c r="E1007" i="6"/>
  <c r="G1007" i="6" s="1"/>
  <c r="D1007" i="6"/>
  <c r="B1007" i="6"/>
  <c r="A1007" i="6"/>
  <c r="G1006" i="6"/>
  <c r="F1006" i="6"/>
  <c r="E1006" i="6"/>
  <c r="D1006" i="6"/>
  <c r="F1005" i="6"/>
  <c r="D1005" i="6"/>
  <c r="E1005" i="6" s="1"/>
  <c r="G1005" i="6" s="1"/>
  <c r="B1005" i="6"/>
  <c r="A1005" i="6"/>
  <c r="F996" i="6"/>
  <c r="G996" i="6" s="1"/>
  <c r="E996" i="6"/>
  <c r="G995" i="6"/>
  <c r="F995" i="6"/>
  <c r="E995" i="6"/>
  <c r="F994" i="6"/>
  <c r="G994" i="6" s="1"/>
  <c r="E994" i="6"/>
  <c r="F993" i="6"/>
  <c r="G993" i="6" s="1"/>
  <c r="E993" i="6"/>
  <c r="E998" i="6" s="1"/>
  <c r="G992" i="6"/>
  <c r="F992" i="6"/>
  <c r="E992" i="6"/>
  <c r="G991" i="6"/>
  <c r="E991" i="6"/>
  <c r="G990" i="6"/>
  <c r="E990" i="6"/>
  <c r="G989" i="6"/>
  <c r="E989" i="6"/>
  <c r="G988" i="6"/>
  <c r="E988" i="6"/>
  <c r="G987" i="6"/>
  <c r="G998" i="6" s="1"/>
  <c r="E987" i="6"/>
  <c r="B982" i="6"/>
  <c r="A1048" i="6" s="1"/>
  <c r="B980" i="6"/>
  <c r="G979" i="6"/>
  <c r="B979" i="6"/>
  <c r="B978" i="6"/>
  <c r="B977" i="6"/>
  <c r="G970" i="6"/>
  <c r="F970" i="6"/>
  <c r="D970" i="6"/>
  <c r="B970" i="6"/>
  <c r="A970" i="6"/>
  <c r="F969" i="6"/>
  <c r="G969" i="6" s="1"/>
  <c r="G971" i="6" s="1"/>
  <c r="D969" i="6"/>
  <c r="B969" i="6"/>
  <c r="A969" i="6"/>
  <c r="F964" i="6"/>
  <c r="G964" i="6" s="1"/>
  <c r="D964" i="6"/>
  <c r="B964" i="6"/>
  <c r="A964" i="6"/>
  <c r="G963" i="6"/>
  <c r="F963" i="6"/>
  <c r="D963" i="6"/>
  <c r="B963" i="6"/>
  <c r="A963" i="6"/>
  <c r="F962" i="6"/>
  <c r="G962" i="6" s="1"/>
  <c r="D962" i="6"/>
  <c r="B962" i="6"/>
  <c r="A962" i="6"/>
  <c r="G961" i="6"/>
  <c r="F961" i="6"/>
  <c r="D961" i="6"/>
  <c r="B961" i="6"/>
  <c r="A961" i="6"/>
  <c r="F960" i="6"/>
  <c r="G960" i="6" s="1"/>
  <c r="D960" i="6"/>
  <c r="B960" i="6"/>
  <c r="A960" i="6"/>
  <c r="G959" i="6"/>
  <c r="F959" i="6"/>
  <c r="D959" i="6"/>
  <c r="B959" i="6"/>
  <c r="A959" i="6"/>
  <c r="F958" i="6"/>
  <c r="G958" i="6" s="1"/>
  <c r="D958" i="6"/>
  <c r="B958" i="6"/>
  <c r="A958" i="6"/>
  <c r="G957" i="6"/>
  <c r="F957" i="6"/>
  <c r="D957" i="6"/>
  <c r="B957" i="6"/>
  <c r="A957" i="6"/>
  <c r="F956" i="6"/>
  <c r="G956" i="6" s="1"/>
  <c r="D956" i="6"/>
  <c r="B956" i="6"/>
  <c r="A956" i="6"/>
  <c r="G955" i="6"/>
  <c r="F955" i="6"/>
  <c r="D955" i="6"/>
  <c r="B955" i="6"/>
  <c r="A955" i="6"/>
  <c r="F954" i="6"/>
  <c r="G954" i="6" s="1"/>
  <c r="D954" i="6"/>
  <c r="B954" i="6"/>
  <c r="A954" i="6"/>
  <c r="F949" i="6"/>
  <c r="E949" i="6"/>
  <c r="B949" i="6"/>
  <c r="A949" i="6"/>
  <c r="F948" i="6"/>
  <c r="B948" i="6"/>
  <c r="A948" i="6"/>
  <c r="F947" i="6"/>
  <c r="G947" i="6" s="1"/>
  <c r="E947" i="6"/>
  <c r="B947" i="6"/>
  <c r="A947" i="6"/>
  <c r="F946" i="6"/>
  <c r="E946" i="6"/>
  <c r="G946" i="6" s="1"/>
  <c r="F945" i="6"/>
  <c r="G945" i="6" s="1"/>
  <c r="E945" i="6"/>
  <c r="G944" i="6"/>
  <c r="F944" i="6"/>
  <c r="E944" i="6"/>
  <c r="F943" i="6"/>
  <c r="E943" i="6"/>
  <c r="E948" i="6" s="1"/>
  <c r="G948" i="6" s="1"/>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G933" i="6"/>
  <c r="F933" i="6"/>
  <c r="E933" i="6"/>
  <c r="D933" i="6"/>
  <c r="B933" i="6"/>
  <c r="A933" i="6"/>
  <c r="F932" i="6"/>
  <c r="E932" i="6"/>
  <c r="G932" i="6" s="1"/>
  <c r="D932" i="6"/>
  <c r="B932" i="6"/>
  <c r="A932" i="6"/>
  <c r="G931" i="6"/>
  <c r="F931" i="6"/>
  <c r="E931" i="6"/>
  <c r="D931" i="6"/>
  <c r="F930" i="6"/>
  <c r="D930" i="6"/>
  <c r="E930" i="6" s="1"/>
  <c r="G930" i="6" s="1"/>
  <c r="B930" i="6"/>
  <c r="A930" i="6"/>
  <c r="F921" i="6"/>
  <c r="G921" i="6" s="1"/>
  <c r="E921" i="6"/>
  <c r="G920" i="6"/>
  <c r="F920" i="6"/>
  <c r="E920" i="6"/>
  <c r="F919" i="6"/>
  <c r="G919" i="6" s="1"/>
  <c r="E919" i="6"/>
  <c r="F918" i="6"/>
  <c r="G918" i="6" s="1"/>
  <c r="E918" i="6"/>
  <c r="E923" i="6" s="1"/>
  <c r="G917" i="6"/>
  <c r="F917" i="6"/>
  <c r="E917" i="6"/>
  <c r="G916" i="6"/>
  <c r="E916" i="6"/>
  <c r="G915" i="6"/>
  <c r="E915" i="6"/>
  <c r="G914" i="6"/>
  <c r="E914" i="6"/>
  <c r="G913" i="6"/>
  <c r="E913" i="6"/>
  <c r="G912" i="6"/>
  <c r="G923" i="6" s="1"/>
  <c r="E912" i="6"/>
  <c r="B907" i="6"/>
  <c r="A973" i="6" s="1"/>
  <c r="B905" i="6"/>
  <c r="G904" i="6"/>
  <c r="B904" i="6"/>
  <c r="B903" i="6"/>
  <c r="B902" i="6"/>
  <c r="G895" i="6"/>
  <c r="F895" i="6"/>
  <c r="D895" i="6"/>
  <c r="B895" i="6"/>
  <c r="A895" i="6"/>
  <c r="F894" i="6"/>
  <c r="G894" i="6" s="1"/>
  <c r="G896" i="6" s="1"/>
  <c r="D894" i="6"/>
  <c r="B894" i="6"/>
  <c r="A894" i="6"/>
  <c r="F889" i="6"/>
  <c r="G889" i="6" s="1"/>
  <c r="D889" i="6"/>
  <c r="B889" i="6"/>
  <c r="A889" i="6"/>
  <c r="G888" i="6"/>
  <c r="F888" i="6"/>
  <c r="D888" i="6"/>
  <c r="B888" i="6"/>
  <c r="A888" i="6"/>
  <c r="F887" i="6"/>
  <c r="G887" i="6" s="1"/>
  <c r="D887" i="6"/>
  <c r="B887" i="6"/>
  <c r="A887" i="6"/>
  <c r="F886" i="6"/>
  <c r="G886" i="6" s="1"/>
  <c r="D886" i="6"/>
  <c r="B886" i="6"/>
  <c r="A886" i="6"/>
  <c r="F885" i="6"/>
  <c r="G885" i="6" s="1"/>
  <c r="D885" i="6"/>
  <c r="B885" i="6"/>
  <c r="A885" i="6"/>
  <c r="G884" i="6"/>
  <c r="F884" i="6"/>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G874" i="6" s="1"/>
  <c r="E874" i="6"/>
  <c r="B874" i="6"/>
  <c r="A874" i="6"/>
  <c r="F873" i="6"/>
  <c r="B873" i="6"/>
  <c r="A873" i="6"/>
  <c r="F872" i="6"/>
  <c r="E872" i="6"/>
  <c r="B872" i="6"/>
  <c r="A872" i="6"/>
  <c r="F871" i="6"/>
  <c r="E871" i="6"/>
  <c r="G871" i="6" s="1"/>
  <c r="F870" i="6"/>
  <c r="E870" i="6"/>
  <c r="G870" i="6" s="1"/>
  <c r="G869" i="6"/>
  <c r="F869" i="6"/>
  <c r="E869" i="6"/>
  <c r="E873" i="6" s="1"/>
  <c r="G873" i="6" s="1"/>
  <c r="F868" i="6"/>
  <c r="G868" i="6" s="1"/>
  <c r="E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D858" i="6"/>
  <c r="E858" i="6" s="1"/>
  <c r="G858" i="6" s="1"/>
  <c r="B858" i="6"/>
  <c r="A858" i="6"/>
  <c r="F857" i="6"/>
  <c r="E857" i="6"/>
  <c r="G857" i="6" s="1"/>
  <c r="D857" i="6"/>
  <c r="B857" i="6"/>
  <c r="A857" i="6"/>
  <c r="F856" i="6"/>
  <c r="D856" i="6"/>
  <c r="E856" i="6" s="1"/>
  <c r="G856" i="6" s="1"/>
  <c r="F855" i="6"/>
  <c r="D855" i="6"/>
  <c r="E855" i="6" s="1"/>
  <c r="G855" i="6" s="1"/>
  <c r="B855" i="6"/>
  <c r="A855" i="6"/>
  <c r="F846" i="6"/>
  <c r="G846" i="6" s="1"/>
  <c r="E846" i="6"/>
  <c r="G845" i="6"/>
  <c r="F845" i="6"/>
  <c r="E845" i="6"/>
  <c r="F844" i="6"/>
  <c r="G844" i="6" s="1"/>
  <c r="E844" i="6"/>
  <c r="F843" i="6"/>
  <c r="G843" i="6" s="1"/>
  <c r="E843" i="6"/>
  <c r="E848" i="6" s="1"/>
  <c r="F842" i="6"/>
  <c r="G842" i="6" s="1"/>
  <c r="E842" i="6"/>
  <c r="G841" i="6"/>
  <c r="E841" i="6"/>
  <c r="G840" i="6"/>
  <c r="E840" i="6"/>
  <c r="G839" i="6"/>
  <c r="E839" i="6"/>
  <c r="G838" i="6"/>
  <c r="E838" i="6"/>
  <c r="G837" i="6"/>
  <c r="E837" i="6"/>
  <c r="B832" i="6"/>
  <c r="B830" i="6"/>
  <c r="G829" i="6"/>
  <c r="B829" i="6"/>
  <c r="B828" i="6"/>
  <c r="B827" i="6"/>
  <c r="G820" i="6"/>
  <c r="F820" i="6"/>
  <c r="D820" i="6"/>
  <c r="B820" i="6"/>
  <c r="A820" i="6"/>
  <c r="F819" i="6"/>
  <c r="G819" i="6" s="1"/>
  <c r="G821" i="6" s="1"/>
  <c r="D819" i="6"/>
  <c r="B819" i="6"/>
  <c r="A819" i="6"/>
  <c r="F814" i="6"/>
  <c r="G814" i="6" s="1"/>
  <c r="D814" i="6"/>
  <c r="B814" i="6"/>
  <c r="A814" i="6"/>
  <c r="G813" i="6"/>
  <c r="F813" i="6"/>
  <c r="D813" i="6"/>
  <c r="B813" i="6"/>
  <c r="A813" i="6"/>
  <c r="F812" i="6"/>
  <c r="G812" i="6" s="1"/>
  <c r="D812" i="6"/>
  <c r="B812" i="6"/>
  <c r="A812" i="6"/>
  <c r="G811" i="6"/>
  <c r="F811" i="6"/>
  <c r="D811" i="6"/>
  <c r="B811" i="6"/>
  <c r="A811" i="6"/>
  <c r="F810" i="6"/>
  <c r="G810" i="6" s="1"/>
  <c r="D810" i="6"/>
  <c r="B810" i="6"/>
  <c r="A810" i="6"/>
  <c r="G809" i="6"/>
  <c r="F809" i="6"/>
  <c r="D809" i="6"/>
  <c r="B809" i="6"/>
  <c r="A809" i="6"/>
  <c r="F808" i="6"/>
  <c r="G808" i="6" s="1"/>
  <c r="D808" i="6"/>
  <c r="B808" i="6"/>
  <c r="A808" i="6"/>
  <c r="G807" i="6"/>
  <c r="F807" i="6"/>
  <c r="D807" i="6"/>
  <c r="B807" i="6"/>
  <c r="A807" i="6"/>
  <c r="F806" i="6"/>
  <c r="G806" i="6" s="1"/>
  <c r="D806" i="6"/>
  <c r="B806" i="6"/>
  <c r="A806" i="6"/>
  <c r="G805" i="6"/>
  <c r="F805" i="6"/>
  <c r="D805" i="6"/>
  <c r="B805" i="6"/>
  <c r="A805" i="6"/>
  <c r="F804" i="6"/>
  <c r="G804" i="6" s="1"/>
  <c r="G815" i="6" s="1"/>
  <c r="D804" i="6"/>
  <c r="B804" i="6"/>
  <c r="A804" i="6"/>
  <c r="F799" i="6"/>
  <c r="E799" i="6"/>
  <c r="B799" i="6"/>
  <c r="A799" i="6"/>
  <c r="F798" i="6"/>
  <c r="B798" i="6"/>
  <c r="A798" i="6"/>
  <c r="F797" i="6"/>
  <c r="G797" i="6" s="1"/>
  <c r="E797" i="6"/>
  <c r="B797" i="6"/>
  <c r="A797" i="6"/>
  <c r="F796" i="6"/>
  <c r="E796" i="6"/>
  <c r="G796" i="6" s="1"/>
  <c r="F795" i="6"/>
  <c r="G795" i="6" s="1"/>
  <c r="E795" i="6"/>
  <c r="G794" i="6"/>
  <c r="F794" i="6"/>
  <c r="E794" i="6"/>
  <c r="F793" i="6"/>
  <c r="E793" i="6"/>
  <c r="E798" i="6" s="1"/>
  <c r="G798" i="6" s="1"/>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G783" i="6"/>
  <c r="F783" i="6"/>
  <c r="E783" i="6"/>
  <c r="D783" i="6"/>
  <c r="B783" i="6"/>
  <c r="A783" i="6"/>
  <c r="F782" i="6"/>
  <c r="E782" i="6"/>
  <c r="G782" i="6" s="1"/>
  <c r="D782" i="6"/>
  <c r="B782" i="6"/>
  <c r="A782" i="6"/>
  <c r="G781" i="6"/>
  <c r="F781" i="6"/>
  <c r="E781" i="6"/>
  <c r="D781" i="6"/>
  <c r="F780" i="6"/>
  <c r="D780" i="6"/>
  <c r="E780" i="6" s="1"/>
  <c r="G780" i="6" s="1"/>
  <c r="B780" i="6"/>
  <c r="A780" i="6"/>
  <c r="F771" i="6"/>
  <c r="G771" i="6" s="1"/>
  <c r="E771" i="6"/>
  <c r="G770" i="6"/>
  <c r="F770" i="6"/>
  <c r="E770" i="6"/>
  <c r="F769" i="6"/>
  <c r="G769" i="6" s="1"/>
  <c r="E769" i="6"/>
  <c r="F768" i="6"/>
  <c r="G768" i="6" s="1"/>
  <c r="E768" i="6"/>
  <c r="E773" i="6" s="1"/>
  <c r="G767" i="6"/>
  <c r="F767" i="6"/>
  <c r="E767" i="6"/>
  <c r="G766" i="6"/>
  <c r="E766" i="6"/>
  <c r="G765" i="6"/>
  <c r="E765" i="6"/>
  <c r="G764" i="6"/>
  <c r="E764" i="6"/>
  <c r="G763" i="6"/>
  <c r="E763" i="6"/>
  <c r="G762" i="6"/>
  <c r="E762" i="6"/>
  <c r="B757" i="6"/>
  <c r="A823" i="6" s="1"/>
  <c r="B755" i="6"/>
  <c r="G754" i="6"/>
  <c r="B754" i="6"/>
  <c r="B753" i="6"/>
  <c r="B752" i="6"/>
  <c r="G745" i="6"/>
  <c r="F745" i="6"/>
  <c r="D745" i="6"/>
  <c r="B745" i="6"/>
  <c r="A745" i="6"/>
  <c r="F744" i="6"/>
  <c r="G744" i="6" s="1"/>
  <c r="G746" i="6" s="1"/>
  <c r="D744" i="6"/>
  <c r="B744" i="6"/>
  <c r="A744" i="6"/>
  <c r="F739" i="6"/>
  <c r="G739" i="6" s="1"/>
  <c r="D739" i="6"/>
  <c r="B739" i="6"/>
  <c r="A739" i="6"/>
  <c r="G738" i="6"/>
  <c r="F738" i="6"/>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G730" i="6"/>
  <c r="F730" i="6"/>
  <c r="D730" i="6"/>
  <c r="B730" i="6"/>
  <c r="A730" i="6"/>
  <c r="F729" i="6"/>
  <c r="G729" i="6" s="1"/>
  <c r="D729" i="6"/>
  <c r="B729" i="6"/>
  <c r="A729" i="6"/>
  <c r="F724" i="6"/>
  <c r="E724" i="6"/>
  <c r="B724" i="6"/>
  <c r="A724" i="6"/>
  <c r="F723" i="6"/>
  <c r="B723" i="6"/>
  <c r="A723" i="6"/>
  <c r="F722" i="6"/>
  <c r="E722" i="6"/>
  <c r="B722" i="6"/>
  <c r="A722" i="6"/>
  <c r="F721" i="6"/>
  <c r="E721" i="6"/>
  <c r="G721" i="6" s="1"/>
  <c r="F720" i="6"/>
  <c r="E720" i="6"/>
  <c r="G720" i="6" s="1"/>
  <c r="G719" i="6"/>
  <c r="F719" i="6"/>
  <c r="E719" i="6"/>
  <c r="F718" i="6"/>
  <c r="G718" i="6" s="1"/>
  <c r="E718" i="6"/>
  <c r="E723" i="6" s="1"/>
  <c r="G723" i="6" s="1"/>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D708" i="6"/>
  <c r="E708" i="6" s="1"/>
  <c r="G708" i="6" s="1"/>
  <c r="B708" i="6"/>
  <c r="A708" i="6"/>
  <c r="F707" i="6"/>
  <c r="E707" i="6"/>
  <c r="G707" i="6" s="1"/>
  <c r="D707" i="6"/>
  <c r="B707" i="6"/>
  <c r="A707" i="6"/>
  <c r="F706" i="6"/>
  <c r="D706" i="6"/>
  <c r="E706" i="6" s="1"/>
  <c r="G706" i="6" s="1"/>
  <c r="F705" i="6"/>
  <c r="D705" i="6"/>
  <c r="E705" i="6" s="1"/>
  <c r="G705" i="6" s="1"/>
  <c r="B705" i="6"/>
  <c r="A705" i="6"/>
  <c r="G696" i="6"/>
  <c r="F696" i="6"/>
  <c r="E696" i="6"/>
  <c r="G695" i="6"/>
  <c r="F695" i="6"/>
  <c r="E695" i="6"/>
  <c r="F694" i="6"/>
  <c r="G694" i="6" s="1"/>
  <c r="E694" i="6"/>
  <c r="F693" i="6"/>
  <c r="G693" i="6" s="1"/>
  <c r="E693" i="6"/>
  <c r="E698" i="6" s="1"/>
  <c r="G692" i="6"/>
  <c r="F692" i="6"/>
  <c r="E692" i="6"/>
  <c r="G691" i="6"/>
  <c r="E691" i="6"/>
  <c r="G690" i="6"/>
  <c r="E690" i="6"/>
  <c r="G689" i="6"/>
  <c r="E689" i="6"/>
  <c r="G688" i="6"/>
  <c r="E688" i="6"/>
  <c r="G687" i="6"/>
  <c r="E687" i="6"/>
  <c r="B682" i="6"/>
  <c r="A748" i="6" s="1"/>
  <c r="B680" i="6"/>
  <c r="G679" i="6"/>
  <c r="B679" i="6"/>
  <c r="B678" i="6"/>
  <c r="B677" i="6"/>
  <c r="G670" i="6"/>
  <c r="F670" i="6"/>
  <c r="D670" i="6"/>
  <c r="B670" i="6"/>
  <c r="A670" i="6"/>
  <c r="F669" i="6"/>
  <c r="G669" i="6" s="1"/>
  <c r="G671" i="6" s="1"/>
  <c r="D669" i="6"/>
  <c r="B669" i="6"/>
  <c r="A669" i="6"/>
  <c r="F664" i="6"/>
  <c r="G664" i="6" s="1"/>
  <c r="D664" i="6"/>
  <c r="B664" i="6"/>
  <c r="A664" i="6"/>
  <c r="G663" i="6"/>
  <c r="F663" i="6"/>
  <c r="D663" i="6"/>
  <c r="B663" i="6"/>
  <c r="A663" i="6"/>
  <c r="F662" i="6"/>
  <c r="G662" i="6" s="1"/>
  <c r="D662" i="6"/>
  <c r="B662" i="6"/>
  <c r="A662" i="6"/>
  <c r="G661" i="6"/>
  <c r="F661" i="6"/>
  <c r="D661" i="6"/>
  <c r="B661" i="6"/>
  <c r="A661" i="6"/>
  <c r="F660" i="6"/>
  <c r="G660" i="6" s="1"/>
  <c r="D660" i="6"/>
  <c r="B660" i="6"/>
  <c r="A660" i="6"/>
  <c r="G659" i="6"/>
  <c r="F659" i="6"/>
  <c r="D659" i="6"/>
  <c r="B659" i="6"/>
  <c r="A659" i="6"/>
  <c r="F658" i="6"/>
  <c r="G658" i="6" s="1"/>
  <c r="D658" i="6"/>
  <c r="B658" i="6"/>
  <c r="A658" i="6"/>
  <c r="G657" i="6"/>
  <c r="F657" i="6"/>
  <c r="D657" i="6"/>
  <c r="B657" i="6"/>
  <c r="A657" i="6"/>
  <c r="F656" i="6"/>
  <c r="G656" i="6" s="1"/>
  <c r="D656" i="6"/>
  <c r="B656" i="6"/>
  <c r="A656" i="6"/>
  <c r="G655" i="6"/>
  <c r="F655" i="6"/>
  <c r="D655" i="6"/>
  <c r="B655" i="6"/>
  <c r="A655" i="6"/>
  <c r="F654" i="6"/>
  <c r="G654" i="6" s="1"/>
  <c r="D654" i="6"/>
  <c r="B654" i="6"/>
  <c r="A654" i="6"/>
  <c r="F649" i="6"/>
  <c r="E649" i="6"/>
  <c r="B649" i="6"/>
  <c r="A649" i="6"/>
  <c r="F648" i="6"/>
  <c r="B648" i="6"/>
  <c r="A648" i="6"/>
  <c r="F647" i="6"/>
  <c r="E647" i="6"/>
  <c r="B647" i="6"/>
  <c r="A647" i="6"/>
  <c r="F646" i="6"/>
  <c r="E646" i="6"/>
  <c r="G646" i="6" s="1"/>
  <c r="F645" i="6"/>
  <c r="E645" i="6"/>
  <c r="G645" i="6" s="1"/>
  <c r="G644" i="6"/>
  <c r="F644" i="6"/>
  <c r="E644" i="6"/>
  <c r="E648" i="6" s="1"/>
  <c r="G648" i="6" s="1"/>
  <c r="F643" i="6"/>
  <c r="G643" i="6" s="1"/>
  <c r="E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G633" i="6"/>
  <c r="F633" i="6"/>
  <c r="E633" i="6"/>
  <c r="D633" i="6"/>
  <c r="B633" i="6"/>
  <c r="A633" i="6"/>
  <c r="F632" i="6"/>
  <c r="E632" i="6"/>
  <c r="G632" i="6" s="1"/>
  <c r="D632" i="6"/>
  <c r="B632" i="6"/>
  <c r="A632" i="6"/>
  <c r="G631" i="6"/>
  <c r="F631" i="6"/>
  <c r="E631" i="6"/>
  <c r="D631" i="6"/>
  <c r="F630" i="6"/>
  <c r="D630" i="6"/>
  <c r="E630" i="6" s="1"/>
  <c r="G630" i="6" s="1"/>
  <c r="B630" i="6"/>
  <c r="A630" i="6"/>
  <c r="F621" i="6"/>
  <c r="G621" i="6" s="1"/>
  <c r="E621" i="6"/>
  <c r="G620" i="6"/>
  <c r="F620" i="6"/>
  <c r="E620" i="6"/>
  <c r="F619" i="6"/>
  <c r="G619" i="6" s="1"/>
  <c r="E619" i="6"/>
  <c r="F618" i="6"/>
  <c r="G618" i="6" s="1"/>
  <c r="E618" i="6"/>
  <c r="E623" i="6" s="1"/>
  <c r="F617" i="6"/>
  <c r="G617" i="6" s="1"/>
  <c r="E617" i="6"/>
  <c r="G616" i="6"/>
  <c r="E616" i="6"/>
  <c r="G615" i="6"/>
  <c r="E615" i="6"/>
  <c r="G614" i="6"/>
  <c r="E614" i="6"/>
  <c r="G613" i="6"/>
  <c r="E613" i="6"/>
  <c r="G612" i="6"/>
  <c r="E612" i="6"/>
  <c r="B607" i="6"/>
  <c r="A673" i="6" s="1"/>
  <c r="B605" i="6"/>
  <c r="G604" i="6"/>
  <c r="B604" i="6"/>
  <c r="B603" i="6"/>
  <c r="B602" i="6"/>
  <c r="G595" i="6"/>
  <c r="F595" i="6"/>
  <c r="D595" i="6"/>
  <c r="B595" i="6"/>
  <c r="A595" i="6"/>
  <c r="F594" i="6"/>
  <c r="G594" i="6" s="1"/>
  <c r="G596" i="6" s="1"/>
  <c r="D594" i="6"/>
  <c r="B594" i="6"/>
  <c r="A594" i="6"/>
  <c r="F589" i="6"/>
  <c r="G589" i="6" s="1"/>
  <c r="D589" i="6"/>
  <c r="B589" i="6"/>
  <c r="A589" i="6"/>
  <c r="G588" i="6"/>
  <c r="F588" i="6"/>
  <c r="D588" i="6"/>
  <c r="B588" i="6"/>
  <c r="A588" i="6"/>
  <c r="F587" i="6"/>
  <c r="G587" i="6" s="1"/>
  <c r="D587" i="6"/>
  <c r="B587" i="6"/>
  <c r="A587" i="6"/>
  <c r="G586" i="6"/>
  <c r="F586" i="6"/>
  <c r="D586" i="6"/>
  <c r="B586" i="6"/>
  <c r="A586" i="6"/>
  <c r="F585" i="6"/>
  <c r="G585" i="6" s="1"/>
  <c r="D585" i="6"/>
  <c r="B585" i="6"/>
  <c r="A585" i="6"/>
  <c r="G584" i="6"/>
  <c r="F584" i="6"/>
  <c r="D584" i="6"/>
  <c r="B584" i="6"/>
  <c r="A584" i="6"/>
  <c r="F583" i="6"/>
  <c r="G583" i="6" s="1"/>
  <c r="D583" i="6"/>
  <c r="B583" i="6"/>
  <c r="A583" i="6"/>
  <c r="G582" i="6"/>
  <c r="F582" i="6"/>
  <c r="D582" i="6"/>
  <c r="B582" i="6"/>
  <c r="A582" i="6"/>
  <c r="F581" i="6"/>
  <c r="G581" i="6" s="1"/>
  <c r="D581" i="6"/>
  <c r="B581" i="6"/>
  <c r="A581" i="6"/>
  <c r="G580" i="6"/>
  <c r="F580" i="6"/>
  <c r="D580" i="6"/>
  <c r="B580" i="6"/>
  <c r="A580" i="6"/>
  <c r="F579" i="6"/>
  <c r="G579" i="6" s="1"/>
  <c r="D579" i="6"/>
  <c r="B579" i="6"/>
  <c r="A579" i="6"/>
  <c r="F574" i="6"/>
  <c r="E574" i="6"/>
  <c r="B574" i="6"/>
  <c r="A574" i="6"/>
  <c r="F573" i="6"/>
  <c r="B573" i="6"/>
  <c r="A573" i="6"/>
  <c r="F572" i="6"/>
  <c r="G572" i="6" s="1"/>
  <c r="E572" i="6"/>
  <c r="B572" i="6"/>
  <c r="A572" i="6"/>
  <c r="F571" i="6"/>
  <c r="E571" i="6"/>
  <c r="G571" i="6" s="1"/>
  <c r="F570" i="6"/>
  <c r="G570" i="6" s="1"/>
  <c r="E570" i="6"/>
  <c r="G569" i="6"/>
  <c r="F569" i="6"/>
  <c r="E569" i="6"/>
  <c r="F568" i="6"/>
  <c r="E568" i="6"/>
  <c r="E573" i="6" s="1"/>
  <c r="G573" i="6" s="1"/>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G558" i="6"/>
  <c r="F558" i="6"/>
  <c r="E558" i="6"/>
  <c r="D558" i="6"/>
  <c r="B558" i="6"/>
  <c r="A558" i="6"/>
  <c r="F557" i="6"/>
  <c r="E557" i="6"/>
  <c r="G557" i="6" s="1"/>
  <c r="D557" i="6"/>
  <c r="B557" i="6"/>
  <c r="A557" i="6"/>
  <c r="G556" i="6"/>
  <c r="F556" i="6"/>
  <c r="E556" i="6"/>
  <c r="D556" i="6"/>
  <c r="F555" i="6"/>
  <c r="D555" i="6"/>
  <c r="E555" i="6" s="1"/>
  <c r="G555" i="6" s="1"/>
  <c r="B555" i="6"/>
  <c r="A555" i="6"/>
  <c r="F546" i="6"/>
  <c r="G546" i="6" s="1"/>
  <c r="E546" i="6"/>
  <c r="G545" i="6"/>
  <c r="F545" i="6"/>
  <c r="E545" i="6"/>
  <c r="F544" i="6"/>
  <c r="G544" i="6" s="1"/>
  <c r="E544" i="6"/>
  <c r="F543" i="6"/>
  <c r="G543" i="6" s="1"/>
  <c r="E543" i="6"/>
  <c r="E548" i="6" s="1"/>
  <c r="G542" i="6"/>
  <c r="F542" i="6"/>
  <c r="E542" i="6"/>
  <c r="G541" i="6"/>
  <c r="E541" i="6"/>
  <c r="G540" i="6"/>
  <c r="E540" i="6"/>
  <c r="G539" i="6"/>
  <c r="E539" i="6"/>
  <c r="G538" i="6"/>
  <c r="E538" i="6"/>
  <c r="G537" i="6"/>
  <c r="G548" i="6" s="1"/>
  <c r="E537" i="6"/>
  <c r="B532" i="6"/>
  <c r="A598" i="6" s="1"/>
  <c r="B530" i="6"/>
  <c r="G529" i="6"/>
  <c r="B529" i="6"/>
  <c r="B528" i="6"/>
  <c r="B527" i="6"/>
  <c r="G520" i="6"/>
  <c r="F520" i="6"/>
  <c r="D520" i="6"/>
  <c r="B520" i="6"/>
  <c r="A520" i="6"/>
  <c r="F519" i="6"/>
  <c r="G519" i="6" s="1"/>
  <c r="G521" i="6" s="1"/>
  <c r="D519" i="6"/>
  <c r="B519" i="6"/>
  <c r="A519" i="6"/>
  <c r="F514" i="6"/>
  <c r="G514" i="6" s="1"/>
  <c r="D514" i="6"/>
  <c r="B514" i="6"/>
  <c r="A514" i="6"/>
  <c r="G513" i="6"/>
  <c r="F513" i="6"/>
  <c r="D513" i="6"/>
  <c r="B513" i="6"/>
  <c r="A513" i="6"/>
  <c r="F512" i="6"/>
  <c r="G512" i="6" s="1"/>
  <c r="D512" i="6"/>
  <c r="B512" i="6"/>
  <c r="A512" i="6"/>
  <c r="G511" i="6"/>
  <c r="F511" i="6"/>
  <c r="D511" i="6"/>
  <c r="B511" i="6"/>
  <c r="A511" i="6"/>
  <c r="F510" i="6"/>
  <c r="G510" i="6" s="1"/>
  <c r="D510" i="6"/>
  <c r="B510" i="6"/>
  <c r="A510" i="6"/>
  <c r="G509" i="6"/>
  <c r="F509" i="6"/>
  <c r="D509" i="6"/>
  <c r="B509" i="6"/>
  <c r="A509" i="6"/>
  <c r="F508" i="6"/>
  <c r="G508" i="6" s="1"/>
  <c r="D508" i="6"/>
  <c r="B508" i="6"/>
  <c r="A508" i="6"/>
  <c r="G507" i="6"/>
  <c r="F507" i="6"/>
  <c r="D507" i="6"/>
  <c r="B507" i="6"/>
  <c r="A507" i="6"/>
  <c r="F506" i="6"/>
  <c r="G506" i="6" s="1"/>
  <c r="D506" i="6"/>
  <c r="B506" i="6"/>
  <c r="A506" i="6"/>
  <c r="G505" i="6"/>
  <c r="F505" i="6"/>
  <c r="D505" i="6"/>
  <c r="B505" i="6"/>
  <c r="A505" i="6"/>
  <c r="F504" i="6"/>
  <c r="G504" i="6" s="1"/>
  <c r="D504" i="6"/>
  <c r="B504" i="6"/>
  <c r="A504" i="6"/>
  <c r="F499" i="6"/>
  <c r="E499" i="6"/>
  <c r="B499" i="6"/>
  <c r="A499" i="6"/>
  <c r="F498" i="6"/>
  <c r="B498" i="6"/>
  <c r="A498" i="6"/>
  <c r="F497" i="6"/>
  <c r="E497" i="6"/>
  <c r="B497" i="6"/>
  <c r="A497" i="6"/>
  <c r="F496" i="6"/>
  <c r="E496" i="6"/>
  <c r="G496" i="6" s="1"/>
  <c r="F495" i="6"/>
  <c r="E495" i="6"/>
  <c r="G495" i="6" s="1"/>
  <c r="G494" i="6"/>
  <c r="F494" i="6"/>
  <c r="E494" i="6"/>
  <c r="E498" i="6" s="1"/>
  <c r="G498" i="6" s="1"/>
  <c r="F493" i="6"/>
  <c r="G493" i="6" s="1"/>
  <c r="E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G483" i="6"/>
  <c r="F483" i="6"/>
  <c r="E483" i="6"/>
  <c r="D483" i="6"/>
  <c r="B483" i="6"/>
  <c r="A483" i="6"/>
  <c r="F482" i="6"/>
  <c r="E482" i="6"/>
  <c r="G482" i="6" s="1"/>
  <c r="D482" i="6"/>
  <c r="B482" i="6"/>
  <c r="A482" i="6"/>
  <c r="G481" i="6"/>
  <c r="F481" i="6"/>
  <c r="E481" i="6"/>
  <c r="D481" i="6"/>
  <c r="G480" i="6"/>
  <c r="F480" i="6"/>
  <c r="E480" i="6"/>
  <c r="D480" i="6"/>
  <c r="B480" i="6"/>
  <c r="A480" i="6"/>
  <c r="F471" i="6"/>
  <c r="G471" i="6" s="1"/>
  <c r="E471" i="6"/>
  <c r="G470" i="6"/>
  <c r="F470" i="6"/>
  <c r="E470" i="6"/>
  <c r="F469" i="6"/>
  <c r="G469" i="6" s="1"/>
  <c r="E469" i="6"/>
  <c r="G468" i="6"/>
  <c r="F468" i="6"/>
  <c r="E468" i="6"/>
  <c r="E473" i="6" s="1"/>
  <c r="F467" i="6"/>
  <c r="G467" i="6" s="1"/>
  <c r="E467" i="6"/>
  <c r="G466" i="6"/>
  <c r="E466" i="6"/>
  <c r="G465" i="6"/>
  <c r="E465" i="6"/>
  <c r="G464" i="6"/>
  <c r="E464" i="6"/>
  <c r="G463" i="6"/>
  <c r="E463" i="6"/>
  <c r="G462" i="6"/>
  <c r="G473" i="6" s="1"/>
  <c r="E462" i="6"/>
  <c r="B457" i="6"/>
  <c r="A523" i="6" s="1"/>
  <c r="B455" i="6"/>
  <c r="G454" i="6"/>
  <c r="B454" i="6"/>
  <c r="B453" i="6"/>
  <c r="B452" i="6"/>
  <c r="F445" i="6"/>
  <c r="G445" i="6" s="1"/>
  <c r="D445" i="6"/>
  <c r="B445" i="6"/>
  <c r="A445" i="6"/>
  <c r="G444" i="6"/>
  <c r="G446" i="6" s="1"/>
  <c r="F444" i="6"/>
  <c r="D444" i="6"/>
  <c r="B444" i="6"/>
  <c r="A444" i="6"/>
  <c r="F439" i="6"/>
  <c r="G439" i="6" s="1"/>
  <c r="D439" i="6"/>
  <c r="B439" i="6"/>
  <c r="A439" i="6"/>
  <c r="F438" i="6"/>
  <c r="G438" i="6" s="1"/>
  <c r="D438" i="6"/>
  <c r="B438" i="6"/>
  <c r="A438" i="6"/>
  <c r="G437" i="6"/>
  <c r="F437" i="6"/>
  <c r="D437" i="6"/>
  <c r="B437" i="6"/>
  <c r="A437" i="6"/>
  <c r="F436" i="6"/>
  <c r="G436" i="6" s="1"/>
  <c r="D436" i="6"/>
  <c r="B436" i="6"/>
  <c r="A436" i="6"/>
  <c r="F435" i="6"/>
  <c r="G435" i="6" s="1"/>
  <c r="D435" i="6"/>
  <c r="B435" i="6"/>
  <c r="A435" i="6"/>
  <c r="F434" i="6"/>
  <c r="G434" i="6" s="1"/>
  <c r="D434" i="6"/>
  <c r="B434" i="6"/>
  <c r="A434" i="6"/>
  <c r="G433" i="6"/>
  <c r="F433" i="6"/>
  <c r="D433" i="6"/>
  <c r="B433" i="6"/>
  <c r="A433" i="6"/>
  <c r="F432" i="6"/>
  <c r="G432" i="6" s="1"/>
  <c r="D432" i="6"/>
  <c r="B432" i="6"/>
  <c r="A432" i="6"/>
  <c r="F431" i="6"/>
  <c r="G431" i="6" s="1"/>
  <c r="D431" i="6"/>
  <c r="B431" i="6"/>
  <c r="A431" i="6"/>
  <c r="F430" i="6"/>
  <c r="G430" i="6" s="1"/>
  <c r="D430" i="6"/>
  <c r="B430" i="6"/>
  <c r="A430" i="6"/>
  <c r="G429" i="6"/>
  <c r="F429" i="6"/>
  <c r="D429" i="6"/>
  <c r="B429" i="6"/>
  <c r="A429" i="6"/>
  <c r="F424" i="6"/>
  <c r="E424" i="6"/>
  <c r="B424" i="6"/>
  <c r="A424" i="6"/>
  <c r="F423" i="6"/>
  <c r="B423" i="6"/>
  <c r="A423" i="6"/>
  <c r="F422" i="6"/>
  <c r="G422" i="6" s="1"/>
  <c r="E422" i="6"/>
  <c r="B422" i="6"/>
  <c r="A422" i="6"/>
  <c r="F421" i="6"/>
  <c r="E421" i="6"/>
  <c r="G421" i="6" s="1"/>
  <c r="G420" i="6"/>
  <c r="F420" i="6"/>
  <c r="E420" i="6"/>
  <c r="F419" i="6"/>
  <c r="G419" i="6" s="1"/>
  <c r="E419" i="6"/>
  <c r="F418" i="6"/>
  <c r="E418" i="6"/>
  <c r="E423" i="6" s="1"/>
  <c r="G423" i="6" s="1"/>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D408" i="6"/>
  <c r="E408" i="6" s="1"/>
  <c r="G408" i="6" s="1"/>
  <c r="B408" i="6"/>
  <c r="A408" i="6"/>
  <c r="F407" i="6"/>
  <c r="D407" i="6"/>
  <c r="E407" i="6" s="1"/>
  <c r="G407" i="6" s="1"/>
  <c r="B407" i="6"/>
  <c r="A407" i="6"/>
  <c r="F406" i="6"/>
  <c r="D406" i="6"/>
  <c r="E406" i="6" s="1"/>
  <c r="G406" i="6" s="1"/>
  <c r="F405" i="6"/>
  <c r="D405" i="6"/>
  <c r="E405" i="6" s="1"/>
  <c r="G405" i="6" s="1"/>
  <c r="B405" i="6"/>
  <c r="A405" i="6"/>
  <c r="G396" i="6"/>
  <c r="F396" i="6"/>
  <c r="E396" i="6"/>
  <c r="F395" i="6"/>
  <c r="G395" i="6" s="1"/>
  <c r="E395" i="6"/>
  <c r="F394" i="6"/>
  <c r="G394" i="6" s="1"/>
  <c r="E394" i="6"/>
  <c r="F393" i="6"/>
  <c r="G393" i="6" s="1"/>
  <c r="E393" i="6"/>
  <c r="G392" i="6"/>
  <c r="F392" i="6"/>
  <c r="E392" i="6"/>
  <c r="G391" i="6"/>
  <c r="E391" i="6"/>
  <c r="G390" i="6"/>
  <c r="E390" i="6"/>
  <c r="G389" i="6"/>
  <c r="E389" i="6"/>
  <c r="G388" i="6"/>
  <c r="E388" i="6"/>
  <c r="G387" i="6"/>
  <c r="E387" i="6"/>
  <c r="E398" i="6" s="1"/>
  <c r="B382" i="6"/>
  <c r="A448" i="6" s="1"/>
  <c r="B380" i="6"/>
  <c r="G379" i="6"/>
  <c r="B379" i="6"/>
  <c r="B378" i="6"/>
  <c r="B377" i="6"/>
  <c r="D57" i="15"/>
  <c r="D58" i="15"/>
  <c r="D59" i="15"/>
  <c r="D60" i="15"/>
  <c r="C58" i="15"/>
  <c r="C59" i="15"/>
  <c r="C60" i="15"/>
  <c r="C61" i="15"/>
  <c r="D49" i="15"/>
  <c r="D50" i="15"/>
  <c r="D51" i="15"/>
  <c r="D52" i="15"/>
  <c r="D53" i="15"/>
  <c r="D54" i="15"/>
  <c r="D55" i="15"/>
  <c r="D56" i="15"/>
  <c r="C50" i="15"/>
  <c r="C51" i="15"/>
  <c r="C52" i="15"/>
  <c r="C53" i="15"/>
  <c r="C54" i="15"/>
  <c r="C55" i="15"/>
  <c r="C56" i="15"/>
  <c r="C57" i="15"/>
  <c r="C49" i="15"/>
  <c r="D44" i="15"/>
  <c r="D45" i="15"/>
  <c r="D46" i="15"/>
  <c r="D47" i="15"/>
  <c r="D48" i="15"/>
  <c r="C45" i="15"/>
  <c r="C46" i="15"/>
  <c r="C47" i="15"/>
  <c r="C48" i="15"/>
  <c r="C44" i="15"/>
  <c r="D43" i="15"/>
  <c r="C43" i="15"/>
  <c r="C41" i="15"/>
  <c r="D41" i="15"/>
  <c r="C42" i="15"/>
  <c r="D42" i="15"/>
  <c r="A41" i="2"/>
  <c r="A38" i="2"/>
  <c r="A40" i="2"/>
  <c r="A39" i="2"/>
  <c r="A35" i="2"/>
  <c r="A36" i="2"/>
  <c r="A37" i="2"/>
  <c r="A32" i="2"/>
  <c r="A33" i="2"/>
  <c r="A34" i="2"/>
  <c r="A22" i="2"/>
  <c r="A26" i="2"/>
  <c r="A30" i="2"/>
  <c r="A24" i="2"/>
  <c r="A25" i="2"/>
  <c r="A23" i="2"/>
  <c r="A27" i="2"/>
  <c r="A31" i="2"/>
  <c r="A28" i="2"/>
  <c r="A29" i="2"/>
  <c r="G872" i="6" l="1"/>
  <c r="G875" i="6" s="1"/>
  <c r="G722" i="6"/>
  <c r="G649" i="6"/>
  <c r="G424" i="6"/>
  <c r="G949" i="6"/>
  <c r="G1247" i="6"/>
  <c r="G1549" i="6"/>
  <c r="G497" i="6"/>
  <c r="G574" i="6"/>
  <c r="G799" i="6"/>
  <c r="G1024" i="6"/>
  <c r="G1174" i="6"/>
  <c r="G1324" i="6"/>
  <c r="G1474" i="6"/>
  <c r="G647" i="6"/>
  <c r="G650" i="6" s="1"/>
  <c r="G1399" i="6"/>
  <c r="G1164" i="6"/>
  <c r="G1250" i="6"/>
  <c r="G499" i="6"/>
  <c r="G724" i="6"/>
  <c r="G1099" i="6"/>
  <c r="G1172" i="6"/>
  <c r="G1472" i="6"/>
  <c r="G1565" i="6"/>
  <c r="G1539" i="6"/>
  <c r="G1543" i="6"/>
  <c r="B1506" i="6"/>
  <c r="G1464" i="6"/>
  <c r="G1448" i="6"/>
  <c r="B1431" i="6"/>
  <c r="G1389" i="6"/>
  <c r="G1415" i="6"/>
  <c r="G1393" i="6"/>
  <c r="B1356" i="6"/>
  <c r="G1340" i="6"/>
  <c r="G1314" i="6"/>
  <c r="G1318" i="6"/>
  <c r="B1281" i="6"/>
  <c r="G1239" i="6"/>
  <c r="G1265" i="6"/>
  <c r="B1206" i="6"/>
  <c r="G1190" i="6"/>
  <c r="G1148" i="6"/>
  <c r="A1198" i="6"/>
  <c r="B1131" i="6"/>
  <c r="G1073" i="6"/>
  <c r="G1089" i="6"/>
  <c r="G1093" i="6"/>
  <c r="B1056" i="6"/>
  <c r="G1040" i="6"/>
  <c r="G1014" i="6"/>
  <c r="G1018" i="6"/>
  <c r="B981" i="6"/>
  <c r="G965" i="6"/>
  <c r="G939" i="6"/>
  <c r="G943" i="6"/>
  <c r="B906" i="6"/>
  <c r="G848" i="6"/>
  <c r="G864" i="6"/>
  <c r="G890" i="6"/>
  <c r="A898" i="6"/>
  <c r="F30" i="2" s="1"/>
  <c r="G30" i="2" s="1"/>
  <c r="B831" i="6"/>
  <c r="G773" i="6"/>
  <c r="G789" i="6"/>
  <c r="G793" i="6"/>
  <c r="G800" i="6" s="1"/>
  <c r="B756" i="6"/>
  <c r="G698" i="6"/>
  <c r="G714" i="6"/>
  <c r="G740" i="6"/>
  <c r="B681" i="6"/>
  <c r="G665" i="6"/>
  <c r="G623" i="6"/>
  <c r="G639" i="6"/>
  <c r="B606" i="6"/>
  <c r="G590" i="6"/>
  <c r="G564" i="6"/>
  <c r="G568" i="6"/>
  <c r="B531" i="6"/>
  <c r="G489" i="6"/>
  <c r="G515" i="6"/>
  <c r="B456" i="6"/>
  <c r="G414" i="6"/>
  <c r="G398" i="6"/>
  <c r="G440" i="6"/>
  <c r="G418" i="6"/>
  <c r="B381" i="6"/>
  <c r="F25" i="2"/>
  <c r="G25" i="2" s="1"/>
  <c r="F38" i="2"/>
  <c r="G38" i="2" s="1"/>
  <c r="E29" i="2"/>
  <c r="E28" i="2"/>
  <c r="E31" i="2"/>
  <c r="E27" i="2"/>
  <c r="E23" i="2"/>
  <c r="E25" i="2"/>
  <c r="E24" i="2"/>
  <c r="E30" i="2"/>
  <c r="E26" i="2"/>
  <c r="E22" i="2"/>
  <c r="E34" i="2"/>
  <c r="E33" i="2"/>
  <c r="E32" i="2"/>
  <c r="E37" i="2"/>
  <c r="E36" i="2"/>
  <c r="E35" i="2"/>
  <c r="E39" i="2"/>
  <c r="E40" i="2"/>
  <c r="E38" i="2"/>
  <c r="E41" i="2"/>
  <c r="D29" i="2"/>
  <c r="D28" i="2"/>
  <c r="D31" i="2"/>
  <c r="D27" i="2"/>
  <c r="D23" i="2"/>
  <c r="D25" i="2"/>
  <c r="D24" i="2"/>
  <c r="D30" i="2"/>
  <c r="D26" i="2"/>
  <c r="D22" i="2"/>
  <c r="D34" i="2"/>
  <c r="D33" i="2"/>
  <c r="D32" i="2"/>
  <c r="D37" i="2"/>
  <c r="D36" i="2"/>
  <c r="D35" i="2"/>
  <c r="D39" i="2"/>
  <c r="D40" i="2"/>
  <c r="D38" i="2"/>
  <c r="D41" i="2"/>
  <c r="B29" i="2"/>
  <c r="B28" i="2"/>
  <c r="B31" i="2"/>
  <c r="B27" i="2"/>
  <c r="B23" i="2"/>
  <c r="B25" i="2"/>
  <c r="B24" i="2"/>
  <c r="B30" i="2"/>
  <c r="B26" i="2"/>
  <c r="B22" i="2"/>
  <c r="B34" i="2"/>
  <c r="B33" i="2"/>
  <c r="B32" i="2"/>
  <c r="B37" i="2"/>
  <c r="B36" i="2"/>
  <c r="B35" i="2"/>
  <c r="B39" i="2"/>
  <c r="B40" i="2"/>
  <c r="B38" i="2"/>
  <c r="B41" i="2"/>
  <c r="F12" i="6"/>
  <c r="G12" i="6" s="1"/>
  <c r="F13" i="6"/>
  <c r="F14" i="6"/>
  <c r="F15" i="6"/>
  <c r="F16" i="6"/>
  <c r="E12" i="6"/>
  <c r="E13" i="6"/>
  <c r="E14" i="6"/>
  <c r="E237" i="6"/>
  <c r="E238" i="6"/>
  <c r="E239" i="6"/>
  <c r="E240" i="6"/>
  <c r="F354" i="6"/>
  <c r="F355" i="6"/>
  <c r="D354" i="6"/>
  <c r="D355" i="6"/>
  <c r="E343" i="6"/>
  <c r="E344" i="6"/>
  <c r="E345" i="6"/>
  <c r="E346" i="6"/>
  <c r="F279" i="6"/>
  <c r="E312" i="6"/>
  <c r="E313" i="6"/>
  <c r="E314" i="6"/>
  <c r="E315" i="6"/>
  <c r="E316" i="6"/>
  <c r="E317" i="6"/>
  <c r="E318" i="6"/>
  <c r="D330" i="6"/>
  <c r="D331" i="6"/>
  <c r="D332" i="6"/>
  <c r="D333" i="6"/>
  <c r="E273" i="6"/>
  <c r="E198" i="6"/>
  <c r="E123" i="6"/>
  <c r="G725" i="6" l="1"/>
  <c r="G575" i="6"/>
  <c r="G673" i="6"/>
  <c r="G674" i="6" s="1"/>
  <c r="G898" i="6"/>
  <c r="G899" i="6" s="1"/>
  <c r="G1025" i="6"/>
  <c r="G598" i="6"/>
  <c r="G599" i="6" s="1"/>
  <c r="G950" i="6"/>
  <c r="G973" i="6" s="1"/>
  <c r="G1100" i="6"/>
  <c r="G1123" i="6" s="1"/>
  <c r="G1124" i="6" s="1"/>
  <c r="G425" i="6"/>
  <c r="G500" i="6"/>
  <c r="G523" i="6" s="1"/>
  <c r="G1475" i="6"/>
  <c r="G1498" i="6" s="1"/>
  <c r="G1499" i="6" s="1"/>
  <c r="G1325" i="6"/>
  <c r="G1348" i="6" s="1"/>
  <c r="G1349" i="6" s="1"/>
  <c r="G1400" i="6"/>
  <c r="G1550" i="6"/>
  <c r="G1573" i="6" s="1"/>
  <c r="G1175" i="6"/>
  <c r="G1198" i="6" s="1"/>
  <c r="G1199" i="6" s="1"/>
  <c r="G1273" i="6"/>
  <c r="G1274" i="6" s="1"/>
  <c r="G1423" i="6"/>
  <c r="G1424" i="6" s="1"/>
  <c r="G823" i="6"/>
  <c r="F29" i="2" s="1"/>
  <c r="G29" i="2" s="1"/>
  <c r="H29" i="2" s="1"/>
  <c r="G748" i="6"/>
  <c r="G1048" i="6"/>
  <c r="G1049" i="6" s="1"/>
  <c r="H38" i="2"/>
  <c r="H25" i="2"/>
  <c r="F40" i="2"/>
  <c r="G40" i="2" s="1"/>
  <c r="H40" i="2" s="1"/>
  <c r="F39" i="2"/>
  <c r="G39" i="2" s="1"/>
  <c r="H39" i="2" s="1"/>
  <c r="H30" i="2"/>
  <c r="F35" i="2"/>
  <c r="G35" i="2" s="1"/>
  <c r="H35" i="2" s="1"/>
  <c r="G749" i="6"/>
  <c r="F28" i="2"/>
  <c r="G28" i="2" s="1"/>
  <c r="H28" i="2" s="1"/>
  <c r="F27" i="2"/>
  <c r="G27" i="2" s="1"/>
  <c r="H27" i="2" s="1"/>
  <c r="G448" i="6"/>
  <c r="F33" i="2" l="1"/>
  <c r="G33" i="2" s="1"/>
  <c r="H33" i="2" s="1"/>
  <c r="F31" i="2"/>
  <c r="G31" i="2" s="1"/>
  <c r="H31" i="2" s="1"/>
  <c r="G824" i="6"/>
  <c r="G1574" i="6"/>
  <c r="F41" i="2"/>
  <c r="G41" i="2" s="1"/>
  <c r="H41" i="2" s="1"/>
  <c r="G524" i="6"/>
  <c r="F24" i="2"/>
  <c r="G24" i="2" s="1"/>
  <c r="H24" i="2" s="1"/>
  <c r="G974" i="6"/>
  <c r="F32" i="2"/>
  <c r="G32" i="2" s="1"/>
  <c r="H32" i="2" s="1"/>
  <c r="F26" i="2"/>
  <c r="G26" i="2" s="1"/>
  <c r="H26" i="2" s="1"/>
  <c r="F36" i="2"/>
  <c r="G36" i="2" s="1"/>
  <c r="H36" i="2" s="1"/>
  <c r="F34" i="2"/>
  <c r="G34" i="2" s="1"/>
  <c r="H34" i="2" s="1"/>
  <c r="F37" i="2"/>
  <c r="G37" i="2" s="1"/>
  <c r="H37" i="2" s="1"/>
  <c r="G449" i="6"/>
  <c r="F23" i="2"/>
  <c r="G23" i="2" s="1"/>
  <c r="H23" i="2" s="1"/>
  <c r="G54" i="6"/>
  <c r="G55" i="6"/>
  <c r="B47" i="2"/>
  <c r="F43" i="6" l="1"/>
  <c r="C30" i="15"/>
  <c r="E36" i="19" l="1"/>
  <c r="E39" i="19"/>
  <c r="F348" i="6" l="1"/>
  <c r="E348" i="6"/>
  <c r="F344" i="6"/>
  <c r="F345" i="6"/>
  <c r="F346" i="6"/>
  <c r="F343" i="6"/>
  <c r="F331" i="6"/>
  <c r="F332" i="6"/>
  <c r="F333" i="6"/>
  <c r="F330" i="6"/>
  <c r="F256" i="6"/>
  <c r="F257" i="6"/>
  <c r="F258" i="6"/>
  <c r="F255" i="6"/>
  <c r="F273" i="6"/>
  <c r="F269" i="6"/>
  <c r="F270" i="6"/>
  <c r="F271" i="6"/>
  <c r="F268" i="6"/>
  <c r="G279" i="6"/>
  <c r="F181" i="6"/>
  <c r="F182" i="6"/>
  <c r="F183" i="6"/>
  <c r="F180" i="6"/>
  <c r="F198" i="6"/>
  <c r="F197" i="6"/>
  <c r="F196" i="6"/>
  <c r="F195" i="6"/>
  <c r="F194" i="6"/>
  <c r="G194" i="6" s="1"/>
  <c r="F193" i="6"/>
  <c r="F123" i="6" l="1"/>
  <c r="F121" i="6"/>
  <c r="F120" i="6"/>
  <c r="F119" i="6"/>
  <c r="F118" i="6"/>
  <c r="E122" i="6"/>
  <c r="F106" i="6"/>
  <c r="F107" i="6"/>
  <c r="F108" i="6"/>
  <c r="F105" i="6"/>
  <c r="F48" i="6"/>
  <c r="F46" i="6"/>
  <c r="F45" i="6"/>
  <c r="F44" i="6"/>
  <c r="F31" i="6"/>
  <c r="F32" i="6"/>
  <c r="F33" i="6"/>
  <c r="F30" i="6"/>
  <c r="G48" i="6" l="1"/>
  <c r="B51" i="2"/>
  <c r="E51" i="2"/>
  <c r="E47" i="2"/>
  <c r="F370" i="6" l="1"/>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G355" i="6"/>
  <c r="B355" i="6"/>
  <c r="A355" i="6"/>
  <c r="G354" i="6"/>
  <c r="B354" i="6"/>
  <c r="A354" i="6"/>
  <c r="F349" i="6"/>
  <c r="E349" i="6"/>
  <c r="B349" i="6"/>
  <c r="A349" i="6"/>
  <c r="B348" i="6"/>
  <c r="A348" i="6"/>
  <c r="F347" i="6"/>
  <c r="E347" i="6"/>
  <c r="B347" i="6"/>
  <c r="A347"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B330" i="6"/>
  <c r="A330" i="6"/>
  <c r="F321" i="6"/>
  <c r="G321" i="6" s="1"/>
  <c r="E321" i="6"/>
  <c r="F320" i="6"/>
  <c r="G320" i="6" s="1"/>
  <c r="E320" i="6"/>
  <c r="F319" i="6"/>
  <c r="G319" i="6" s="1"/>
  <c r="E319" i="6"/>
  <c r="F318" i="6"/>
  <c r="G318" i="6" s="1"/>
  <c r="F317" i="6"/>
  <c r="G317" i="6" s="1"/>
  <c r="G316" i="6"/>
  <c r="G315" i="6"/>
  <c r="G314" i="6"/>
  <c r="G313" i="6"/>
  <c r="G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B279" i="6"/>
  <c r="A279" i="6"/>
  <c r="F274" i="6"/>
  <c r="E274" i="6"/>
  <c r="B274" i="6"/>
  <c r="A274" i="6"/>
  <c r="B273" i="6"/>
  <c r="A273" i="6"/>
  <c r="F272" i="6"/>
  <c r="E272" i="6"/>
  <c r="B272" i="6"/>
  <c r="A272"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B255" i="6"/>
  <c r="A255" i="6"/>
  <c r="F246" i="6"/>
  <c r="G246" i="6" s="1"/>
  <c r="E246" i="6"/>
  <c r="F245" i="6"/>
  <c r="G245" i="6" s="1"/>
  <c r="E245" i="6"/>
  <c r="F244" i="6"/>
  <c r="G244" i="6" s="1"/>
  <c r="E244" i="6"/>
  <c r="F243" i="6"/>
  <c r="G243" i="6" s="1"/>
  <c r="E243" i="6"/>
  <c r="F242" i="6"/>
  <c r="G242" i="6" s="1"/>
  <c r="E242" i="6"/>
  <c r="F241" i="6"/>
  <c r="G241" i="6" s="1"/>
  <c r="E241" i="6"/>
  <c r="G240" i="6"/>
  <c r="G239" i="6"/>
  <c r="G238" i="6"/>
  <c r="G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G205" i="6"/>
  <c r="B205" i="6"/>
  <c r="A205" i="6"/>
  <c r="G204" i="6"/>
  <c r="B204" i="6"/>
  <c r="A204" i="6"/>
  <c r="F199" i="6"/>
  <c r="E199" i="6"/>
  <c r="B199" i="6"/>
  <c r="A199" i="6"/>
  <c r="B198" i="6"/>
  <c r="A198" i="6"/>
  <c r="E197" i="6"/>
  <c r="B197" i="6"/>
  <c r="A197"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B180" i="6"/>
  <c r="A180" i="6"/>
  <c r="F171" i="6"/>
  <c r="G171" i="6" s="1"/>
  <c r="E171" i="6"/>
  <c r="F170" i="6"/>
  <c r="G170" i="6" s="1"/>
  <c r="E170" i="6"/>
  <c r="F169" i="6"/>
  <c r="G169" i="6" s="1"/>
  <c r="E169" i="6"/>
  <c r="F168" i="6"/>
  <c r="G168" i="6" s="1"/>
  <c r="E168" i="6"/>
  <c r="F167" i="6"/>
  <c r="G167" i="6" s="1"/>
  <c r="E167" i="6"/>
  <c r="G166" i="6"/>
  <c r="G165" i="6"/>
  <c r="G164" i="6"/>
  <c r="G163" i="6"/>
  <c r="G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B123" i="6"/>
  <c r="A123" i="6"/>
  <c r="F122"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B105" i="6"/>
  <c r="A105" i="6"/>
  <c r="F96" i="6"/>
  <c r="G96" i="6" s="1"/>
  <c r="E96" i="6"/>
  <c r="F95" i="6"/>
  <c r="G95" i="6" s="1"/>
  <c r="E95" i="6"/>
  <c r="F94" i="6"/>
  <c r="G94" i="6" s="1"/>
  <c r="E94" i="6"/>
  <c r="F93" i="6"/>
  <c r="G93" i="6" s="1"/>
  <c r="E93" i="6"/>
  <c r="F92" i="6"/>
  <c r="G92" i="6" s="1"/>
  <c r="E92" i="6"/>
  <c r="G91" i="6"/>
  <c r="G90" i="6"/>
  <c r="G89" i="6"/>
  <c r="G88" i="6"/>
  <c r="G87" i="6"/>
  <c r="B80" i="6"/>
  <c r="G79" i="6"/>
  <c r="B79" i="6"/>
  <c r="B78" i="6"/>
  <c r="B77" i="6"/>
  <c r="D70"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46" i="6" l="1"/>
  <c r="E323" i="6"/>
  <c r="G345" i="6"/>
  <c r="G346" i="6"/>
  <c r="G348" i="6"/>
  <c r="G349" i="6"/>
  <c r="G343" i="6"/>
  <c r="G344" i="6"/>
  <c r="G347" i="6"/>
  <c r="G365" i="6"/>
  <c r="G272" i="6"/>
  <c r="G371" i="6"/>
  <c r="G323" i="6"/>
  <c r="E173" i="6"/>
  <c r="G196" i="6"/>
  <c r="G195" i="6"/>
  <c r="G271" i="6"/>
  <c r="G122" i="6"/>
  <c r="G199" i="6"/>
  <c r="G296" i="6"/>
  <c r="G119" i="6"/>
  <c r="G120" i="6"/>
  <c r="G121" i="6"/>
  <c r="G281" i="6"/>
  <c r="G285" i="6"/>
  <c r="G289" i="6"/>
  <c r="G283" i="6"/>
  <c r="G287" i="6"/>
  <c r="G248" i="6"/>
  <c r="E248" i="6"/>
  <c r="G210" i="6"/>
  <c r="G206" i="6"/>
  <c r="G214" i="6"/>
  <c r="G129" i="6"/>
  <c r="G137" i="6"/>
  <c r="G269" i="6"/>
  <c r="G270" i="6"/>
  <c r="G273" i="6"/>
  <c r="G274" i="6"/>
  <c r="G197" i="6"/>
  <c r="G198" i="6"/>
  <c r="G173" i="6"/>
  <c r="G98" i="6"/>
  <c r="G123" i="6"/>
  <c r="G124" i="6"/>
  <c r="G131" i="6"/>
  <c r="G139" i="6"/>
  <c r="E98" i="6"/>
  <c r="G135" i="6"/>
  <c r="G350" i="6" l="1"/>
  <c r="G290" i="6"/>
  <c r="G140" i="6"/>
  <c r="G215" i="6"/>
  <c r="D69" i="6" l="1"/>
  <c r="F70" i="6"/>
  <c r="F69" i="6"/>
  <c r="F56" i="6"/>
  <c r="F57" i="6"/>
  <c r="F58" i="6"/>
  <c r="F59" i="6"/>
  <c r="F60" i="6"/>
  <c r="F61" i="6"/>
  <c r="F62" i="6"/>
  <c r="F63" i="6"/>
  <c r="F64" i="6"/>
  <c r="D56" i="6"/>
  <c r="D57" i="6"/>
  <c r="D58" i="6"/>
  <c r="D59" i="6"/>
  <c r="D60" i="6"/>
  <c r="D61" i="6"/>
  <c r="D62" i="6"/>
  <c r="D63" i="6"/>
  <c r="D64" i="6"/>
  <c r="E50" i="6" l="1"/>
  <c r="E50" i="2"/>
  <c r="B50" i="2"/>
  <c r="E48" i="2"/>
  <c r="B48" i="2"/>
  <c r="E45" i="2"/>
  <c r="B45" i="2"/>
  <c r="F49" i="6"/>
  <c r="G49" i="6" s="1"/>
  <c r="F47" i="6"/>
  <c r="G47" i="6" s="1"/>
  <c r="F34" i="6"/>
  <c r="G34" i="6" s="1"/>
  <c r="F35" i="6"/>
  <c r="G35" i="6" s="1"/>
  <c r="F36" i="6"/>
  <c r="G36" i="6" s="1"/>
  <c r="F37" i="6"/>
  <c r="G37" i="6" s="1"/>
  <c r="F38" i="6"/>
  <c r="G38" i="6" s="1"/>
  <c r="E15" i="6"/>
  <c r="E16" i="6"/>
  <c r="E17" i="6"/>
  <c r="E18" i="6"/>
  <c r="E19" i="6"/>
  <c r="E20" i="6"/>
  <c r="E21" i="6"/>
  <c r="F17" i="6"/>
  <c r="F18" i="6"/>
  <c r="F19" i="6"/>
  <c r="F20" i="6"/>
  <c r="F21" i="6"/>
  <c r="D34" i="6" l="1"/>
  <c r="D35" i="6"/>
  <c r="D36" i="6"/>
  <c r="D37" i="6"/>
  <c r="D38"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30" i="6"/>
  <c r="G46" i="6" l="1"/>
  <c r="G45" i="6"/>
  <c r="G43" i="6"/>
  <c r="G44" i="6"/>
  <c r="A16" i="9"/>
  <c r="A21" i="2"/>
  <c r="A19" i="2"/>
  <c r="A17" i="2"/>
  <c r="A20" i="2"/>
  <c r="A15" i="9"/>
  <c r="A18" i="2"/>
  <c r="A14" i="9"/>
  <c r="A13" i="9"/>
  <c r="B26" i="9" l="1"/>
  <c r="B28" i="9"/>
  <c r="B33" i="9"/>
  <c r="B23" i="9"/>
  <c r="B18" i="9"/>
  <c r="B24" i="9"/>
  <c r="B25" i="9"/>
  <c r="B19" i="9"/>
  <c r="B37" i="9"/>
  <c r="B29" i="9"/>
  <c r="B21" i="9"/>
  <c r="B20" i="9"/>
  <c r="B31" i="9"/>
  <c r="B34" i="9"/>
  <c r="B36" i="9"/>
  <c r="B32" i="9"/>
  <c r="B30" i="9"/>
  <c r="B27" i="9"/>
  <c r="B22" i="9"/>
  <c r="B35" i="9"/>
  <c r="G1507" i="6"/>
  <c r="C1507" i="6"/>
  <c r="B1573" i="6" s="1"/>
  <c r="C1506" i="6"/>
  <c r="C1432" i="6"/>
  <c r="B1498" i="6" s="1"/>
  <c r="G1432" i="6"/>
  <c r="C1431" i="6"/>
  <c r="G1357" i="6"/>
  <c r="C1357" i="6"/>
  <c r="B1423" i="6" s="1"/>
  <c r="C1356" i="6"/>
  <c r="G1282" i="6"/>
  <c r="C1282" i="6"/>
  <c r="B1348" i="6" s="1"/>
  <c r="C1281" i="6"/>
  <c r="C1207" i="6"/>
  <c r="B1273" i="6" s="1"/>
  <c r="G1207" i="6"/>
  <c r="C1206" i="6"/>
  <c r="G1132" i="6"/>
  <c r="C1132" i="6"/>
  <c r="B1198" i="6" s="1"/>
  <c r="C1131" i="6"/>
  <c r="C1057" i="6"/>
  <c r="B1123" i="6" s="1"/>
  <c r="G1057" i="6"/>
  <c r="C1056" i="6"/>
  <c r="G982" i="6"/>
  <c r="C982" i="6"/>
  <c r="B1048" i="6" s="1"/>
  <c r="C981" i="6"/>
  <c r="C907" i="6"/>
  <c r="B973" i="6" s="1"/>
  <c r="G907" i="6"/>
  <c r="C906" i="6"/>
  <c r="G832" i="6"/>
  <c r="C832" i="6"/>
  <c r="B898" i="6" s="1"/>
  <c r="C831" i="6"/>
  <c r="G757" i="6"/>
  <c r="C757" i="6"/>
  <c r="B823" i="6" s="1"/>
  <c r="C756" i="6"/>
  <c r="C682" i="6"/>
  <c r="B748" i="6" s="1"/>
  <c r="G682" i="6"/>
  <c r="C681" i="6"/>
  <c r="C607" i="6"/>
  <c r="B673" i="6" s="1"/>
  <c r="G607" i="6"/>
  <c r="C606" i="6"/>
  <c r="G532" i="6"/>
  <c r="C532" i="6"/>
  <c r="B598" i="6" s="1"/>
  <c r="C531" i="6"/>
  <c r="G457" i="6"/>
  <c r="C457" i="6"/>
  <c r="B523" i="6" s="1"/>
  <c r="C382" i="6"/>
  <c r="B448" i="6" s="1"/>
  <c r="G382" i="6"/>
  <c r="G70" i="6"/>
  <c r="G69" i="6"/>
  <c r="G64" i="6"/>
  <c r="G63" i="6"/>
  <c r="G62" i="6"/>
  <c r="G61" i="6"/>
  <c r="G60" i="6"/>
  <c r="G59" i="6"/>
  <c r="G56" i="6"/>
  <c r="E23" i="6"/>
  <c r="G21" i="6"/>
  <c r="G20" i="6"/>
  <c r="G19" i="6"/>
  <c r="G18" i="6"/>
  <c r="G17" i="6"/>
  <c r="G16" i="6"/>
  <c r="G15" i="6"/>
  <c r="G14" i="6"/>
  <c r="G13" i="6"/>
  <c r="B5" i="6"/>
  <c r="G4" i="6"/>
  <c r="B4" i="6"/>
  <c r="B3" i="6"/>
  <c r="B2" i="6"/>
  <c r="F1574" i="6" l="1"/>
  <c r="E1525" i="6"/>
  <c r="F1573" i="6"/>
  <c r="F1499" i="6"/>
  <c r="E1450" i="6"/>
  <c r="F1498" i="6"/>
  <c r="F1424" i="6"/>
  <c r="E1375" i="6"/>
  <c r="F1423" i="6"/>
  <c r="F1349" i="6"/>
  <c r="E1300" i="6"/>
  <c r="F1348" i="6"/>
  <c r="F1274" i="6"/>
  <c r="E1225" i="6"/>
  <c r="F1273" i="6"/>
  <c r="E1150" i="6"/>
  <c r="F1199" i="6"/>
  <c r="F1198" i="6"/>
  <c r="F1124" i="6"/>
  <c r="E1075" i="6"/>
  <c r="F1123" i="6"/>
  <c r="F1049" i="6"/>
  <c r="E1000" i="6"/>
  <c r="F1048" i="6"/>
  <c r="F974" i="6"/>
  <c r="E925" i="6"/>
  <c r="F973" i="6"/>
  <c r="F898" i="6"/>
  <c r="F899" i="6"/>
  <c r="E850" i="6"/>
  <c r="F824" i="6"/>
  <c r="E775" i="6"/>
  <c r="F823" i="6"/>
  <c r="F748" i="6"/>
  <c r="F749" i="6"/>
  <c r="E700" i="6"/>
  <c r="F673" i="6"/>
  <c r="F674" i="6"/>
  <c r="E625" i="6"/>
  <c r="F599" i="6"/>
  <c r="E550" i="6"/>
  <c r="F598" i="6"/>
  <c r="F524" i="6"/>
  <c r="E475" i="6"/>
  <c r="F523" i="6"/>
  <c r="F449" i="6"/>
  <c r="E400" i="6"/>
  <c r="F448" i="6"/>
  <c r="G71" i="6"/>
  <c r="G57" i="6"/>
  <c r="G58" i="6"/>
  <c r="G23" i="6"/>
  <c r="G118" i="6" l="1"/>
  <c r="G125" i="6" s="1"/>
  <c r="G65" i="6"/>
  <c r="G50" i="6"/>
  <c r="B50"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E33" i="20"/>
  <c r="N33" i="20" s="1"/>
  <c r="C33" i="20"/>
  <c r="P32" i="20"/>
  <c r="G32" i="20"/>
  <c r="C32" i="20"/>
  <c r="E32" i="20" s="1"/>
  <c r="N32" i="20" s="1"/>
  <c r="P31" i="20"/>
  <c r="G31" i="20"/>
  <c r="C31" i="20"/>
  <c r="E31" i="20" s="1"/>
  <c r="N31" i="20" s="1"/>
  <c r="P30" i="20"/>
  <c r="G30" i="20"/>
  <c r="C30" i="20"/>
  <c r="E30" i="20" s="1"/>
  <c r="N30" i="20" s="1"/>
  <c r="O22" i="20"/>
  <c r="O19" i="20"/>
  <c r="M64" i="20" s="1"/>
  <c r="O16" i="20"/>
  <c r="L62" i="20" s="1"/>
  <c r="O13" i="20"/>
  <c r="O4" i="20"/>
  <c r="E51" i="19"/>
  <c r="C27" i="14" s="1"/>
  <c r="E48" i="19"/>
  <c r="C26" i="14" s="1"/>
  <c r="E45" i="19"/>
  <c r="C25" i="14" s="1"/>
  <c r="E42" i="19"/>
  <c r="C24" i="14" s="1"/>
  <c r="C23" i="14"/>
  <c r="C22" i="14"/>
  <c r="D22" i="19"/>
  <c r="D19" i="19"/>
  <c r="D16" i="19"/>
  <c r="D13" i="19"/>
  <c r="D10" i="19"/>
  <c r="B5" i="19"/>
  <c r="E4" i="19"/>
  <c r="B4" i="19"/>
  <c r="B3" i="19"/>
  <c r="B2" i="19"/>
  <c r="A16" i="18"/>
  <c r="A37" i="18"/>
  <c r="J32" i="21" l="1"/>
  <c r="K36" i="20"/>
  <c r="I37" i="21"/>
  <c r="C17" i="14"/>
  <c r="E256" i="6"/>
  <c r="G256" i="6" s="1"/>
  <c r="E181" i="6"/>
  <c r="G181" i="6" s="1"/>
  <c r="E331" i="6"/>
  <c r="G331" i="6" s="1"/>
  <c r="E106" i="6"/>
  <c r="G106" i="6" s="1"/>
  <c r="E31" i="6"/>
  <c r="G31" i="6" s="1"/>
  <c r="C20" i="14"/>
  <c r="E333" i="6"/>
  <c r="G333" i="6" s="1"/>
  <c r="E183" i="6"/>
  <c r="G183" i="6" s="1"/>
  <c r="E33" i="6"/>
  <c r="G33" i="6" s="1"/>
  <c r="C19" i="14"/>
  <c r="E332" i="6"/>
  <c r="G332" i="6" s="1"/>
  <c r="E182" i="6"/>
  <c r="G182" i="6" s="1"/>
  <c r="E32" i="6"/>
  <c r="G32" i="6" s="1"/>
  <c r="E330" i="6"/>
  <c r="G330" i="6" s="1"/>
  <c r="E255" i="6"/>
  <c r="E180" i="6"/>
  <c r="G180" i="6" s="1"/>
  <c r="K41" i="21"/>
  <c r="M44" i="21"/>
  <c r="K44" i="20"/>
  <c r="I45" i="21"/>
  <c r="I60" i="21"/>
  <c r="I39" i="21"/>
  <c r="I63" i="21"/>
  <c r="I64" i="21"/>
  <c r="G193" i="6"/>
  <c r="G200"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27" i="18"/>
  <c r="A35" i="18"/>
  <c r="A24" i="18"/>
  <c r="A25" i="18"/>
  <c r="A26" i="18"/>
  <c r="A28" i="18"/>
  <c r="A38" i="18"/>
  <c r="A21" i="18"/>
  <c r="A20" i="18"/>
  <c r="A39" i="18"/>
  <c r="A17" i="18"/>
  <c r="A31" i="18"/>
  <c r="A18" i="18"/>
  <c r="A32" i="18"/>
  <c r="A30" i="18"/>
  <c r="A22" i="18"/>
  <c r="A36" i="18"/>
  <c r="A34" i="18"/>
  <c r="A29" i="18"/>
  <c r="A33" i="18"/>
  <c r="A40" i="18"/>
  <c r="A19" i="18"/>
  <c r="A23" i="18"/>
  <c r="G339" i="6" l="1"/>
  <c r="G373" i="6" s="1"/>
  <c r="E30" i="6"/>
  <c r="G30" i="6" s="1"/>
  <c r="E105" i="6"/>
  <c r="G105" i="6" s="1"/>
  <c r="E108" i="6"/>
  <c r="G108" i="6" s="1"/>
  <c r="E107" i="6"/>
  <c r="G107" i="6" s="1"/>
  <c r="E257" i="6"/>
  <c r="G257" i="6" s="1"/>
  <c r="E258" i="6"/>
  <c r="G258" i="6" s="1"/>
  <c r="G189"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374" i="6" l="1"/>
  <c r="F22" i="2"/>
  <c r="G22" i="2" s="1"/>
  <c r="H22" i="2" s="1"/>
  <c r="G223" i="6"/>
  <c r="G224" i="6" s="1"/>
  <c r="G114" i="6"/>
  <c r="G268" i="6"/>
  <c r="G275" i="6" s="1"/>
  <c r="G255" i="6"/>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D40" i="15" s="1"/>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55" i="18"/>
  <c r="G148" i="6" l="1"/>
  <c r="G149" i="6" s="1"/>
  <c r="D185" i="15"/>
  <c r="C184" i="15"/>
  <c r="D182" i="15"/>
  <c r="C181" i="15"/>
  <c r="D179" i="15"/>
  <c r="C178" i="15"/>
  <c r="D176" i="15"/>
  <c r="C175" i="15"/>
  <c r="D173" i="15"/>
  <c r="C172" i="15"/>
  <c r="D170" i="15"/>
  <c r="C169" i="15"/>
  <c r="D167" i="15"/>
  <c r="C166" i="15"/>
  <c r="D164" i="15"/>
  <c r="C163" i="15"/>
  <c r="D161" i="15"/>
  <c r="C160" i="15"/>
  <c r="D158" i="15"/>
  <c r="C157" i="15"/>
  <c r="D155" i="15"/>
  <c r="C154" i="15"/>
  <c r="D152" i="15"/>
  <c r="C151" i="15"/>
  <c r="D149" i="15"/>
  <c r="C148" i="15"/>
  <c r="D146" i="15"/>
  <c r="C145" i="15"/>
  <c r="D143" i="15"/>
  <c r="C142" i="15"/>
  <c r="D140" i="15"/>
  <c r="C139" i="15"/>
  <c r="D137" i="15"/>
  <c r="C136" i="15"/>
  <c r="D134" i="15"/>
  <c r="C133" i="15"/>
  <c r="D131" i="15"/>
  <c r="C130" i="15"/>
  <c r="D128" i="15"/>
  <c r="C127" i="15"/>
  <c r="D125" i="15"/>
  <c r="C124" i="15"/>
  <c r="D122" i="15"/>
  <c r="C121" i="15"/>
  <c r="D119" i="15"/>
  <c r="C118" i="15"/>
  <c r="D116" i="15"/>
  <c r="C115" i="15"/>
  <c r="D113" i="15"/>
  <c r="C112" i="15"/>
  <c r="D110" i="15"/>
  <c r="C109" i="15"/>
  <c r="D107" i="15"/>
  <c r="C106" i="15"/>
  <c r="D104" i="15"/>
  <c r="C103" i="15"/>
  <c r="D101" i="15"/>
  <c r="C100" i="15"/>
  <c r="D98" i="15"/>
  <c r="C97" i="15"/>
  <c r="D95" i="15"/>
  <c r="C94" i="15"/>
  <c r="D92" i="15"/>
  <c r="C91" i="15"/>
  <c r="D89" i="15"/>
  <c r="C88" i="15"/>
  <c r="D86" i="15"/>
  <c r="C85" i="15"/>
  <c r="C40" i="15"/>
  <c r="D38" i="15"/>
  <c r="C37" i="15"/>
  <c r="D36" i="15"/>
  <c r="A36" i="15" s="1"/>
  <c r="C185" i="15"/>
  <c r="D183" i="15"/>
  <c r="C182" i="15"/>
  <c r="D180" i="15"/>
  <c r="C179" i="15"/>
  <c r="D177" i="15"/>
  <c r="C176" i="15"/>
  <c r="D174" i="15"/>
  <c r="C173" i="15"/>
  <c r="D171" i="15"/>
  <c r="C170" i="15"/>
  <c r="D168" i="15"/>
  <c r="C167" i="15"/>
  <c r="D165" i="15"/>
  <c r="C164" i="15"/>
  <c r="D162" i="15"/>
  <c r="C161" i="15"/>
  <c r="D159" i="15"/>
  <c r="C158" i="15"/>
  <c r="D156" i="15"/>
  <c r="C155" i="15"/>
  <c r="D153" i="15"/>
  <c r="C152" i="15"/>
  <c r="D150" i="15"/>
  <c r="C149" i="15"/>
  <c r="D147" i="15"/>
  <c r="C146" i="15"/>
  <c r="D144" i="15"/>
  <c r="C143" i="15"/>
  <c r="D141" i="15"/>
  <c r="C140" i="15"/>
  <c r="D138" i="15"/>
  <c r="C137" i="15"/>
  <c r="D135" i="15"/>
  <c r="C134" i="15"/>
  <c r="D132" i="15"/>
  <c r="C131" i="15"/>
  <c r="D129" i="15"/>
  <c r="C128" i="15"/>
  <c r="D126" i="15"/>
  <c r="C125" i="15"/>
  <c r="D123" i="15"/>
  <c r="C122" i="15"/>
  <c r="D120" i="15"/>
  <c r="C119" i="15"/>
  <c r="D117" i="15"/>
  <c r="C116" i="15"/>
  <c r="D114" i="15"/>
  <c r="C113" i="15"/>
  <c r="D111" i="15"/>
  <c r="C110" i="15"/>
  <c r="D108" i="15"/>
  <c r="C107" i="15"/>
  <c r="D105" i="15"/>
  <c r="C104" i="15"/>
  <c r="D102" i="15"/>
  <c r="C101" i="15"/>
  <c r="D99" i="15"/>
  <c r="C98" i="15"/>
  <c r="D96" i="15"/>
  <c r="C95" i="15"/>
  <c r="D93" i="15"/>
  <c r="C92" i="15"/>
  <c r="D90" i="15"/>
  <c r="C89" i="15"/>
  <c r="D87" i="15"/>
  <c r="C86" i="15"/>
  <c r="D84" i="15"/>
  <c r="D39" i="15"/>
  <c r="C38" i="15"/>
  <c r="D184" i="15"/>
  <c r="C183" i="15"/>
  <c r="D181" i="15"/>
  <c r="C180" i="15"/>
  <c r="D178" i="15"/>
  <c r="C177" i="15"/>
  <c r="D175" i="15"/>
  <c r="C174" i="15"/>
  <c r="D172" i="15"/>
  <c r="C171" i="15"/>
  <c r="D169" i="15"/>
  <c r="C168" i="15"/>
  <c r="D166" i="15"/>
  <c r="C165" i="15"/>
  <c r="D163" i="15"/>
  <c r="C162" i="15"/>
  <c r="D160" i="15"/>
  <c r="C159" i="15"/>
  <c r="D157" i="15"/>
  <c r="C156" i="15"/>
  <c r="D154" i="15"/>
  <c r="C153" i="15"/>
  <c r="D151" i="15"/>
  <c r="C150" i="15"/>
  <c r="D148" i="15"/>
  <c r="C147" i="15"/>
  <c r="D145" i="15"/>
  <c r="C144" i="15"/>
  <c r="D142" i="15"/>
  <c r="C141" i="15"/>
  <c r="D139" i="15"/>
  <c r="C138" i="15"/>
  <c r="D136" i="15"/>
  <c r="C135" i="15"/>
  <c r="D133" i="15"/>
  <c r="C132" i="15"/>
  <c r="D130" i="15"/>
  <c r="C129" i="15"/>
  <c r="D127" i="15"/>
  <c r="C126" i="15"/>
  <c r="D124" i="15"/>
  <c r="C123" i="15"/>
  <c r="D121" i="15"/>
  <c r="C120" i="15"/>
  <c r="D118" i="15"/>
  <c r="C117" i="15"/>
  <c r="D115" i="15"/>
  <c r="C114" i="15"/>
  <c r="D112" i="15"/>
  <c r="C111" i="15"/>
  <c r="D109" i="15"/>
  <c r="C108" i="15"/>
  <c r="D106" i="15"/>
  <c r="C105" i="15"/>
  <c r="D103" i="15"/>
  <c r="C102" i="15"/>
  <c r="D100" i="15"/>
  <c r="C99" i="15"/>
  <c r="D97" i="15"/>
  <c r="C96" i="15"/>
  <c r="D94" i="15"/>
  <c r="C93" i="15"/>
  <c r="D91" i="15"/>
  <c r="C90" i="15"/>
  <c r="D88" i="15"/>
  <c r="C87" i="15"/>
  <c r="D85" i="15"/>
  <c r="C84" i="15"/>
  <c r="C39" i="15"/>
  <c r="D37" i="15"/>
  <c r="C3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7" i="15" l="1"/>
  <c r="A38" i="15" s="1"/>
  <c r="A39" i="15" s="1"/>
  <c r="A40" i="15" s="1"/>
  <c r="A41" i="15" s="1"/>
  <c r="A42" i="15" s="1"/>
  <c r="A43" i="15" s="1"/>
  <c r="A44" i="15" s="1"/>
  <c r="A45" i="15" s="1"/>
  <c r="C36" i="8"/>
  <c r="C11" i="8"/>
  <c r="C75" i="8" l="1"/>
  <c r="A46" i="15"/>
  <c r="C1" i="5"/>
  <c r="C1" i="4"/>
  <c r="A47" i="15" l="1"/>
  <c r="C10" i="2"/>
  <c r="C9" i="2"/>
  <c r="C8" i="2"/>
  <c r="C7" i="2"/>
  <c r="C6" i="2"/>
  <c r="C5" i="2"/>
  <c r="C4" i="2"/>
  <c r="C3" i="2"/>
  <c r="C2" i="2"/>
  <c r="C1" i="2"/>
  <c r="A48" i="15" l="1"/>
  <c r="B1" i="8"/>
  <c r="A49"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B181" i="6" s="1"/>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B183" i="6" l="1"/>
  <c r="B333" i="6"/>
  <c r="B258" i="6"/>
  <c r="B108" i="6"/>
  <c r="B33" i="6"/>
  <c r="B332" i="6"/>
  <c r="B257" i="6"/>
  <c r="B107" i="6"/>
  <c r="B182" i="6"/>
  <c r="B32" i="6"/>
  <c r="A50" i="15"/>
  <c r="B64" i="6"/>
  <c r="B62" i="6"/>
  <c r="B60" i="6"/>
  <c r="B58" i="6"/>
  <c r="B56" i="6"/>
  <c r="B54" i="6"/>
  <c r="B59" i="6"/>
  <c r="B55" i="6"/>
  <c r="B63" i="6"/>
  <c r="B61" i="6"/>
  <c r="B57" i="6"/>
  <c r="G11" i="9"/>
  <c r="H11" i="9" s="1"/>
  <c r="I11" i="9" s="1"/>
  <c r="A51" i="15" l="1"/>
  <c r="A52"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3"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4" i="15" l="1"/>
  <c r="E75" i="8"/>
  <c r="A55" i="15" l="1"/>
  <c r="D36" i="8"/>
  <c r="A56" i="15" l="1"/>
  <c r="B5" i="8"/>
  <c r="B4" i="8"/>
  <c r="B3" i="8"/>
  <c r="B2" i="8"/>
  <c r="A57" i="15" l="1"/>
  <c r="C6" i="9"/>
  <c r="C4" i="9"/>
  <c r="C3" i="9"/>
  <c r="C2" i="9"/>
  <c r="C1" i="9"/>
  <c r="C5" i="9"/>
  <c r="A58" i="15" l="1"/>
  <c r="A59" i="15" l="1"/>
  <c r="A60" i="15" l="1"/>
  <c r="A61" i="15" l="1"/>
  <c r="A62" i="15" l="1"/>
  <c r="A63" i="15" l="1"/>
  <c r="A64" i="15" l="1"/>
  <c r="A65" i="15" l="1"/>
  <c r="A66" i="15" l="1"/>
  <c r="A67" i="15" l="1"/>
  <c r="A68" i="15" l="1"/>
  <c r="A69" i="15" l="1"/>
  <c r="A70" i="15" l="1"/>
  <c r="C815" i="15"/>
  <c r="A71" i="15" l="1"/>
  <c r="C865" i="15"/>
  <c r="A72" i="15" l="1"/>
  <c r="C915" i="15"/>
  <c r="A73" i="15" l="1"/>
  <c r="C965" i="15"/>
  <c r="A74" i="15" l="1"/>
  <c r="C1015" i="15"/>
  <c r="A75" i="15" l="1"/>
  <c r="A76" i="15" l="1"/>
  <c r="C1065" i="15"/>
  <c r="A77" i="15" l="1"/>
  <c r="C1115" i="15"/>
  <c r="A78" i="15" l="1"/>
  <c r="A79" i="15" l="1"/>
  <c r="C1165" i="15"/>
  <c r="A80" i="15" l="1"/>
  <c r="C1215" i="15"/>
  <c r="A81" i="15" l="1"/>
  <c r="C1265" i="15"/>
  <c r="A82" i="15" l="1"/>
  <c r="C1315" i="15"/>
  <c r="A83" i="15" l="1"/>
  <c r="C1365" i="15"/>
  <c r="A84" i="15" l="1"/>
  <c r="C1415" i="15"/>
  <c r="A85" i="15" l="1"/>
  <c r="C1465" i="15"/>
  <c r="A86" i="15" l="1"/>
  <c r="C1515" i="15"/>
  <c r="A87" i="15" l="1"/>
  <c r="A88" i="15" l="1"/>
  <c r="C1565" i="15"/>
  <c r="A89" i="15" l="1"/>
  <c r="C1615" i="15"/>
  <c r="A90" i="15" l="1"/>
  <c r="C1665" i="15"/>
  <c r="A91" i="15" l="1"/>
  <c r="C1715" i="15"/>
  <c r="A92" i="15" l="1"/>
  <c r="C1765" i="15"/>
  <c r="A93" i="15" l="1"/>
  <c r="A94" i="15" l="1"/>
  <c r="C1815" i="15"/>
  <c r="A95" i="15" l="1"/>
  <c r="C1865" i="15"/>
  <c r="F7" i="2"/>
  <c r="D21" i="2" l="1"/>
  <c r="B21" i="2"/>
  <c r="E21" i="2"/>
  <c r="D20" i="18" s="1"/>
  <c r="E20" i="2"/>
  <c r="D19" i="18" s="1"/>
  <c r="B20" i="2"/>
  <c r="B19" i="18" s="1"/>
  <c r="D20" i="2"/>
  <c r="E19" i="2"/>
  <c r="D18" i="18" s="1"/>
  <c r="B19" i="2"/>
  <c r="B18" i="18" s="1"/>
  <c r="D19" i="2"/>
  <c r="E18" i="2"/>
  <c r="D18" i="2"/>
  <c r="B18" i="2"/>
  <c r="B17" i="2"/>
  <c r="D17" i="2"/>
  <c r="E17" i="2"/>
  <c r="F10" i="2"/>
  <c r="A96" i="15"/>
  <c r="B20" i="18" l="1"/>
  <c r="B17" i="9"/>
  <c r="C381" i="6"/>
  <c r="C456" i="6"/>
  <c r="A97" i="15"/>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A184" i="15" l="1"/>
  <c r="A185" i="15" l="1"/>
  <c r="B7" i="6" l="1"/>
  <c r="B10" i="23"/>
  <c r="B11" i="23"/>
  <c r="B12" i="23"/>
  <c r="B13" i="23"/>
  <c r="B14" i="23"/>
  <c r="D10" i="23" l="1"/>
  <c r="F10" i="23" s="1"/>
  <c r="C10" i="23"/>
  <c r="B6" i="6"/>
  <c r="A73" i="6"/>
  <c r="C14" i="23"/>
  <c r="D14" i="23"/>
  <c r="F14" i="23" s="1"/>
  <c r="C13" i="23"/>
  <c r="D13" i="23"/>
  <c r="F13" i="23" s="1"/>
  <c r="C12" i="23"/>
  <c r="D12" i="23"/>
  <c r="F12" i="23" s="1"/>
  <c r="C11" i="23"/>
  <c r="D11" i="23"/>
  <c r="F11" i="23" s="1"/>
  <c r="B82" i="6" l="1"/>
  <c r="A148" i="6" l="1"/>
  <c r="B81" i="6"/>
  <c r="B157" i="6" l="1"/>
  <c r="A223" i="6" l="1"/>
  <c r="B156" i="6"/>
  <c r="B232" i="6" l="1"/>
  <c r="A298" i="6" l="1"/>
  <c r="B231" i="6"/>
  <c r="B307" i="6" l="1"/>
  <c r="A373" i="6" l="1"/>
  <c r="B306" i="6"/>
  <c r="G39" i="6" l="1"/>
  <c r="B17" i="18"/>
  <c r="C17" i="18"/>
  <c r="C18" i="18"/>
  <c r="C19" i="18"/>
  <c r="C20" i="18"/>
  <c r="C16" i="18"/>
  <c r="B16" i="18"/>
  <c r="B14" i="9"/>
  <c r="B16" i="9"/>
  <c r="B15" i="9"/>
  <c r="B13" i="9"/>
  <c r="G73" i="6" l="1"/>
  <c r="G74" i="6" s="1"/>
  <c r="D17" i="18"/>
  <c r="D16" i="18"/>
  <c r="H17" i="2" l="1"/>
  <c r="F16" i="18" l="1"/>
  <c r="E16" i="18" s="1"/>
  <c r="G16" i="18" l="1"/>
  <c r="F17" i="2" l="1"/>
  <c r="F21" i="2"/>
  <c r="G21" i="2" s="1"/>
  <c r="F19" i="2"/>
  <c r="G19" i="2" s="1"/>
  <c r="F20" i="2"/>
  <c r="G20" i="2" s="1"/>
  <c r="F18" i="2"/>
  <c r="G18" i="2" s="1"/>
  <c r="F18" i="18" l="1"/>
  <c r="G18" i="18" s="1"/>
  <c r="F19" i="18"/>
  <c r="G19" i="18" s="1"/>
  <c r="F20" i="18"/>
  <c r="G20" i="18" s="1"/>
  <c r="H20" i="2"/>
  <c r="H19" i="2"/>
  <c r="H18" i="2"/>
  <c r="F17" i="18"/>
  <c r="H21" i="2"/>
  <c r="H42" i="2" l="1"/>
  <c r="E19" i="18"/>
  <c r="E18" i="18"/>
  <c r="G17" i="18"/>
  <c r="E17" i="18"/>
  <c r="E20" i="18"/>
  <c r="G7" i="6" l="1"/>
  <c r="C7" i="6"/>
  <c r="B73" i="6" s="1"/>
  <c r="G157" i="6"/>
  <c r="C232" i="6"/>
  <c r="B298" i="6" s="1"/>
  <c r="C157" i="6"/>
  <c r="B223" i="6" s="1"/>
  <c r="G232" i="6"/>
  <c r="C82" i="6"/>
  <c r="B148" i="6" s="1"/>
  <c r="G82" i="6"/>
  <c r="E175" i="6" l="1"/>
  <c r="F224" i="6"/>
  <c r="F223" i="6"/>
  <c r="F149" i="6"/>
  <c r="E100" i="6"/>
  <c r="F148" i="6"/>
  <c r="E250" i="6"/>
  <c r="F299" i="6"/>
  <c r="F298" i="6"/>
  <c r="E25" i="6"/>
  <c r="F74" i="6"/>
  <c r="F73" i="6"/>
  <c r="A44" i="18" l="1"/>
  <c r="A55" i="2"/>
  <c r="B21" i="18" l="1"/>
  <c r="C21" i="18"/>
  <c r="D21" i="18"/>
  <c r="F21" i="18"/>
  <c r="B23" i="18"/>
  <c r="B22" i="18"/>
  <c r="B25" i="18"/>
  <c r="B24" i="18"/>
  <c r="B27" i="18"/>
  <c r="B26" i="18"/>
  <c r="D37" i="18"/>
  <c r="C40" i="18"/>
  <c r="B40" i="18"/>
  <c r="D28" i="18"/>
  <c r="D30" i="18"/>
  <c r="D26" i="18"/>
  <c r="B38" i="18"/>
  <c r="C36" i="18"/>
  <c r="C37" i="18"/>
  <c r="D29" i="18"/>
  <c r="D23" i="18"/>
  <c r="D31" i="18"/>
  <c r="D33" i="18"/>
  <c r="D39" i="18"/>
  <c r="D35" i="18"/>
  <c r="C38" i="18"/>
  <c r="D24" i="18"/>
  <c r="B36" i="18"/>
  <c r="C39" i="18"/>
  <c r="B37" i="18"/>
  <c r="D22" i="18"/>
  <c r="D34" i="18"/>
  <c r="D32" i="18"/>
  <c r="D36" i="18"/>
  <c r="D40" i="18"/>
  <c r="B39" i="18"/>
  <c r="D25" i="18"/>
  <c r="D27" i="18"/>
  <c r="D38" i="18"/>
  <c r="B28" i="18"/>
  <c r="B32" i="18"/>
  <c r="C25" i="18"/>
  <c r="C29" i="18"/>
  <c r="C33" i="18"/>
  <c r="B29" i="18"/>
  <c r="B33" i="18"/>
  <c r="C22" i="18"/>
  <c r="C26" i="18"/>
  <c r="C30" i="18"/>
  <c r="C34" i="18"/>
  <c r="B30" i="18"/>
  <c r="B34" i="18"/>
  <c r="C23" i="18"/>
  <c r="C27" i="18"/>
  <c r="C31" i="18"/>
  <c r="C35" i="18"/>
  <c r="B31" i="18"/>
  <c r="B35" i="18"/>
  <c r="C24" i="18"/>
  <c r="C28" i="18"/>
  <c r="C32" i="18"/>
  <c r="F26" i="18"/>
  <c r="E26" i="18" s="1"/>
  <c r="F23" i="18"/>
  <c r="E23" i="18" s="1"/>
  <c r="F22" i="18"/>
  <c r="F27" i="18"/>
  <c r="E27" i="18" s="1"/>
  <c r="F28" i="18"/>
  <c r="E28" i="18" s="1"/>
  <c r="F25" i="18"/>
  <c r="E25" i="18" s="1"/>
  <c r="F30" i="18"/>
  <c r="E30" i="18" s="1"/>
  <c r="F24" i="18"/>
  <c r="E24" i="18" s="1"/>
  <c r="F29" i="18"/>
  <c r="E29" i="18" s="1"/>
  <c r="F35" i="18"/>
  <c r="E35" i="18" s="1"/>
  <c r="F34" i="18"/>
  <c r="E34" i="18" s="1"/>
  <c r="F39" i="18"/>
  <c r="E39" i="18" s="1"/>
  <c r="F31" i="18"/>
  <c r="E31" i="18" s="1"/>
  <c r="F40" i="18"/>
  <c r="E40" i="18" s="1"/>
  <c r="F32" i="18"/>
  <c r="E32" i="18" s="1"/>
  <c r="F33" i="18"/>
  <c r="E33" i="18" s="1"/>
  <c r="F38" i="18"/>
  <c r="E38" i="18" s="1"/>
  <c r="F36" i="18"/>
  <c r="E36" i="18" s="1"/>
  <c r="F37" i="18"/>
  <c r="E37" i="18" s="1"/>
  <c r="C307" i="6"/>
  <c r="B373" i="6" s="1"/>
  <c r="G307" i="6"/>
  <c r="C306" i="6"/>
  <c r="C231" i="6"/>
  <c r="C156" i="6"/>
  <c r="C81" i="6"/>
  <c r="C6" i="6"/>
  <c r="E43" i="9"/>
  <c r="E44" i="9" s="1"/>
  <c r="I21" i="2"/>
  <c r="D17" i="9" s="1"/>
  <c r="H53" i="2"/>
  <c r="I18" i="2"/>
  <c r="D14" i="9" s="1"/>
  <c r="C11" i="2"/>
  <c r="I20" i="2"/>
  <c r="D16" i="9" s="1"/>
  <c r="I17" i="2"/>
  <c r="D13" i="9" s="1"/>
  <c r="I19" i="2"/>
  <c r="D15" i="9" s="1"/>
  <c r="H44" i="2"/>
  <c r="H45" i="2" s="1"/>
  <c r="H46" i="2" s="1"/>
  <c r="H48" i="2" s="1"/>
  <c r="I40" i="9" l="1"/>
  <c r="I43" i="9" s="1"/>
  <c r="H40" i="9"/>
  <c r="H43" i="9" s="1"/>
  <c r="F40" i="9"/>
  <c r="G40" i="9"/>
  <c r="D38" i="9"/>
  <c r="G21" i="18"/>
  <c r="E21" i="18"/>
  <c r="G38" i="18"/>
  <c r="G36" i="18"/>
  <c r="G24" i="18"/>
  <c r="G33" i="18"/>
  <c r="G31" i="18"/>
  <c r="G30" i="18"/>
  <c r="G27" i="18"/>
  <c r="G32" i="18"/>
  <c r="G39" i="18"/>
  <c r="G23" i="18"/>
  <c r="G28" i="18"/>
  <c r="G25" i="18"/>
  <c r="G40" i="18"/>
  <c r="G34" i="18"/>
  <c r="G29" i="18"/>
  <c r="G37" i="18"/>
  <c r="G22" i="18"/>
  <c r="E22" i="18"/>
  <c r="G35" i="18"/>
  <c r="G26" i="18"/>
  <c r="F374" i="6"/>
  <c r="E325" i="6"/>
  <c r="F373" i="6"/>
  <c r="I42" i="2"/>
  <c r="H47" i="2"/>
  <c r="H49" i="2" s="1"/>
  <c r="G42" i="18" l="1"/>
  <c r="G43" i="9"/>
  <c r="F43" i="9"/>
  <c r="F44" i="9" s="1"/>
  <c r="H51" i="2"/>
  <c r="H50" i="2"/>
  <c r="G44" i="9" l="1"/>
  <c r="H44" i="9" s="1"/>
  <c r="I44" i="9" s="1"/>
  <c r="F41" i="9"/>
  <c r="G41" i="9" s="1"/>
  <c r="H41" i="9" s="1"/>
  <c r="I41" i="9" s="1"/>
</calcChain>
</file>

<file path=xl/comments1.xml><?xml version="1.0" encoding="utf-8"?>
<comments xmlns="http://schemas.openxmlformats.org/spreadsheetml/2006/main">
  <authors>
    <author>Secretaria Servicios</author>
  </authors>
  <commentList>
    <comment ref="C30"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<sst xmlns="http://schemas.openxmlformats.org/spreadsheetml/2006/main" count="6028" uniqueCount="2109">
  <si>
    <t>DESIGNACION</t>
  </si>
  <si>
    <t>UN.</t>
  </si>
  <si>
    <t>CANT.</t>
  </si>
  <si>
    <t xml:space="preserve">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</si>
  <si>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</si>
  <si>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</si>
  <si>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</si>
  <si>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</si>
  <si>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</si>
  <si>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</si>
  <si>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</si>
  <si>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</si>
  <si>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</si>
  <si>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</si>
  <si>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</si>
  <si>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</si>
  <si>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</si>
  <si>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</si>
  <si>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</si>
  <si>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</si>
  <si>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</si>
  <si>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</si>
  <si>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</si>
  <si>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</si>
  <si>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</si>
  <si>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</si>
  <si>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</si>
  <si>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</si>
  <si>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</si>
  <si>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</si>
  <si>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</si>
  <si>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</si>
  <si>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</si>
  <si>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</si>
  <si>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</si>
  <si>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</si>
  <si>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</si>
  <si>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</si>
  <si>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</si>
  <si>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</si>
  <si>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</si>
  <si>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</si>
  <si>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</si>
  <si>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</si>
  <si>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</si>
  <si>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</si>
  <si>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</si>
  <si>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</si>
  <si>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</si>
  <si>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</si>
  <si>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</si>
  <si>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</si>
  <si>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</si>
  <si>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</si>
  <si>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</si>
  <si>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</si>
  <si>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</si>
  <si>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</si>
  <si>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</si>
  <si>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</si>
  <si>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</si>
  <si>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</si>
  <si>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</si>
  <si>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</si>
  <si>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</si>
  <si>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</si>
  <si>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</si>
  <si>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</si>
  <si>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</si>
  <si>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</si>
  <si>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</si>
  <si>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</si>
  <si>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</si>
  <si>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</si>
  <si>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</si>
  <si>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</si>
  <si>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</si>
  <si>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</si>
  <si>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</si>
  <si>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</si>
  <si>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</si>
  <si>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</si>
  <si>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</si>
  <si>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</si>
  <si>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</si>
  <si>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</si>
  <si>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</si>
  <si>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</si>
  <si>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</si>
  <si>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</si>
  <si>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</si>
  <si>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</si>
  <si>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</si>
  <si>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</si>
  <si>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</si>
  <si>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</si>
  <si>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</si>
  <si>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</si>
  <si>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</si>
  <si>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</si>
  <si>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</si>
  <si>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</si>
  <si>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</si>
  <si>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</si>
  <si>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</si>
  <si>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</si>
  <si>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</si>
  <si>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</si>
  <si>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</si>
  <si>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</si>
  <si>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</si>
  <si>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</si>
  <si>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</si>
  <si>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</si>
  <si>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</si>
  <si>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</si>
  <si>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</si>
  <si>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</si>
  <si>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</si>
  <si>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</si>
  <si>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</si>
  <si>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</si>
  <si>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</si>
  <si>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</si>
  <si>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</si>
  <si>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</si>
  <si>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</si>
  <si>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</si>
  <si>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</si>
  <si>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</si>
  <si>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</si>
  <si>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</si>
  <si>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</si>
  <si>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</si>
  <si>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</si>
  <si>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</si>
  <si>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</si>
  <si>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</si>
  <si>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</si>
  <si>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</si>
  <si>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</si>
  <si>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</si>
  <si>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</si>
  <si>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</si>
  <si>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</si>
  <si>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</si>
  <si>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</si>
  <si>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</si>
  <si>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</si>
  <si>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</si>
  <si>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</si>
  <si>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</si>
  <si>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</si>
  <si>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</si>
  <si>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</si>
  <si>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</si>
  <si>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</si>
  <si>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</si>
  <si>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</si>
  <si>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</si>
  <si>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</si>
  <si>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</si>
  <si>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</si>
  <si>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</si>
  <si>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</si>
  <si>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</si>
  <si>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</si>
  <si>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</si>
  <si>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</si>
  <si>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</si>
  <si>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</si>
  <si>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</si>
  <si>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</si>
  <si>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</si>
  <si>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</si>
  <si>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</si>
  <si>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</si>
  <si>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</si>
  <si>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</si>
  <si>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</si>
  <si>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</si>
  <si>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</si>
  <si>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</si>
  <si>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</si>
  <si>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</si>
  <si>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</si>
  <si>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</si>
  <si>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</si>
  <si>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</si>
  <si>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</si>
  <si>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</si>
  <si>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</si>
  <si>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</si>
  <si>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</si>
  <si>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</si>
  <si>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</si>
  <si>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</si>
  <si>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</si>
  <si>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</si>
  <si>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</si>
  <si>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</si>
  <si>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</si>
  <si>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</si>
  <si>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</si>
  <si>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</si>
  <si>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</si>
  <si>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</si>
  <si>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</si>
  <si>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</si>
  <si>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</si>
  <si>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</si>
  <si>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</si>
  <si>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</si>
  <si>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</si>
  <si>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</si>
  <si>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</si>
  <si>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</si>
  <si>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</si>
  <si>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</si>
  <si>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</si>
  <si>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</si>
  <si>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</si>
  <si>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</si>
  <si>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</si>
  <si>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</si>
  <si>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</si>
  <si>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</si>
  <si>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</si>
  <si>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</si>
  <si>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</si>
  <si>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</si>
  <si>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</si>
  <si>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</si>
  <si>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</si>
  <si>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</si>
  <si>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</si>
  <si>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</si>
  <si>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</si>
  <si>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</si>
  <si>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</si>
  <si>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</si>
  <si>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</si>
  <si>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</si>
  <si>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</si>
  <si>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</si>
  <si>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</si>
  <si>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</si>
  <si>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</si>
  <si>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</si>
  <si>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</si>
  <si>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</si>
  <si>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</si>
  <si>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</si>
  <si>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</si>
  <si>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</si>
  <si>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</si>
  <si>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</si>
  <si>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</si>
  <si>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</si>
  <si>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</si>
  <si>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</si>
  <si>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</si>
  <si>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</si>
  <si>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</si>
  <si>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</si>
  <si>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</si>
  <si>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</si>
  <si>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</si>
  <si>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</si>
  <si>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</si>
  <si>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</si>
  <si>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</si>
  <si>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</si>
  <si>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</si>
  <si>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</si>
  <si>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</si>
  <si>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</si>
  <si>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</si>
  <si>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</si>
  <si>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</si>
  <si>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</si>
  <si>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</si>
  <si>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</si>
  <si>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</si>
  <si>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</si>
  <si>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</si>
  <si>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</si>
  <si>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</si>
  <si>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</si>
  <si>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</si>
  <si>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</si>
  <si>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</si>
  <si>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</si>
  <si>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</si>
  <si>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</si>
  <si>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</si>
  <si>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</si>
  <si>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</si>
  <si>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</si>
  <si>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</si>
  <si>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</si>
  <si>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</si>
  <si>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</si>
  <si>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</si>
  <si>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</si>
  <si>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</si>
  <si>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</si>
  <si>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</si>
  <si>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</si>
  <si>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</si>
  <si>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</si>
  <si>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</si>
  <si>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</si>
  <si>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</si>
  <si>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</si>
  <si>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</si>
  <si>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</si>
  <si>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</si>
  <si>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</si>
  <si>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</si>
  <si>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</si>
  <si>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</si>
  <si>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</si>
  <si>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</si>
  <si>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</si>
  <si>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</si>
  <si>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</si>
  <si>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</si>
  <si>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</si>
  <si>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</si>
  <si>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</si>
  <si>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</si>
  <si>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</si>
  <si>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</si>
  <si>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</si>
  <si>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</si>
  <si>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</si>
  <si>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</si>
  <si>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</si>
  <si>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</si>
  <si>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</si>
  <si>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</si>
  <si>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</si>
  <si>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</si>
  <si>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</si>
  <si>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</si>
  <si>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</si>
  <si>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</si>
  <si>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</si>
  <si>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</si>
  <si>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</si>
  <si>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</si>
  <si>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</si>
  <si>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</si>
  <si>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</si>
  <si>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</si>
  <si>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</si>
  <si>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</si>
  <si>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</si>
  <si>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</si>
  <si>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</si>
  <si>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</si>
  <si>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</si>
  <si>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</si>
  <si>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</si>
  <si>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</si>
  <si>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</si>
  <si>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</si>
  <si>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</si>
  <si>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</si>
  <si>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</si>
  <si>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</si>
  <si>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</si>
  <si>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</si>
  <si>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</si>
  <si>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</si>
  <si>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</si>
  <si>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</si>
  <si>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</si>
  <si>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</si>
  <si>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</si>
  <si>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</si>
  <si>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</si>
  <si>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</si>
  <si>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</si>
  <si>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</si>
  <si>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</si>
  <si>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</si>
  <si>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</si>
  <si>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</si>
  <si>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</si>
  <si>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</si>
  <si>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</si>
  <si>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</si>
  <si>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</si>
  <si>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</si>
  <si>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</si>
  <si>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</si>
  <si>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</si>
  <si>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</si>
  <si>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</si>
  <si>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</si>
  <si>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</si>
  <si>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</si>
  <si>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</si>
  <si>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</si>
  <si>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</si>
  <si>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</si>
  <si>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</si>
  <si>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</si>
  <si>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</si>
  <si>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</si>
  <si>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</si>
  <si>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</si>
  <si>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</si>
  <si>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</si>
  <si>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</si>
  <si>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</si>
  <si>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</si>
  <si>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</si>
  <si>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</si>
  <si>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</si>
  <si>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</si>
  <si>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</si>
  <si>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</si>
  <si>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</si>
  <si>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</si>
  <si>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</si>
  <si>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</si>
  <si>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</si>
  <si>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</si>
  <si>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</si>
  <si>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</si>
  <si>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</si>
  <si>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</si>
  <si>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</si>
  <si>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</si>
  <si>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</si>
  <si>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</si>
  <si>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</si>
  <si>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</si>
  <si>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</si>
  <si>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</si>
  <si>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</si>
  <si>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</si>
  <si>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</si>
  <si>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</si>
  <si>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</si>
  <si>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</si>
  <si>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</si>
  <si>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</si>
  <si>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</si>
  <si>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</si>
  <si>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</si>
  <si>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</si>
  <si>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</si>
  <si>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</si>
  <si>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</si>
  <si>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</si>
  <si>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</si>
  <si>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</si>
  <si>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</si>
  <si>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</si>
  <si>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</si>
  <si>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</si>
  <si>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</si>
  <si>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</si>
  <si>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</si>
  <si>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</si>
  <si>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</si>
  <si>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</si>
  <si>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</si>
  <si>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</si>
  <si>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</si>
  <si>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</si>
  <si>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</si>
  <si>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</si>
  <si>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</si>
  <si>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</si>
  <si>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</si>
  <si>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</si>
  <si>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</si>
  <si>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</si>
  <si>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</si>
  <si>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</si>
  <si>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</si>
  <si>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</si>
  <si>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</si>
  <si>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</si>
  <si>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</si>
  <si>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</si>
  <si>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</si>
  <si>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</si>
  <si>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</si>
  <si>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</si>
  <si>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</si>
  <si>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</si>
  <si>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</si>
  <si>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</si>
  <si>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</si>
  <si>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</si>
  <si>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</si>
  <si>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</si>
  <si>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</si>
  <si>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</si>
  <si>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</si>
  <si>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</si>
  <si>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</si>
  <si>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</si>
  <si>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</si>
  <si>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</si>
  <si>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</si>
  <si>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</si>
  <si>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</si>
  <si>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</si>
  <si>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</si>
  <si>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</si>
  <si>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</si>
  <si>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</si>
  <si>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</si>
  <si>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</si>
  <si>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</si>
  <si>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</si>
  <si>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</si>
  <si>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</si>
  <si>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</si>
  <si>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</si>
  <si>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</si>
  <si>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</si>
  <si>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</si>
  <si>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</si>
  <si>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</si>
  <si>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</si>
  <si>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</si>
  <si>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</si>
  <si>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</si>
  <si>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</si>
  <si>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</si>
  <si>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</si>
  <si>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</si>
  <si>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</si>
  <si>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</si>
  <si>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</si>
  <si>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</si>
  <si>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</si>
  <si>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</si>
  <si>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</si>
  <si>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</si>
  <si>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</si>
  <si>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</si>
  <si>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</si>
  <si>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</si>
  <si>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</si>
  <si>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</si>
  <si>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</si>
  <si>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</si>
  <si>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</si>
  <si>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</si>
  <si>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</si>
  <si>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</si>
  <si>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</si>
  <si>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</si>
  <si>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</si>
  <si>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</si>
  <si>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</si>
  <si>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</si>
  <si>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</si>
  <si>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</si>
  <si>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</si>
  <si>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</si>
  <si>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</si>
  <si>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</si>
  <si>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</si>
  <si>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</si>
  <si>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</si>
  <si>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</si>
  <si>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</si>
  <si>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</si>
  <si>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</si>
  <si>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</si>
  <si>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</si>
  <si>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</si>
  <si>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</si>
  <si>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</si>
  <si>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</si>
  <si>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</si>
  <si>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</si>
  <si>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</si>
  <si>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</si>
  <si>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</si>
  <si>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</si>
  <si>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</si>
  <si>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</si>
  <si>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</si>
  <si>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</si>
  <si>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</si>
  <si>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</si>
  <si>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</si>
  <si>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</si>
  <si>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</si>
  <si>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</si>
  <si>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</si>
  <si>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</si>
  <si>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</si>
  <si>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</si>
  <si>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</si>
  <si>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</si>
  <si>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</si>
  <si>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</si>
  <si>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</si>
  <si>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</si>
  <si>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</si>
  <si>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</si>
  <si>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</si>
  <si>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</si>
  <si>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</si>
  <si>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</si>
  <si>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</si>
  <si>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</si>
  <si>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</si>
  <si>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</si>
  <si>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</si>
  <si>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</si>
  <si>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</si>
  <si>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</si>
  <si>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</si>
  <si>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</si>
  <si>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</si>
  <si>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</si>
  <si>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</si>
  <si>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</si>
  <si>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</si>
  <si>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</si>
  <si>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</si>
  <si>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</si>
  <si>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</si>
  <si>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</si>
  <si>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</si>
  <si>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</si>
  <si>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</si>
  <si>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</si>
  <si>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</si>
  <si>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</si>
  <si>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</si>
  <si>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</si>
  <si>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</si>
  <si>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</si>
  <si>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</si>
  <si>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</si>
  <si>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</si>
  <si>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</si>
  <si>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</si>
  <si>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</si>
  <si>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</si>
  <si>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</si>
  <si>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</si>
  <si>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</si>
  <si>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</si>
  <si>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</si>
  <si>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</si>
  <si>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</si>
  <si>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</si>
  <si>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</si>
  <si>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</si>
  <si>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</si>
  <si>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</si>
  <si>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</si>
  <si>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</si>
  <si>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</si>
  <si>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</si>
  <si>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</si>
  <si>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</si>
  <si>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</si>
  <si>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</si>
  <si>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</si>
  <si>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</si>
  <si>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</si>
  <si>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</si>
  <si>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</si>
  <si>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</si>
  <si>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</si>
  <si>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</si>
  <si>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</si>
  <si>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</si>
  <si>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</si>
  <si>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</si>
  <si>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</si>
  <si>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</si>
  <si>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</si>
  <si>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</si>
  <si>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</si>
  <si>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</si>
  <si>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</si>
  <si>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</si>
  <si>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</si>
  <si>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</si>
  <si>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</si>
  <si>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</si>
  <si>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</si>
  <si>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</si>
  <si>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</si>
  <si>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</si>
  <si>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</si>
  <si>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</si>
  <si>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</si>
  <si>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</si>
  <si>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</si>
  <si>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</si>
  <si>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</si>
  <si>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</si>
  <si>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</si>
  <si>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</si>
  <si>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</si>
  <si>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</si>
  <si>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</si>
  <si>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</si>
  <si>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</si>
  <si>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</si>
  <si>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</si>
  <si>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</si>
  <si>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</si>
  <si>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</si>
  <si>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</si>
  <si>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</si>
  <si>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</si>
  <si>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</si>
  <si>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</si>
  <si>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</si>
  <si>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</si>
  <si>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</si>
  <si>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</si>
  <si>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</si>
  <si>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</si>
  <si>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</si>
  <si>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</si>
  <si>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</si>
  <si>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</si>
  <si>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</si>
  <si>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</si>
  <si>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</si>
  <si>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</si>
  <si>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</si>
  <si>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</si>
  <si>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</si>
  <si>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</si>
  <si>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</si>
  <si>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</si>
  <si>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</si>
  <si>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</si>
  <si>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</si>
  <si>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</si>
  <si>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</si>
  <si>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</si>
  <si>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</si>
  <si>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</si>
  <si>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</si>
  <si>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</si>
  <si>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</si>
  <si>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</si>
  <si>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</si>
  <si>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</si>
  <si>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</si>
  <si>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</si>
  <si>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</si>
  <si>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</si>
  <si>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</si>
  <si>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</si>
  <si>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</si>
  <si>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</si>
  <si>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</si>
  <si>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</si>
  <si>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</si>
  <si>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</si>
  <si>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</si>
  <si>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</si>
  <si>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</si>
  <si>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</si>
  <si>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</si>
  <si>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</si>
  <si>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</si>
  <si>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</si>
  <si>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</si>
  <si>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</si>
  <si>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</si>
  <si>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</si>
  <si>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</si>
  <si>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</si>
  <si>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</si>
  <si>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</si>
  <si>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</si>
  <si>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</si>
  <si>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</si>
  <si>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</si>
  <si>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</si>
  <si>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</si>
  <si>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</si>
  <si>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</si>
  <si>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</si>
  <si>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</si>
  <si>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</si>
  <si>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</si>
  <si>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</si>
  <si>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</si>
  <si>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</si>
  <si>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</si>
  <si>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</si>
  <si>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</si>
  <si>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</si>
  <si>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</si>
  <si>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</si>
  <si>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</si>
  <si>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</si>
  <si>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</si>
  <si>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</si>
  <si>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</si>
  <si>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</si>
  <si>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</si>
  <si>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</si>
  <si>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</si>
  <si>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</si>
  <si>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</si>
  <si>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</si>
  <si>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</si>
  <si>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</si>
  <si>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</si>
  <si>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</si>
  <si>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</si>
  <si>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</si>
  <si>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</si>
  <si>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</si>
  <si>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</si>
  <si>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</si>
  <si>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</si>
  <si>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</si>
  <si>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</si>
  <si>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</si>
  <si>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</si>
  <si>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</si>
  <si>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</si>
  <si>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</si>
  <si>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</si>
  <si>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</si>
  <si>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</si>
  <si>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</si>
  <si>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</si>
  <si>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</si>
  <si>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</si>
  <si>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</si>
  <si>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</si>
  <si>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</si>
  <si>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</si>
  <si>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</si>
  <si>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</si>
  <si>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</si>
  <si>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</si>
  <si>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</si>
  <si>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</si>
  <si>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</si>
  <si>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</si>
  <si>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</si>
  <si>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</si>
  <si>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</si>
  <si>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</si>
  <si>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</si>
  <si>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</si>
  <si>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</si>
  <si>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</si>
  <si>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</si>
  <si>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</si>
  <si>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</si>
  <si>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</si>
  <si>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</si>
  <si>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</si>
  <si>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</si>
  <si>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</si>
  <si>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</si>
  <si>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</si>
  <si>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</si>
  <si>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</si>
  <si>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</si>
  <si>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</si>
  <si>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</si>
  <si>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</si>
  <si>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</si>
  <si>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</si>
  <si>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</si>
  <si>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</si>
  <si>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</si>
  <si>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</si>
  <si>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</si>
  <si>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</si>
  <si>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</si>
  <si>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</si>
  <si>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</si>
  <si>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</si>
  <si>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</si>
  <si>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</si>
  <si>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</si>
  <si>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</si>
  <si>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</si>
  <si>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</si>
  <si>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</si>
  <si>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</si>
  <si>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</si>
  <si>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</si>
  <si>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</si>
  <si>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</si>
  <si>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</si>
  <si>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</si>
  <si>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</si>
  <si>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</si>
  <si>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</si>
  <si>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</si>
  <si>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</si>
  <si>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</si>
  <si>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</si>
  <si>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</si>
  <si>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</si>
  <si>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</si>
  <si>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</si>
  <si>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</si>
  <si>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</si>
  <si>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</si>
  <si>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</si>
  <si>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</si>
  <si>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</si>
  <si>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</si>
  <si>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</si>
  <si>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</si>
  <si>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</si>
  <si>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</si>
  <si>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</si>
  <si>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</si>
  <si>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</si>
  <si>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</si>
  <si>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</si>
  <si>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</si>
  <si>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</si>
  <si>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</si>
  <si>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</si>
  <si>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</si>
  <si>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</si>
  <si>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</si>
  <si>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</si>
  <si>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</si>
  <si>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</si>
  <si>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</si>
  <si>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</si>
  <si>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</si>
  <si>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</si>
  <si>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</si>
  <si>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</si>
  <si>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</si>
  <si>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</si>
  <si>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</si>
  <si>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</si>
  <si>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</si>
  <si>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</si>
  <si>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</si>
  <si>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</si>
  <si>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</si>
  <si>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</si>
  <si>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</si>
  <si>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</si>
  <si>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</si>
  <si>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</si>
  <si>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</si>
  <si>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</si>
  <si>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</si>
  <si>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</si>
  <si>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</si>
  <si>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</si>
  <si>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</si>
  <si>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</si>
  <si>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</si>
  <si>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</si>
  <si>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</si>
  <si>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</si>
  <si>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</si>
  <si>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</si>
  <si>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</si>
  <si>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</si>
  <si>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</si>
  <si>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</si>
  <si>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</si>
  <si>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</si>
  <si>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</si>
  <si>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</si>
  <si>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</si>
  <si>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</si>
  <si>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</si>
  <si>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</si>
  <si>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</si>
  <si>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</si>
  <si>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</si>
  <si>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</si>
  <si>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</si>
  <si>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</si>
  <si>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</si>
  <si>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</si>
  <si>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</si>
  <si>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</si>
  <si>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</si>
  <si>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</si>
  <si>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</si>
  <si>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</si>
  <si>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</si>
  <si>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</si>
  <si>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</si>
  <si>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</si>
  <si>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</si>
  <si>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</si>
  <si>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</si>
  <si>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</si>
  <si>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</si>
  <si>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</si>
  <si>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</si>
  <si>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</si>
  <si>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</si>
  <si>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</si>
  <si>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</si>
  <si>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</si>
  <si>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</si>
  <si>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</si>
  <si>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</si>
  <si>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</si>
  <si>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</si>
  <si>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</si>
  <si>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</si>
  <si>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</si>
  <si>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</si>
  <si>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</si>
  <si>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</si>
  <si>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</si>
  <si>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</si>
  <si>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</si>
  <si>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</si>
  <si>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</si>
  <si>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</si>
  <si>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</si>
  <si>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</si>
  <si>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</si>
  <si>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</si>
  <si>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</si>
  <si>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</si>
  <si>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</si>
  <si>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</si>
  <si>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</si>
  <si>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</si>
  <si>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</si>
  <si>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</si>
  <si>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</si>
  <si>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</si>
  <si>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</si>
  <si>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</si>
  <si>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</si>
  <si>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</si>
  <si>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</si>
  <si>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</si>
  <si>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</si>
  <si>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</si>
  <si>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</si>
  <si>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</si>
  <si>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</si>
  <si>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</si>
  <si>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</si>
  <si>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</si>
  <si>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</si>
  <si>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</si>
  <si>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</si>
  <si>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</si>
  <si>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</si>
  <si>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</si>
  <si>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</si>
  <si>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</si>
  <si>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</si>
  <si>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</si>
  <si>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</si>
  <si>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</si>
  <si>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</si>
  <si>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</si>
  <si>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</si>
  <si>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</si>
  <si>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</si>
  <si>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</si>
  <si>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</si>
  <si>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</si>
  <si>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</si>
  <si>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</si>
  <si>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</si>
  <si>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</si>
  <si>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</si>
  <si>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</si>
  <si>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</si>
  <si>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</si>
  <si>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</si>
  <si>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</si>
  <si>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</si>
  <si>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</si>
  <si>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</si>
  <si>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</si>
  <si>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</si>
  <si>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</si>
  <si>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</si>
  <si>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</si>
  <si>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</si>
  <si>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</si>
  <si>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</si>
  <si>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</si>
  <si>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</si>
  <si>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</si>
  <si>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</si>
  <si>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</si>
  <si>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</si>
  <si>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</si>
  <si>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</si>
  <si>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</si>
  <si>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</si>
  <si>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</si>
  <si>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</si>
  <si>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</si>
  <si>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</si>
  <si>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</si>
  <si>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</si>
  <si>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</si>
  <si>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</si>
  <si>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</si>
  <si>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</si>
  <si>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</si>
  <si>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</si>
  <si>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</si>
  <si>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</si>
  <si>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</si>
  <si>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</si>
  <si>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</si>
  <si>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</si>
  <si>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</si>
  <si>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</si>
  <si>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</si>
  <si>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</si>
  <si>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</si>
  <si>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</si>
  <si>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</si>
  <si>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</si>
  <si>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</si>
  <si>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</si>
  <si>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</si>
  <si>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</si>
  <si>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</si>
  <si>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</si>
  <si>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</si>
  <si>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</si>
  <si>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</si>
  <si>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</si>
  <si>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</si>
  <si>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</si>
  <si>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</si>
  <si>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</si>
  <si>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</si>
  <si>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</si>
  <si>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</si>
  <si>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</si>
  <si>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</si>
  <si>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</si>
  <si>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</si>
  <si>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</si>
  <si>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</si>
  <si>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</si>
  <si>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</si>
  <si>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</si>
  <si>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</si>
  <si>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</si>
  <si>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</si>
  <si>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</si>
  <si>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</si>
  <si>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</si>
  <si>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</si>
  <si>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</si>
  <si>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</si>
  <si>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</si>
  <si>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</si>
  <si>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</si>
  <si>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</si>
  <si>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</si>
  <si>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</si>
  <si>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</si>
  <si>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</si>
  <si>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</si>
  <si>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</si>
  <si>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</si>
  <si>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</si>
  <si>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</si>
  <si>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</si>
  <si>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</si>
  <si>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</si>
  <si>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</si>
  <si>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</si>
  <si>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</si>
  <si>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</si>
  <si>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</si>
  <si>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</si>
  <si>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</si>
  <si>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</si>
  <si>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</si>
  <si>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</si>
  <si>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</si>
  <si>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</si>
  <si>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</si>
  <si>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</si>
  <si>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</si>
  <si>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</si>
  <si>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</si>
  <si>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</si>
  <si>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</si>
  <si>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</si>
  <si>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</si>
  <si>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</si>
  <si>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</si>
  <si>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</si>
  <si>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</si>
  <si>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</si>
  <si>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</si>
  <si>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</si>
  <si>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</si>
  <si>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</si>
  <si>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</si>
  <si>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</si>
  <si>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</si>
  <si>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</si>
  <si>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</si>
  <si>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</si>
  <si>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</si>
  <si>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</si>
  <si>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</si>
  <si>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</si>
  <si>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</si>
  <si>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</si>
  <si>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</si>
  <si>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</si>
  <si>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</si>
  <si>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</si>
  <si>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</si>
  <si>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</si>
  <si>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</si>
  <si>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</si>
  <si>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</si>
  <si>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</si>
  <si>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</si>
  <si>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</si>
  <si>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</si>
  <si>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</si>
  <si>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</si>
  <si>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</si>
  <si>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</si>
  <si>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</si>
  <si>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</si>
  <si>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</si>
  <si>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</si>
  <si>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</si>
  <si>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</si>
  <si>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</si>
  <si>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</si>
  <si>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</si>
  <si>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</si>
  <si>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</si>
  <si>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</si>
  <si>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</si>
  <si>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</si>
  <si>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</si>
  <si>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</si>
  <si>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</si>
  <si>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</si>
  <si>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</si>
  <si>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</si>
  <si>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</si>
  <si>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</si>
  <si>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</si>
  <si>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</si>
  <si>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</si>
  <si>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</si>
  <si>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</si>
  <si>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</si>
  <si>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</si>
  <si>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</si>
  <si>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</si>
  <si>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</si>
  <si>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</si>
  <si>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</si>
  <si>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</si>
  <si>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</si>
  <si>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</si>
  <si>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</si>
  <si>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</si>
  <si>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</si>
  <si>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</si>
  <si>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</si>
  <si>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</si>
  <si>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</si>
  <si>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</si>
  <si>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</si>
  <si>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</si>
  <si>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</si>
  <si>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</si>
  <si>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</si>
  <si>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</si>
  <si>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</si>
  <si>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</si>
  <si>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</si>
  <si>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</si>
  <si>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</si>
  <si>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</si>
  <si>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</si>
  <si>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</si>
  <si>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</si>
  <si>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</si>
  <si>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</si>
  <si>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</si>
  <si>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</si>
  <si>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</si>
  <si>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</si>
  <si>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</si>
  <si>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</si>
  <si>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</si>
  <si>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</si>
  <si>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</si>
  <si>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</si>
  <si>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</si>
  <si>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</si>
  <si>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</si>
  <si>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</si>
  <si>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</si>
  <si>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</si>
  <si>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</si>
  <si>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</si>
  <si>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</si>
  <si>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</si>
  <si>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</si>
  <si>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</si>
  <si>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</si>
  <si>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</si>
  <si>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</si>
  <si>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</si>
  <si>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</si>
  <si>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</si>
  <si>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</si>
  <si>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</si>
  <si>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</si>
  <si>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</si>
  <si>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</si>
  <si>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</si>
  <si>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</si>
  <si>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</si>
  <si>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</si>
  <si>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</si>
  <si>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</si>
  <si>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</si>
  <si>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</si>
  <si>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</si>
  <si>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</si>
  <si>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</si>
  <si>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</si>
  <si>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</si>
  <si>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</si>
  <si>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</si>
  <si>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</si>
  <si>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</si>
  <si>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</si>
  <si>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</si>
  <si>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</si>
  <si>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</si>
  <si>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</si>
  <si>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</si>
  <si>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</si>
  <si>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</si>
  <si>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</si>
  <si>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</si>
  <si>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</si>
  <si>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</si>
  <si>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</si>
  <si>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</si>
  <si>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</si>
  <si>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</si>
  <si>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</si>
  <si>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</si>
  <si>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</si>
  <si>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</si>
  <si>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</si>
  <si>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</si>
  <si>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</si>
  <si>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</si>
  <si>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</si>
  <si>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</si>
  <si>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</si>
  <si>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</si>
  <si>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</si>
  <si>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</si>
  <si>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</si>
  <si>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</si>
  <si>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</si>
  <si>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</si>
  <si>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</si>
  <si>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</si>
  <si>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</si>
  <si>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</si>
  <si>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</si>
  <si>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</si>
  <si>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</si>
  <si>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</si>
  <si>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</si>
  <si>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</si>
  <si>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</si>
  <si>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</si>
  <si>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</si>
  <si>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</si>
  <si>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</si>
  <si>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</si>
  <si>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</si>
  <si>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</si>
  <si>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</si>
  <si>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</si>
  <si>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</si>
  <si>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</si>
  <si>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</si>
  <si>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</si>
  <si>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</si>
  <si>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</si>
  <si>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</si>
  <si>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</si>
  <si>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</si>
  <si>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</si>
  <si>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</si>
  <si>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</si>
  <si>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</si>
  <si>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</si>
  <si>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</si>
  <si>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</si>
  <si>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</si>
  <si>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</si>
  <si>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</si>
  <si>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</si>
  <si>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</si>
  <si>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</si>
  <si>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</si>
  <si>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</si>
  <si>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</si>
  <si>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</si>
  <si>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</si>
  <si>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</si>
  <si>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</si>
  <si>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</si>
  <si>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</si>
  <si>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</si>
  <si>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</si>
  <si>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</si>
  <si>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</si>
  <si>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</si>
  <si>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</si>
  <si>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</si>
  <si>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</si>
  <si>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</si>
  <si>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</si>
  <si>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</si>
  <si>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</si>
  <si>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</si>
  <si>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</si>
  <si>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</si>
  <si>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</si>
  <si>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</si>
  <si>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</si>
  <si>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</si>
  <si>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</si>
  <si>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</si>
  <si>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</si>
  <si>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</si>
  <si>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</si>
  <si>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</si>
  <si>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</si>
  <si>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</si>
  <si>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</si>
  <si>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</si>
  <si>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</si>
  <si>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</si>
  <si>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</si>
  <si>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</si>
  <si>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</si>
  <si>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</si>
  <si>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</si>
  <si>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</si>
  <si>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</si>
  <si>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</si>
  <si>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</si>
  <si>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</si>
  <si>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</si>
  <si>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</si>
  <si>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</si>
  <si>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</si>
  <si>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</si>
  <si>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</si>
  <si>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</si>
  <si>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</si>
  <si>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</si>
  <si>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</si>
  <si>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</si>
  <si>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</si>
  <si>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</si>
  <si>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</si>
  <si>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</si>
  <si>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</si>
  <si>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</si>
  <si>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</si>
  <si>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</si>
  <si>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</si>
  <si>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</si>
  <si>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</si>
  <si>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</si>
  <si>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</si>
  <si>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</si>
  <si>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</si>
  <si>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</si>
  <si>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</si>
  <si>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</si>
  <si>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</si>
  <si>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</si>
  <si>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</si>
  <si>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</si>
  <si>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</si>
  <si>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</si>
  <si>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</si>
  <si>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</si>
  <si>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</si>
  <si>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</si>
  <si>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</si>
  <si>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</si>
  <si>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</si>
  <si>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</si>
  <si>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</si>
  <si>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</si>
  <si>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</si>
  <si>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</si>
  <si>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</si>
  <si>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</si>
  <si>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</si>
  <si>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</si>
  <si>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</si>
  <si>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</si>
  <si>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</si>
  <si>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</si>
  <si>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</si>
  <si>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</si>
  <si>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</si>
  <si>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</si>
  <si>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</si>
  <si>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</si>
  <si>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</si>
  <si>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</si>
  <si>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</si>
  <si>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</si>
  <si>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</si>
  <si>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</si>
  <si>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</si>
  <si>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</si>
  <si>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</si>
  <si>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</si>
  <si>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</si>
  <si>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</si>
  <si>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</si>
  <si>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</si>
  <si>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</si>
  <si>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</si>
  <si>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</si>
  <si>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</si>
  <si>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</si>
  <si>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</si>
  <si>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</si>
  <si>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</si>
  <si>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</si>
  <si>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</si>
  <si>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</si>
  <si>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</si>
  <si>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</si>
  <si>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</si>
  <si>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</si>
  <si>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</si>
  <si>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</si>
  <si>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</si>
  <si>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</si>
  <si>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</si>
  <si>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</si>
  <si>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</si>
  <si>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</si>
  <si>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</si>
  <si>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</si>
  <si>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</si>
  <si>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</si>
  <si>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</si>
  <si>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</si>
  <si>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</si>
  <si>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</si>
  <si>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</si>
  <si>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</si>
  <si>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</si>
  <si>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</si>
  <si>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</si>
  <si>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</si>
  <si>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</si>
  <si>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</si>
  <si>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</si>
  <si>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</si>
  <si>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</si>
  <si>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</si>
  <si>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</si>
  <si>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</si>
  <si>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</si>
  <si>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</si>
  <si>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</si>
  <si>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</si>
  <si>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</si>
  <si>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</si>
  <si>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</si>
  <si>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</si>
  <si>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</si>
  <si>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</si>
  <si>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</si>
  <si>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</si>
  <si>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</si>
  <si>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</si>
  <si>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</si>
  <si>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</si>
  <si>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</si>
  <si>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</si>
  <si>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</si>
  <si>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</si>
  <si>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</si>
  <si>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</si>
  <si>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</si>
  <si>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</si>
  <si>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</si>
  <si>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</si>
  <si>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</si>
  <si>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</si>
  <si>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</si>
  <si>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</si>
  <si>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</si>
  <si>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</si>
  <si>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</si>
  <si>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</si>
  <si>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</si>
  <si>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</si>
  <si>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</si>
  <si>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</si>
  <si>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</si>
  <si>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</si>
  <si>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</si>
  <si>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</si>
  <si>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</si>
  <si>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</si>
  <si>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</si>
  <si>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</si>
  <si>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</si>
  <si>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</si>
  <si>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</si>
  <si>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</si>
  <si>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</si>
  <si>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</si>
  <si>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</si>
  <si>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</si>
  <si>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</si>
  <si>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</si>
  <si>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</si>
  <si>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</si>
  <si>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</si>
  <si>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</si>
  <si>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</si>
  <si>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</si>
  <si>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</si>
  <si>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</si>
  <si>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</si>
  <si>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</si>
  <si>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</si>
  <si>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</si>
  <si>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</si>
  <si>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</si>
  <si>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</si>
  <si>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</si>
  <si>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</si>
  <si>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</si>
  <si>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</si>
  <si>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</si>
  <si>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</si>
  <si>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</si>
  <si>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</si>
  <si>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</si>
  <si>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</si>
  <si>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</si>
  <si>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</si>
  <si>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</si>
  <si>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</si>
  <si>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</si>
  <si>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</si>
  <si>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</si>
  <si>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</si>
  <si>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</si>
  <si>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</si>
  <si>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</si>
  <si>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</si>
  <si>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</si>
  <si>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</si>
  <si>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</si>
  <si>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</si>
  <si>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</si>
  <si>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</si>
  <si>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</si>
  <si>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</si>
  <si>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</si>
  <si>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</si>
  <si>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</si>
  <si>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</si>
  <si>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</si>
  <si>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</si>
  <si>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</si>
  <si>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</si>
  <si>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</si>
  <si>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</si>
  <si>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</si>
  <si>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</si>
  <si>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</si>
  <si>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</si>
  <si>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</si>
  <si>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</si>
  <si>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</si>
  <si>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</si>
  <si>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</si>
  <si>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</si>
  <si>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</si>
  <si>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</si>
  <si>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</si>
  <si>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</si>
  <si>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</si>
  <si>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</si>
  <si>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</si>
  <si>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</si>
  <si>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</si>
  <si>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</si>
  <si>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</si>
  <si>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</si>
  <si>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</si>
  <si>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</si>
  <si>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</si>
  <si>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</si>
  <si>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</si>
  <si>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</si>
  <si>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</si>
  <si>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</si>
  <si>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</si>
  <si>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</si>
  <si>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</si>
  <si>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</si>
  <si>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</si>
  <si>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</si>
  <si>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</si>
  <si>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</si>
  <si>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</si>
  <si>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</si>
  <si>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</si>
  <si>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</si>
  <si>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</si>
  <si>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</si>
  <si>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</si>
  <si>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</si>
  <si>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</si>
  <si>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</si>
  <si>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</si>
  <si>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</si>
  <si>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</si>
  <si>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</si>
  <si>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</si>
  <si>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</si>
  <si>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</si>
  <si>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</si>
  <si>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</si>
  <si>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</si>
  <si>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</si>
  <si>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</si>
  <si>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</si>
  <si>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</si>
  <si>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</si>
  <si>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</si>
  <si>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</si>
  <si>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</si>
  <si>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</si>
  <si>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</si>
  <si>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</si>
  <si>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</si>
  <si>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</si>
  <si>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</si>
  <si>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</si>
  <si>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</si>
  <si>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</si>
  <si>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</si>
  <si>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</si>
  <si>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</si>
  <si>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</si>
  <si>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</si>
  <si>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</si>
  <si>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</si>
  <si>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</si>
  <si>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</si>
  <si>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</si>
  <si>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</si>
  <si>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</si>
  <si>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</si>
  <si>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</si>
  <si>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</si>
  <si>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</si>
  <si>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</si>
  <si>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</si>
  <si>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</si>
  <si>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</si>
  <si>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</si>
  <si>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</si>
  <si>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</si>
  <si>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</si>
  <si>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</si>
  <si>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</si>
  <si>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</si>
  <si>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</si>
  <si>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</si>
  <si>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</si>
  <si>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</si>
  <si>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</si>
  <si>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</si>
  <si>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</si>
  <si>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</si>
  <si>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</si>
  <si>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</si>
  <si>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</si>
  <si>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</si>
  <si>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</si>
  <si>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</si>
  <si>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</si>
  <si>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</si>
  <si>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</si>
  <si>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</si>
  <si>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</si>
  <si>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</si>
  <si>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</si>
  <si>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</si>
  <si>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</si>
  <si>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</si>
  <si>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</si>
  <si>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</si>
  <si>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</si>
  <si>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</si>
  <si>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</si>
  <si>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</si>
  <si>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</si>
  <si>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</si>
  <si>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</si>
  <si>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</si>
  <si>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</si>
  <si>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</si>
  <si>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</si>
  <si>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</si>
  <si>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</si>
  <si>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</si>
  <si>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</si>
  <si>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</si>
  <si>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</si>
  <si>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</si>
  <si>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</si>
  <si>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</si>
  <si>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</si>
  <si>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</si>
  <si>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</si>
  <si>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</si>
  <si>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</si>
  <si>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</si>
  <si>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</si>
  <si>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</si>
  <si>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</si>
  <si>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</si>
  <si>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</si>
  <si>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</si>
  <si>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</si>
  <si>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</si>
  <si>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</si>
  <si>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</si>
  <si>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</si>
  <si>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</si>
  <si>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</si>
  <si>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</si>
  <si>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</si>
  <si>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</si>
  <si>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</si>
  <si>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</si>
  <si>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</si>
  <si>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</si>
  <si>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</si>
  <si>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</si>
  <si>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</si>
  <si>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</si>
  <si>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</si>
  <si>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</si>
  <si>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</si>
  <si>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</si>
  <si>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</si>
  <si>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</si>
  <si>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</si>
  <si>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</si>
  <si>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</si>
  <si>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</si>
  <si>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</si>
  <si>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</si>
  <si>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</si>
  <si>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</si>
  <si>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</si>
  <si>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</si>
  <si>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</si>
  <si>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</si>
  <si>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</si>
  <si>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</si>
  <si>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</si>
  <si>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</si>
  <si>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</si>
  <si>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</si>
  <si>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</si>
  <si>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</si>
  <si>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</si>
  <si>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</si>
  <si>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</si>
  <si>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</si>
  <si>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</si>
  <si>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</si>
  <si>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</si>
  <si>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</si>
  <si>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</si>
  <si>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</si>
  <si>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</si>
  <si>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</si>
  <si>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</si>
  <si>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</si>
  <si>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</si>
  <si>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</si>
  <si>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</si>
  <si>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</si>
  <si>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</si>
  <si>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</si>
  <si>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</si>
  <si>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</si>
  <si>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</si>
  <si>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</si>
  <si>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</si>
  <si>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</si>
  <si>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</si>
  <si>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</si>
  <si>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</si>
  <si>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</si>
  <si>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</si>
  <si>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</si>
  <si>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</si>
  <si>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</si>
  <si>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</si>
  <si>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</si>
  <si>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</si>
  <si>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</si>
  <si>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</si>
  <si>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</si>
  <si>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</si>
  <si>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</si>
  <si>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</si>
  <si>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</si>
  <si>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</si>
  <si>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</si>
  <si>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</si>
  <si>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</si>
  <si>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</si>
  <si>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</si>
  <si>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</si>
  <si>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</si>
  <si>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</si>
  <si>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</si>
  <si>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</si>
  <si>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</si>
  <si>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</si>
  <si>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</si>
  <si>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</si>
  <si>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</si>
  <si>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</si>
  <si>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</si>
  <si>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</si>
  <si>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</si>
  <si>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</si>
  <si>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</si>
  <si>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</si>
  <si>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</si>
  <si>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</si>
  <si>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</si>
  <si>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</si>
  <si>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</si>
  <si>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</si>
  <si>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</si>
  <si>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</si>
  <si>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</si>
  <si>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</si>
  <si>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</si>
  <si>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</si>
  <si>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</si>
  <si>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</si>
  <si>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</si>
  <si>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</si>
  <si>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</si>
  <si>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</si>
  <si>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</si>
  <si>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</si>
  <si>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</si>
  <si>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</si>
  <si>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</si>
  <si>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</si>
  <si>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</si>
  <si>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</si>
  <si>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</si>
  <si>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</si>
  <si>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</si>
  <si>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</si>
  <si>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</si>
  <si>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</si>
  <si>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</si>
  <si>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</si>
  <si>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</si>
  <si>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</si>
  <si>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</si>
  <si>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</si>
  <si>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</si>
  <si>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</si>
  <si>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</si>
  <si>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</si>
  <si>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</si>
  <si>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</si>
  <si>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</si>
  <si>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</si>
  <si>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</si>
  <si>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</si>
  <si>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</si>
  <si>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</si>
  <si>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</si>
  <si>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</si>
  <si>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</si>
  <si>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</si>
  <si>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</si>
  <si>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</si>
  <si>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</si>
  <si>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</si>
  <si>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</si>
  <si>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</si>
  <si>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</si>
  <si>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</si>
  <si>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</si>
  <si>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</si>
  <si>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</si>
  <si>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</si>
  <si>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</si>
  <si>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</si>
  <si>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</si>
  <si>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</si>
  <si>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</si>
  <si>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</si>
  <si>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</si>
  <si>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</si>
  <si>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</si>
  <si>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</si>
  <si>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</si>
  <si>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</si>
  <si>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</si>
  <si>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</si>
  <si>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m3</t>
  </si>
  <si>
    <t>Kg</t>
  </si>
  <si>
    <t>Madera alamo</t>
  </si>
  <si>
    <t>Clavos</t>
  </si>
  <si>
    <t>Pulg</t>
  </si>
  <si>
    <t>DEPARTAMENTO DE HIDRAULICA</t>
  </si>
  <si>
    <t>CONCURSO N°:</t>
  </si>
  <si>
    <t>SR. DIRECTOR GENERAL DEL DEPARTAMENTO DE HIDRAULICA</t>
  </si>
  <si>
    <t>EJECUCION DE PERFORACION - SISTEMA DE RIEGO</t>
  </si>
  <si>
    <t>DEPARTAMENTO CHIMBAS</t>
  </si>
  <si>
    <t>506-003103-2019</t>
  </si>
  <si>
    <t>Limpieza, replanteo y nivelacion</t>
  </si>
  <si>
    <t>Perfilaje, limpieza, ensayos y desarrollo</t>
  </si>
  <si>
    <t>Provision e instalacion filtros 12"</t>
  </si>
  <si>
    <t>Engravado para proteccion de filtros</t>
  </si>
  <si>
    <t>Provision en instalacion cañeria 12"</t>
  </si>
  <si>
    <t>Cementado para proteccion perforacion</t>
  </si>
  <si>
    <t>Limpieza final</t>
  </si>
  <si>
    <t>INSTALACIONES ELECTROMECANICAS</t>
  </si>
  <si>
    <t>PERFORACION PROPIAMENTE DICHA</t>
  </si>
  <si>
    <t>Provision en instalacion electromba de 50HP</t>
  </si>
  <si>
    <t>Provsion e instalacion cañeria impulsion 6"</t>
  </si>
  <si>
    <t>Instalacion tablero de potencia y control de electrobomba sumergible con control de velocidad, sistema de iluminacion monitoreo remoto de presion y caudal</t>
  </si>
  <si>
    <t>Construccion caseta para tablero y aprobaciones</t>
  </si>
  <si>
    <t>CAMARA SUBTERRANEA PARA PERFORACION</t>
  </si>
  <si>
    <t>Excavacion de zanja para camara subterranea</t>
  </si>
  <si>
    <t>Construccion de losa de fundacion H°A° H17</t>
  </si>
  <si>
    <t>Muros de H°A° H17</t>
  </si>
  <si>
    <t>Tapa hermetica de ingreso</t>
  </si>
  <si>
    <t>Construccion de losa superior H°A° H17</t>
  </si>
  <si>
    <t>Limpieza Final</t>
  </si>
  <si>
    <t>CUENCO DE VERTIDO</t>
  </si>
  <si>
    <t>Estructura de Hormigon Armado H17</t>
  </si>
  <si>
    <t>Hormigon de limpieza</t>
  </si>
  <si>
    <t>Excavacion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</si>
</sst>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8">
    <numFmt numFmtId="5" formatCode="&quot;$&quot;\ #,##0;&quot;$&quot;\ \-#,##0"/>
    <numFmt numFmtId="7" formatCode="&quot;$&quot;\ #,##0.00;&quot;$&quot;\ \-#,##0.00"/>
    <numFmt numFmtId="42" formatCode="_ &quot;$&quot;\ * #,##0_ ;_ &quot;$&quot;\ * \-#,##0_ ;_ &quot;$&quot;\ * &quot;-&quot;_ ;_ @_ "/>
    <numFmt numFmtId="44" formatCode="_ &quot;$&quot;\ * #,##0.00_ ;_ &quot;$&quot;\ * \-#,##0.00_ ;_ &quot;$&quot;\ * &quot;-&quot;??_ ;_ @_ "/>
    <numFmt numFmtId="43" formatCode="_ * #,##0.00_ ;_ * \-#,##0.00_ ;_ * &quot;-&quot;??_ ;_ @_ "/>
    <numFmt numFmtId="164" formatCode="_-* #,##0\ &quot;$&quot;_-;\-* #,##0\ &quot;$&quot;_-;_-* &quot;-&quot;\ &quot;$&quot;_-;_-@_-"/>
    <numFmt numFmtId="165" formatCode="_-* #,##0.00_-;\-* #,##0.00_-;_-* &quot;-&quot;??_-;_-@_-"/>
    <numFmt numFmtId="166" formatCode="_-&quot;$&quot;\ * #,##0.00_-;\-&quot;$&quot;\ * #,##0.00_-;_-&quot;$&quot;\ * &quot;-&quot;??_-;_-@_-"/>
    <numFmt numFmtId="167" formatCode="_-* #,##0.00\ &quot;€&quot;_-;\-* #,##0.00\ &quot;€&quot;_-;_-* &quot;-&quot;??\ &quot;€&quot;_-;_-@_-"/>
    <numFmt numFmtId="168" formatCode="_-* #,##0.00\ _€_-;\-* #,##0.00\ _€_-;_-* &quot;-&quot;??\ _€_-;_-@_-"/>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00\ &quot;HP&quot;"/>
    <numFmt numFmtId="231" formatCode="_(&quot;$&quot;* #,##0_);_(&quot;$&quot;* \(#,##0\);_(&quot;$&quot;* &quot;-&quot;_);_(@_)"/>
    <numFmt numFmtId="232" formatCode="_(&quot;$&quot;* #,##0.00_);_(&quot;$&quot;* \(#,##0.00\);_(&quot;$&quot;* &quot;-&quot;??_);_(@_)"/>
    <numFmt numFmtId="233" formatCode="_-* #,##0.00\ &quot;pta&quot;_-;\-* #,##0.00\ &quot;pta&quot;_-;_-* &quot;-&quot;??\ &quot;pta&quot;_-;_-@_-"/>
    <numFmt numFmtId="234" formatCode="_-* #,##0.00\ _p_t_a_-;\-* #,##0.00\ _p_t_a_-;_-* &quot;-&quot;??\ _p_t_a_-;_-@_-"/>
    <numFmt numFmtId="235" formatCode="_ [$€]\ * #,##0.00_ ;_ [$€]\ * \-#,##0.00_ ;_ [$€]\ * &quot;-&quot;??_ ;_ @_ "/>
    <numFmt numFmtId="236" formatCode="&quot;$&quot;#,#00"/>
    <numFmt numFmtId="237" formatCode="_-* #.##0.00\ &quot;pta&quot;_-;\-* #.##0.00\ &quot;pta&quot;_-;_-* &quot;-&quot;??\ &quot;pta&quot;_-;_-@_-"/>
    <numFmt numFmtId="238" formatCode="_-* #,##0\ &quot;pta&quot;_-;\-* #,##0\ &quot;pta&quot;_-;_-* &quot;-&quot;\ &quot;pta&quot;_-;_-@_-"/>
    <numFmt numFmtId="239" formatCode="_-* #,##0.00\ [$€]_-;\-* #,##0.00\ [$€]_-;_-* &quot;-&quot;??\ [$€]_-;_-@_-"/>
    <numFmt numFmtId="240" formatCode="_(&quot;Ch$&quot;* #,##0.00_);_(&quot;Ch$&quot;* \(#,##0.00\);_(&quot;Ch$&quot;* &quot;-&quot;??_);_(@_)"/>
    <numFmt numFmtId="241" formatCode="m\o\n\th\ d\,\ \y\y\y\y"/>
    <numFmt numFmtId="242" formatCode="General_)"/>
    <numFmt numFmtId="243" formatCode="&quot;$&quot;#,##0\ ;\(&quot;$&quot;#,##0\)"/>
    <numFmt numFmtId="244" formatCode="&quot;$&quot;\ #,##0_);\(&quot;$&quot;\ #,##0\)"/>
    <numFmt numFmtId="245" formatCode="_-* #,##0\ _$_-;\-* #,##0\ _$_-;_-* &quot;-&quot;\ _$_-;_-@_-"/>
    <numFmt numFmtId="246" formatCode="&quot; &quot;#,##0.00&quot; &quot;;&quot; -&quot;#,##0.00&quot; &quot;;&quot; -&quot;00&quot; &quot;;&quot; &quot;@&quot; &quot;"/>
  </numFmts>
  <fonts count="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Times New Roman"/>
      <family val="1"/>
    </font>
    <font>
      <sz val="11"/>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2"/>
      <name val="Helv"/>
    </font>
    <font>
      <sz val="12"/>
      <color indexed="8"/>
      <name val="Arial"/>
      <family val="2"/>
    </font>
    <font>
      <sz val="14"/>
      <color indexed="8"/>
      <name val="Arial"/>
      <family val="2"/>
    </font>
    <font>
      <sz val="1"/>
      <color indexed="9"/>
      <name val="Helv"/>
    </font>
    <font>
      <b/>
      <sz val="18"/>
      <color indexed="24"/>
      <name val="Arial"/>
      <family val="2"/>
    </font>
    <font>
      <b/>
      <sz val="12"/>
      <color indexed="24"/>
      <name val="Arial"/>
      <family val="2"/>
    </font>
    <font>
      <sz val="10"/>
      <name val="Geneva"/>
    </font>
    <font>
      <sz val="10"/>
      <name val="MS Sans Serif"/>
      <family val="2"/>
    </font>
    <font>
      <sz val="8"/>
      <name val="CG Times (E1)"/>
    </font>
    <font>
      <sz val="10"/>
      <name val="Helv"/>
    </font>
    <font>
      <sz val="8"/>
      <name val="Times New Roman"/>
      <family val="1"/>
    </font>
    <font>
      <b/>
      <sz val="10"/>
      <name val="Times New Roman"/>
      <family val="1"/>
    </font>
    <font>
      <sz val="11"/>
      <name val="Helv"/>
    </font>
    <font>
      <sz val="10"/>
      <name val="Verdana"/>
      <family val="2"/>
    </font>
    <font>
      <sz val="10"/>
      <color indexed="24"/>
      <name val="Arial"/>
      <family val="2"/>
    </font>
    <font>
      <u/>
      <sz val="10"/>
      <color indexed="12"/>
      <name val="Arial"/>
      <family val="2"/>
    </font>
    <font>
      <shadow/>
      <sz val="8"/>
      <color indexed="12"/>
      <name val="Times New Roman"/>
      <family val="1"/>
    </font>
    <font>
      <sz val="8"/>
      <name val="Helv"/>
    </font>
    <font>
      <sz val="8"/>
      <name val="Myriad Condensed Web"/>
      <family val="2"/>
    </font>
    <font>
      <sz val="10"/>
      <color indexed="8"/>
      <name val="Times New Roman"/>
      <family val="1"/>
    </font>
    <font>
      <b/>
      <sz val="12"/>
      <name val="Univers (WN)"/>
    </font>
    <font>
      <sz val="10"/>
      <name val="Univers (E1)"/>
    </font>
    <font>
      <sz val="10"/>
      <name val="Arial Narrow"/>
      <family val="2"/>
    </font>
  </fonts>
  <fills count="3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1"/>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9"/>
      </patternFill>
    </fill>
    <fill>
      <patternFill patternType="solid">
        <fgColor indexed="26"/>
      </patternFill>
    </fill>
    <fill>
      <patternFill patternType="solid">
        <fgColor indexed="43"/>
      </patternFill>
    </fill>
    <fill>
      <patternFill patternType="solid">
        <fgColor indexed="26"/>
        <bgColor indexed="64"/>
      </patternFill>
    </fill>
    <fill>
      <patternFill patternType="solid">
        <fgColor indexed="9"/>
        <bgColor indexed="9"/>
      </patternFill>
    </fill>
    <fill>
      <patternFill patternType="gray0625"/>
    </fill>
  </fills>
  <borders count="73">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434">
    <xf numFmtId="0" fontId="0" fillId="0" borderId="0"/>
    <xf numFmtId="9" fontId="7" fillId="0" borderId="0" applyFont="0" applyFill="0" applyBorder="0" applyAlignment="0" applyProtection="0"/>
    <xf numFmtId="169"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5"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68"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9" fontId="8" fillId="0" borderId="0" applyFont="0" applyFill="0" applyBorder="0" applyAlignment="0" applyProtection="0"/>
    <xf numFmtId="169"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9" fontId="3" fillId="0" borderId="0" applyFont="0" applyFill="0" applyBorder="0" applyAlignment="0" applyProtection="0"/>
    <xf numFmtId="186"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0" fontId="1" fillId="0" borderId="0"/>
    <xf numFmtId="0" fontId="52" fillId="0" borderId="0" applyNumberFormat="0" applyFill="0" applyBorder="0" applyAlignment="0" applyProtection="0"/>
    <xf numFmtId="0" fontId="52" fillId="0" borderId="0" applyNumberFormat="0" applyFill="0" applyBorder="0" applyAlignment="0" applyProtection="0"/>
    <xf numFmtId="0" fontId="8" fillId="0" borderId="0" applyNumberFormat="0" applyFill="0" applyBorder="0" applyAlignment="0" applyProtection="0"/>
    <xf numFmtId="0" fontId="52" fillId="0" borderId="0" applyNumberFormat="0" applyFill="0" applyBorder="0" applyAlignment="0" applyProtection="0"/>
    <xf numFmtId="0" fontId="2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54" fillId="17"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68" fillId="0" borderId="12" applyBorder="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4" borderId="0" applyNumberFormat="0" applyBorder="0" applyAlignment="0" applyProtection="0"/>
    <xf numFmtId="0" fontId="8" fillId="0" borderId="0" applyNumberFormat="0" applyFill="0" applyBorder="0" applyAlignment="0" applyProtection="0"/>
    <xf numFmtId="3" fontId="69" fillId="0" borderId="0" applyNumberFormat="0" applyFill="0" applyBorder="0" applyAlignment="0" applyProtection="0"/>
    <xf numFmtId="3" fontId="70" fillId="0" borderId="0" applyNumberFormat="0" applyFill="0" applyBorder="0" applyAlignment="0" applyProtection="0"/>
    <xf numFmtId="0" fontId="61" fillId="8" borderId="0" applyNumberFormat="0" applyBorder="0" applyAlignment="0" applyProtection="0"/>
    <xf numFmtId="1" fontId="71" fillId="25" borderId="0"/>
    <xf numFmtId="0" fontId="53" fillId="0" borderId="0" applyNumberFormat="0" applyFill="0" applyBorder="0" applyAlignment="0"/>
    <xf numFmtId="0" fontId="14" fillId="0" borderId="0" applyNumberFormat="0" applyFill="0" applyBorder="0" applyAlignment="0" applyProtection="0"/>
    <xf numFmtId="0" fontId="14"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56" fillId="26" borderId="64" applyNumberFormat="0" applyAlignment="0" applyProtection="0"/>
    <xf numFmtId="0" fontId="57" fillId="27" borderId="65" applyNumberFormat="0" applyAlignment="0" applyProtection="0"/>
    <xf numFmtId="246" fontId="26" fillId="0" borderId="0" applyFont="0" applyFill="0" applyBorder="0" applyAlignment="0" applyProtection="0"/>
    <xf numFmtId="245" fontId="52" fillId="0" borderId="0" applyFont="0" applyFill="0" applyBorder="0" applyAlignment="0" applyProtection="0"/>
    <xf numFmtId="40" fontId="74" fillId="0" borderId="0" applyFont="0" applyFill="0" applyBorder="0" applyAlignment="0" applyProtection="0"/>
    <xf numFmtId="0" fontId="75" fillId="0" borderId="0" applyFont="0" applyFill="0" applyBorder="0" applyAlignment="0" applyProtection="0"/>
    <xf numFmtId="0" fontId="75" fillId="0" borderId="0" applyFont="0" applyFill="0" applyBorder="0" applyAlignment="0" applyProtection="0"/>
    <xf numFmtId="164" fontId="52" fillId="0" borderId="0" applyFont="0" applyFill="0" applyBorder="0" applyAlignment="0" applyProtection="0"/>
    <xf numFmtId="240" fontId="8" fillId="0" borderId="0" applyFont="0" applyFill="0" applyBorder="0" applyAlignment="0" applyProtection="0"/>
    <xf numFmtId="241" fontId="20" fillId="0" borderId="0">
      <protection locked="0"/>
    </xf>
    <xf numFmtId="0" fontId="8" fillId="0" borderId="0" applyFont="0" applyFill="0" applyBorder="0" applyProtection="0">
      <alignment horizontal="left"/>
    </xf>
    <xf numFmtId="0" fontId="76" fillId="0" borderId="0" applyFont="0" applyFill="0" applyBorder="0" applyAlignment="0" applyProtection="0">
      <protection locked="0"/>
    </xf>
    <xf numFmtId="39" fontId="77" fillId="0" borderId="0" applyFont="0" applyFill="0" applyBorder="0" applyAlignment="0" applyProtection="0"/>
    <xf numFmtId="0" fontId="78" fillId="0" borderId="0" applyFont="0" applyFill="0" applyBorder="0" applyAlignment="0"/>
    <xf numFmtId="3" fontId="79" fillId="28" borderId="0" applyFont="0" applyAlignment="0"/>
    <xf numFmtId="0" fontId="21" fillId="0" borderId="0">
      <protection locked="0"/>
    </xf>
    <xf numFmtId="0" fontId="21" fillId="0" borderId="0">
      <protection locked="0"/>
    </xf>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54" fillId="1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54" fillId="14"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54" fillId="31"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54" fillId="26"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54" fillId="1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54" fillId="12" borderId="0" applyNumberFormat="0" applyBorder="0" applyAlignment="0" applyProtection="0"/>
    <xf numFmtId="242" fontId="80" fillId="0" borderId="0"/>
    <xf numFmtId="1" fontId="8" fillId="0" borderId="15" applyNumberFormat="0">
      <alignment horizontal="center"/>
    </xf>
    <xf numFmtId="172" fontId="8" fillId="0" borderId="0" applyFont="0" applyFill="0" applyBorder="0" applyAlignment="0" applyProtection="0"/>
    <xf numFmtId="184" fontId="8" fillId="0" borderId="0" applyFont="0" applyFill="0" applyBorder="0" applyAlignment="0" applyProtection="0"/>
    <xf numFmtId="239" fontId="8" fillId="0" borderId="0" applyFont="0" applyFill="0" applyBorder="0" applyAlignment="0" applyProtection="0"/>
    <xf numFmtId="235" fontId="8" fillId="0" borderId="0" applyFont="0" applyFill="0" applyBorder="0" applyAlignment="0" applyProtection="0"/>
    <xf numFmtId="0" fontId="81" fillId="0" borderId="0"/>
    <xf numFmtId="0" fontId="81" fillId="0" borderId="0"/>
    <xf numFmtId="0" fontId="64" fillId="0" borderId="0" applyNumberFormat="0" applyFill="0" applyBorder="0" applyAlignment="0" applyProtection="0"/>
    <xf numFmtId="0" fontId="20" fillId="0" borderId="0">
      <protection locked="0"/>
    </xf>
    <xf numFmtId="0" fontId="20" fillId="0" borderId="0">
      <protection locked="0"/>
    </xf>
    <xf numFmtId="0" fontId="82" fillId="0" borderId="0" applyFont="0" applyFill="0" applyBorder="0" applyAlignment="0" applyProtection="0"/>
    <xf numFmtId="172" fontId="20" fillId="0" borderId="0">
      <protection locked="0"/>
    </xf>
    <xf numFmtId="0" fontId="55" fillId="9" borderId="0" applyNumberFormat="0" applyBorder="0" applyAlignment="0" applyProtection="0"/>
    <xf numFmtId="38" fontId="9" fillId="4" borderId="0" applyNumberFormat="0" applyBorder="0" applyAlignment="0" applyProtection="0"/>
    <xf numFmtId="0" fontId="14" fillId="0" borderId="67" applyNumberFormat="0" applyAlignment="0" applyProtection="0">
      <alignment horizontal="left" vertical="center"/>
    </xf>
    <xf numFmtId="0" fontId="14" fillId="0" borderId="8">
      <alignment horizontal="left" vertical="center"/>
    </xf>
    <xf numFmtId="0" fontId="66" fillId="0" borderId="68" applyNumberFormat="0" applyFill="0" applyAlignment="0" applyProtection="0"/>
    <xf numFmtId="0" fontId="67" fillId="0" borderId="69" applyNumberFormat="0" applyFill="0" applyAlignment="0" applyProtection="0"/>
    <xf numFmtId="0" fontId="59" fillId="0" borderId="70" applyNumberFormat="0" applyFill="0" applyAlignment="0" applyProtection="0"/>
    <xf numFmtId="0" fontId="59" fillId="0" borderId="0" applyNumberFormat="0" applyFill="0" applyBorder="0" applyAlignment="0" applyProtection="0"/>
    <xf numFmtId="171" fontId="21" fillId="0" borderId="0">
      <protection locked="0"/>
    </xf>
    <xf numFmtId="171" fontId="21" fillId="0" borderId="0">
      <protection locked="0"/>
    </xf>
    <xf numFmtId="0" fontId="83" fillId="0" borderId="0" applyNumberFormat="0" applyFon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3" fillId="0" borderId="0" applyNumberFormat="0" applyFont="0" applyFill="0" applyBorder="0" applyAlignment="0" applyProtection="0">
      <alignment vertical="top"/>
      <protection locked="0"/>
    </xf>
    <xf numFmtId="0" fontId="60" fillId="12" borderId="64" applyNumberFormat="0" applyAlignment="0" applyProtection="0"/>
    <xf numFmtId="0" fontId="84" fillId="0" borderId="6" applyFill="0" applyBorder="0" applyAlignment="0">
      <alignment horizontal="center"/>
      <protection locked="0"/>
    </xf>
    <xf numFmtId="10" fontId="9" fillId="32" borderId="3" applyNumberFormat="0" applyBorder="0" applyAlignment="0" applyProtection="0"/>
    <xf numFmtId="0" fontId="84" fillId="0" borderId="0" applyFill="0" applyBorder="0" applyAlignment="0">
      <protection locked="0"/>
    </xf>
    <xf numFmtId="0" fontId="84" fillId="0" borderId="0" applyFill="0" applyBorder="0" applyAlignment="0" applyProtection="0">
      <protection locked="0"/>
    </xf>
    <xf numFmtId="0" fontId="60" fillId="12" borderId="64" applyNumberFormat="0" applyAlignment="0" applyProtection="0"/>
    <xf numFmtId="0" fontId="58" fillId="0" borderId="66" applyNumberFormat="0" applyFill="0" applyAlignment="0" applyProtection="0"/>
    <xf numFmtId="0"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34" fontId="8" fillId="0" borderId="0" applyFont="0" applyFill="0" applyBorder="0" applyAlignment="0" applyProtection="0"/>
    <xf numFmtId="234"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4" fontId="8" fillId="0" borderId="0" applyFont="0" applyFill="0" applyBorder="0" applyAlignment="0" applyProtection="0"/>
    <xf numFmtId="43" fontId="8" fillId="0" borderId="0" applyFont="0" applyFill="0" applyBorder="0" applyAlignment="0" applyProtection="0"/>
    <xf numFmtId="234" fontId="8" fillId="0" borderId="0" applyFont="0" applyFill="0" applyBorder="0" applyAlignment="0" applyProtection="0"/>
    <xf numFmtId="234" fontId="8"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0" fontId="8" fillId="0" borderId="0" applyFont="0" applyFill="0" applyBorder="0" applyAlignment="0" applyProtection="0"/>
    <xf numFmtId="179"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234"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2" fontId="26"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238" fontId="8" fillId="0" borderId="0" applyFont="0" applyFill="0" applyBorder="0" applyAlignment="0" applyProtection="0"/>
    <xf numFmtId="44" fontId="8" fillId="0" borderId="0" applyFont="0" applyFill="0" applyBorder="0" applyAlignment="0" applyProtection="0"/>
    <xf numFmtId="167" fontId="8" fillId="0" borderId="0" applyFill="0" applyBorder="0" applyAlignment="0" applyProtection="0"/>
    <xf numFmtId="44" fontId="8" fillId="0" borderId="0" applyFont="0" applyFill="0" applyBorder="0" applyAlignment="0" applyProtection="0"/>
    <xf numFmtId="23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3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36" fontId="8" fillId="0" borderId="0" applyFont="0" applyFill="0" applyBorder="0" applyAlignment="0" applyProtection="0"/>
    <xf numFmtId="236" fontId="8" fillId="0" borderId="0" applyFont="0" applyFill="0" applyBorder="0" applyAlignment="0" applyProtection="0"/>
    <xf numFmtId="231" fontId="8" fillId="0" borderId="0" applyFont="0" applyFill="0" applyBorder="0" applyAlignment="0" applyProtection="0"/>
    <xf numFmtId="237" fontId="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8" fillId="0" borderId="0" applyFont="0" applyFill="0" applyBorder="0" applyAlignment="0" applyProtection="0"/>
    <xf numFmtId="44"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3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36" fontId="20" fillId="0" borderId="0">
      <protection locked="0"/>
    </xf>
    <xf numFmtId="243" fontId="82" fillId="0" borderId="0" applyFont="0" applyFill="0" applyBorder="0" applyAlignment="0" applyProtection="0"/>
    <xf numFmtId="0" fontId="8" fillId="0" borderId="0" applyFont="0" applyFill="0" applyBorder="0" applyAlignment="0" applyProtection="0"/>
    <xf numFmtId="0" fontId="8" fillId="0" borderId="0"/>
    <xf numFmtId="14" fontId="8" fillId="0" borderId="0"/>
    <xf numFmtId="0" fontId="8" fillId="0" borderId="0"/>
    <xf numFmtId="0" fontId="53" fillId="0" borderId="0" applyFill="0" applyBorder="0" applyAlignment="0"/>
    <xf numFmtId="0" fontId="8" fillId="0" borderId="0"/>
    <xf numFmtId="0" fontId="8" fillId="0" borderId="0" applyNumberFormat="0"/>
    <xf numFmtId="0" fontId="8" fillId="0" borderId="0"/>
    <xf numFmtId="0" fontId="85" fillId="0" borderId="0"/>
    <xf numFmtId="0" fontId="8" fillId="0" borderId="0"/>
    <xf numFmtId="0" fontId="85" fillId="0" borderId="0"/>
    <xf numFmtId="0" fontId="8" fillId="0" borderId="0"/>
    <xf numFmtId="0" fontId="8" fillId="0" borderId="0"/>
    <xf numFmtId="0" fontId="8" fillId="0" borderId="0" applyNumberFormat="0" applyFill="0" applyBorder="0" applyAlignment="0" applyProtection="0"/>
    <xf numFmtId="0" fontId="8" fillId="0" borderId="0"/>
    <xf numFmtId="0" fontId="26" fillId="0" borderId="0"/>
    <xf numFmtId="0" fontId="32" fillId="0" borderId="0" applyNumberFormat="0" applyBorder="0" applyProtection="0"/>
    <xf numFmtId="0" fontId="26" fillId="0" borderId="0"/>
    <xf numFmtId="0" fontId="26" fillId="0" borderId="0"/>
    <xf numFmtId="188" fontId="22" fillId="0" borderId="0"/>
    <xf numFmtId="0" fontId="8" fillId="0" borderId="0"/>
    <xf numFmtId="0" fontId="1" fillId="0" borderId="0"/>
    <xf numFmtId="0" fontId="8" fillId="0" borderId="0"/>
    <xf numFmtId="0" fontId="8" fillId="0" borderId="0"/>
    <xf numFmtId="0" fontId="8" fillId="0" borderId="0"/>
    <xf numFmtId="0" fontId="8" fillId="0" borderId="0"/>
    <xf numFmtId="242" fontId="22" fillId="0" borderId="0"/>
    <xf numFmtId="0" fontId="26" fillId="0" borderId="0"/>
    <xf numFmtId="0" fontId="8" fillId="0" borderId="0"/>
    <xf numFmtId="0" fontId="26" fillId="0" borderId="0"/>
    <xf numFmtId="0" fontId="26" fillId="0" borderId="0"/>
    <xf numFmtId="0" fontId="8" fillId="0" borderId="0"/>
    <xf numFmtId="0" fontId="8" fillId="0" borderId="0"/>
    <xf numFmtId="0" fontId="8" fillId="0" borderId="0" applyNumberFormat="0"/>
    <xf numFmtId="0" fontId="8" fillId="0" borderId="0" applyNumberFormat="0"/>
    <xf numFmtId="0" fontId="8" fillId="0" borderId="0"/>
    <xf numFmtId="0" fontId="86" fillId="0" borderId="0"/>
    <xf numFmtId="0" fontId="8" fillId="30" borderId="71" applyNumberFormat="0" applyFont="0" applyAlignment="0" applyProtection="0"/>
    <xf numFmtId="0" fontId="62" fillId="26" borderId="72" applyNumberFormat="0" applyAlignment="0" applyProtection="0"/>
    <xf numFmtId="0" fontId="53" fillId="0" borderId="9" applyFont="0" applyFill="0" applyBorder="0" applyAlignment="0" applyProtection="0">
      <alignment horizontal="right"/>
    </xf>
    <xf numFmtId="0" fontId="8" fillId="0" borderId="0" applyFont="0" applyFill="0" applyBorder="0" applyAlignment="0" applyProtection="0"/>
    <xf numFmtId="0" fontId="8" fillId="0" borderId="0" applyFont="0" applyFill="0" applyBorder="0" applyAlignment="0" applyProtection="0"/>
    <xf numFmtId="10" fontId="8" fillId="0" borderId="0" applyFont="0" applyFill="0" applyBorder="0" applyAlignment="0" applyProtection="0"/>
    <xf numFmtId="0" fontId="8" fillId="0" borderId="0" applyFont="0" applyFill="0" applyBorder="0" applyAlignment="0" applyProtection="0"/>
    <xf numFmtId="22" fontId="8" fillId="0" borderId="0" applyFont="0" applyFill="0" applyBorder="0" applyAlignment="0" applyProtection="0"/>
    <xf numFmtId="244" fontId="53" fillId="0" borderId="0"/>
    <xf numFmtId="3" fontId="87" fillId="28" borderId="0" applyFill="0" applyProtection="0">
      <alignment horizontal="right"/>
    </xf>
    <xf numFmtId="3" fontId="32" fillId="28" borderId="0" applyFill="0" applyBorder="0" applyAlignment="0" applyProtection="0">
      <alignment horizontal="left"/>
      <protection locked="0"/>
    </xf>
    <xf numFmtId="9" fontId="8"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8" fillId="0" borderId="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 fontId="8" fillId="33" borderId="0"/>
    <xf numFmtId="3" fontId="82" fillId="0" borderId="0" applyFont="0" applyFill="0" applyBorder="0" applyAlignment="0" applyProtection="0"/>
    <xf numFmtId="3" fontId="13" fillId="0" borderId="0" applyFill="0" applyBorder="0" applyAlignment="0" applyProtection="0"/>
    <xf numFmtId="3" fontId="19" fillId="0" borderId="0" applyFill="0" applyBorder="0" applyAlignment="0" applyProtection="0"/>
    <xf numFmtId="3" fontId="13" fillId="0" borderId="0" applyFill="0" applyBorder="0" applyAlignment="0" applyProtection="0"/>
    <xf numFmtId="242" fontId="22" fillId="0" borderId="3" applyNumberFormat="0" applyFont="0" applyFill="0" applyAlignment="0" applyProtection="0">
      <alignment horizontal="center"/>
    </xf>
    <xf numFmtId="38" fontId="75" fillId="34" borderId="0" applyNumberFormat="0" applyFont="0" applyBorder="0" applyAlignment="0" applyProtection="0"/>
    <xf numFmtId="38" fontId="88" fillId="0" borderId="0" applyFill="0" applyBorder="0" applyAlignment="0" applyProtection="0"/>
    <xf numFmtId="0" fontId="8" fillId="0" borderId="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 fontId="76" fillId="0" borderId="0" applyFont="0" applyFill="0" applyBorder="0" applyAlignment="0" applyProtection="0">
      <alignment horizontal="left"/>
    </xf>
    <xf numFmtId="0" fontId="65" fillId="0" borderId="0" applyNumberFormat="0" applyFill="0" applyBorder="0" applyAlignment="0" applyProtection="0"/>
    <xf numFmtId="10" fontId="89" fillId="0" borderId="2" applyNumberFormat="0" applyFont="0" applyFill="0" applyAlignment="0" applyProtection="0"/>
    <xf numFmtId="0" fontId="63" fillId="0" borderId="0" applyNumberFormat="0" applyFill="0" applyBorder="0" applyAlignment="0" applyProtection="0"/>
    <xf numFmtId="0" fontId="8" fillId="0" borderId="8"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01">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9"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9"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0" fontId="8" fillId="0" borderId="3" xfId="1" applyNumberFormat="1" applyFont="1" applyBorder="1" applyAlignment="1" applyProtection="1">
      <alignment vertical="center"/>
      <protection hidden="1"/>
    </xf>
    <xf numFmtId="170" fontId="12" fillId="0" borderId="3" xfId="1" applyNumberFormat="1" applyFont="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9" fontId="13" fillId="0" borderId="3" xfId="7" applyNumberFormat="1" applyFont="1" applyBorder="1" applyAlignment="1" applyProtection="1">
      <alignment vertical="center"/>
      <protection hidden="1"/>
    </xf>
    <xf numFmtId="10" fontId="13" fillId="0" borderId="0" xfId="16" applyNumberFormat="1" applyFont="1" applyAlignment="1" applyProtection="1">
      <alignment vertical="center"/>
      <protection hidden="1"/>
    </xf>
    <xf numFmtId="0" fontId="13" fillId="0" borderId="0" xfId="7" applyFont="1" applyAlignment="1" applyProtection="1">
      <alignment horizontal="right" vertical="center"/>
      <protection hidden="1"/>
    </xf>
    <xf numFmtId="177"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7"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44"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9"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70" fontId="8" fillId="0" borderId="0" xfId="16" applyNumberFormat="1" applyFont="1" applyAlignment="1" applyProtection="1">
      <alignment vertical="center"/>
      <protection hidden="1"/>
    </xf>
    <xf numFmtId="170" fontId="12" fillId="0" borderId="0" xfId="16" applyNumberFormat="1" applyFont="1" applyAlignment="1" applyProtection="1">
      <alignment vertical="center"/>
      <protection hidden="1"/>
    </xf>
    <xf numFmtId="170" fontId="12" fillId="0" borderId="3" xfId="16" applyNumberFormat="1" applyFont="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0" fontId="12" fillId="0" borderId="11" xfId="7" applyFont="1" applyBorder="1" applyAlignment="1" applyProtection="1">
      <alignment vertical="center"/>
      <protection hidden="1"/>
    </xf>
    <xf numFmtId="170" fontId="12" fillId="0" borderId="12"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6" fontId="12" fillId="0" borderId="11" xfId="1" applyNumberFormat="1" applyFont="1" applyBorder="1" applyAlignment="1" applyProtection="1">
      <alignment vertical="center"/>
      <protection hidden="1"/>
    </xf>
    <xf numFmtId="0" fontId="19" fillId="0" borderId="0" xfId="7" quotePrefix="1" applyFont="1" applyAlignment="1" applyProtection="1">
      <alignment horizontal="center" vertical="center"/>
      <protection hidden="1"/>
    </xf>
    <xf numFmtId="175"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3" fontId="12" fillId="0" borderId="3" xfId="2" applyNumberFormat="1" applyFont="1" applyBorder="1" applyAlignment="1" applyProtection="1">
      <alignment vertical="center"/>
      <protection hidden="1"/>
    </xf>
    <xf numFmtId="183" fontId="8" fillId="0" borderId="3" xfId="2" applyNumberFormat="1" applyFont="1" applyBorder="1" applyAlignment="1" applyProtection="1">
      <alignment vertical="center"/>
      <protection hidden="1"/>
    </xf>
    <xf numFmtId="0" fontId="12" fillId="0" borderId="0" xfId="0" applyFont="1" applyAlignment="1">
      <alignment horizontal="center" vertical="center"/>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0" fontId="8" fillId="3" borderId="0" xfId="7" applyFill="1" applyAlignment="1">
      <alignment horizontal="center" vertical="center"/>
    </xf>
    <xf numFmtId="169" fontId="12" fillId="3" borderId="0" xfId="7" applyNumberFormat="1" applyFont="1" applyFill="1" applyAlignment="1">
      <alignment horizontal="center" vertical="center"/>
    </xf>
    <xf numFmtId="9" fontId="8" fillId="3" borderId="0" xfId="1" applyFont="1" applyFill="1" applyAlignment="1">
      <alignment horizontal="center" vertical="center"/>
    </xf>
    <xf numFmtId="14" fontId="8" fillId="3" borderId="0" xfId="7" applyNumberFormat="1" applyFill="1" applyAlignment="1">
      <alignment horizontal="center" vertical="center"/>
    </xf>
    <xf numFmtId="175" fontId="8" fillId="3" borderId="0" xfId="7" applyNumberFormat="1" applyFill="1" applyAlignment="1">
      <alignment horizontal="center" vertical="center"/>
    </xf>
    <xf numFmtId="175" fontId="8" fillId="0" borderId="0" xfId="7" applyNumberFormat="1" applyAlignment="1">
      <alignment horizontal="center" vertical="center"/>
    </xf>
    <xf numFmtId="166" fontId="8" fillId="0" borderId="0" xfId="0" applyNumberFormat="1" applyFont="1" applyAlignment="1">
      <alignment vertical="center"/>
    </xf>
    <xf numFmtId="181"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Border="1" applyAlignment="1" applyProtection="1">
      <alignment horizontal="left" vertical="center"/>
      <protection locked="0"/>
    </xf>
    <xf numFmtId="169" fontId="8" fillId="0" borderId="3" xfId="49"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9" fontId="8" fillId="0" borderId="3" xfId="0" applyNumberFormat="1" applyFont="1" applyBorder="1" applyAlignment="1" applyProtection="1">
      <alignment vertical="center"/>
      <protection locked="0"/>
    </xf>
    <xf numFmtId="9" fontId="8" fillId="0" borderId="0" xfId="1" applyFont="1" applyAlignment="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9" fontId="14" fillId="0" borderId="0" xfId="7" applyNumberFormat="1" applyFont="1" applyAlignment="1">
      <alignment horizontal="center" vertical="center"/>
    </xf>
    <xf numFmtId="9" fontId="19" fillId="0" borderId="0" xfId="1" applyFont="1" applyAlignment="1">
      <alignment horizontal="center" vertical="center"/>
    </xf>
    <xf numFmtId="14" fontId="19" fillId="0" borderId="0" xfId="7" applyNumberFormat="1" applyFont="1" applyAlignment="1">
      <alignment horizontal="center" vertical="center"/>
    </xf>
    <xf numFmtId="175" fontId="19" fillId="0" borderId="0" xfId="7" applyNumberFormat="1" applyFont="1" applyAlignment="1">
      <alignment horizontal="center" vertical="center"/>
    </xf>
    <xf numFmtId="169"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2" fontId="8" fillId="0" borderId="3" xfId="2" applyNumberFormat="1" applyFont="1" applyBorder="1" applyAlignment="1">
      <alignment vertical="center"/>
    </xf>
    <xf numFmtId="170" fontId="8" fillId="0" borderId="3" xfId="1" applyNumberFormat="1" applyFont="1" applyBorder="1" applyAlignment="1">
      <alignment vertical="center"/>
    </xf>
    <xf numFmtId="170" fontId="8" fillId="0" borderId="11" xfId="1" applyNumberFormat="1" applyFont="1" applyBorder="1" applyAlignment="1">
      <alignment vertical="center"/>
    </xf>
    <xf numFmtId="0" fontId="12" fillId="0" borderId="13" xfId="0" applyFont="1" applyBorder="1" applyAlignment="1">
      <alignment horizontal="center" vertical="center"/>
    </xf>
    <xf numFmtId="170" fontId="12" fillId="0" borderId="3" xfId="1" applyNumberFormat="1" applyFont="1" applyBorder="1" applyAlignment="1">
      <alignment vertical="center"/>
    </xf>
    <xf numFmtId="44"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Alignment="1">
      <alignment vertical="center"/>
    </xf>
    <xf numFmtId="0" fontId="12" fillId="0" borderId="0" xfId="0" applyFont="1" applyAlignment="1">
      <alignment horizontal="left" vertical="center"/>
    </xf>
    <xf numFmtId="0" fontId="14" fillId="0" borderId="0" xfId="0" applyFont="1" applyAlignment="1">
      <alignment horizontal="right" vertical="center"/>
    </xf>
    <xf numFmtId="169"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9" fontId="8" fillId="0" borderId="8" xfId="0" applyNumberFormat="1" applyFont="1" applyBorder="1" applyAlignment="1" applyProtection="1">
      <alignment vertical="center"/>
      <protection hidden="1"/>
    </xf>
    <xf numFmtId="169"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9"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80"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80"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9" fontId="9" fillId="0" borderId="0" xfId="49" applyFont="1" applyAlignment="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9" fontId="9" fillId="0" borderId="0" xfId="49" applyFont="1" applyAlignment="1">
      <alignment vertical="center"/>
    </xf>
    <xf numFmtId="190" fontId="9" fillId="0" borderId="0" xfId="20" applyNumberFormat="1" applyFont="1" applyAlignment="1">
      <alignment horizontal="center" vertical="center"/>
    </xf>
    <xf numFmtId="169"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Border="1" applyAlignment="1" applyProtection="1">
      <alignment horizontal="center" vertical="center"/>
      <protection locked="0"/>
    </xf>
    <xf numFmtId="202" fontId="9" fillId="0" borderId="3" xfId="81" applyNumberFormat="1" applyFont="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Border="1" applyAlignment="1" applyProtection="1">
      <alignment horizontal="center" vertical="center"/>
      <protection locked="0"/>
    </xf>
    <xf numFmtId="190" fontId="13" fillId="0" borderId="3" xfId="0" applyNumberFormat="1" applyFont="1" applyBorder="1" applyAlignment="1">
      <alignment vertical="center"/>
    </xf>
    <xf numFmtId="169"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8"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2" fontId="13" fillId="0" borderId="3" xfId="49" applyNumberFormat="1" applyFont="1" applyBorder="1" applyAlignment="1" applyProtection="1">
      <alignment vertical="center" wrapText="1"/>
      <protection hidden="1"/>
    </xf>
    <xf numFmtId="182" fontId="8" fillId="0" borderId="3" xfId="49" applyNumberFormat="1" applyBorder="1" applyAlignment="1" applyProtection="1">
      <alignment vertical="center"/>
      <protection hidden="1"/>
    </xf>
    <xf numFmtId="4" fontId="8" fillId="0" borderId="8" xfId="0" applyNumberFormat="1" applyFont="1" applyBorder="1" applyAlignment="1" applyProtection="1">
      <alignment vertical="center"/>
      <protection hidden="1"/>
    </xf>
    <xf numFmtId="44"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9" fontId="12" fillId="0" borderId="11" xfId="0" applyNumberFormat="1" applyFont="1" applyBorder="1" applyAlignment="1" applyProtection="1">
      <alignment vertical="center"/>
      <protection hidden="1"/>
    </xf>
    <xf numFmtId="169"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9"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0" fontId="49" fillId="5" borderId="13" xfId="0" applyFont="1" applyFill="1" applyBorder="1" applyAlignment="1">
      <alignment vertical="center"/>
    </xf>
    <xf numFmtId="169" fontId="12" fillId="0" borderId="8" xfId="0" applyNumberFormat="1" applyFont="1" applyBorder="1" applyAlignment="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2" fontId="13" fillId="0" borderId="3" xfId="49" applyNumberFormat="1" applyFont="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1"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9"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9"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9"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9"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Border="1" applyAlignment="1" applyProtection="1">
      <alignment horizontal="right" vertical="center"/>
      <protection hidden="1"/>
    </xf>
    <xf numFmtId="169" fontId="13" fillId="0" borderId="15" xfId="49" applyFont="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9" fontId="13" fillId="0" borderId="3" xfId="49" applyFont="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9" fontId="13" fillId="0" borderId="3" xfId="0" applyNumberFormat="1" applyFont="1" applyBorder="1" applyAlignment="1" applyProtection="1">
      <alignment horizontal="center" vertical="center"/>
      <protection hidden="1"/>
    </xf>
    <xf numFmtId="182" fontId="13" fillId="0" borderId="3" xfId="49" applyNumberFormat="1" applyFont="1" applyBorder="1" applyAlignment="1" applyProtection="1">
      <alignment horizontal="center" vertical="center"/>
      <protection hidden="1"/>
    </xf>
    <xf numFmtId="182" fontId="8" fillId="0" borderId="3" xfId="49" applyNumberFormat="1" applyBorder="1" applyAlignment="1">
      <alignment vertical="center"/>
    </xf>
    <xf numFmtId="0" fontId="8" fillId="0" borderId="13" xfId="0" applyFont="1" applyBorder="1" applyAlignment="1">
      <alignment horizontal="center" vertical="center"/>
    </xf>
    <xf numFmtId="169"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Alignment="1">
      <alignment vertical="center"/>
    </xf>
    <xf numFmtId="10" fontId="8" fillId="0" borderId="12" xfId="1" applyNumberFormat="1" applyFont="1" applyBorder="1" applyAlignment="1">
      <alignment vertical="center"/>
    </xf>
    <xf numFmtId="0" fontId="8" fillId="0" borderId="12" xfId="0" applyFont="1" applyBorder="1" applyAlignment="1">
      <alignment vertical="center"/>
    </xf>
    <xf numFmtId="169"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8" fontId="9" fillId="0" borderId="0" xfId="7" applyNumberFormat="1" applyFont="1" applyAlignment="1">
      <alignment horizontal="center" vertical="center"/>
    </xf>
    <xf numFmtId="9" fontId="9" fillId="0" borderId="0" xfId="71" applyFont="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1" fontId="8" fillId="0" borderId="3" xfId="49" applyNumberFormat="1" applyBorder="1" applyAlignment="1" applyProtection="1">
      <alignment vertical="center"/>
      <protection locked="0"/>
    </xf>
    <xf numFmtId="0" fontId="8" fillId="0" borderId="0" xfId="20"/>
    <xf numFmtId="181" fontId="8" fillId="0" borderId="3" xfId="49" applyNumberFormat="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9" fontId="8" fillId="0" borderId="3" xfId="49"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230" fontId="13" fillId="0" borderId="3" xfId="0" applyNumberFormat="1" applyFont="1" applyBorder="1" applyAlignment="1" applyProtection="1">
      <alignment horizontal="center" vertical="center"/>
      <protection hidden="1"/>
    </xf>
    <xf numFmtId="0" fontId="12" fillId="3" borderId="0" xfId="0" applyFont="1" applyFill="1" applyAlignment="1">
      <alignment vertical="center" wrapText="1"/>
    </xf>
    <xf numFmtId="182" fontId="8" fillId="0" borderId="3" xfId="2" applyNumberFormat="1" applyFont="1" applyFill="1" applyBorder="1" applyAlignment="1">
      <alignment vertical="center"/>
    </xf>
    <xf numFmtId="182" fontId="8" fillId="0" borderId="3" xfId="49" applyNumberFormat="1" applyFill="1" applyBorder="1" applyAlignment="1">
      <alignment vertical="center"/>
    </xf>
    <xf numFmtId="2" fontId="8" fillId="0" borderId="3" xfId="0" applyNumberFormat="1" applyFont="1" applyBorder="1" applyAlignment="1">
      <alignment horizontal="center" vertical="center"/>
    </xf>
    <xf numFmtId="176" fontId="8" fillId="0" borderId="0" xfId="1" applyNumberFormat="1" applyFont="1" applyAlignment="1">
      <alignment vertical="center"/>
    </xf>
    <xf numFmtId="10" fontId="8" fillId="2" borderId="0" xfId="1" applyNumberFormat="1" applyFont="1" applyFill="1" applyAlignment="1" applyProtection="1">
      <alignment horizontal="left" vertical="center"/>
      <protection locked="0"/>
    </xf>
    <xf numFmtId="2" fontId="8" fillId="2" borderId="0" xfId="0" applyNumberFormat="1" applyFont="1" applyFill="1" applyAlignment="1" applyProtection="1">
      <alignment horizontal="left" vertical="center"/>
      <protection locked="0"/>
    </xf>
    <xf numFmtId="9" fontId="8" fillId="2" borderId="0" xfId="1" applyFont="1" applyFill="1" applyAlignment="1" applyProtection="1">
      <alignment horizontal="left" vertical="center"/>
      <protection locked="0"/>
    </xf>
    <xf numFmtId="166" fontId="0" fillId="0" borderId="0" xfId="0" applyNumberFormat="1" applyAlignment="1">
      <alignment vertical="center"/>
    </xf>
    <xf numFmtId="182" fontId="0" fillId="0" borderId="0" xfId="0" applyNumberFormat="1" applyAlignment="1">
      <alignment vertical="center"/>
    </xf>
    <xf numFmtId="10" fontId="90" fillId="0" borderId="3" xfId="363" applyNumberFormat="1" applyFont="1" applyFill="1" applyBorder="1" applyAlignment="1">
      <alignment horizontal="right" vertical="top" wrapText="1"/>
    </xf>
    <xf numFmtId="170" fontId="8" fillId="0" borderId="3" xfId="16" applyNumberFormat="1" applyFont="1" applyBorder="1" applyAlignment="1" applyProtection="1">
      <alignment vertical="center"/>
      <protection locked="0"/>
    </xf>
    <xf numFmtId="0" fontId="8" fillId="0" borderId="3" xfId="0" applyFont="1" applyBorder="1" applyAlignment="1">
      <alignment horizontal="center" vertical="center"/>
    </xf>
    <xf numFmtId="0" fontId="8" fillId="3" borderId="0" xfId="7" quotePrefix="1" applyNumberFormat="1" applyFill="1" applyAlignment="1">
      <alignment horizontal="center" vertical="center"/>
    </xf>
    <xf numFmtId="188" fontId="13" fillId="0" borderId="15" xfId="0" applyNumberFormat="1" applyFont="1" applyBorder="1" applyAlignment="1" applyProtection="1">
      <alignment horizontal="center" vertical="center"/>
      <protection hidden="1"/>
    </xf>
    <xf numFmtId="0" fontId="8" fillId="0" borderId="3" xfId="0" applyFont="1" applyBorder="1" applyAlignment="1">
      <alignment horizontal="center"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protection hidden="1"/>
    </xf>
    <xf numFmtId="0" fontId="12" fillId="0" borderId="3" xfId="7" applyFont="1" applyBorder="1" applyAlignment="1" applyProtection="1">
      <alignment horizontal="center"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xf numFmtId="0" fontId="8" fillId="3" borderId="3" xfId="0" applyFont="1" applyFill="1" applyBorder="1" applyAlignment="1">
      <alignment vertical="center" wrapText="1"/>
    </xf>
    <xf numFmtId="177" fontId="12" fillId="0" borderId="0" xfId="7" applyNumberFormat="1" applyFont="1" applyBorder="1" applyAlignment="1" applyProtection="1">
      <alignment horizontal="center" vertical="center"/>
      <protection hidden="1"/>
    </xf>
    <xf numFmtId="170" fontId="8" fillId="0" borderId="5" xfId="16" applyNumberFormat="1" applyFont="1" applyBorder="1" applyAlignment="1" applyProtection="1">
      <alignment vertical="center"/>
      <protection locked="0"/>
    </xf>
    <xf numFmtId="10" fontId="90" fillId="0" borderId="5" xfId="363" applyNumberFormat="1" applyFont="1" applyFill="1" applyBorder="1" applyAlignment="1">
      <alignment horizontal="right" vertical="top" wrapText="1"/>
    </xf>
    <xf numFmtId="10" fontId="8" fillId="0" borderId="5" xfId="16" applyNumberFormat="1" applyFont="1" applyBorder="1" applyAlignment="1" applyProtection="1">
      <alignment vertical="center"/>
      <protection hidden="1"/>
    </xf>
    <xf numFmtId="0" fontId="13" fillId="0" borderId="0" xfId="7" applyFont="1" applyBorder="1" applyAlignment="1" applyProtection="1">
      <alignment vertical="center"/>
      <protection hidden="1"/>
    </xf>
    <xf numFmtId="9" fontId="13" fillId="0" borderId="0" xfId="16" applyFont="1" applyBorder="1" applyAlignment="1" applyProtection="1">
      <alignment vertical="center"/>
      <protection hidden="1"/>
    </xf>
    <xf numFmtId="177" fontId="12" fillId="0" borderId="13" xfId="7" applyNumberFormat="1" applyFont="1" applyBorder="1" applyAlignment="1" applyProtection="1">
      <alignment horizontal="center" vertical="center"/>
      <protection hidden="1"/>
    </xf>
  </cellXfs>
  <cellStyles count="434">
    <cellStyle name="          _x000a__x000a_386grabber=VGA.3GR_x000a__x000a_" xfId="83"/>
    <cellStyle name="          _x000d__x000a_386grabber=VGA.3GR_x000d__x000a_" xfId="84"/>
    <cellStyle name="          _x000d__x000a_386grabber=VGA.3GR_x000d__x000a_ 2" xfId="85"/>
    <cellStyle name="          _x000d__x000a_386grabber=VGA.3GR_x000d__x000a__EZE 2801 - Etapa 1B - PlaCot 00" xfId="86"/>
    <cellStyle name="_609 - REMODELACION LUQ - MO Y MATERIALES" xfId="87"/>
    <cellStyle name="=C:\WINNT\SYSTEM32\COMMAND.COM" xfId="88"/>
    <cellStyle name="=C:\WINNT\SYSTEM32\COMMAND.COM 2" xfId="89"/>
    <cellStyle name="=C:\WINNT\SYSTEM32\COMMAND.COM_C y P Viv. Europea (NATANIA)" xfId="90"/>
    <cellStyle name="20% - Accent1" xfId="91"/>
    <cellStyle name="20% - Accent1 2" xfId="92"/>
    <cellStyle name="20% - Accent1_AEP1850-Preliminar Fase II Edif III y IV" xfId="93"/>
    <cellStyle name="20% - Accent2" xfId="94"/>
    <cellStyle name="20% - Accent2 2" xfId="95"/>
    <cellStyle name="20% - Accent2_AEP1850-Preliminar Fase II Edif III y IV" xfId="96"/>
    <cellStyle name="20% - Accent3" xfId="97"/>
    <cellStyle name="20% - Accent3 2" xfId="98"/>
    <cellStyle name="20% - Accent3_AEP1850-Preliminar Fase II Edif III y IV" xfId="99"/>
    <cellStyle name="20% - Accent4" xfId="100"/>
    <cellStyle name="20% - Accent4 2" xfId="101"/>
    <cellStyle name="20% - Accent4_AEP1850-Preliminar Fase II Edif III y IV" xfId="102"/>
    <cellStyle name="20% - Accent5" xfId="103"/>
    <cellStyle name="20% - Accent5 2" xfId="104"/>
    <cellStyle name="20% - Accent5_AEP1850-Preliminar Fase II Edif III y IV" xfId="105"/>
    <cellStyle name="20% - Accent6" xfId="106"/>
    <cellStyle name="20% - Accent6 2" xfId="107"/>
    <cellStyle name="20% - Accent6_AEP1850-Preliminar Fase II Edif III y IV" xfId="108"/>
    <cellStyle name="40% - Accent1" xfId="109"/>
    <cellStyle name="40% - Accent1 2" xfId="110"/>
    <cellStyle name="40% - Accent1_AEP1850-Preliminar Fase II Edif III y IV" xfId="111"/>
    <cellStyle name="40% - Accent2" xfId="112"/>
    <cellStyle name="40% - Accent2 2" xfId="113"/>
    <cellStyle name="40% - Accent2_AEP1850-Preliminar Fase II Edif III y IV" xfId="114"/>
    <cellStyle name="40% - Accent3" xfId="115"/>
    <cellStyle name="40% - Accent3 2" xfId="116"/>
    <cellStyle name="40% - Accent3_AEP1850-Preliminar Fase II Edif III y IV" xfId="117"/>
    <cellStyle name="40% - Accent4" xfId="118"/>
    <cellStyle name="40% - Accent4 2" xfId="119"/>
    <cellStyle name="40% - Accent4_AEP1850-Preliminar Fase II Edif III y IV" xfId="120"/>
    <cellStyle name="40% - Accent5" xfId="121"/>
    <cellStyle name="40% - Accent5 2" xfId="122"/>
    <cellStyle name="40% - Accent5_AEP1850-Preliminar Fase II Edif III y IV" xfId="123"/>
    <cellStyle name="40% - Accent6" xfId="124"/>
    <cellStyle name="40% - Accent6 2" xfId="125"/>
    <cellStyle name="40% - Accent6_AEP1850-Preliminar Fase II Edif III y IV" xfId="126"/>
    <cellStyle name="60% - Accent1" xfId="127"/>
    <cellStyle name="60% - Accent2" xfId="128"/>
    <cellStyle name="60% - Accent3" xfId="129"/>
    <cellStyle name="60% - Accent4" xfId="130"/>
    <cellStyle name="60% - Accent5" xfId="131"/>
    <cellStyle name="60% - Accent6" xfId="132"/>
    <cellStyle name="ac" xfId="133"/>
    <cellStyle name="Accent1" xfId="134"/>
    <cellStyle name="Accent2" xfId="135"/>
    <cellStyle name="Accent3" xfId="136"/>
    <cellStyle name="Accent4" xfId="137"/>
    <cellStyle name="Accent5" xfId="138"/>
    <cellStyle name="Accent6" xfId="139"/>
    <cellStyle name="ANCLAS,REZONES Y SUS PARTES,DE FUNDICION,DE HIERRO O DE ACERO" xfId="140"/>
    <cellStyle name="arial12" xfId="141"/>
    <cellStyle name="arial14" xfId="142"/>
    <cellStyle name="Bad" xfId="143"/>
    <cellStyle name="barra" xfId="144"/>
    <cellStyle name="Bold 11" xfId="145"/>
    <cellStyle name="Cabece" xfId="146"/>
    <cellStyle name="Cabece 2" xfId="147"/>
    <cellStyle name="Cabecera 1" xfId="30"/>
    <cellStyle name="Cabecera 1 2" xfId="148"/>
    <cellStyle name="Cabecera 2" xfId="31"/>
    <cellStyle name="Cabecera 2 2" xfId="149"/>
    <cellStyle name="Calculation" xfId="150"/>
    <cellStyle name="Check Cell" xfId="151"/>
    <cellStyle name="Comma" xfId="152"/>
    <cellStyle name="Comma [0]" xfId="153"/>
    <cellStyle name="Comma_CifrasATexto" xfId="154"/>
    <cellStyle name="Currency (0)" xfId="155"/>
    <cellStyle name="Currency (2)" xfId="156"/>
    <cellStyle name="Currency [0]" xfId="157"/>
    <cellStyle name="Currency_8003 - 8004 Procurement Plan modified 7-30-99" xfId="158"/>
    <cellStyle name="Date" xfId="159"/>
    <cellStyle name="Date-Time" xfId="160"/>
    <cellStyle name="Decimal 1" xfId="161"/>
    <cellStyle name="Decimal 2" xfId="162"/>
    <cellStyle name="Decimal 3" xfId="163"/>
    <cellStyle name="Dia" xfId="8"/>
    <cellStyle name="ENCABEZ" xfId="164"/>
    <cellStyle name="Encabez1" xfId="9"/>
    <cellStyle name="Encabez1 2" xfId="165"/>
    <cellStyle name="Encabez2" xfId="10"/>
    <cellStyle name="Encabez2 2" xfId="166"/>
    <cellStyle name="Encabezado 1" xfId="32"/>
    <cellStyle name="Encabezado 2" xfId="33"/>
    <cellStyle name="Énfasis1 - 20%" xfId="167"/>
    <cellStyle name="Énfasis1 - 20% 2" xfId="168"/>
    <cellStyle name="Énfasis1 - 20%_AEP1850-Preliminar Fase II Edif III y IV" xfId="169"/>
    <cellStyle name="Énfasis1 - 40%" xfId="170"/>
    <cellStyle name="Énfasis1 - 40% 2" xfId="171"/>
    <cellStyle name="Énfasis1 - 40%_AEP1850-Preliminar Fase II Edif III y IV" xfId="172"/>
    <cellStyle name="Énfasis1 - 60%" xfId="173"/>
    <cellStyle name="Énfasis2 - 20%" xfId="174"/>
    <cellStyle name="Énfasis2 - 20% 2" xfId="175"/>
    <cellStyle name="Énfasis2 - 20%_AEP1850-Preliminar Fase II Edif III y IV" xfId="176"/>
    <cellStyle name="Énfasis2 - 40%" xfId="177"/>
    <cellStyle name="Énfasis2 - 40% 2" xfId="178"/>
    <cellStyle name="Énfasis2 - 40%_AEP1850-Preliminar Fase II Edif III y IV" xfId="179"/>
    <cellStyle name="Énfasis2 - 60%" xfId="180"/>
    <cellStyle name="Énfasis3 - 20%" xfId="181"/>
    <cellStyle name="Énfasis3 - 20% 2" xfId="182"/>
    <cellStyle name="Énfasis3 - 20%_AEP1850-Preliminar Fase II Edif III y IV" xfId="183"/>
    <cellStyle name="Énfasis3 - 40%" xfId="184"/>
    <cellStyle name="Énfasis3 - 40% 2" xfId="185"/>
    <cellStyle name="Énfasis3 - 40%_AEP1850-Preliminar Fase II Edif III y IV" xfId="186"/>
    <cellStyle name="Énfasis3 - 60%" xfId="187"/>
    <cellStyle name="Énfasis4 - 20%" xfId="188"/>
    <cellStyle name="Énfasis4 - 20% 2" xfId="189"/>
    <cellStyle name="Énfasis4 - 20%_AEP1850-Preliminar Fase II Edif III y IV" xfId="190"/>
    <cellStyle name="Énfasis4 - 40%" xfId="191"/>
    <cellStyle name="Énfasis4 - 40% 2" xfId="192"/>
    <cellStyle name="Énfasis4 - 40%_AEP1850-Preliminar Fase II Edif III y IV" xfId="193"/>
    <cellStyle name="Énfasis4 - 60%" xfId="194"/>
    <cellStyle name="Énfasis5 - 20%" xfId="195"/>
    <cellStyle name="Énfasis5 - 20% 2" xfId="196"/>
    <cellStyle name="Énfasis5 - 20%_AEP1850-Preliminar Fase II Edif III y IV" xfId="197"/>
    <cellStyle name="Énfasis5 - 40%" xfId="198"/>
    <cellStyle name="Énfasis5 - 40% 2" xfId="199"/>
    <cellStyle name="Énfasis5 - 40%_AEP1850-Preliminar Fase II Edif III y IV" xfId="200"/>
    <cellStyle name="Énfasis5 - 60%" xfId="201"/>
    <cellStyle name="Énfasis6 - 20%" xfId="202"/>
    <cellStyle name="Énfasis6 - 20% 2" xfId="203"/>
    <cellStyle name="Énfasis6 - 20%_AEP1850-Preliminar Fase II Edif III y IV" xfId="204"/>
    <cellStyle name="Énfasis6 - 40%" xfId="205"/>
    <cellStyle name="Énfasis6 - 40% 2" xfId="206"/>
    <cellStyle name="Énfasis6 - 40%_AEP1850-Preliminar Fase II Edif III y IV" xfId="207"/>
    <cellStyle name="Énfasis6 - 60%" xfId="208"/>
    <cellStyle name="Estilo 1" xfId="209"/>
    <cellStyle name="Estilo 2" xfId="210"/>
    <cellStyle name="Euro" xfId="11"/>
    <cellStyle name="Euro 2" xfId="34"/>
    <cellStyle name="Euro 2 2" xfId="211"/>
    <cellStyle name="Euro 3" xfId="212"/>
    <cellStyle name="Euro 4" xfId="213"/>
    <cellStyle name="Euro_COR 265 -  Remod Terminal - Fase II" xfId="214"/>
    <cellStyle name="Excel Built-in Excel Built-in Excel Built-in Excel Built-in Excel Built-in Excel Built-in Excel Built-in Excel Built-in Excel Built-in Excel Built-in Normal" xfId="215"/>
    <cellStyle name="Excel Built-in Normal" xfId="216"/>
    <cellStyle name="Explanatory Text" xfId="217"/>
    <cellStyle name="F2" xfId="35"/>
    <cellStyle name="F3" xfId="36"/>
    <cellStyle name="F4" xfId="37"/>
    <cellStyle name="F4 2" xfId="218"/>
    <cellStyle name="F5" xfId="38"/>
    <cellStyle name="F6" xfId="39"/>
    <cellStyle name="F7" xfId="40"/>
    <cellStyle name="F8" xfId="41"/>
    <cellStyle name="F8 2" xfId="219"/>
    <cellStyle name="Fecha" xfId="42"/>
    <cellStyle name="Fecha 2" xfId="220"/>
    <cellStyle name="Fijo" xfId="12"/>
    <cellStyle name="Fijo 2" xfId="43"/>
    <cellStyle name="Financiero" xfId="13"/>
    <cellStyle name="Fixed" xfId="221"/>
    <cellStyle name="Good" xfId="222"/>
    <cellStyle name="Grey" xfId="223"/>
    <cellStyle name="Header1" xfId="224"/>
    <cellStyle name="Header2" xfId="225"/>
    <cellStyle name="Heading 1" xfId="226"/>
    <cellStyle name="Heading 2" xfId="227"/>
    <cellStyle name="Heading 3" xfId="228"/>
    <cellStyle name="Heading 4" xfId="229"/>
    <cellStyle name="Heading1" xfId="230"/>
    <cellStyle name="Heading2" xfId="231"/>
    <cellStyle name="Hipervínculo 2" xfId="232"/>
    <cellStyle name="Hipervínculo 2 2" xfId="233"/>
    <cellStyle name="Hipervínculo 2_AEP1850-Preliminar Fase II Edif III y IV" xfId="234"/>
    <cellStyle name="Hipervínculo 3" xfId="235"/>
    <cellStyle name="Input" xfId="236"/>
    <cellStyle name="Input %" xfId="237"/>
    <cellStyle name="Input [yellow]" xfId="238"/>
    <cellStyle name="Input 1" xfId="239"/>
    <cellStyle name="Input 3" xfId="240"/>
    <cellStyle name="Input_Aeroparque-CintaArrib-PlaCot-001" xfId="241"/>
    <cellStyle name="Linked Cell" xfId="242"/>
    <cellStyle name="Millares [0] 2" xfId="243"/>
    <cellStyle name="Millares 10" xfId="244"/>
    <cellStyle name="Millares 11" xfId="245"/>
    <cellStyle name="Millares 12" xfId="246"/>
    <cellStyle name="Millares 13" xfId="247"/>
    <cellStyle name="Millares 14" xfId="248"/>
    <cellStyle name="Millares 14 2" xfId="249"/>
    <cellStyle name="Millares 15" xfId="250"/>
    <cellStyle name="Millares 15 2" xfId="251"/>
    <cellStyle name="Millares 16" xfId="252"/>
    <cellStyle name="Millares 16 2" xfId="253"/>
    <cellStyle name="Millares 17" xfId="254"/>
    <cellStyle name="Millares 17 2" xfId="255"/>
    <cellStyle name="Millares 18" xfId="256"/>
    <cellStyle name="Millares 19" xfId="257"/>
    <cellStyle name="Millares 2" xfId="21"/>
    <cellStyle name="Millares 2 2" xfId="22"/>
    <cellStyle name="Millares 2 2 2" xfId="44"/>
    <cellStyle name="Millares 2 2 3" xfId="259"/>
    <cellStyle name="Millares 2 3" xfId="45"/>
    <cellStyle name="Millares 2 3 2" xfId="260"/>
    <cellStyle name="Millares 2 4" xfId="46"/>
    <cellStyle name="Millares 2 5" xfId="261"/>
    <cellStyle name="Millares 2 6" xfId="258"/>
    <cellStyle name="Millares 2_COR265-Remod Oficinas paq I y II-Fase II" xfId="262"/>
    <cellStyle name="Millares 20" xfId="263"/>
    <cellStyle name="Millares 21" xfId="264"/>
    <cellStyle name="Millares 22" xfId="265"/>
    <cellStyle name="Millares 23" xfId="266"/>
    <cellStyle name="Millares 24" xfId="411"/>
    <cellStyle name="Millares 25" xfId="410"/>
    <cellStyle name="Millares 26" xfId="412"/>
    <cellStyle name="Millares 27" xfId="409"/>
    <cellStyle name="Millares 28" xfId="413"/>
    <cellStyle name="Millares 29" xfId="408"/>
    <cellStyle name="Millares 3" xfId="23"/>
    <cellStyle name="Millares 3 2" xfId="47"/>
    <cellStyle name="Millares 3 3" xfId="267"/>
    <cellStyle name="Millares 30" xfId="414"/>
    <cellStyle name="Millares 31" xfId="407"/>
    <cellStyle name="Millares 32" xfId="415"/>
    <cellStyle name="Millares 33" xfId="406"/>
    <cellStyle name="Millares 34" xfId="416"/>
    <cellStyle name="Millares 4" xfId="24"/>
    <cellStyle name="Millares 4 2" xfId="269"/>
    <cellStyle name="Millares 4 3" xfId="270"/>
    <cellStyle name="Millares 4 4" xfId="268"/>
    <cellStyle name="Millares 5" xfId="25"/>
    <cellStyle name="Millares 5 2" xfId="271"/>
    <cellStyle name="Millares 6" xfId="29"/>
    <cellStyle name="Millares 6 2" xfId="272"/>
    <cellStyle name="Millares 6 3" xfId="273"/>
    <cellStyle name="Millares 6_AEP1850-Preliminar Fase II Edif III y IV" xfId="274"/>
    <cellStyle name="Millares 7" xfId="275"/>
    <cellStyle name="Millares 7 2" xfId="276"/>
    <cellStyle name="Millares 8" xfId="277"/>
    <cellStyle name="Millares 9" xfId="278"/>
    <cellStyle name="Milliers [0]_EDYAN" xfId="279"/>
    <cellStyle name="Milliers_EDYAN" xfId="280"/>
    <cellStyle name="Moneda" xfId="2" builtinId="4"/>
    <cellStyle name="Moneda [0] 2" xfId="282"/>
    <cellStyle name="Moneda [0] 2 2" xfId="283"/>
    <cellStyle name="Moneda [0] 3" xfId="284"/>
    <cellStyle name="Moneda [0] 4" xfId="285"/>
    <cellStyle name="Moneda [0] 5" xfId="286"/>
    <cellStyle name="Moneda [0] 6" xfId="281"/>
    <cellStyle name="Moneda 10" xfId="287"/>
    <cellStyle name="Moneda 11" xfId="288"/>
    <cellStyle name="Moneda 11 2" xfId="289"/>
    <cellStyle name="Moneda 12" xfId="290"/>
    <cellStyle name="Moneda 13" xfId="291"/>
    <cellStyle name="Moneda 14" xfId="292"/>
    <cellStyle name="Moneda 15" xfId="421"/>
    <cellStyle name="Moneda 16" xfId="405"/>
    <cellStyle name="Moneda 17" xfId="417"/>
    <cellStyle name="Moneda 18" xfId="404"/>
    <cellStyle name="Moneda 19" xfId="418"/>
    <cellStyle name="Moneda 2" xfId="28"/>
    <cellStyle name="Moneda 2 2" xfId="48"/>
    <cellStyle name="Moneda 2 2 2" xfId="294"/>
    <cellStyle name="Moneda 2 3" xfId="295"/>
    <cellStyle name="Moneda 2 4" xfId="293"/>
    <cellStyle name="Moneda 2_03-MARZO-15" xfId="296"/>
    <cellStyle name="Moneda 20" xfId="403"/>
    <cellStyle name="Moneda 21" xfId="419"/>
    <cellStyle name="Moneda 22" xfId="402"/>
    <cellStyle name="Moneda 23" xfId="420"/>
    <cellStyle name="Moneda 24" xfId="401"/>
    <cellStyle name="Moneda 25" xfId="422"/>
    <cellStyle name="Moneda 26" xfId="400"/>
    <cellStyle name="Moneda 3" xfId="49"/>
    <cellStyle name="Moneda 3 2" xfId="50"/>
    <cellStyle name="Moneda 3 2 2" xfId="298"/>
    <cellStyle name="Moneda 3 3" xfId="297"/>
    <cellStyle name="Moneda 3_03-MARZO-15" xfId="299"/>
    <cellStyle name="Moneda 4" xfId="51"/>
    <cellStyle name="Moneda 4 2" xfId="301"/>
    <cellStyle name="Moneda 4 2 2" xfId="302"/>
    <cellStyle name="Moneda 4 3" xfId="303"/>
    <cellStyle name="Moneda 4 4" xfId="304"/>
    <cellStyle name="Moneda 4 5" xfId="300"/>
    <cellStyle name="Moneda 4_CRD3571 Nva Termina - Obra Civil -  Planilla de Cotización Rev.1" xfId="305"/>
    <cellStyle name="Moneda 5" xfId="52"/>
    <cellStyle name="Moneda 6" xfId="53"/>
    <cellStyle name="Moneda 6 2" xfId="306"/>
    <cellStyle name="Moneda 7" xfId="307"/>
    <cellStyle name="Moneda 8" xfId="308"/>
    <cellStyle name="Moneda 9" xfId="309"/>
    <cellStyle name="Moneda 9 2" xfId="310"/>
    <cellStyle name="Moneda0" xfId="54"/>
    <cellStyle name="Monétaire [0]_EDYAN" xfId="311"/>
    <cellStyle name="Monétaire_EDYAN" xfId="312"/>
    <cellStyle name="Monetario" xfId="14"/>
    <cellStyle name="Monetario 2" xfId="55"/>
    <cellStyle name="Monetario 3" xfId="313"/>
    <cellStyle name="Monetario0" xfId="56"/>
    <cellStyle name="Monetario0 2" xfId="314"/>
    <cellStyle name="Month" xfId="315"/>
    <cellStyle name="No-definido" xfId="15"/>
    <cellStyle name="No-definido 2" xfId="316"/>
    <cellStyle name="Normal" xfId="0" builtinId="0"/>
    <cellStyle name="Normal - Style1" xfId="317"/>
    <cellStyle name="Normal 10" xfId="318"/>
    <cellStyle name="Normal 11" xfId="319"/>
    <cellStyle name="Normal 12" xfId="320"/>
    <cellStyle name="Normal 13" xfId="321"/>
    <cellStyle name="Normal 14" xfId="322"/>
    <cellStyle name="Normal 14 2" xfId="323"/>
    <cellStyle name="Normal 15" xfId="324"/>
    <cellStyle name="Normal 16" xfId="325"/>
    <cellStyle name="Normal 17" xfId="326"/>
    <cellStyle name="Normal 18" xfId="327"/>
    <cellStyle name="Normal 19" xfId="328"/>
    <cellStyle name="Normal 2" xfId="3"/>
    <cellStyle name="Normal 2 2" xfId="20"/>
    <cellStyle name="Normal 2 2 2" xfId="19"/>
    <cellStyle name="Normal 2 2 2 2" xfId="329"/>
    <cellStyle name="Normal 2 3" xfId="57"/>
    <cellStyle name="Normal 2 3 2" xfId="330"/>
    <cellStyle name="Normal 2 4" xfId="58"/>
    <cellStyle name="Normal 2 4 2" xfId="331"/>
    <cellStyle name="Normal 2_LICITACION HIGIENE URBANA CON CURVAS" xfId="332"/>
    <cellStyle name="Normal 20" xfId="333"/>
    <cellStyle name="Normal 21" xfId="334"/>
    <cellStyle name="Normal 22" xfId="335"/>
    <cellStyle name="Normal 23" xfId="82"/>
    <cellStyle name="Normal 24" xfId="336"/>
    <cellStyle name="Normal 25" xfId="423"/>
    <cellStyle name="Normal 26" xfId="424"/>
    <cellStyle name="Normal 27" xfId="425"/>
    <cellStyle name="Normal 28" xfId="426"/>
    <cellStyle name="Normal 29" xfId="427"/>
    <cellStyle name="Normal 3" xfId="7"/>
    <cellStyle name="Normal 3 2" xfId="59"/>
    <cellStyle name="Normal 3 2 2" xfId="337"/>
    <cellStyle name="Normal 3 3" xfId="60"/>
    <cellStyle name="Normal 3 4" xfId="61"/>
    <cellStyle name="Normal 3 5" xfId="62"/>
    <cellStyle name="Normal 3_03-MARZO-15" xfId="338"/>
    <cellStyle name="Normal 30" xfId="428"/>
    <cellStyle name="Normal 31" xfId="429"/>
    <cellStyle name="Normal 32" xfId="430"/>
    <cellStyle name="Normal 33" xfId="431"/>
    <cellStyle name="Normal 34" xfId="432"/>
    <cellStyle name="Normal 35" xfId="433"/>
    <cellStyle name="Normal 4" xfId="26"/>
    <cellStyle name="Normal 4 2" xfId="63"/>
    <cellStyle name="Normal 4 3" xfId="64"/>
    <cellStyle name="Normal 40" xfId="339"/>
    <cellStyle name="Normal 41" xfId="340"/>
    <cellStyle name="Normal 5" xfId="65"/>
    <cellStyle name="Normal 5 2" xfId="66"/>
    <cellStyle name="Normal 5 3" xfId="341"/>
    <cellStyle name="Normal 6" xfId="27"/>
    <cellStyle name="Normal 6 2" xfId="67"/>
    <cellStyle name="Normal 6 2 2" xfId="343"/>
    <cellStyle name="Normal 6 3" xfId="342"/>
    <cellStyle name="Normal 6_AEP1850-Preliminar Fase II Edif III y IV" xfId="344"/>
    <cellStyle name="Normal 7" xfId="68"/>
    <cellStyle name="Normal 7 2" xfId="345"/>
    <cellStyle name="Normal 8" xfId="69"/>
    <cellStyle name="Normal 8 2" xfId="347"/>
    <cellStyle name="Normal 8 3" xfId="348"/>
    <cellStyle name="Normal 8 4" xfId="346"/>
    <cellStyle name="Normal 8_AEP1850-Preliminar Fase II Edif III y IV" xfId="349"/>
    <cellStyle name="Normal 9" xfId="70"/>
    <cellStyle name="Normal 9 2" xfId="350"/>
    <cellStyle name="Normal_Analisis de precios AGOSTO 2004" xfId="6"/>
    <cellStyle name="Normal_LICITACION ESCUELA CAUCETE" xfId="5"/>
    <cellStyle name="Normale_QUADRI T3 ra" xfId="351"/>
    <cellStyle name="Note" xfId="352"/>
    <cellStyle name="Output" xfId="353"/>
    <cellStyle name="Percent ()" xfId="354"/>
    <cellStyle name="Percent (0)" xfId="355"/>
    <cellStyle name="Percent (1)" xfId="356"/>
    <cellStyle name="Percent [2]" xfId="357"/>
    <cellStyle name="Percent 1" xfId="358"/>
    <cellStyle name="Percent 2" xfId="359"/>
    <cellStyle name="PESOS" xfId="360"/>
    <cellStyle name="PLANILLA" xfId="361"/>
    <cellStyle name="PORCENT" xfId="362"/>
    <cellStyle name="Porcentaje" xfId="1" builtinId="5"/>
    <cellStyle name="Porcentaje 2" xfId="4"/>
    <cellStyle name="Porcentaje 2 2" xfId="71"/>
    <cellStyle name="Porcentaje 3" xfId="16"/>
    <cellStyle name="Porcentaje 3 2" xfId="72"/>
    <cellStyle name="Porcentaje 3 3" xfId="363"/>
    <cellStyle name="Porcentaje 4" xfId="73"/>
    <cellStyle name="Porcentaje 4 2" xfId="74"/>
    <cellStyle name="Porcentaje 4 3" xfId="75"/>
    <cellStyle name="Porcentaje 4 3 2" xfId="81"/>
    <cellStyle name="Porcentaje 5" xfId="76"/>
    <cellStyle name="Porcentaje 5 2" xfId="77"/>
    <cellStyle name="Porcentaje 6" xfId="364"/>
    <cellStyle name="Porcentual 2" xfId="365"/>
    <cellStyle name="Porcentual 2 2" xfId="366"/>
    <cellStyle name="Porcentual 2 2 2" xfId="367"/>
    <cellStyle name="Porcentual 2 2 3" xfId="368"/>
    <cellStyle name="Porcentual 2 2_OFERTA UNRN BARILOCHE (Precio a Enero-16) Rev 01" xfId="369"/>
    <cellStyle name="Porcentual 2 3" xfId="370"/>
    <cellStyle name="Porcentual 2 4" xfId="371"/>
    <cellStyle name="Porcentual 2 4 2" xfId="372"/>
    <cellStyle name="Porcentual 2 4 3" xfId="373"/>
    <cellStyle name="Porcentual 3" xfId="374"/>
    <cellStyle name="Porcentual 3 2" xfId="375"/>
    <cellStyle name="Porcentual 4" xfId="376"/>
    <cellStyle name="Porcentual 4 2" xfId="377"/>
    <cellStyle name="Porcentual 5" xfId="378"/>
    <cellStyle name="Porcentual 6" xfId="379"/>
    <cellStyle name="Porcentual 6 2" xfId="380"/>
    <cellStyle name="Porcentual 7" xfId="381"/>
    <cellStyle name="Porcentual 8" xfId="382"/>
    <cellStyle name="Porcentual 9" xfId="383"/>
    <cellStyle name="Punto" xfId="17"/>
    <cellStyle name="Punto 2" xfId="78"/>
    <cellStyle name="Punto 3" xfId="384"/>
    <cellStyle name="Punto0" xfId="18"/>
    <cellStyle name="Punto0 2" xfId="79"/>
    <cellStyle name="Punto0 3" xfId="385"/>
    <cellStyle name="RAMEY" xfId="386"/>
    <cellStyle name="Ramey $k" xfId="387"/>
    <cellStyle name="RAMEY_P&amp;O BKUP" xfId="388"/>
    <cellStyle name="recuadro" xfId="389"/>
    <cellStyle name="Shaded" xfId="390"/>
    <cellStyle name="Sum" xfId="391"/>
    <cellStyle name="Sum %of HV" xfId="392"/>
    <cellStyle name="Thousands (0)" xfId="393"/>
    <cellStyle name="Thousands (1)" xfId="394"/>
    <cellStyle name="time" xfId="395"/>
    <cellStyle name="Title" xfId="396"/>
    <cellStyle name="Total 2" xfId="80"/>
    <cellStyle name="Underline 2" xfId="397"/>
    <cellStyle name="Warning Text" xfId="398"/>
    <cellStyle name="Year" xfId="399"/>
  </cellStyles>
  <dxfs count="13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PTyCI!$E$40:$G$40</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PTyCI!$E$41:$G$41</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84984960"/>
        <c:axId val="84986880"/>
      </c:lineChart>
      <c:catAx>
        <c:axId val="8498496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4986880"/>
        <c:crossesAt val="0"/>
        <c:auto val="1"/>
        <c:lblAlgn val="ctr"/>
        <c:lblOffset val="100"/>
        <c:noMultiLvlLbl val="0"/>
      </c:catAx>
      <c:valAx>
        <c:axId val="8498688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8498496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PTyCI!$E$43:$G$43</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PTyCI!$E$44:$G$44</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5045248"/>
        <c:axId val="85047168"/>
      </c:lineChart>
      <c:catAx>
        <c:axId val="85045248"/>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5047168"/>
        <c:crosses val="autoZero"/>
        <c:auto val="1"/>
        <c:lblAlgn val="ctr"/>
        <c:lblOffset val="100"/>
        <c:noMultiLvlLbl val="0"/>
      </c:catAx>
      <c:valAx>
        <c:axId val="8504716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504524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41" sqref="A41"/>
    </sheetView>
  </sheetViews>
  <sheetFormatPr baseColWidth="10" defaultColWidth="11.42578125" defaultRowHeight="12.75"/>
  <cols>
    <col min="1" max="1" width="148.5703125" style="572" customWidth="1"/>
    <col min="2" max="16384" width="11.42578125" style="572"/>
  </cols>
  <sheetData>
    <row r="1" spans="1:7" ht="30" customHeight="1">
      <c r="A1" s="575" t="s">
        <v>945</v>
      </c>
    </row>
    <row r="2" spans="1:7" ht="165">
      <c r="A2" s="573" t="s">
        <v>2057</v>
      </c>
    </row>
    <row r="3" spans="1:7" ht="30" customHeight="1">
      <c r="A3" s="575" t="s">
        <v>946</v>
      </c>
    </row>
    <row r="4" spans="1:7" ht="30" customHeight="1">
      <c r="A4" s="575" t="s">
        <v>965</v>
      </c>
    </row>
    <row r="5" spans="1:7" ht="195">
      <c r="A5" s="578" t="s">
        <v>2058</v>
      </c>
    </row>
    <row r="6" spans="1:7" ht="105.75">
      <c r="A6" s="578" t="s">
        <v>2056</v>
      </c>
      <c r="B6" s="576"/>
      <c r="C6" s="576"/>
      <c r="D6" s="576"/>
      <c r="E6" s="576"/>
      <c r="F6" s="576"/>
      <c r="G6" s="576"/>
    </row>
    <row r="7" spans="1:7" ht="60">
      <c r="A7" s="578" t="s">
        <v>2055</v>
      </c>
      <c r="B7" s="576"/>
      <c r="C7" s="576"/>
      <c r="D7" s="576"/>
      <c r="E7" s="576"/>
      <c r="F7" s="576"/>
      <c r="G7" s="576"/>
    </row>
    <row r="8" spans="1:7" ht="165">
      <c r="A8" s="578" t="s">
        <v>2059</v>
      </c>
      <c r="B8" s="576"/>
      <c r="C8" s="576"/>
      <c r="D8" s="576"/>
      <c r="E8" s="576"/>
      <c r="F8" s="576"/>
      <c r="G8" s="576"/>
    </row>
    <row r="9" spans="1:7" ht="15">
      <c r="A9" s="573" t="s">
        <v>966</v>
      </c>
      <c r="B9" s="576"/>
      <c r="C9" s="576"/>
      <c r="D9" s="576"/>
      <c r="E9" s="576"/>
      <c r="F9" s="576"/>
      <c r="G9" s="576"/>
    </row>
    <row r="10" spans="1:7" ht="45" customHeight="1">
      <c r="A10" s="573" t="s">
        <v>967</v>
      </c>
      <c r="B10" s="576"/>
      <c r="C10" s="576"/>
      <c r="D10" s="576"/>
      <c r="E10" s="576"/>
      <c r="F10" s="576"/>
      <c r="G10" s="576"/>
    </row>
    <row r="11" spans="1:7" ht="30">
      <c r="A11" s="573" t="s">
        <v>969</v>
      </c>
      <c r="B11" s="576" t="s">
        <v>3</v>
      </c>
      <c r="C11" s="576"/>
      <c r="D11" s="576"/>
      <c r="E11" s="576"/>
      <c r="F11" s="576"/>
      <c r="G11" s="576"/>
    </row>
    <row r="12" spans="1:7" ht="15">
      <c r="A12" s="573" t="s">
        <v>2054</v>
      </c>
      <c r="B12" s="576"/>
      <c r="C12" s="576"/>
      <c r="D12" s="576"/>
      <c r="E12" s="576"/>
      <c r="F12" s="576"/>
      <c r="G12" s="576"/>
    </row>
    <row r="13" spans="1:7" ht="47.25">
      <c r="A13" s="577" t="s">
        <v>2053</v>
      </c>
      <c r="B13" s="576"/>
      <c r="C13" s="576"/>
      <c r="D13" s="576"/>
      <c r="E13" s="576"/>
      <c r="F13" s="576"/>
      <c r="G13" s="576"/>
    </row>
    <row r="14" spans="1:7" ht="30" customHeight="1">
      <c r="A14" s="575" t="s">
        <v>975</v>
      </c>
    </row>
    <row r="15" spans="1:7" ht="150">
      <c r="A15" s="573" t="s">
        <v>2063</v>
      </c>
    </row>
    <row r="16" spans="1:7" ht="45" customHeight="1">
      <c r="A16" s="573" t="s">
        <v>2052</v>
      </c>
      <c r="B16" s="576"/>
      <c r="C16" s="576"/>
      <c r="D16" s="576"/>
      <c r="E16" s="576"/>
      <c r="F16" s="576"/>
      <c r="G16" s="576"/>
    </row>
    <row r="17" spans="1:7" ht="30" customHeight="1">
      <c r="A17" s="575" t="s">
        <v>947</v>
      </c>
    </row>
    <row r="18" spans="1:7" ht="45" customHeight="1">
      <c r="A18" s="573" t="s">
        <v>2051</v>
      </c>
      <c r="B18" s="576"/>
      <c r="C18" s="576"/>
      <c r="D18" s="576"/>
      <c r="E18" s="576"/>
      <c r="F18" s="576"/>
      <c r="G18" s="576"/>
    </row>
    <row r="19" spans="1:7" ht="45" customHeight="1">
      <c r="A19" s="573" t="s">
        <v>970</v>
      </c>
      <c r="B19" s="576"/>
      <c r="C19" s="576"/>
      <c r="D19" s="576"/>
      <c r="E19" s="576"/>
      <c r="F19" s="576"/>
      <c r="G19" s="576"/>
    </row>
    <row r="20" spans="1:7" ht="45" customHeight="1">
      <c r="A20" s="573" t="s">
        <v>2050</v>
      </c>
      <c r="B20" s="576"/>
      <c r="C20" s="576"/>
      <c r="D20" s="576"/>
      <c r="E20" s="576"/>
      <c r="F20" s="576"/>
      <c r="G20" s="576"/>
    </row>
    <row r="21" spans="1:7" ht="30">
      <c r="A21" s="573" t="s">
        <v>968</v>
      </c>
      <c r="B21" s="576"/>
      <c r="C21" s="576"/>
      <c r="D21" s="576"/>
      <c r="E21" s="576"/>
      <c r="F21" s="576"/>
      <c r="G21" s="576"/>
    </row>
    <row r="22" spans="1:7" ht="15">
      <c r="A22" s="573"/>
      <c r="B22" s="576"/>
      <c r="C22" s="576"/>
      <c r="D22" s="576"/>
      <c r="E22" s="576"/>
      <c r="F22" s="576"/>
      <c r="G22" s="576"/>
    </row>
    <row r="23" spans="1:7" ht="30" customHeight="1">
      <c r="A23" s="575" t="s">
        <v>948</v>
      </c>
    </row>
    <row r="24" spans="1:7" ht="45">
      <c r="A24" s="573" t="s">
        <v>2049</v>
      </c>
      <c r="B24" s="576"/>
      <c r="C24" s="576"/>
      <c r="D24" s="576"/>
      <c r="E24" s="576"/>
      <c r="F24" s="576"/>
      <c r="G24" s="576"/>
    </row>
    <row r="25" spans="1:7" ht="15">
      <c r="A25" s="573" t="s">
        <v>971</v>
      </c>
      <c r="B25" s="576"/>
      <c r="C25" s="576"/>
      <c r="D25" s="576"/>
      <c r="E25" s="576"/>
      <c r="F25" s="576"/>
      <c r="G25" s="576"/>
    </row>
    <row r="26" spans="1:7" ht="30">
      <c r="A26" s="573" t="s">
        <v>2048</v>
      </c>
      <c r="B26" s="576"/>
      <c r="C26" s="576"/>
      <c r="D26" s="576"/>
      <c r="E26" s="576"/>
      <c r="F26" s="576"/>
      <c r="G26" s="576"/>
    </row>
    <row r="27" spans="1:7" ht="30">
      <c r="A27" s="573" t="s">
        <v>2047</v>
      </c>
      <c r="B27" s="576"/>
      <c r="C27" s="576"/>
      <c r="D27" s="576"/>
      <c r="E27" s="576"/>
      <c r="F27" s="576"/>
      <c r="G27" s="576"/>
    </row>
    <row r="28" spans="1:7" ht="30">
      <c r="A28" s="573" t="s">
        <v>2046</v>
      </c>
    </row>
    <row r="29" spans="1:7" ht="45">
      <c r="A29" s="573" t="s">
        <v>977</v>
      </c>
    </row>
    <row r="30" spans="1:7" ht="31.5">
      <c r="A30" s="573" t="s">
        <v>2064</v>
      </c>
    </row>
    <row r="31" spans="1:7" ht="135.75">
      <c r="A31" s="573" t="s">
        <v>2045</v>
      </c>
    </row>
    <row r="32" spans="1:7" ht="30" customHeight="1">
      <c r="A32" s="575" t="s">
        <v>949</v>
      </c>
    </row>
    <row r="33" spans="1:7" ht="45">
      <c r="A33" s="573" t="s">
        <v>2044</v>
      </c>
    </row>
    <row r="34" spans="1:7" ht="150">
      <c r="A34" s="573" t="s">
        <v>2043</v>
      </c>
    </row>
    <row r="35" spans="1:7" ht="120">
      <c r="A35" s="573" t="s">
        <v>978</v>
      </c>
    </row>
    <row r="36" spans="1:7" ht="44.25" customHeight="1">
      <c r="A36" s="573" t="s">
        <v>950</v>
      </c>
    </row>
    <row r="37" spans="1:7" ht="15">
      <c r="A37" s="573" t="s">
        <v>2042</v>
      </c>
    </row>
    <row r="38" spans="1:7" ht="30" customHeight="1">
      <c r="A38" s="575" t="s">
        <v>951</v>
      </c>
    </row>
    <row r="39" spans="1:7" ht="45">
      <c r="A39" s="573" t="s">
        <v>972</v>
      </c>
      <c r="B39" s="576"/>
      <c r="C39" s="576"/>
      <c r="D39" s="576"/>
      <c r="E39" s="576"/>
      <c r="F39" s="576"/>
      <c r="G39" s="576"/>
    </row>
    <row r="40" spans="1:7" ht="30">
      <c r="A40" s="573" t="s">
        <v>979</v>
      </c>
    </row>
    <row r="41" spans="1:7" ht="30">
      <c r="A41" s="573" t="s">
        <v>980</v>
      </c>
    </row>
    <row r="42" spans="1:7" ht="15">
      <c r="A42" s="573"/>
    </row>
    <row r="43" spans="1:7" ht="15.75">
      <c r="A43" s="575" t="s">
        <v>952</v>
      </c>
    </row>
    <row r="44" spans="1:7" ht="45">
      <c r="A44" s="573" t="s">
        <v>953</v>
      </c>
    </row>
    <row r="46" spans="1:7" ht="30" customHeight="1">
      <c r="A46" s="575" t="s">
        <v>973</v>
      </c>
    </row>
    <row r="47" spans="1:7" ht="45">
      <c r="A47" s="573" t="s">
        <v>974</v>
      </c>
    </row>
    <row r="48" spans="1:7" ht="30">
      <c r="A48" s="573" t="s">
        <v>976</v>
      </c>
    </row>
    <row r="49" spans="1:1" ht="25.5">
      <c r="A49" s="574" t="s">
        <v>2041</v>
      </c>
    </row>
    <row r="50" spans="1:1" ht="15">
      <c r="A50" s="573"/>
    </row>
    <row r="51" spans="1:1" ht="30" customHeight="1">
      <c r="A51" s="575" t="s">
        <v>2065</v>
      </c>
    </row>
    <row r="52" spans="1:1" ht="30">
      <c r="A52" s="573" t="s">
        <v>2066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cols>
    <col min="1" max="16384" width="10.7109375" style="1"/>
  </cols>
  <sheetData>
    <row r="1" spans="3:12" ht="23.25">
      <c r="C1" s="658" t="str">
        <f>"OBRA: " &amp; UPPER(Obra)</f>
        <v>OBRA: EJECUCION DE PERFORACION - SISTEMA DE RIEGO</v>
      </c>
      <c r="D1" s="658"/>
      <c r="E1" s="658"/>
      <c r="F1" s="658"/>
      <c r="G1" s="658"/>
      <c r="H1" s="658"/>
      <c r="I1" s="658"/>
      <c r="J1" s="658"/>
      <c r="K1" s="658"/>
      <c r="L1" s="658"/>
    </row>
    <row r="2" spans="3:12" ht="23.25">
      <c r="C2" s="658" t="s">
        <v>954</v>
      </c>
      <c r="D2" s="658"/>
      <c r="E2" s="658"/>
      <c r="F2" s="658"/>
      <c r="G2" s="658"/>
      <c r="H2" s="658"/>
      <c r="I2" s="658"/>
      <c r="J2" s="658"/>
      <c r="K2" s="658"/>
      <c r="L2" s="658"/>
    </row>
    <row r="3" spans="3:12" ht="23.25">
      <c r="C3" s="658" t="s">
        <v>955</v>
      </c>
      <c r="D3" s="658"/>
      <c r="E3" s="658"/>
      <c r="F3" s="658"/>
      <c r="G3" s="658"/>
      <c r="H3" s="658"/>
      <c r="I3" s="658"/>
      <c r="J3" s="658"/>
      <c r="K3" s="658"/>
      <c r="L3" s="6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c r="C1" s="659" t="str">
        <f>"OBRA: " &amp; UPPER(Obra)</f>
        <v>OBRA: EJECUCION DE PERFORACION - SISTEMA DE RIEGO</v>
      </c>
      <c r="D1" s="659"/>
      <c r="E1" s="659"/>
      <c r="F1" s="659"/>
      <c r="G1" s="659"/>
      <c r="H1" s="659"/>
      <c r="I1" s="659"/>
      <c r="J1" s="659"/>
    </row>
    <row r="2" spans="3:10" ht="23.25">
      <c r="C2" s="658" t="s">
        <v>956</v>
      </c>
      <c r="D2" s="658"/>
      <c r="E2" s="658"/>
      <c r="F2" s="658"/>
      <c r="G2" s="658"/>
      <c r="H2" s="658"/>
      <c r="I2" s="658"/>
      <c r="J2" s="658"/>
    </row>
    <row r="3" spans="3:10" ht="23.25">
      <c r="C3" s="658" t="s">
        <v>957</v>
      </c>
      <c r="D3" s="658"/>
      <c r="E3" s="658"/>
      <c r="F3" s="658"/>
      <c r="G3" s="658"/>
      <c r="H3" s="658"/>
      <c r="I3" s="658"/>
      <c r="J3" s="6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c r="A1" s="3" t="s">
        <v>7</v>
      </c>
      <c r="B1" s="3" t="str">
        <f>Comitente</f>
        <v>DEPARTAMENTO DE HIDRAULICA</v>
      </c>
      <c r="E1" s="4"/>
    </row>
    <row r="2" spans="1:6" s="5" customFormat="1" ht="20.100000000000001" customHeight="1">
      <c r="A2" s="11" t="s">
        <v>8</v>
      </c>
      <c r="B2" s="11" t="str">
        <f>Obra</f>
        <v>EJECUCION DE PERFORACION - SISTEMA DE RIEGO</v>
      </c>
    </row>
    <row r="3" spans="1:6" s="5" customFormat="1" ht="20.100000000000001" customHeight="1">
      <c r="A3" s="11" t="s">
        <v>12</v>
      </c>
      <c r="B3" s="11" t="str">
        <f>Ubicación</f>
        <v>DEPARTAMENTO CHIMBAS</v>
      </c>
    </row>
    <row r="4" spans="1:6" s="5" customFormat="1" ht="20.100000000000001" customHeight="1">
      <c r="A4" s="11" t="s">
        <v>11</v>
      </c>
      <c r="B4" s="12">
        <f>Licitación_N°</f>
        <v>1</v>
      </c>
    </row>
    <row r="5" spans="1:6" s="5" customFormat="1" ht="20.100000000000001" customHeight="1">
      <c r="A5" s="11" t="s">
        <v>9</v>
      </c>
      <c r="B5" s="11">
        <f>Contratista</f>
        <v>0</v>
      </c>
    </row>
    <row r="6" spans="1:6" ht="20.100000000000001" customHeight="1">
      <c r="A6" s="3"/>
      <c r="B6" s="3"/>
      <c r="C6" s="3"/>
      <c r="D6" s="3"/>
      <c r="E6" s="3"/>
      <c r="F6" s="3"/>
    </row>
    <row r="7" spans="1:6" ht="20.100000000000001" customHeight="1">
      <c r="A7" s="664" t="s">
        <v>33</v>
      </c>
      <c r="B7" s="665"/>
      <c r="C7" s="665"/>
      <c r="D7" s="665"/>
      <c r="E7" s="666"/>
    </row>
    <row r="8" spans="1:6" ht="20.100000000000001" customHeight="1">
      <c r="A8" s="667" t="s">
        <v>707</v>
      </c>
      <c r="B8" s="668"/>
      <c r="C8" s="669"/>
      <c r="D8" s="669"/>
      <c r="E8" s="670"/>
    </row>
    <row r="10" spans="1:6" ht="20.100000000000001" customHeight="1">
      <c r="A10" s="662"/>
      <c r="B10" s="663"/>
      <c r="C10" s="48" t="s">
        <v>37</v>
      </c>
      <c r="D10" s="49" t="s">
        <v>34</v>
      </c>
      <c r="E10" s="49" t="s">
        <v>35</v>
      </c>
    </row>
    <row r="11" spans="1:6" ht="20.100000000000001" customHeight="1">
      <c r="A11" s="660" t="s">
        <v>944</v>
      </c>
      <c r="B11" s="661"/>
      <c r="C11" s="68">
        <f>ROUND(SUBTOTAL(9,C12:C34),2)</f>
        <v>0</v>
      </c>
      <c r="D11" s="14">
        <f>SUBTOTAL(9,D12:D34)</f>
        <v>0</v>
      </c>
      <c r="E11" s="10"/>
    </row>
    <row r="12" spans="1:6" ht="20.100000000000001" customHeight="1">
      <c r="A12" s="91"/>
      <c r="B12" s="92"/>
      <c r="C12" s="93"/>
      <c r="D12" s="13">
        <f t="shared" ref="D12:D34" si="0">IFERROR(C12/GG_Obra,0)</f>
        <v>0</v>
      </c>
      <c r="E12" s="13">
        <f t="shared" ref="E12:E34" si="1">IFERROR(C12/GG_Pesos,0)</f>
        <v>0</v>
      </c>
    </row>
    <row r="13" spans="1:6" ht="20.100000000000001" customHeight="1">
      <c r="A13" s="91"/>
      <c r="B13" s="92"/>
      <c r="C13" s="93"/>
      <c r="D13" s="13">
        <f t="shared" si="0"/>
        <v>0</v>
      </c>
      <c r="E13" s="13">
        <f t="shared" si="1"/>
        <v>0</v>
      </c>
    </row>
    <row r="14" spans="1:6" ht="20.100000000000001" customHeight="1">
      <c r="A14" s="91"/>
      <c r="B14" s="92"/>
      <c r="C14" s="93"/>
      <c r="D14" s="13">
        <f t="shared" si="0"/>
        <v>0</v>
      </c>
      <c r="E14" s="13">
        <f t="shared" si="1"/>
        <v>0</v>
      </c>
    </row>
    <row r="15" spans="1:6" ht="20.100000000000001" customHeight="1">
      <c r="A15" s="91"/>
      <c r="B15" s="92"/>
      <c r="C15" s="93"/>
      <c r="D15" s="13">
        <f t="shared" si="0"/>
        <v>0</v>
      </c>
      <c r="E15" s="13">
        <f t="shared" si="1"/>
        <v>0</v>
      </c>
    </row>
    <row r="16" spans="1:6" ht="20.100000000000001" customHeight="1">
      <c r="A16" s="91"/>
      <c r="B16" s="92"/>
      <c r="C16" s="93"/>
      <c r="D16" s="13">
        <f t="shared" si="0"/>
        <v>0</v>
      </c>
      <c r="E16" s="13">
        <f t="shared" si="1"/>
        <v>0</v>
      </c>
    </row>
    <row r="17" spans="1:5" ht="20.100000000000001" customHeight="1">
      <c r="A17" s="662"/>
      <c r="B17" s="663"/>
      <c r="C17" s="69"/>
      <c r="D17" s="13">
        <f t="shared" si="0"/>
        <v>0</v>
      </c>
      <c r="E17" s="13">
        <f t="shared" si="1"/>
        <v>0</v>
      </c>
    </row>
    <row r="18" spans="1:5" ht="20.100000000000001" customHeight="1">
      <c r="A18" s="662"/>
      <c r="B18" s="663"/>
      <c r="C18" s="69"/>
      <c r="D18" s="13">
        <f t="shared" si="0"/>
        <v>0</v>
      </c>
      <c r="E18" s="13">
        <f t="shared" si="1"/>
        <v>0</v>
      </c>
    </row>
    <row r="19" spans="1:5" ht="20.100000000000001" customHeight="1">
      <c r="A19" s="662"/>
      <c r="B19" s="663"/>
      <c r="C19" s="69"/>
      <c r="D19" s="13">
        <f t="shared" si="0"/>
        <v>0</v>
      </c>
      <c r="E19" s="13">
        <f t="shared" si="1"/>
        <v>0</v>
      </c>
    </row>
    <row r="20" spans="1:5" ht="20.100000000000001" customHeight="1">
      <c r="A20" s="662"/>
      <c r="B20" s="663"/>
      <c r="C20" s="69"/>
      <c r="D20" s="13">
        <f t="shared" si="0"/>
        <v>0</v>
      </c>
      <c r="E20" s="13">
        <f t="shared" si="1"/>
        <v>0</v>
      </c>
    </row>
    <row r="21" spans="1:5" ht="20.100000000000001" customHeight="1">
      <c r="A21" s="662"/>
      <c r="B21" s="663"/>
      <c r="C21" s="69"/>
      <c r="D21" s="13">
        <f t="shared" si="0"/>
        <v>0</v>
      </c>
      <c r="E21" s="13">
        <f t="shared" si="1"/>
        <v>0</v>
      </c>
    </row>
    <row r="22" spans="1:5" ht="20.100000000000001" customHeight="1">
      <c r="A22" s="662"/>
      <c r="B22" s="663"/>
      <c r="C22" s="69"/>
      <c r="D22" s="13">
        <f t="shared" si="0"/>
        <v>0</v>
      </c>
      <c r="E22" s="13">
        <f t="shared" si="1"/>
        <v>0</v>
      </c>
    </row>
    <row r="23" spans="1:5" ht="20.100000000000001" customHeight="1">
      <c r="A23" s="662"/>
      <c r="B23" s="663"/>
      <c r="C23" s="69"/>
      <c r="D23" s="13">
        <f t="shared" si="0"/>
        <v>0</v>
      </c>
      <c r="E23" s="13">
        <f t="shared" si="1"/>
        <v>0</v>
      </c>
    </row>
    <row r="24" spans="1:5" ht="20.100000000000001" customHeight="1">
      <c r="A24" s="662"/>
      <c r="B24" s="663"/>
      <c r="C24" s="69"/>
      <c r="D24" s="13">
        <f t="shared" si="0"/>
        <v>0</v>
      </c>
      <c r="E24" s="13">
        <f t="shared" si="1"/>
        <v>0</v>
      </c>
    </row>
    <row r="25" spans="1:5" ht="20.100000000000001" customHeight="1">
      <c r="A25" s="662"/>
      <c r="B25" s="663"/>
      <c r="C25" s="69"/>
      <c r="D25" s="13">
        <f t="shared" ref="D25:D28" si="2">IFERROR(C25/GG_Obra,0)</f>
        <v>0</v>
      </c>
      <c r="E25" s="13">
        <f t="shared" ref="E25:E28" si="3">IFERROR(C25/GG_Pesos,0)</f>
        <v>0</v>
      </c>
    </row>
    <row r="26" spans="1:5" ht="20.100000000000001" customHeight="1">
      <c r="A26" s="662"/>
      <c r="B26" s="663"/>
      <c r="C26" s="69"/>
      <c r="D26" s="13">
        <f t="shared" si="2"/>
        <v>0</v>
      </c>
      <c r="E26" s="13">
        <f t="shared" si="3"/>
        <v>0</v>
      </c>
    </row>
    <row r="27" spans="1:5" ht="20.100000000000001" customHeight="1">
      <c r="A27" s="662"/>
      <c r="B27" s="663"/>
      <c r="C27" s="69"/>
      <c r="D27" s="13">
        <f t="shared" si="2"/>
        <v>0</v>
      </c>
      <c r="E27" s="13">
        <f t="shared" si="3"/>
        <v>0</v>
      </c>
    </row>
    <row r="28" spans="1:5" ht="20.100000000000001" customHeight="1">
      <c r="A28" s="662"/>
      <c r="B28" s="663"/>
      <c r="C28" s="69"/>
      <c r="D28" s="13">
        <f t="shared" si="2"/>
        <v>0</v>
      </c>
      <c r="E28" s="13">
        <f t="shared" si="3"/>
        <v>0</v>
      </c>
    </row>
    <row r="29" spans="1:5" ht="20.100000000000001" customHeight="1">
      <c r="A29" s="662"/>
      <c r="B29" s="663"/>
      <c r="C29" s="69"/>
      <c r="D29" s="13">
        <f t="shared" si="0"/>
        <v>0</v>
      </c>
      <c r="E29" s="13">
        <f t="shared" si="1"/>
        <v>0</v>
      </c>
    </row>
    <row r="30" spans="1:5" ht="20.100000000000001" customHeight="1">
      <c r="A30" s="662"/>
      <c r="B30" s="663"/>
      <c r="C30" s="69"/>
      <c r="D30" s="13">
        <f t="shared" si="0"/>
        <v>0</v>
      </c>
      <c r="E30" s="13">
        <f t="shared" si="1"/>
        <v>0</v>
      </c>
    </row>
    <row r="31" spans="1:5" ht="20.100000000000001" customHeight="1">
      <c r="A31" s="662"/>
      <c r="B31" s="663"/>
      <c r="C31" s="69"/>
      <c r="D31" s="13">
        <f t="shared" si="0"/>
        <v>0</v>
      </c>
      <c r="E31" s="13">
        <f t="shared" si="1"/>
        <v>0</v>
      </c>
    </row>
    <row r="32" spans="1:5" ht="20.100000000000001" customHeight="1">
      <c r="A32" s="662"/>
      <c r="B32" s="663"/>
      <c r="C32" s="69"/>
      <c r="D32" s="13">
        <f t="shared" si="0"/>
        <v>0</v>
      </c>
      <c r="E32" s="13">
        <f t="shared" si="1"/>
        <v>0</v>
      </c>
    </row>
    <row r="33" spans="1:5" ht="20.100000000000001" customHeight="1">
      <c r="A33" s="662"/>
      <c r="B33" s="663"/>
      <c r="C33" s="69"/>
      <c r="D33" s="13">
        <f t="shared" si="0"/>
        <v>0</v>
      </c>
      <c r="E33" s="13">
        <f t="shared" si="1"/>
        <v>0</v>
      </c>
    </row>
    <row r="34" spans="1:5" ht="20.100000000000001" customHeight="1">
      <c r="A34" s="662"/>
      <c r="B34" s="663"/>
      <c r="C34" s="69"/>
      <c r="D34" s="13">
        <f t="shared" si="0"/>
        <v>0</v>
      </c>
      <c r="E34" s="13">
        <f t="shared" si="1"/>
        <v>0</v>
      </c>
    </row>
    <row r="35" spans="1:5" ht="20.100000000000001" customHeight="1">
      <c r="A35" s="50"/>
      <c r="E35" s="51"/>
    </row>
    <row r="36" spans="1:5" ht="20.100000000000001" customHeight="1">
      <c r="A36" s="660" t="s">
        <v>36</v>
      </c>
      <c r="B36" s="661"/>
      <c r="C36" s="68">
        <f>ROUND(SUBTOTAL(9,C37:C73),2)</f>
        <v>0</v>
      </c>
      <c r="D36" s="46">
        <f>SUBTOTAL(9,D37:D80)</f>
        <v>0</v>
      </c>
      <c r="E36" s="51"/>
    </row>
    <row r="37" spans="1:5" ht="20.100000000000001" customHeight="1">
      <c r="A37" s="87"/>
      <c r="B37" s="88"/>
      <c r="C37" s="89"/>
      <c r="D37" s="13">
        <f t="shared" ref="D37:D73" si="4">IFERROR(C37/GG_Empresa,0)</f>
        <v>0</v>
      </c>
      <c r="E37" s="13">
        <f t="shared" ref="E37:E73" si="5">IFERROR(C37/GG_Pesos,0)</f>
        <v>0</v>
      </c>
    </row>
    <row r="38" spans="1:5" ht="20.100000000000001" customHeight="1">
      <c r="A38" s="87"/>
      <c r="B38" s="88"/>
      <c r="C38" s="89"/>
      <c r="D38" s="13">
        <f t="shared" si="4"/>
        <v>0</v>
      </c>
      <c r="E38" s="13">
        <f t="shared" si="5"/>
        <v>0</v>
      </c>
    </row>
    <row r="39" spans="1:5" ht="20.100000000000001" customHeight="1">
      <c r="A39" s="87"/>
      <c r="B39" s="88"/>
      <c r="C39" s="89"/>
      <c r="D39" s="13">
        <f t="shared" si="4"/>
        <v>0</v>
      </c>
      <c r="E39" s="13">
        <f t="shared" si="5"/>
        <v>0</v>
      </c>
    </row>
    <row r="40" spans="1:5" ht="20.100000000000001" customHeight="1">
      <c r="A40" s="87"/>
      <c r="B40" s="88"/>
      <c r="C40" s="89"/>
      <c r="D40" s="13">
        <f t="shared" si="4"/>
        <v>0</v>
      </c>
      <c r="E40" s="13">
        <f t="shared" si="5"/>
        <v>0</v>
      </c>
    </row>
    <row r="41" spans="1:5" ht="20.100000000000001" customHeight="1">
      <c r="A41" s="87"/>
      <c r="B41" s="88"/>
      <c r="C41" s="89"/>
      <c r="D41" s="13">
        <f t="shared" ref="D41:D60" si="6">IFERROR(C41/GG_Empresa,0)</f>
        <v>0</v>
      </c>
      <c r="E41" s="13">
        <f t="shared" ref="E41:E60" si="7">IFERROR(C41/GG_Pesos,0)</f>
        <v>0</v>
      </c>
    </row>
    <row r="42" spans="1:5" ht="20.100000000000001" customHeight="1">
      <c r="A42" s="87"/>
      <c r="B42" s="88"/>
      <c r="C42" s="89"/>
      <c r="D42" s="13">
        <f t="shared" si="6"/>
        <v>0</v>
      </c>
      <c r="E42" s="13">
        <f t="shared" si="7"/>
        <v>0</v>
      </c>
    </row>
    <row r="43" spans="1:5" ht="20.100000000000001" customHeight="1">
      <c r="A43" s="87"/>
      <c r="B43" s="88"/>
      <c r="C43" s="89"/>
      <c r="D43" s="13">
        <f t="shared" si="6"/>
        <v>0</v>
      </c>
      <c r="E43" s="13">
        <f t="shared" si="7"/>
        <v>0</v>
      </c>
    </row>
    <row r="44" spans="1:5" ht="20.100000000000001" customHeight="1">
      <c r="A44" s="87"/>
      <c r="B44" s="88"/>
      <c r="C44" s="89"/>
      <c r="D44" s="13">
        <f t="shared" si="6"/>
        <v>0</v>
      </c>
      <c r="E44" s="13">
        <f t="shared" si="7"/>
        <v>0</v>
      </c>
    </row>
    <row r="45" spans="1:5" ht="20.100000000000001" customHeight="1">
      <c r="A45" s="87"/>
      <c r="B45" s="88"/>
      <c r="C45" s="89"/>
      <c r="D45" s="13">
        <f t="shared" si="6"/>
        <v>0</v>
      </c>
      <c r="E45" s="13">
        <f t="shared" si="7"/>
        <v>0</v>
      </c>
    </row>
    <row r="46" spans="1:5" ht="20.100000000000001" customHeight="1">
      <c r="A46" s="87"/>
      <c r="B46" s="88"/>
      <c r="C46" s="89"/>
      <c r="D46" s="13">
        <f t="shared" si="6"/>
        <v>0</v>
      </c>
      <c r="E46" s="13">
        <f t="shared" si="7"/>
        <v>0</v>
      </c>
    </row>
    <row r="47" spans="1:5" ht="20.100000000000001" customHeight="1">
      <c r="A47" s="87"/>
      <c r="B47" s="88"/>
      <c r="C47" s="89"/>
      <c r="D47" s="13">
        <f t="shared" si="6"/>
        <v>0</v>
      </c>
      <c r="E47" s="13">
        <f t="shared" si="7"/>
        <v>0</v>
      </c>
    </row>
    <row r="48" spans="1:5" ht="20.100000000000001" customHeight="1">
      <c r="A48" s="87"/>
      <c r="B48" s="88"/>
      <c r="C48" s="89"/>
      <c r="D48" s="13">
        <f t="shared" si="6"/>
        <v>0</v>
      </c>
      <c r="E48" s="13">
        <f t="shared" si="7"/>
        <v>0</v>
      </c>
    </row>
    <row r="49" spans="1:5" ht="20.100000000000001" customHeight="1">
      <c r="A49" s="87"/>
      <c r="B49" s="88"/>
      <c r="C49" s="89"/>
      <c r="D49" s="13">
        <f t="shared" si="6"/>
        <v>0</v>
      </c>
      <c r="E49" s="13">
        <f t="shared" si="7"/>
        <v>0</v>
      </c>
    </row>
    <row r="50" spans="1:5" ht="20.100000000000001" customHeight="1">
      <c r="A50" s="87"/>
      <c r="B50" s="88"/>
      <c r="C50" s="89"/>
      <c r="D50" s="13">
        <f t="shared" si="6"/>
        <v>0</v>
      </c>
      <c r="E50" s="13">
        <f t="shared" si="7"/>
        <v>0</v>
      </c>
    </row>
    <row r="51" spans="1:5" ht="20.100000000000001" customHeight="1">
      <c r="A51" s="87"/>
      <c r="B51" s="88"/>
      <c r="C51" s="89"/>
      <c r="D51" s="13">
        <f t="shared" si="6"/>
        <v>0</v>
      </c>
      <c r="E51" s="13">
        <f t="shared" si="7"/>
        <v>0</v>
      </c>
    </row>
    <row r="52" spans="1:5" ht="20.100000000000001" customHeight="1">
      <c r="A52" s="87"/>
      <c r="B52" s="88"/>
      <c r="C52" s="89"/>
      <c r="D52" s="13">
        <f t="shared" si="6"/>
        <v>0</v>
      </c>
      <c r="E52" s="13">
        <f t="shared" si="7"/>
        <v>0</v>
      </c>
    </row>
    <row r="53" spans="1:5" ht="20.100000000000001" customHeight="1">
      <c r="A53" s="87"/>
      <c r="B53" s="88"/>
      <c r="C53" s="89"/>
      <c r="D53" s="13">
        <f t="shared" si="6"/>
        <v>0</v>
      </c>
      <c r="E53" s="13">
        <f t="shared" si="7"/>
        <v>0</v>
      </c>
    </row>
    <row r="54" spans="1:5" ht="20.100000000000001" customHeight="1">
      <c r="A54" s="87"/>
      <c r="B54" s="88"/>
      <c r="C54" s="89"/>
      <c r="D54" s="13">
        <f t="shared" si="6"/>
        <v>0</v>
      </c>
      <c r="E54" s="13">
        <f t="shared" si="7"/>
        <v>0</v>
      </c>
    </row>
    <row r="55" spans="1:5" ht="20.100000000000001" customHeight="1">
      <c r="A55" s="87"/>
      <c r="B55" s="88"/>
      <c r="C55" s="89"/>
      <c r="D55" s="13">
        <f t="shared" si="6"/>
        <v>0</v>
      </c>
      <c r="E55" s="13">
        <f t="shared" si="7"/>
        <v>0</v>
      </c>
    </row>
    <row r="56" spans="1:5" ht="20.100000000000001" customHeight="1">
      <c r="A56" s="87"/>
      <c r="B56" s="88"/>
      <c r="C56" s="89"/>
      <c r="D56" s="13">
        <f t="shared" si="6"/>
        <v>0</v>
      </c>
      <c r="E56" s="13">
        <f t="shared" si="7"/>
        <v>0</v>
      </c>
    </row>
    <row r="57" spans="1:5" ht="20.100000000000001" customHeight="1">
      <c r="A57" s="87"/>
      <c r="B57" s="88"/>
      <c r="C57" s="89"/>
      <c r="D57" s="13">
        <f t="shared" si="6"/>
        <v>0</v>
      </c>
      <c r="E57" s="13">
        <f t="shared" si="7"/>
        <v>0</v>
      </c>
    </row>
    <row r="58" spans="1:5" ht="20.100000000000001" customHeight="1">
      <c r="A58" s="87"/>
      <c r="B58" s="90"/>
      <c r="C58" s="89"/>
      <c r="D58" s="13">
        <f t="shared" si="6"/>
        <v>0</v>
      </c>
      <c r="E58" s="13">
        <f t="shared" si="7"/>
        <v>0</v>
      </c>
    </row>
    <row r="59" spans="1:5" ht="20.100000000000001" customHeight="1">
      <c r="A59" s="87"/>
      <c r="B59" s="90"/>
      <c r="C59" s="89"/>
      <c r="D59" s="13">
        <f t="shared" si="6"/>
        <v>0</v>
      </c>
      <c r="E59" s="13">
        <f t="shared" si="7"/>
        <v>0</v>
      </c>
    </row>
    <row r="60" spans="1:5" ht="20.100000000000001" customHeight="1">
      <c r="A60" s="87"/>
      <c r="B60" s="90"/>
      <c r="C60" s="89"/>
      <c r="D60" s="13">
        <f t="shared" si="6"/>
        <v>0</v>
      </c>
      <c r="E60" s="13">
        <f t="shared" si="7"/>
        <v>0</v>
      </c>
    </row>
    <row r="61" spans="1:5" ht="20.100000000000001" customHeight="1">
      <c r="A61" s="87"/>
      <c r="B61" s="90"/>
      <c r="C61" s="89"/>
      <c r="D61" s="13">
        <f t="shared" si="4"/>
        <v>0</v>
      </c>
      <c r="E61" s="13">
        <f t="shared" si="5"/>
        <v>0</v>
      </c>
    </row>
    <row r="62" spans="1:5" ht="20.100000000000001" customHeight="1">
      <c r="A62" s="87"/>
      <c r="B62" s="90"/>
      <c r="C62" s="89"/>
      <c r="D62" s="13">
        <f t="shared" si="4"/>
        <v>0</v>
      </c>
      <c r="E62" s="13">
        <f t="shared" si="5"/>
        <v>0</v>
      </c>
    </row>
    <row r="63" spans="1:5" ht="20.100000000000001" customHeight="1">
      <c r="A63" s="87"/>
      <c r="B63" s="90"/>
      <c r="C63" s="89"/>
      <c r="D63" s="13">
        <f t="shared" si="4"/>
        <v>0</v>
      </c>
      <c r="E63" s="13">
        <f t="shared" si="5"/>
        <v>0</v>
      </c>
    </row>
    <row r="64" spans="1:5" ht="20.100000000000001" customHeight="1">
      <c r="A64" s="87"/>
      <c r="B64" s="90"/>
      <c r="C64" s="89"/>
      <c r="D64" s="13">
        <f t="shared" si="4"/>
        <v>0</v>
      </c>
      <c r="E64" s="13">
        <f t="shared" si="5"/>
        <v>0</v>
      </c>
    </row>
    <row r="65" spans="1:5" ht="20.100000000000001" customHeight="1">
      <c r="A65" s="87"/>
      <c r="B65" s="90"/>
      <c r="C65" s="89"/>
      <c r="D65" s="13">
        <f t="shared" si="4"/>
        <v>0</v>
      </c>
      <c r="E65" s="13">
        <f t="shared" si="5"/>
        <v>0</v>
      </c>
    </row>
    <row r="66" spans="1:5" ht="20.100000000000001" customHeight="1">
      <c r="A66" s="87"/>
      <c r="B66" s="90"/>
      <c r="C66" s="89"/>
      <c r="D66" s="13">
        <f t="shared" si="4"/>
        <v>0</v>
      </c>
      <c r="E66" s="13">
        <f t="shared" si="5"/>
        <v>0</v>
      </c>
    </row>
    <row r="67" spans="1:5" ht="20.100000000000001" customHeight="1">
      <c r="A67" s="87"/>
      <c r="B67" s="90"/>
      <c r="C67" s="89"/>
      <c r="D67" s="13">
        <f t="shared" si="4"/>
        <v>0</v>
      </c>
      <c r="E67" s="13">
        <f t="shared" si="5"/>
        <v>0</v>
      </c>
    </row>
    <row r="68" spans="1:5" ht="20.100000000000001" customHeight="1">
      <c r="A68" s="87"/>
      <c r="B68" s="90"/>
      <c r="C68" s="89"/>
      <c r="D68" s="13">
        <f t="shared" si="4"/>
        <v>0</v>
      </c>
      <c r="E68" s="13">
        <f t="shared" si="5"/>
        <v>0</v>
      </c>
    </row>
    <row r="69" spans="1:5" ht="20.100000000000001" customHeight="1">
      <c r="A69" s="87"/>
      <c r="B69" s="90"/>
      <c r="C69" s="89"/>
      <c r="D69" s="13">
        <f t="shared" si="4"/>
        <v>0</v>
      </c>
      <c r="E69" s="13">
        <f t="shared" si="5"/>
        <v>0</v>
      </c>
    </row>
    <row r="70" spans="1:5" ht="20.100000000000001" customHeight="1">
      <c r="A70" s="87"/>
      <c r="B70" s="90"/>
      <c r="C70" s="89"/>
      <c r="D70" s="13">
        <f t="shared" ref="D70:D72" si="8">IFERROR(C70/GG_Empresa,0)</f>
        <v>0</v>
      </c>
      <c r="E70" s="13">
        <f t="shared" ref="E70:E72" si="9">IFERROR(C70/GG_Pesos,0)</f>
        <v>0</v>
      </c>
    </row>
    <row r="71" spans="1:5" ht="20.100000000000001" customHeight="1">
      <c r="A71" s="87"/>
      <c r="B71" s="90"/>
      <c r="C71" s="89"/>
      <c r="D71" s="13">
        <f t="shared" si="8"/>
        <v>0</v>
      </c>
      <c r="E71" s="13">
        <f t="shared" si="9"/>
        <v>0</v>
      </c>
    </row>
    <row r="72" spans="1:5" ht="20.100000000000001" customHeight="1">
      <c r="A72" s="87"/>
      <c r="B72" s="90"/>
      <c r="C72" s="89"/>
      <c r="D72" s="13">
        <f t="shared" si="8"/>
        <v>0</v>
      </c>
      <c r="E72" s="13">
        <f t="shared" si="9"/>
        <v>0</v>
      </c>
    </row>
    <row r="73" spans="1:5" ht="20.100000000000001" customHeight="1">
      <c r="A73" s="87"/>
      <c r="B73" s="90"/>
      <c r="C73" s="89"/>
      <c r="D73" s="13">
        <f t="shared" si="4"/>
        <v>0</v>
      </c>
      <c r="E73" s="13">
        <f t="shared" si="5"/>
        <v>0</v>
      </c>
    </row>
    <row r="74" spans="1:5" ht="20.100000000000001" customHeight="1">
      <c r="A74" s="50"/>
      <c r="E74" s="51"/>
    </row>
    <row r="75" spans="1:5" ht="20.100000000000001" customHeight="1">
      <c r="A75" s="660" t="s">
        <v>708</v>
      </c>
      <c r="B75" s="661"/>
      <c r="C75" s="68">
        <f>ROUND(SUBTOTAL(9,C11:C73),2)</f>
        <v>0</v>
      </c>
      <c r="D75" s="52"/>
      <c r="E75" s="53">
        <f>SUBTOTAL(9,E11:E73)</f>
        <v>0</v>
      </c>
    </row>
    <row r="76" spans="1:5" ht="20.100000000000001" customHeight="1">
      <c r="E76" s="47"/>
    </row>
    <row r="77" spans="1:5" ht="20.100000000000001" customHeight="1">
      <c r="D77" s="47"/>
    </row>
    <row r="78" spans="1:5" ht="20.100000000000001" customHeight="1">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zoomScale="120" zoomScaleNormal="120" workbookViewId="0">
      <selection activeCell="D10" sqref="D10"/>
    </sheetView>
  </sheetViews>
  <sheetFormatPr baseColWidth="10" defaultColWidth="11.42578125" defaultRowHeight="11.25"/>
  <cols>
    <col min="1" max="1" width="19.28515625" style="313" customWidth="1"/>
    <col min="2" max="2" width="19.140625" style="313" customWidth="1"/>
    <col min="3" max="3" width="37.7109375" style="313" customWidth="1"/>
    <col min="4" max="4" width="12.42578125" style="313" customWidth="1"/>
    <col min="5" max="5" width="11.42578125" style="313"/>
    <col min="6" max="6" width="12" style="313" bestFit="1" customWidth="1"/>
    <col min="7" max="7" width="12.7109375" style="313" customWidth="1"/>
    <col min="8" max="8" width="11.42578125" style="313"/>
    <col min="9" max="9" width="12.85546875" style="313" bestFit="1" customWidth="1"/>
    <col min="10" max="10" width="13.28515625" style="313" bestFit="1" customWidth="1"/>
    <col min="11" max="16384" width="11.42578125" style="313"/>
  </cols>
  <sheetData>
    <row r="1" spans="1:7">
      <c r="A1" s="671" t="s">
        <v>1664</v>
      </c>
      <c r="B1" s="671"/>
      <c r="C1" s="671"/>
      <c r="D1" s="671"/>
      <c r="E1" s="671"/>
      <c r="F1" s="671"/>
      <c r="G1" s="671"/>
    </row>
    <row r="2" spans="1:7">
      <c r="A2" s="314" t="s">
        <v>710</v>
      </c>
      <c r="B2" s="314" t="str">
        <f>Comitente</f>
        <v>DEPARTAMENTO DE HIDRAULICA</v>
      </c>
      <c r="C2" s="315"/>
      <c r="D2" s="316"/>
      <c r="E2" s="316"/>
      <c r="F2" s="317"/>
      <c r="G2" s="317"/>
    </row>
    <row r="3" spans="1:7">
      <c r="A3" s="314" t="s">
        <v>711</v>
      </c>
      <c r="B3" s="314">
        <f>Contratista</f>
        <v>0</v>
      </c>
      <c r="C3" s="318"/>
      <c r="D3" s="318"/>
      <c r="E3" s="318"/>
      <c r="F3" s="314"/>
      <c r="G3" s="314"/>
    </row>
    <row r="4" spans="1:7">
      <c r="A4" s="314" t="s">
        <v>20</v>
      </c>
      <c r="B4" s="314" t="str">
        <f>Obra</f>
        <v>EJECUCION DE PERFORACION - SISTEMA DE RIEGO</v>
      </c>
      <c r="C4" s="318"/>
      <c r="D4" s="314" t="s">
        <v>31</v>
      </c>
      <c r="E4" s="314">
        <f>Fecha_Base</f>
        <v>0</v>
      </c>
    </row>
    <row r="5" spans="1:7">
      <c r="A5" s="319" t="s">
        <v>709</v>
      </c>
      <c r="B5" s="319" t="str">
        <f>Ubicación</f>
        <v>DEPARTAMENTO CHIMBAS</v>
      </c>
      <c r="C5" s="319"/>
      <c r="D5" s="320"/>
      <c r="E5" s="321"/>
      <c r="F5" s="322"/>
      <c r="G5" s="323"/>
    </row>
    <row r="6" spans="1:7">
      <c r="A6" s="319"/>
      <c r="B6" s="319"/>
      <c r="C6" s="319"/>
      <c r="D6" s="320"/>
      <c r="E6" s="321"/>
      <c r="F6" s="322"/>
      <c r="G6" s="323"/>
    </row>
    <row r="7" spans="1:7">
      <c r="A7" s="319"/>
      <c r="B7" s="324"/>
      <c r="C7" s="325" t="s">
        <v>1665</v>
      </c>
      <c r="D7" s="320"/>
      <c r="E7" s="321"/>
      <c r="F7" s="319"/>
      <c r="G7" s="326"/>
    </row>
    <row r="8" spans="1:7">
      <c r="A8" s="319"/>
      <c r="B8" s="324"/>
      <c r="C8" s="327"/>
      <c r="D8" s="328" t="s">
        <v>1666</v>
      </c>
      <c r="F8" s="319"/>
      <c r="G8" s="326"/>
    </row>
    <row r="9" spans="1:7">
      <c r="A9" s="319"/>
      <c r="B9" s="324"/>
      <c r="C9" s="327"/>
      <c r="D9" s="321"/>
      <c r="F9" s="319"/>
      <c r="G9" s="326"/>
    </row>
    <row r="10" spans="1:7">
      <c r="A10" s="329" t="s">
        <v>1667</v>
      </c>
      <c r="C10" s="313" t="s">
        <v>1007</v>
      </c>
      <c r="D10" s="352">
        <f>IF(V_U_Equipo+8*Interés_Anual/(2*2000)=0,0,8*Porcentaje_amortizaciónl_Equipo/V_U_Equipo)</f>
        <v>0</v>
      </c>
      <c r="F10" s="330"/>
      <c r="G10" s="326"/>
    </row>
    <row r="11" spans="1:7">
      <c r="A11" s="331"/>
      <c r="C11" s="324"/>
      <c r="D11" s="353"/>
      <c r="F11" s="333"/>
      <c r="G11" s="326"/>
    </row>
    <row r="12" spans="1:7">
      <c r="A12" s="319"/>
      <c r="D12" s="354"/>
      <c r="F12" s="319"/>
      <c r="G12" s="326"/>
    </row>
    <row r="13" spans="1:7">
      <c r="A13" s="329" t="s">
        <v>1008</v>
      </c>
      <c r="C13" s="313" t="s">
        <v>1008</v>
      </c>
      <c r="D13" s="352">
        <f>IF(V_U_Equipo+8*Interés_Anual/(2*2000)=0,0,8*Interés_Anual/(2*2000))</f>
        <v>0</v>
      </c>
      <c r="F13" s="330"/>
      <c r="G13" s="326"/>
    </row>
    <row r="14" spans="1:7">
      <c r="A14" s="331"/>
      <c r="C14" s="324"/>
      <c r="D14" s="353"/>
      <c r="F14" s="333"/>
      <c r="G14" s="326"/>
    </row>
    <row r="15" spans="1:7">
      <c r="A15" s="331"/>
      <c r="C15" s="324"/>
      <c r="D15" s="353"/>
      <c r="F15" s="333"/>
      <c r="G15" s="326"/>
    </row>
    <row r="16" spans="1:7">
      <c r="A16" s="329" t="s">
        <v>1009</v>
      </c>
      <c r="C16" s="313" t="s">
        <v>1009</v>
      </c>
      <c r="D16" s="352">
        <f>IF(V_U_Equipo*Porc_repuestos_reparaciones_de_amortización=0,0,8*Porcentaje_amortizaciónl_Equipo/V_U_Equipo*Porc_repuestos_reparaciones_de_amortización)</f>
        <v>0</v>
      </c>
      <c r="F16" s="333"/>
      <c r="G16" s="326"/>
    </row>
    <row r="17" spans="1:7">
      <c r="A17" s="329"/>
      <c r="C17" s="324"/>
      <c r="D17" s="332"/>
      <c r="F17" s="319"/>
      <c r="G17" s="320"/>
    </row>
    <row r="18" spans="1:7">
      <c r="A18" s="329"/>
      <c r="C18" s="324"/>
      <c r="F18" s="319"/>
      <c r="G18" s="320"/>
    </row>
    <row r="19" spans="1:7">
      <c r="A19" s="329" t="s">
        <v>1616</v>
      </c>
      <c r="C19" s="313" t="s">
        <v>869</v>
      </c>
      <c r="D19" s="351">
        <f>Consumo_gasoil_Equipo_porHP*8*Precio_gasoil</f>
        <v>0</v>
      </c>
      <c r="F19" s="319"/>
      <c r="G19" s="320"/>
    </row>
    <row r="20" spans="1:7">
      <c r="A20" s="319"/>
      <c r="C20" s="324"/>
      <c r="F20" s="319"/>
      <c r="G20" s="320"/>
    </row>
    <row r="21" spans="1:7">
      <c r="A21" s="319"/>
      <c r="C21" s="324"/>
      <c r="F21" s="319"/>
      <c r="G21" s="320"/>
    </row>
    <row r="22" spans="1:7">
      <c r="A22" s="319"/>
      <c r="C22" s="313" t="s">
        <v>1010</v>
      </c>
      <c r="D22" s="351">
        <f>Consumo_gasoil_Equipo_porHP*8*Precio_gasoil*Porcentaje_lubricantes_respecto_al_combustible</f>
        <v>0</v>
      </c>
      <c r="F22" s="319"/>
      <c r="G22" s="334"/>
    </row>
    <row r="23" spans="1:7">
      <c r="A23" s="319"/>
      <c r="B23" s="324"/>
      <c r="C23" s="324"/>
      <c r="E23" s="334"/>
      <c r="F23" s="319"/>
      <c r="G23" s="320"/>
    </row>
    <row r="24" spans="1:7">
      <c r="A24" s="319"/>
      <c r="B24" s="324" t="s">
        <v>1668</v>
      </c>
      <c r="E24" s="332"/>
      <c r="F24" s="319"/>
      <c r="G24" s="335"/>
    </row>
    <row r="25" spans="1:7">
      <c r="A25" s="319"/>
      <c r="B25" s="336" t="s">
        <v>1669</v>
      </c>
      <c r="C25" s="337"/>
      <c r="D25" s="338"/>
      <c r="E25" s="321"/>
      <c r="F25" s="319"/>
      <c r="G25" s="335"/>
    </row>
    <row r="26" spans="1:7">
      <c r="A26" s="319"/>
      <c r="B26" s="336" t="s">
        <v>1670</v>
      </c>
      <c r="C26" s="337"/>
      <c r="D26" s="339"/>
      <c r="E26" s="321"/>
      <c r="F26" s="319"/>
      <c r="G26" s="335"/>
    </row>
    <row r="27" spans="1:7">
      <c r="A27" s="319"/>
      <c r="B27" s="340" t="s">
        <v>1671</v>
      </c>
      <c r="C27" s="337"/>
      <c r="D27" s="339"/>
      <c r="E27" s="321"/>
      <c r="F27" s="319"/>
      <c r="G27" s="335"/>
    </row>
    <row r="28" spans="1:7">
      <c r="A28" s="319"/>
      <c r="B28" s="340" t="s">
        <v>1672</v>
      </c>
      <c r="C28" s="337"/>
      <c r="D28" s="339"/>
      <c r="E28" s="321"/>
      <c r="F28" s="319"/>
      <c r="G28" s="335"/>
    </row>
    <row r="29" spans="1:7">
      <c r="A29" s="319"/>
      <c r="B29" s="340" t="s">
        <v>1673</v>
      </c>
      <c r="C29" s="337"/>
      <c r="D29" s="341"/>
      <c r="E29" s="321"/>
      <c r="F29" s="319"/>
      <c r="G29" s="335"/>
    </row>
    <row r="30" spans="1:7">
      <c r="A30" s="319"/>
      <c r="B30" s="340" t="s">
        <v>1674</v>
      </c>
      <c r="C30" s="337"/>
      <c r="D30" s="342"/>
      <c r="E30" s="321"/>
      <c r="F30" s="319"/>
      <c r="G30" s="320"/>
    </row>
    <row r="31" spans="1:7">
      <c r="A31" s="319"/>
      <c r="B31" s="340" t="s">
        <v>1675</v>
      </c>
      <c r="C31" s="337"/>
      <c r="D31" s="339"/>
      <c r="E31" s="321"/>
      <c r="F31" s="319"/>
      <c r="G31" s="320"/>
    </row>
    <row r="33" spans="1:7">
      <c r="C33" s="325" t="s">
        <v>1676</v>
      </c>
    </row>
    <row r="34" spans="1:7">
      <c r="C34" s="325"/>
      <c r="E34" s="313" t="s">
        <v>1666</v>
      </c>
    </row>
    <row r="35" spans="1:7">
      <c r="A35" s="319"/>
      <c r="B35" s="324"/>
      <c r="C35" s="327"/>
      <c r="D35" s="320"/>
      <c r="E35" s="321"/>
      <c r="F35" s="319"/>
      <c r="G35" s="320"/>
    </row>
    <row r="36" spans="1:7">
      <c r="A36" s="319"/>
      <c r="B36" s="324"/>
      <c r="C36" s="313" t="s">
        <v>1007</v>
      </c>
      <c r="D36" s="330"/>
      <c r="E36" s="343">
        <f>IF(V_U_Camioneta_meses=0,0,P_Camioneta_Amortizar/V_U_Camioneta_meses)</f>
        <v>0</v>
      </c>
      <c r="F36" s="330"/>
      <c r="G36" s="325"/>
    </row>
    <row r="37" spans="1:7">
      <c r="A37" s="319"/>
      <c r="B37" s="324"/>
      <c r="C37" s="324"/>
      <c r="D37" s="330"/>
      <c r="E37" s="334"/>
      <c r="F37" s="330"/>
      <c r="G37" s="325"/>
    </row>
    <row r="38" spans="1:7">
      <c r="A38" s="319"/>
      <c r="B38" s="324"/>
      <c r="D38" s="321"/>
      <c r="E38" s="332"/>
      <c r="F38" s="333"/>
      <c r="G38" s="326"/>
    </row>
    <row r="39" spans="1:7">
      <c r="A39" s="319"/>
      <c r="B39" s="324"/>
      <c r="C39" s="313" t="s">
        <v>1008</v>
      </c>
      <c r="D39" s="321"/>
      <c r="E39" s="343">
        <f>Interés_Anual/(2*12)</f>
        <v>0</v>
      </c>
      <c r="F39" s="333"/>
      <c r="G39" s="326"/>
    </row>
    <row r="40" spans="1:7">
      <c r="A40" s="319"/>
      <c r="B40" s="324"/>
      <c r="C40" s="324"/>
      <c r="D40" s="321"/>
      <c r="E40" s="332"/>
      <c r="F40" s="333"/>
      <c r="G40" s="326"/>
    </row>
    <row r="41" spans="1:7">
      <c r="A41" s="319"/>
      <c r="B41" s="324"/>
      <c r="C41" s="324"/>
      <c r="D41" s="321"/>
      <c r="E41" s="332"/>
      <c r="F41" s="333"/>
      <c r="G41" s="326"/>
    </row>
    <row r="42" spans="1:7">
      <c r="A42" s="319"/>
      <c r="B42" s="324"/>
      <c r="C42" s="313" t="s">
        <v>1690</v>
      </c>
      <c r="D42" s="321"/>
      <c r="E42" s="343">
        <f>D59/12</f>
        <v>0</v>
      </c>
      <c r="F42" s="333"/>
      <c r="G42" s="326"/>
    </row>
    <row r="43" spans="1:7">
      <c r="A43" s="319"/>
      <c r="B43" s="324"/>
      <c r="C43" s="324"/>
      <c r="E43" s="332"/>
      <c r="F43" s="319"/>
      <c r="G43" s="320"/>
    </row>
    <row r="44" spans="1:7">
      <c r="A44" s="319"/>
      <c r="B44" s="324"/>
      <c r="C44" s="324"/>
      <c r="E44" s="332"/>
      <c r="F44" s="319"/>
      <c r="G44" s="320"/>
    </row>
    <row r="45" spans="1:7">
      <c r="A45" s="319"/>
      <c r="B45" s="324"/>
      <c r="C45" s="313" t="s">
        <v>1677</v>
      </c>
      <c r="E45" s="343">
        <f>D60/12</f>
        <v>0</v>
      </c>
      <c r="F45" s="319"/>
      <c r="G45" s="320"/>
    </row>
    <row r="46" spans="1:7">
      <c r="A46" s="319"/>
      <c r="B46" s="324"/>
      <c r="C46" s="324"/>
      <c r="E46" s="332"/>
      <c r="F46" s="319"/>
      <c r="G46" s="320"/>
    </row>
    <row r="47" spans="1:7">
      <c r="A47" s="319"/>
      <c r="B47" s="324"/>
      <c r="C47" s="324"/>
      <c r="E47" s="332"/>
      <c r="F47" s="319"/>
      <c r="G47" s="320"/>
    </row>
    <row r="48" spans="1:7">
      <c r="A48" s="319"/>
      <c r="B48" s="324"/>
      <c r="C48" s="313" t="s">
        <v>1616</v>
      </c>
      <c r="E48" s="344">
        <f>Consumo_gasoil_Camioneta_porkm*Precio_gasoil*(1+Porcentaje_Lubricantes_Camionetas)</f>
        <v>0</v>
      </c>
      <c r="F48" s="319"/>
      <c r="G48" s="320"/>
    </row>
    <row r="49" spans="1:7">
      <c r="A49" s="319"/>
      <c r="B49" s="324"/>
      <c r="C49" s="324"/>
      <c r="E49" s="332"/>
      <c r="F49" s="319"/>
      <c r="G49" s="320"/>
    </row>
    <row r="50" spans="1:7">
      <c r="A50" s="319"/>
      <c r="B50" s="324"/>
      <c r="C50" s="324"/>
      <c r="E50" s="332"/>
      <c r="F50" s="319"/>
      <c r="G50" s="320"/>
    </row>
    <row r="51" spans="1:7">
      <c r="A51" s="319"/>
      <c r="B51" s="324"/>
      <c r="C51" s="324" t="s">
        <v>1678</v>
      </c>
      <c r="E51" s="344">
        <f>IF(V_U_cámara_cubiertas_Camionetas=0,0,Cant_Cubiertas_Camioneta*Costo_de_cámaras_y_cubiertas_Camionetas/V_U_cámara_cubiertas_Camionetas)</f>
        <v>0</v>
      </c>
      <c r="F51" s="319"/>
      <c r="G51" s="320"/>
    </row>
    <row r="52" spans="1:7">
      <c r="A52" s="319"/>
      <c r="B52" s="324"/>
      <c r="C52" s="324"/>
      <c r="E52" s="332"/>
      <c r="F52" s="319"/>
      <c r="G52" s="320"/>
    </row>
    <row r="53" spans="1:7">
      <c r="A53" s="319"/>
      <c r="B53" s="324"/>
      <c r="C53" s="324"/>
      <c r="E53" s="332"/>
      <c r="F53" s="319"/>
      <c r="G53" s="320"/>
    </row>
    <row r="54" spans="1:7">
      <c r="A54" s="319"/>
      <c r="B54" s="324"/>
      <c r="C54" s="324"/>
      <c r="E54" s="334"/>
      <c r="F54" s="319"/>
      <c r="G54" s="320"/>
    </row>
    <row r="55" spans="1:7">
      <c r="B55" s="336" t="s">
        <v>1679</v>
      </c>
      <c r="C55" s="337"/>
      <c r="D55" s="339"/>
    </row>
    <row r="56" spans="1:7">
      <c r="B56" s="345" t="s">
        <v>1680</v>
      </c>
      <c r="C56" s="337"/>
      <c r="D56" s="346"/>
    </row>
    <row r="57" spans="1:7">
      <c r="B57" s="345" t="s">
        <v>1681</v>
      </c>
      <c r="C57" s="337"/>
      <c r="D57" s="347"/>
    </row>
    <row r="58" spans="1:7">
      <c r="B58" s="345" t="s">
        <v>1682</v>
      </c>
      <c r="C58" s="337"/>
      <c r="D58" s="355"/>
    </row>
    <row r="59" spans="1:7">
      <c r="B59" s="345" t="s">
        <v>1683</v>
      </c>
      <c r="C59" s="337"/>
      <c r="D59" s="339"/>
    </row>
    <row r="60" spans="1:7">
      <c r="B60" s="345" t="s">
        <v>1684</v>
      </c>
      <c r="C60" s="337"/>
      <c r="D60" s="339"/>
    </row>
    <row r="61" spans="1:7">
      <c r="B61" s="345" t="s">
        <v>1685</v>
      </c>
      <c r="C61" s="337"/>
      <c r="D61" s="348"/>
    </row>
    <row r="62" spans="1:7">
      <c r="B62" s="345" t="s">
        <v>1686</v>
      </c>
      <c r="C62" s="337"/>
      <c r="D62" s="339"/>
    </row>
    <row r="63" spans="1:7">
      <c r="B63" s="345" t="s">
        <v>1687</v>
      </c>
      <c r="C63" s="337"/>
      <c r="D63" s="349"/>
    </row>
    <row r="64" spans="1:7">
      <c r="B64" s="345" t="s">
        <v>1688</v>
      </c>
      <c r="C64" s="337"/>
      <c r="D64" s="356"/>
    </row>
    <row r="65" spans="2:4">
      <c r="B65" s="345" t="s">
        <v>1689</v>
      </c>
      <c r="C65" s="337"/>
      <c r="D65" s="350"/>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cols>
    <col min="1" max="14" width="10.7109375" style="359" customWidth="1"/>
    <col min="15" max="15" width="23.7109375" style="359" customWidth="1"/>
    <col min="16" max="16" width="10.28515625" style="359" customWidth="1"/>
    <col min="17" max="256" width="11.42578125" style="359"/>
    <col min="257" max="257" width="7" style="359" customWidth="1"/>
    <col min="258" max="258" width="10.7109375" style="359" customWidth="1"/>
    <col min="259" max="259" width="10.5703125" style="359" customWidth="1"/>
    <col min="260" max="260" width="10.7109375" style="359" customWidth="1"/>
    <col min="261" max="261" width="10.28515625" style="359" customWidth="1"/>
    <col min="262" max="262" width="10.7109375" style="359" customWidth="1"/>
    <col min="263" max="263" width="9.42578125" style="359" customWidth="1"/>
    <col min="264" max="264" width="10.5703125" style="359" customWidth="1"/>
    <col min="265" max="265" width="13.7109375" style="359" customWidth="1"/>
    <col min="266" max="267" width="10.42578125" style="359" customWidth="1"/>
    <col min="268" max="268" width="10.28515625" style="359" customWidth="1"/>
    <col min="269" max="269" width="9.42578125" style="359" customWidth="1"/>
    <col min="270" max="270" width="8.7109375" style="359" customWidth="1"/>
    <col min="271" max="271" width="10.42578125" style="359" customWidth="1"/>
    <col min="272" max="272" width="10.28515625" style="359" customWidth="1"/>
    <col min="273" max="512" width="11.42578125" style="359"/>
    <col min="513" max="513" width="7" style="359" customWidth="1"/>
    <col min="514" max="514" width="10.7109375" style="359" customWidth="1"/>
    <col min="515" max="515" width="10.5703125" style="359" customWidth="1"/>
    <col min="516" max="516" width="10.7109375" style="359" customWidth="1"/>
    <col min="517" max="517" width="10.28515625" style="359" customWidth="1"/>
    <col min="518" max="518" width="10.7109375" style="359" customWidth="1"/>
    <col min="519" max="519" width="9.42578125" style="359" customWidth="1"/>
    <col min="520" max="520" width="10.5703125" style="359" customWidth="1"/>
    <col min="521" max="521" width="13.7109375" style="359" customWidth="1"/>
    <col min="522" max="523" width="10.42578125" style="359" customWidth="1"/>
    <col min="524" max="524" width="10.28515625" style="359" customWidth="1"/>
    <col min="525" max="525" width="9.42578125" style="359" customWidth="1"/>
    <col min="526" max="526" width="8.7109375" style="359" customWidth="1"/>
    <col min="527" max="527" width="10.42578125" style="359" customWidth="1"/>
    <col min="528" max="528" width="10.28515625" style="359" customWidth="1"/>
    <col min="529" max="768" width="11.42578125" style="359"/>
    <col min="769" max="769" width="7" style="359" customWidth="1"/>
    <col min="770" max="770" width="10.7109375" style="359" customWidth="1"/>
    <col min="771" max="771" width="10.5703125" style="359" customWidth="1"/>
    <col min="772" max="772" width="10.7109375" style="359" customWidth="1"/>
    <col min="773" max="773" width="10.28515625" style="359" customWidth="1"/>
    <col min="774" max="774" width="10.7109375" style="359" customWidth="1"/>
    <col min="775" max="775" width="9.42578125" style="359" customWidth="1"/>
    <col min="776" max="776" width="10.5703125" style="359" customWidth="1"/>
    <col min="777" max="777" width="13.7109375" style="359" customWidth="1"/>
    <col min="778" max="779" width="10.42578125" style="359" customWidth="1"/>
    <col min="780" max="780" width="10.28515625" style="359" customWidth="1"/>
    <col min="781" max="781" width="9.42578125" style="359" customWidth="1"/>
    <col min="782" max="782" width="8.7109375" style="359" customWidth="1"/>
    <col min="783" max="783" width="10.42578125" style="359" customWidth="1"/>
    <col min="784" max="784" width="10.28515625" style="359" customWidth="1"/>
    <col min="785" max="1024" width="11.42578125" style="359"/>
    <col min="1025" max="1025" width="7" style="359" customWidth="1"/>
    <col min="1026" max="1026" width="10.7109375" style="359" customWidth="1"/>
    <col min="1027" max="1027" width="10.5703125" style="359" customWidth="1"/>
    <col min="1028" max="1028" width="10.7109375" style="359" customWidth="1"/>
    <col min="1029" max="1029" width="10.28515625" style="359" customWidth="1"/>
    <col min="1030" max="1030" width="10.7109375" style="359" customWidth="1"/>
    <col min="1031" max="1031" width="9.42578125" style="359" customWidth="1"/>
    <col min="1032" max="1032" width="10.5703125" style="359" customWidth="1"/>
    <col min="1033" max="1033" width="13.7109375" style="359" customWidth="1"/>
    <col min="1034" max="1035" width="10.42578125" style="359" customWidth="1"/>
    <col min="1036" max="1036" width="10.28515625" style="359" customWidth="1"/>
    <col min="1037" max="1037" width="9.42578125" style="359" customWidth="1"/>
    <col min="1038" max="1038" width="8.7109375" style="359" customWidth="1"/>
    <col min="1039" max="1039" width="10.42578125" style="359" customWidth="1"/>
    <col min="1040" max="1040" width="10.28515625" style="359" customWidth="1"/>
    <col min="1041" max="1280" width="11.42578125" style="359"/>
    <col min="1281" max="1281" width="7" style="359" customWidth="1"/>
    <col min="1282" max="1282" width="10.7109375" style="359" customWidth="1"/>
    <col min="1283" max="1283" width="10.5703125" style="359" customWidth="1"/>
    <col min="1284" max="1284" width="10.7109375" style="359" customWidth="1"/>
    <col min="1285" max="1285" width="10.28515625" style="359" customWidth="1"/>
    <col min="1286" max="1286" width="10.7109375" style="359" customWidth="1"/>
    <col min="1287" max="1287" width="9.42578125" style="359" customWidth="1"/>
    <col min="1288" max="1288" width="10.5703125" style="359" customWidth="1"/>
    <col min="1289" max="1289" width="13.7109375" style="359" customWidth="1"/>
    <col min="1290" max="1291" width="10.42578125" style="359" customWidth="1"/>
    <col min="1292" max="1292" width="10.28515625" style="359" customWidth="1"/>
    <col min="1293" max="1293" width="9.42578125" style="359" customWidth="1"/>
    <col min="1294" max="1294" width="8.7109375" style="359" customWidth="1"/>
    <col min="1295" max="1295" width="10.42578125" style="359" customWidth="1"/>
    <col min="1296" max="1296" width="10.28515625" style="359" customWidth="1"/>
    <col min="1297" max="1536" width="11.42578125" style="359"/>
    <col min="1537" max="1537" width="7" style="359" customWidth="1"/>
    <col min="1538" max="1538" width="10.7109375" style="359" customWidth="1"/>
    <col min="1539" max="1539" width="10.5703125" style="359" customWidth="1"/>
    <col min="1540" max="1540" width="10.7109375" style="359" customWidth="1"/>
    <col min="1541" max="1541" width="10.28515625" style="359" customWidth="1"/>
    <col min="1542" max="1542" width="10.7109375" style="359" customWidth="1"/>
    <col min="1543" max="1543" width="9.42578125" style="359" customWidth="1"/>
    <col min="1544" max="1544" width="10.5703125" style="359" customWidth="1"/>
    <col min="1545" max="1545" width="13.7109375" style="359" customWidth="1"/>
    <col min="1546" max="1547" width="10.42578125" style="359" customWidth="1"/>
    <col min="1548" max="1548" width="10.28515625" style="359" customWidth="1"/>
    <col min="1549" max="1549" width="9.42578125" style="359" customWidth="1"/>
    <col min="1550" max="1550" width="8.7109375" style="359" customWidth="1"/>
    <col min="1551" max="1551" width="10.42578125" style="359" customWidth="1"/>
    <col min="1552" max="1552" width="10.28515625" style="359" customWidth="1"/>
    <col min="1553" max="1792" width="11.42578125" style="359"/>
    <col min="1793" max="1793" width="7" style="359" customWidth="1"/>
    <col min="1794" max="1794" width="10.7109375" style="359" customWidth="1"/>
    <col min="1795" max="1795" width="10.5703125" style="359" customWidth="1"/>
    <col min="1796" max="1796" width="10.7109375" style="359" customWidth="1"/>
    <col min="1797" max="1797" width="10.28515625" style="359" customWidth="1"/>
    <col min="1798" max="1798" width="10.7109375" style="359" customWidth="1"/>
    <col min="1799" max="1799" width="9.42578125" style="359" customWidth="1"/>
    <col min="1800" max="1800" width="10.5703125" style="359" customWidth="1"/>
    <col min="1801" max="1801" width="13.7109375" style="359" customWidth="1"/>
    <col min="1802" max="1803" width="10.42578125" style="359" customWidth="1"/>
    <col min="1804" max="1804" width="10.28515625" style="359" customWidth="1"/>
    <col min="1805" max="1805" width="9.42578125" style="359" customWidth="1"/>
    <col min="1806" max="1806" width="8.7109375" style="359" customWidth="1"/>
    <col min="1807" max="1807" width="10.42578125" style="359" customWidth="1"/>
    <col min="1808" max="1808" width="10.28515625" style="359" customWidth="1"/>
    <col min="1809" max="2048" width="11.42578125" style="359"/>
    <col min="2049" max="2049" width="7" style="359" customWidth="1"/>
    <col min="2050" max="2050" width="10.7109375" style="359" customWidth="1"/>
    <col min="2051" max="2051" width="10.5703125" style="359" customWidth="1"/>
    <col min="2052" max="2052" width="10.7109375" style="359" customWidth="1"/>
    <col min="2053" max="2053" width="10.28515625" style="359" customWidth="1"/>
    <col min="2054" max="2054" width="10.7109375" style="359" customWidth="1"/>
    <col min="2055" max="2055" width="9.42578125" style="359" customWidth="1"/>
    <col min="2056" max="2056" width="10.5703125" style="359" customWidth="1"/>
    <col min="2057" max="2057" width="13.7109375" style="359" customWidth="1"/>
    <col min="2058" max="2059" width="10.42578125" style="359" customWidth="1"/>
    <col min="2060" max="2060" width="10.28515625" style="359" customWidth="1"/>
    <col min="2061" max="2061" width="9.42578125" style="359" customWidth="1"/>
    <col min="2062" max="2062" width="8.7109375" style="359" customWidth="1"/>
    <col min="2063" max="2063" width="10.42578125" style="359" customWidth="1"/>
    <col min="2064" max="2064" width="10.28515625" style="359" customWidth="1"/>
    <col min="2065" max="2304" width="11.42578125" style="359"/>
    <col min="2305" max="2305" width="7" style="359" customWidth="1"/>
    <col min="2306" max="2306" width="10.7109375" style="359" customWidth="1"/>
    <col min="2307" max="2307" width="10.5703125" style="359" customWidth="1"/>
    <col min="2308" max="2308" width="10.7109375" style="359" customWidth="1"/>
    <col min="2309" max="2309" width="10.28515625" style="359" customWidth="1"/>
    <col min="2310" max="2310" width="10.7109375" style="359" customWidth="1"/>
    <col min="2311" max="2311" width="9.42578125" style="359" customWidth="1"/>
    <col min="2312" max="2312" width="10.5703125" style="359" customWidth="1"/>
    <col min="2313" max="2313" width="13.7109375" style="359" customWidth="1"/>
    <col min="2314" max="2315" width="10.42578125" style="359" customWidth="1"/>
    <col min="2316" max="2316" width="10.28515625" style="359" customWidth="1"/>
    <col min="2317" max="2317" width="9.42578125" style="359" customWidth="1"/>
    <col min="2318" max="2318" width="8.7109375" style="359" customWidth="1"/>
    <col min="2319" max="2319" width="10.42578125" style="359" customWidth="1"/>
    <col min="2320" max="2320" width="10.28515625" style="359" customWidth="1"/>
    <col min="2321" max="2560" width="11.42578125" style="359"/>
    <col min="2561" max="2561" width="7" style="359" customWidth="1"/>
    <col min="2562" max="2562" width="10.7109375" style="359" customWidth="1"/>
    <col min="2563" max="2563" width="10.5703125" style="359" customWidth="1"/>
    <col min="2564" max="2564" width="10.7109375" style="359" customWidth="1"/>
    <col min="2565" max="2565" width="10.28515625" style="359" customWidth="1"/>
    <col min="2566" max="2566" width="10.7109375" style="359" customWidth="1"/>
    <col min="2567" max="2567" width="9.42578125" style="359" customWidth="1"/>
    <col min="2568" max="2568" width="10.5703125" style="359" customWidth="1"/>
    <col min="2569" max="2569" width="13.7109375" style="359" customWidth="1"/>
    <col min="2570" max="2571" width="10.42578125" style="359" customWidth="1"/>
    <col min="2572" max="2572" width="10.28515625" style="359" customWidth="1"/>
    <col min="2573" max="2573" width="9.42578125" style="359" customWidth="1"/>
    <col min="2574" max="2574" width="8.7109375" style="359" customWidth="1"/>
    <col min="2575" max="2575" width="10.42578125" style="359" customWidth="1"/>
    <col min="2576" max="2576" width="10.28515625" style="359" customWidth="1"/>
    <col min="2577" max="2816" width="11.42578125" style="359"/>
    <col min="2817" max="2817" width="7" style="359" customWidth="1"/>
    <col min="2818" max="2818" width="10.7109375" style="359" customWidth="1"/>
    <col min="2819" max="2819" width="10.5703125" style="359" customWidth="1"/>
    <col min="2820" max="2820" width="10.7109375" style="359" customWidth="1"/>
    <col min="2821" max="2821" width="10.28515625" style="359" customWidth="1"/>
    <col min="2822" max="2822" width="10.7109375" style="359" customWidth="1"/>
    <col min="2823" max="2823" width="9.42578125" style="359" customWidth="1"/>
    <col min="2824" max="2824" width="10.5703125" style="359" customWidth="1"/>
    <col min="2825" max="2825" width="13.7109375" style="359" customWidth="1"/>
    <col min="2826" max="2827" width="10.42578125" style="359" customWidth="1"/>
    <col min="2828" max="2828" width="10.28515625" style="359" customWidth="1"/>
    <col min="2829" max="2829" width="9.42578125" style="359" customWidth="1"/>
    <col min="2830" max="2830" width="8.7109375" style="359" customWidth="1"/>
    <col min="2831" max="2831" width="10.42578125" style="359" customWidth="1"/>
    <col min="2832" max="2832" width="10.28515625" style="359" customWidth="1"/>
    <col min="2833" max="3072" width="11.42578125" style="359"/>
    <col min="3073" max="3073" width="7" style="359" customWidth="1"/>
    <col min="3074" max="3074" width="10.7109375" style="359" customWidth="1"/>
    <col min="3075" max="3075" width="10.5703125" style="359" customWidth="1"/>
    <col min="3076" max="3076" width="10.7109375" style="359" customWidth="1"/>
    <col min="3077" max="3077" width="10.28515625" style="359" customWidth="1"/>
    <col min="3078" max="3078" width="10.7109375" style="359" customWidth="1"/>
    <col min="3079" max="3079" width="9.42578125" style="359" customWidth="1"/>
    <col min="3080" max="3080" width="10.5703125" style="359" customWidth="1"/>
    <col min="3081" max="3081" width="13.7109375" style="359" customWidth="1"/>
    <col min="3082" max="3083" width="10.42578125" style="359" customWidth="1"/>
    <col min="3084" max="3084" width="10.28515625" style="359" customWidth="1"/>
    <col min="3085" max="3085" width="9.42578125" style="359" customWidth="1"/>
    <col min="3086" max="3086" width="8.7109375" style="359" customWidth="1"/>
    <col min="3087" max="3087" width="10.42578125" style="359" customWidth="1"/>
    <col min="3088" max="3088" width="10.28515625" style="359" customWidth="1"/>
    <col min="3089" max="3328" width="11.42578125" style="359"/>
    <col min="3329" max="3329" width="7" style="359" customWidth="1"/>
    <col min="3330" max="3330" width="10.7109375" style="359" customWidth="1"/>
    <col min="3331" max="3331" width="10.5703125" style="359" customWidth="1"/>
    <col min="3332" max="3332" width="10.7109375" style="359" customWidth="1"/>
    <col min="3333" max="3333" width="10.28515625" style="359" customWidth="1"/>
    <col min="3334" max="3334" width="10.7109375" style="359" customWidth="1"/>
    <col min="3335" max="3335" width="9.42578125" style="359" customWidth="1"/>
    <col min="3336" max="3336" width="10.5703125" style="359" customWidth="1"/>
    <col min="3337" max="3337" width="13.7109375" style="359" customWidth="1"/>
    <col min="3338" max="3339" width="10.42578125" style="359" customWidth="1"/>
    <col min="3340" max="3340" width="10.28515625" style="359" customWidth="1"/>
    <col min="3341" max="3341" width="9.42578125" style="359" customWidth="1"/>
    <col min="3342" max="3342" width="8.7109375" style="359" customWidth="1"/>
    <col min="3343" max="3343" width="10.42578125" style="359" customWidth="1"/>
    <col min="3344" max="3344" width="10.28515625" style="359" customWidth="1"/>
    <col min="3345" max="3584" width="11.42578125" style="359"/>
    <col min="3585" max="3585" width="7" style="359" customWidth="1"/>
    <col min="3586" max="3586" width="10.7109375" style="359" customWidth="1"/>
    <col min="3587" max="3587" width="10.5703125" style="359" customWidth="1"/>
    <col min="3588" max="3588" width="10.7109375" style="359" customWidth="1"/>
    <col min="3589" max="3589" width="10.28515625" style="359" customWidth="1"/>
    <col min="3590" max="3590" width="10.7109375" style="359" customWidth="1"/>
    <col min="3591" max="3591" width="9.42578125" style="359" customWidth="1"/>
    <col min="3592" max="3592" width="10.5703125" style="359" customWidth="1"/>
    <col min="3593" max="3593" width="13.7109375" style="359" customWidth="1"/>
    <col min="3594" max="3595" width="10.42578125" style="359" customWidth="1"/>
    <col min="3596" max="3596" width="10.28515625" style="359" customWidth="1"/>
    <col min="3597" max="3597" width="9.42578125" style="359" customWidth="1"/>
    <col min="3598" max="3598" width="8.7109375" style="359" customWidth="1"/>
    <col min="3599" max="3599" width="10.42578125" style="359" customWidth="1"/>
    <col min="3600" max="3600" width="10.28515625" style="359" customWidth="1"/>
    <col min="3601" max="3840" width="11.42578125" style="359"/>
    <col min="3841" max="3841" width="7" style="359" customWidth="1"/>
    <col min="3842" max="3842" width="10.7109375" style="359" customWidth="1"/>
    <col min="3843" max="3843" width="10.5703125" style="359" customWidth="1"/>
    <col min="3844" max="3844" width="10.7109375" style="359" customWidth="1"/>
    <col min="3845" max="3845" width="10.28515625" style="359" customWidth="1"/>
    <col min="3846" max="3846" width="10.7109375" style="359" customWidth="1"/>
    <col min="3847" max="3847" width="9.42578125" style="359" customWidth="1"/>
    <col min="3848" max="3848" width="10.5703125" style="359" customWidth="1"/>
    <col min="3849" max="3849" width="13.7109375" style="359" customWidth="1"/>
    <col min="3850" max="3851" width="10.42578125" style="359" customWidth="1"/>
    <col min="3852" max="3852" width="10.28515625" style="359" customWidth="1"/>
    <col min="3853" max="3853" width="9.42578125" style="359" customWidth="1"/>
    <col min="3854" max="3854" width="8.7109375" style="359" customWidth="1"/>
    <col min="3855" max="3855" width="10.42578125" style="359" customWidth="1"/>
    <col min="3856" max="3856" width="10.28515625" style="359" customWidth="1"/>
    <col min="3857" max="4096" width="11.42578125" style="359"/>
    <col min="4097" max="4097" width="7" style="359" customWidth="1"/>
    <col min="4098" max="4098" width="10.7109375" style="359" customWidth="1"/>
    <col min="4099" max="4099" width="10.5703125" style="359" customWidth="1"/>
    <col min="4100" max="4100" width="10.7109375" style="359" customWidth="1"/>
    <col min="4101" max="4101" width="10.28515625" style="359" customWidth="1"/>
    <col min="4102" max="4102" width="10.7109375" style="359" customWidth="1"/>
    <col min="4103" max="4103" width="9.42578125" style="359" customWidth="1"/>
    <col min="4104" max="4104" width="10.5703125" style="359" customWidth="1"/>
    <col min="4105" max="4105" width="13.7109375" style="359" customWidth="1"/>
    <col min="4106" max="4107" width="10.42578125" style="359" customWidth="1"/>
    <col min="4108" max="4108" width="10.28515625" style="359" customWidth="1"/>
    <col min="4109" max="4109" width="9.42578125" style="359" customWidth="1"/>
    <col min="4110" max="4110" width="8.7109375" style="359" customWidth="1"/>
    <col min="4111" max="4111" width="10.42578125" style="359" customWidth="1"/>
    <col min="4112" max="4112" width="10.28515625" style="359" customWidth="1"/>
    <col min="4113" max="4352" width="11.42578125" style="359"/>
    <col min="4353" max="4353" width="7" style="359" customWidth="1"/>
    <col min="4354" max="4354" width="10.7109375" style="359" customWidth="1"/>
    <col min="4355" max="4355" width="10.5703125" style="359" customWidth="1"/>
    <col min="4356" max="4356" width="10.7109375" style="359" customWidth="1"/>
    <col min="4357" max="4357" width="10.28515625" style="359" customWidth="1"/>
    <col min="4358" max="4358" width="10.7109375" style="359" customWidth="1"/>
    <col min="4359" max="4359" width="9.42578125" style="359" customWidth="1"/>
    <col min="4360" max="4360" width="10.5703125" style="359" customWidth="1"/>
    <col min="4361" max="4361" width="13.7109375" style="359" customWidth="1"/>
    <col min="4362" max="4363" width="10.42578125" style="359" customWidth="1"/>
    <col min="4364" max="4364" width="10.28515625" style="359" customWidth="1"/>
    <col min="4365" max="4365" width="9.42578125" style="359" customWidth="1"/>
    <col min="4366" max="4366" width="8.7109375" style="359" customWidth="1"/>
    <col min="4367" max="4367" width="10.42578125" style="359" customWidth="1"/>
    <col min="4368" max="4368" width="10.28515625" style="359" customWidth="1"/>
    <col min="4369" max="4608" width="11.42578125" style="359"/>
    <col min="4609" max="4609" width="7" style="359" customWidth="1"/>
    <col min="4610" max="4610" width="10.7109375" style="359" customWidth="1"/>
    <col min="4611" max="4611" width="10.5703125" style="359" customWidth="1"/>
    <col min="4612" max="4612" width="10.7109375" style="359" customWidth="1"/>
    <col min="4613" max="4613" width="10.28515625" style="359" customWidth="1"/>
    <col min="4614" max="4614" width="10.7109375" style="359" customWidth="1"/>
    <col min="4615" max="4615" width="9.42578125" style="359" customWidth="1"/>
    <col min="4616" max="4616" width="10.5703125" style="359" customWidth="1"/>
    <col min="4617" max="4617" width="13.7109375" style="359" customWidth="1"/>
    <col min="4618" max="4619" width="10.42578125" style="359" customWidth="1"/>
    <col min="4620" max="4620" width="10.28515625" style="359" customWidth="1"/>
    <col min="4621" max="4621" width="9.42578125" style="359" customWidth="1"/>
    <col min="4622" max="4622" width="8.7109375" style="359" customWidth="1"/>
    <col min="4623" max="4623" width="10.42578125" style="359" customWidth="1"/>
    <col min="4624" max="4624" width="10.28515625" style="359" customWidth="1"/>
    <col min="4625" max="4864" width="11.42578125" style="359"/>
    <col min="4865" max="4865" width="7" style="359" customWidth="1"/>
    <col min="4866" max="4866" width="10.7109375" style="359" customWidth="1"/>
    <col min="4867" max="4867" width="10.5703125" style="359" customWidth="1"/>
    <col min="4868" max="4868" width="10.7109375" style="359" customWidth="1"/>
    <col min="4869" max="4869" width="10.28515625" style="359" customWidth="1"/>
    <col min="4870" max="4870" width="10.7109375" style="359" customWidth="1"/>
    <col min="4871" max="4871" width="9.42578125" style="359" customWidth="1"/>
    <col min="4872" max="4872" width="10.5703125" style="359" customWidth="1"/>
    <col min="4873" max="4873" width="13.7109375" style="359" customWidth="1"/>
    <col min="4874" max="4875" width="10.42578125" style="359" customWidth="1"/>
    <col min="4876" max="4876" width="10.28515625" style="359" customWidth="1"/>
    <col min="4877" max="4877" width="9.42578125" style="359" customWidth="1"/>
    <col min="4878" max="4878" width="8.7109375" style="359" customWidth="1"/>
    <col min="4879" max="4879" width="10.42578125" style="359" customWidth="1"/>
    <col min="4880" max="4880" width="10.28515625" style="359" customWidth="1"/>
    <col min="4881" max="5120" width="11.42578125" style="359"/>
    <col min="5121" max="5121" width="7" style="359" customWidth="1"/>
    <col min="5122" max="5122" width="10.7109375" style="359" customWidth="1"/>
    <col min="5123" max="5123" width="10.5703125" style="359" customWidth="1"/>
    <col min="5124" max="5124" width="10.7109375" style="359" customWidth="1"/>
    <col min="5125" max="5125" width="10.28515625" style="359" customWidth="1"/>
    <col min="5126" max="5126" width="10.7109375" style="359" customWidth="1"/>
    <col min="5127" max="5127" width="9.42578125" style="359" customWidth="1"/>
    <col min="5128" max="5128" width="10.5703125" style="359" customWidth="1"/>
    <col min="5129" max="5129" width="13.7109375" style="359" customWidth="1"/>
    <col min="5130" max="5131" width="10.42578125" style="359" customWidth="1"/>
    <col min="5132" max="5132" width="10.28515625" style="359" customWidth="1"/>
    <col min="5133" max="5133" width="9.42578125" style="359" customWidth="1"/>
    <col min="5134" max="5134" width="8.7109375" style="359" customWidth="1"/>
    <col min="5135" max="5135" width="10.42578125" style="359" customWidth="1"/>
    <col min="5136" max="5136" width="10.28515625" style="359" customWidth="1"/>
    <col min="5137" max="5376" width="11.42578125" style="359"/>
    <col min="5377" max="5377" width="7" style="359" customWidth="1"/>
    <col min="5378" max="5378" width="10.7109375" style="359" customWidth="1"/>
    <col min="5379" max="5379" width="10.5703125" style="359" customWidth="1"/>
    <col min="5380" max="5380" width="10.7109375" style="359" customWidth="1"/>
    <col min="5381" max="5381" width="10.28515625" style="359" customWidth="1"/>
    <col min="5382" max="5382" width="10.7109375" style="359" customWidth="1"/>
    <col min="5383" max="5383" width="9.42578125" style="359" customWidth="1"/>
    <col min="5384" max="5384" width="10.5703125" style="359" customWidth="1"/>
    <col min="5385" max="5385" width="13.7109375" style="359" customWidth="1"/>
    <col min="5386" max="5387" width="10.42578125" style="359" customWidth="1"/>
    <col min="5388" max="5388" width="10.28515625" style="359" customWidth="1"/>
    <col min="5389" max="5389" width="9.42578125" style="359" customWidth="1"/>
    <col min="5390" max="5390" width="8.7109375" style="359" customWidth="1"/>
    <col min="5391" max="5391" width="10.42578125" style="359" customWidth="1"/>
    <col min="5392" max="5392" width="10.28515625" style="359" customWidth="1"/>
    <col min="5393" max="5632" width="11.42578125" style="359"/>
    <col min="5633" max="5633" width="7" style="359" customWidth="1"/>
    <col min="5634" max="5634" width="10.7109375" style="359" customWidth="1"/>
    <col min="5635" max="5635" width="10.5703125" style="359" customWidth="1"/>
    <col min="5636" max="5636" width="10.7109375" style="359" customWidth="1"/>
    <col min="5637" max="5637" width="10.28515625" style="359" customWidth="1"/>
    <col min="5638" max="5638" width="10.7109375" style="359" customWidth="1"/>
    <col min="5639" max="5639" width="9.42578125" style="359" customWidth="1"/>
    <col min="5640" max="5640" width="10.5703125" style="359" customWidth="1"/>
    <col min="5641" max="5641" width="13.7109375" style="359" customWidth="1"/>
    <col min="5642" max="5643" width="10.42578125" style="359" customWidth="1"/>
    <col min="5644" max="5644" width="10.28515625" style="359" customWidth="1"/>
    <col min="5645" max="5645" width="9.42578125" style="359" customWidth="1"/>
    <col min="5646" max="5646" width="8.7109375" style="359" customWidth="1"/>
    <col min="5647" max="5647" width="10.42578125" style="359" customWidth="1"/>
    <col min="5648" max="5648" width="10.28515625" style="359" customWidth="1"/>
    <col min="5649" max="5888" width="11.42578125" style="359"/>
    <col min="5889" max="5889" width="7" style="359" customWidth="1"/>
    <col min="5890" max="5890" width="10.7109375" style="359" customWidth="1"/>
    <col min="5891" max="5891" width="10.5703125" style="359" customWidth="1"/>
    <col min="5892" max="5892" width="10.7109375" style="359" customWidth="1"/>
    <col min="5893" max="5893" width="10.28515625" style="359" customWidth="1"/>
    <col min="5894" max="5894" width="10.7109375" style="359" customWidth="1"/>
    <col min="5895" max="5895" width="9.42578125" style="359" customWidth="1"/>
    <col min="5896" max="5896" width="10.5703125" style="359" customWidth="1"/>
    <col min="5897" max="5897" width="13.7109375" style="359" customWidth="1"/>
    <col min="5898" max="5899" width="10.42578125" style="359" customWidth="1"/>
    <col min="5900" max="5900" width="10.28515625" style="359" customWidth="1"/>
    <col min="5901" max="5901" width="9.42578125" style="359" customWidth="1"/>
    <col min="5902" max="5902" width="8.7109375" style="359" customWidth="1"/>
    <col min="5903" max="5903" width="10.42578125" style="359" customWidth="1"/>
    <col min="5904" max="5904" width="10.28515625" style="359" customWidth="1"/>
    <col min="5905" max="6144" width="11.42578125" style="359"/>
    <col min="6145" max="6145" width="7" style="359" customWidth="1"/>
    <col min="6146" max="6146" width="10.7109375" style="359" customWidth="1"/>
    <col min="6147" max="6147" width="10.5703125" style="359" customWidth="1"/>
    <col min="6148" max="6148" width="10.7109375" style="359" customWidth="1"/>
    <col min="6149" max="6149" width="10.28515625" style="359" customWidth="1"/>
    <col min="6150" max="6150" width="10.7109375" style="359" customWidth="1"/>
    <col min="6151" max="6151" width="9.42578125" style="359" customWidth="1"/>
    <col min="6152" max="6152" width="10.5703125" style="359" customWidth="1"/>
    <col min="6153" max="6153" width="13.7109375" style="359" customWidth="1"/>
    <col min="6154" max="6155" width="10.42578125" style="359" customWidth="1"/>
    <col min="6156" max="6156" width="10.28515625" style="359" customWidth="1"/>
    <col min="6157" max="6157" width="9.42578125" style="359" customWidth="1"/>
    <col min="6158" max="6158" width="8.7109375" style="359" customWidth="1"/>
    <col min="6159" max="6159" width="10.42578125" style="359" customWidth="1"/>
    <col min="6160" max="6160" width="10.28515625" style="359" customWidth="1"/>
    <col min="6161" max="6400" width="11.42578125" style="359"/>
    <col min="6401" max="6401" width="7" style="359" customWidth="1"/>
    <col min="6402" max="6402" width="10.7109375" style="359" customWidth="1"/>
    <col min="6403" max="6403" width="10.5703125" style="359" customWidth="1"/>
    <col min="6404" max="6404" width="10.7109375" style="359" customWidth="1"/>
    <col min="6405" max="6405" width="10.28515625" style="359" customWidth="1"/>
    <col min="6406" max="6406" width="10.7109375" style="359" customWidth="1"/>
    <col min="6407" max="6407" width="9.42578125" style="359" customWidth="1"/>
    <col min="6408" max="6408" width="10.5703125" style="359" customWidth="1"/>
    <col min="6409" max="6409" width="13.7109375" style="359" customWidth="1"/>
    <col min="6410" max="6411" width="10.42578125" style="359" customWidth="1"/>
    <col min="6412" max="6412" width="10.28515625" style="359" customWidth="1"/>
    <col min="6413" max="6413" width="9.42578125" style="359" customWidth="1"/>
    <col min="6414" max="6414" width="8.7109375" style="359" customWidth="1"/>
    <col min="6415" max="6415" width="10.42578125" style="359" customWidth="1"/>
    <col min="6416" max="6416" width="10.28515625" style="359" customWidth="1"/>
    <col min="6417" max="6656" width="11.42578125" style="359"/>
    <col min="6657" max="6657" width="7" style="359" customWidth="1"/>
    <col min="6658" max="6658" width="10.7109375" style="359" customWidth="1"/>
    <col min="6659" max="6659" width="10.5703125" style="359" customWidth="1"/>
    <col min="6660" max="6660" width="10.7109375" style="359" customWidth="1"/>
    <col min="6661" max="6661" width="10.28515625" style="359" customWidth="1"/>
    <col min="6662" max="6662" width="10.7109375" style="359" customWidth="1"/>
    <col min="6663" max="6663" width="9.42578125" style="359" customWidth="1"/>
    <col min="6664" max="6664" width="10.5703125" style="359" customWidth="1"/>
    <col min="6665" max="6665" width="13.7109375" style="359" customWidth="1"/>
    <col min="6666" max="6667" width="10.42578125" style="359" customWidth="1"/>
    <col min="6668" max="6668" width="10.28515625" style="359" customWidth="1"/>
    <col min="6669" max="6669" width="9.42578125" style="359" customWidth="1"/>
    <col min="6670" max="6670" width="8.7109375" style="359" customWidth="1"/>
    <col min="6671" max="6671" width="10.42578125" style="359" customWidth="1"/>
    <col min="6672" max="6672" width="10.28515625" style="359" customWidth="1"/>
    <col min="6673" max="6912" width="11.42578125" style="359"/>
    <col min="6913" max="6913" width="7" style="359" customWidth="1"/>
    <col min="6914" max="6914" width="10.7109375" style="359" customWidth="1"/>
    <col min="6915" max="6915" width="10.5703125" style="359" customWidth="1"/>
    <col min="6916" max="6916" width="10.7109375" style="359" customWidth="1"/>
    <col min="6917" max="6917" width="10.28515625" style="359" customWidth="1"/>
    <col min="6918" max="6918" width="10.7109375" style="359" customWidth="1"/>
    <col min="6919" max="6919" width="9.42578125" style="359" customWidth="1"/>
    <col min="6920" max="6920" width="10.5703125" style="359" customWidth="1"/>
    <col min="6921" max="6921" width="13.7109375" style="359" customWidth="1"/>
    <col min="6922" max="6923" width="10.42578125" style="359" customWidth="1"/>
    <col min="6924" max="6924" width="10.28515625" style="359" customWidth="1"/>
    <col min="6925" max="6925" width="9.42578125" style="359" customWidth="1"/>
    <col min="6926" max="6926" width="8.7109375" style="359" customWidth="1"/>
    <col min="6927" max="6927" width="10.42578125" style="359" customWidth="1"/>
    <col min="6928" max="6928" width="10.28515625" style="359" customWidth="1"/>
    <col min="6929" max="7168" width="11.42578125" style="359"/>
    <col min="7169" max="7169" width="7" style="359" customWidth="1"/>
    <col min="7170" max="7170" width="10.7109375" style="359" customWidth="1"/>
    <col min="7171" max="7171" width="10.5703125" style="359" customWidth="1"/>
    <col min="7172" max="7172" width="10.7109375" style="359" customWidth="1"/>
    <col min="7173" max="7173" width="10.28515625" style="359" customWidth="1"/>
    <col min="7174" max="7174" width="10.7109375" style="359" customWidth="1"/>
    <col min="7175" max="7175" width="9.42578125" style="359" customWidth="1"/>
    <col min="7176" max="7176" width="10.5703125" style="359" customWidth="1"/>
    <col min="7177" max="7177" width="13.7109375" style="359" customWidth="1"/>
    <col min="7178" max="7179" width="10.42578125" style="359" customWidth="1"/>
    <col min="7180" max="7180" width="10.28515625" style="359" customWidth="1"/>
    <col min="7181" max="7181" width="9.42578125" style="359" customWidth="1"/>
    <col min="7182" max="7182" width="8.7109375" style="359" customWidth="1"/>
    <col min="7183" max="7183" width="10.42578125" style="359" customWidth="1"/>
    <col min="7184" max="7184" width="10.28515625" style="359" customWidth="1"/>
    <col min="7185" max="7424" width="11.42578125" style="359"/>
    <col min="7425" max="7425" width="7" style="359" customWidth="1"/>
    <col min="7426" max="7426" width="10.7109375" style="359" customWidth="1"/>
    <col min="7427" max="7427" width="10.5703125" style="359" customWidth="1"/>
    <col min="7428" max="7428" width="10.7109375" style="359" customWidth="1"/>
    <col min="7429" max="7429" width="10.28515625" style="359" customWidth="1"/>
    <col min="7430" max="7430" width="10.7109375" style="359" customWidth="1"/>
    <col min="7431" max="7431" width="9.42578125" style="359" customWidth="1"/>
    <col min="7432" max="7432" width="10.5703125" style="359" customWidth="1"/>
    <col min="7433" max="7433" width="13.7109375" style="359" customWidth="1"/>
    <col min="7434" max="7435" width="10.42578125" style="359" customWidth="1"/>
    <col min="7436" max="7436" width="10.28515625" style="359" customWidth="1"/>
    <col min="7437" max="7437" width="9.42578125" style="359" customWidth="1"/>
    <col min="7438" max="7438" width="8.7109375" style="359" customWidth="1"/>
    <col min="7439" max="7439" width="10.42578125" style="359" customWidth="1"/>
    <col min="7440" max="7440" width="10.28515625" style="359" customWidth="1"/>
    <col min="7441" max="7680" width="11.42578125" style="359"/>
    <col min="7681" max="7681" width="7" style="359" customWidth="1"/>
    <col min="7682" max="7682" width="10.7109375" style="359" customWidth="1"/>
    <col min="7683" max="7683" width="10.5703125" style="359" customWidth="1"/>
    <col min="7684" max="7684" width="10.7109375" style="359" customWidth="1"/>
    <col min="7685" max="7685" width="10.28515625" style="359" customWidth="1"/>
    <col min="7686" max="7686" width="10.7109375" style="359" customWidth="1"/>
    <col min="7687" max="7687" width="9.42578125" style="359" customWidth="1"/>
    <col min="7688" max="7688" width="10.5703125" style="359" customWidth="1"/>
    <col min="7689" max="7689" width="13.7109375" style="359" customWidth="1"/>
    <col min="7690" max="7691" width="10.42578125" style="359" customWidth="1"/>
    <col min="7692" max="7692" width="10.28515625" style="359" customWidth="1"/>
    <col min="7693" max="7693" width="9.42578125" style="359" customWidth="1"/>
    <col min="7694" max="7694" width="8.7109375" style="359" customWidth="1"/>
    <col min="7695" max="7695" width="10.42578125" style="359" customWidth="1"/>
    <col min="7696" max="7696" width="10.28515625" style="359" customWidth="1"/>
    <col min="7697" max="7936" width="11.42578125" style="359"/>
    <col min="7937" max="7937" width="7" style="359" customWidth="1"/>
    <col min="7938" max="7938" width="10.7109375" style="359" customWidth="1"/>
    <col min="7939" max="7939" width="10.5703125" style="359" customWidth="1"/>
    <col min="7940" max="7940" width="10.7109375" style="359" customWidth="1"/>
    <col min="7941" max="7941" width="10.28515625" style="359" customWidth="1"/>
    <col min="7942" max="7942" width="10.7109375" style="359" customWidth="1"/>
    <col min="7943" max="7943" width="9.42578125" style="359" customWidth="1"/>
    <col min="7944" max="7944" width="10.5703125" style="359" customWidth="1"/>
    <col min="7945" max="7945" width="13.7109375" style="359" customWidth="1"/>
    <col min="7946" max="7947" width="10.42578125" style="359" customWidth="1"/>
    <col min="7948" max="7948" width="10.28515625" style="359" customWidth="1"/>
    <col min="7949" max="7949" width="9.42578125" style="359" customWidth="1"/>
    <col min="7950" max="7950" width="8.7109375" style="359" customWidth="1"/>
    <col min="7951" max="7951" width="10.42578125" style="359" customWidth="1"/>
    <col min="7952" max="7952" width="10.28515625" style="359" customWidth="1"/>
    <col min="7953" max="8192" width="11.42578125" style="359"/>
    <col min="8193" max="8193" width="7" style="359" customWidth="1"/>
    <col min="8194" max="8194" width="10.7109375" style="359" customWidth="1"/>
    <col min="8195" max="8195" width="10.5703125" style="359" customWidth="1"/>
    <col min="8196" max="8196" width="10.7109375" style="359" customWidth="1"/>
    <col min="8197" max="8197" width="10.28515625" style="359" customWidth="1"/>
    <col min="8198" max="8198" width="10.7109375" style="359" customWidth="1"/>
    <col min="8199" max="8199" width="9.42578125" style="359" customWidth="1"/>
    <col min="8200" max="8200" width="10.5703125" style="359" customWidth="1"/>
    <col min="8201" max="8201" width="13.7109375" style="359" customWidth="1"/>
    <col min="8202" max="8203" width="10.42578125" style="359" customWidth="1"/>
    <col min="8204" max="8204" width="10.28515625" style="359" customWidth="1"/>
    <col min="8205" max="8205" width="9.42578125" style="359" customWidth="1"/>
    <col min="8206" max="8206" width="8.7109375" style="359" customWidth="1"/>
    <col min="8207" max="8207" width="10.42578125" style="359" customWidth="1"/>
    <col min="8208" max="8208" width="10.28515625" style="359" customWidth="1"/>
    <col min="8209" max="8448" width="11.42578125" style="359"/>
    <col min="8449" max="8449" width="7" style="359" customWidth="1"/>
    <col min="8450" max="8450" width="10.7109375" style="359" customWidth="1"/>
    <col min="8451" max="8451" width="10.5703125" style="359" customWidth="1"/>
    <col min="8452" max="8452" width="10.7109375" style="359" customWidth="1"/>
    <col min="8453" max="8453" width="10.28515625" style="359" customWidth="1"/>
    <col min="8454" max="8454" width="10.7109375" style="359" customWidth="1"/>
    <col min="8455" max="8455" width="9.42578125" style="359" customWidth="1"/>
    <col min="8456" max="8456" width="10.5703125" style="359" customWidth="1"/>
    <col min="8457" max="8457" width="13.7109375" style="359" customWidth="1"/>
    <col min="8458" max="8459" width="10.42578125" style="359" customWidth="1"/>
    <col min="8460" max="8460" width="10.28515625" style="359" customWidth="1"/>
    <col min="8461" max="8461" width="9.42578125" style="359" customWidth="1"/>
    <col min="8462" max="8462" width="8.7109375" style="359" customWidth="1"/>
    <col min="8463" max="8463" width="10.42578125" style="359" customWidth="1"/>
    <col min="8464" max="8464" width="10.28515625" style="359" customWidth="1"/>
    <col min="8465" max="8704" width="11.42578125" style="359"/>
    <col min="8705" max="8705" width="7" style="359" customWidth="1"/>
    <col min="8706" max="8706" width="10.7109375" style="359" customWidth="1"/>
    <col min="8707" max="8707" width="10.5703125" style="359" customWidth="1"/>
    <col min="8708" max="8708" width="10.7109375" style="359" customWidth="1"/>
    <col min="8709" max="8709" width="10.28515625" style="359" customWidth="1"/>
    <col min="8710" max="8710" width="10.7109375" style="359" customWidth="1"/>
    <col min="8711" max="8711" width="9.42578125" style="359" customWidth="1"/>
    <col min="8712" max="8712" width="10.5703125" style="359" customWidth="1"/>
    <col min="8713" max="8713" width="13.7109375" style="359" customWidth="1"/>
    <col min="8714" max="8715" width="10.42578125" style="359" customWidth="1"/>
    <col min="8716" max="8716" width="10.28515625" style="359" customWidth="1"/>
    <col min="8717" max="8717" width="9.42578125" style="359" customWidth="1"/>
    <col min="8718" max="8718" width="8.7109375" style="359" customWidth="1"/>
    <col min="8719" max="8719" width="10.42578125" style="359" customWidth="1"/>
    <col min="8720" max="8720" width="10.28515625" style="359" customWidth="1"/>
    <col min="8721" max="8960" width="11.42578125" style="359"/>
    <col min="8961" max="8961" width="7" style="359" customWidth="1"/>
    <col min="8962" max="8962" width="10.7109375" style="359" customWidth="1"/>
    <col min="8963" max="8963" width="10.5703125" style="359" customWidth="1"/>
    <col min="8964" max="8964" width="10.7109375" style="359" customWidth="1"/>
    <col min="8965" max="8965" width="10.28515625" style="359" customWidth="1"/>
    <col min="8966" max="8966" width="10.7109375" style="359" customWidth="1"/>
    <col min="8967" max="8967" width="9.42578125" style="359" customWidth="1"/>
    <col min="8968" max="8968" width="10.5703125" style="359" customWidth="1"/>
    <col min="8969" max="8969" width="13.7109375" style="359" customWidth="1"/>
    <col min="8970" max="8971" width="10.42578125" style="359" customWidth="1"/>
    <col min="8972" max="8972" width="10.28515625" style="359" customWidth="1"/>
    <col min="8973" max="8973" width="9.42578125" style="359" customWidth="1"/>
    <col min="8974" max="8974" width="8.7109375" style="359" customWidth="1"/>
    <col min="8975" max="8975" width="10.42578125" style="359" customWidth="1"/>
    <col min="8976" max="8976" width="10.28515625" style="359" customWidth="1"/>
    <col min="8977" max="9216" width="11.42578125" style="359"/>
    <col min="9217" max="9217" width="7" style="359" customWidth="1"/>
    <col min="9218" max="9218" width="10.7109375" style="359" customWidth="1"/>
    <col min="9219" max="9219" width="10.5703125" style="359" customWidth="1"/>
    <col min="9220" max="9220" width="10.7109375" style="359" customWidth="1"/>
    <col min="9221" max="9221" width="10.28515625" style="359" customWidth="1"/>
    <col min="9222" max="9222" width="10.7109375" style="359" customWidth="1"/>
    <col min="9223" max="9223" width="9.42578125" style="359" customWidth="1"/>
    <col min="9224" max="9224" width="10.5703125" style="359" customWidth="1"/>
    <col min="9225" max="9225" width="13.7109375" style="359" customWidth="1"/>
    <col min="9226" max="9227" width="10.42578125" style="359" customWidth="1"/>
    <col min="9228" max="9228" width="10.28515625" style="359" customWidth="1"/>
    <col min="9229" max="9229" width="9.42578125" style="359" customWidth="1"/>
    <col min="9230" max="9230" width="8.7109375" style="359" customWidth="1"/>
    <col min="9231" max="9231" width="10.42578125" style="359" customWidth="1"/>
    <col min="9232" max="9232" width="10.28515625" style="359" customWidth="1"/>
    <col min="9233" max="9472" width="11.42578125" style="359"/>
    <col min="9473" max="9473" width="7" style="359" customWidth="1"/>
    <col min="9474" max="9474" width="10.7109375" style="359" customWidth="1"/>
    <col min="9475" max="9475" width="10.5703125" style="359" customWidth="1"/>
    <col min="9476" max="9476" width="10.7109375" style="359" customWidth="1"/>
    <col min="9477" max="9477" width="10.28515625" style="359" customWidth="1"/>
    <col min="9478" max="9478" width="10.7109375" style="359" customWidth="1"/>
    <col min="9479" max="9479" width="9.42578125" style="359" customWidth="1"/>
    <col min="9480" max="9480" width="10.5703125" style="359" customWidth="1"/>
    <col min="9481" max="9481" width="13.7109375" style="359" customWidth="1"/>
    <col min="9482" max="9483" width="10.42578125" style="359" customWidth="1"/>
    <col min="9484" max="9484" width="10.28515625" style="359" customWidth="1"/>
    <col min="9485" max="9485" width="9.42578125" style="359" customWidth="1"/>
    <col min="9486" max="9486" width="8.7109375" style="359" customWidth="1"/>
    <col min="9487" max="9487" width="10.42578125" style="359" customWidth="1"/>
    <col min="9488" max="9488" width="10.28515625" style="359" customWidth="1"/>
    <col min="9489" max="9728" width="11.42578125" style="359"/>
    <col min="9729" max="9729" width="7" style="359" customWidth="1"/>
    <col min="9730" max="9730" width="10.7109375" style="359" customWidth="1"/>
    <col min="9731" max="9731" width="10.5703125" style="359" customWidth="1"/>
    <col min="9732" max="9732" width="10.7109375" style="359" customWidth="1"/>
    <col min="9733" max="9733" width="10.28515625" style="359" customWidth="1"/>
    <col min="9734" max="9734" width="10.7109375" style="359" customWidth="1"/>
    <col min="9735" max="9735" width="9.42578125" style="359" customWidth="1"/>
    <col min="9736" max="9736" width="10.5703125" style="359" customWidth="1"/>
    <col min="9737" max="9737" width="13.7109375" style="359" customWidth="1"/>
    <col min="9738" max="9739" width="10.42578125" style="359" customWidth="1"/>
    <col min="9740" max="9740" width="10.28515625" style="359" customWidth="1"/>
    <col min="9741" max="9741" width="9.42578125" style="359" customWidth="1"/>
    <col min="9742" max="9742" width="8.7109375" style="359" customWidth="1"/>
    <col min="9743" max="9743" width="10.42578125" style="359" customWidth="1"/>
    <col min="9744" max="9744" width="10.28515625" style="359" customWidth="1"/>
    <col min="9745" max="9984" width="11.42578125" style="359"/>
    <col min="9985" max="9985" width="7" style="359" customWidth="1"/>
    <col min="9986" max="9986" width="10.7109375" style="359" customWidth="1"/>
    <col min="9987" max="9987" width="10.5703125" style="359" customWidth="1"/>
    <col min="9988" max="9988" width="10.7109375" style="359" customWidth="1"/>
    <col min="9989" max="9989" width="10.28515625" style="359" customWidth="1"/>
    <col min="9990" max="9990" width="10.7109375" style="359" customWidth="1"/>
    <col min="9991" max="9991" width="9.42578125" style="359" customWidth="1"/>
    <col min="9992" max="9992" width="10.5703125" style="359" customWidth="1"/>
    <col min="9993" max="9993" width="13.7109375" style="359" customWidth="1"/>
    <col min="9994" max="9995" width="10.42578125" style="359" customWidth="1"/>
    <col min="9996" max="9996" width="10.28515625" style="359" customWidth="1"/>
    <col min="9997" max="9997" width="9.42578125" style="359" customWidth="1"/>
    <col min="9998" max="9998" width="8.7109375" style="359" customWidth="1"/>
    <col min="9999" max="9999" width="10.42578125" style="359" customWidth="1"/>
    <col min="10000" max="10000" width="10.28515625" style="359" customWidth="1"/>
    <col min="10001" max="10240" width="11.42578125" style="359"/>
    <col min="10241" max="10241" width="7" style="359" customWidth="1"/>
    <col min="10242" max="10242" width="10.7109375" style="359" customWidth="1"/>
    <col min="10243" max="10243" width="10.5703125" style="359" customWidth="1"/>
    <col min="10244" max="10244" width="10.7109375" style="359" customWidth="1"/>
    <col min="10245" max="10245" width="10.28515625" style="359" customWidth="1"/>
    <col min="10246" max="10246" width="10.7109375" style="359" customWidth="1"/>
    <col min="10247" max="10247" width="9.42578125" style="359" customWidth="1"/>
    <col min="10248" max="10248" width="10.5703125" style="359" customWidth="1"/>
    <col min="10249" max="10249" width="13.7109375" style="359" customWidth="1"/>
    <col min="10250" max="10251" width="10.42578125" style="359" customWidth="1"/>
    <col min="10252" max="10252" width="10.28515625" style="359" customWidth="1"/>
    <col min="10253" max="10253" width="9.42578125" style="359" customWidth="1"/>
    <col min="10254" max="10254" width="8.7109375" style="359" customWidth="1"/>
    <col min="10255" max="10255" width="10.42578125" style="359" customWidth="1"/>
    <col min="10256" max="10256" width="10.28515625" style="359" customWidth="1"/>
    <col min="10257" max="10496" width="11.42578125" style="359"/>
    <col min="10497" max="10497" width="7" style="359" customWidth="1"/>
    <col min="10498" max="10498" width="10.7109375" style="359" customWidth="1"/>
    <col min="10499" max="10499" width="10.5703125" style="359" customWidth="1"/>
    <col min="10500" max="10500" width="10.7109375" style="359" customWidth="1"/>
    <col min="10501" max="10501" width="10.28515625" style="359" customWidth="1"/>
    <col min="10502" max="10502" width="10.7109375" style="359" customWidth="1"/>
    <col min="10503" max="10503" width="9.42578125" style="359" customWidth="1"/>
    <col min="10504" max="10504" width="10.5703125" style="359" customWidth="1"/>
    <col min="10505" max="10505" width="13.7109375" style="359" customWidth="1"/>
    <col min="10506" max="10507" width="10.42578125" style="359" customWidth="1"/>
    <col min="10508" max="10508" width="10.28515625" style="359" customWidth="1"/>
    <col min="10509" max="10509" width="9.42578125" style="359" customWidth="1"/>
    <col min="10510" max="10510" width="8.7109375" style="359" customWidth="1"/>
    <col min="10511" max="10511" width="10.42578125" style="359" customWidth="1"/>
    <col min="10512" max="10512" width="10.28515625" style="359" customWidth="1"/>
    <col min="10513" max="10752" width="11.42578125" style="359"/>
    <col min="10753" max="10753" width="7" style="359" customWidth="1"/>
    <col min="10754" max="10754" width="10.7109375" style="359" customWidth="1"/>
    <col min="10755" max="10755" width="10.5703125" style="359" customWidth="1"/>
    <col min="10756" max="10756" width="10.7109375" style="359" customWidth="1"/>
    <col min="10757" max="10757" width="10.28515625" style="359" customWidth="1"/>
    <col min="10758" max="10758" width="10.7109375" style="359" customWidth="1"/>
    <col min="10759" max="10759" width="9.42578125" style="359" customWidth="1"/>
    <col min="10760" max="10760" width="10.5703125" style="359" customWidth="1"/>
    <col min="10761" max="10761" width="13.7109375" style="359" customWidth="1"/>
    <col min="10762" max="10763" width="10.42578125" style="359" customWidth="1"/>
    <col min="10764" max="10764" width="10.28515625" style="359" customWidth="1"/>
    <col min="10765" max="10765" width="9.42578125" style="359" customWidth="1"/>
    <col min="10766" max="10766" width="8.7109375" style="359" customWidth="1"/>
    <col min="10767" max="10767" width="10.42578125" style="359" customWidth="1"/>
    <col min="10768" max="10768" width="10.28515625" style="359" customWidth="1"/>
    <col min="10769" max="11008" width="11.42578125" style="359"/>
    <col min="11009" max="11009" width="7" style="359" customWidth="1"/>
    <col min="11010" max="11010" width="10.7109375" style="359" customWidth="1"/>
    <col min="11011" max="11011" width="10.5703125" style="359" customWidth="1"/>
    <col min="11012" max="11012" width="10.7109375" style="359" customWidth="1"/>
    <col min="11013" max="11013" width="10.28515625" style="359" customWidth="1"/>
    <col min="11014" max="11014" width="10.7109375" style="359" customWidth="1"/>
    <col min="11015" max="11015" width="9.42578125" style="359" customWidth="1"/>
    <col min="11016" max="11016" width="10.5703125" style="359" customWidth="1"/>
    <col min="11017" max="11017" width="13.7109375" style="359" customWidth="1"/>
    <col min="11018" max="11019" width="10.42578125" style="359" customWidth="1"/>
    <col min="11020" max="11020" width="10.28515625" style="359" customWidth="1"/>
    <col min="11021" max="11021" width="9.42578125" style="359" customWidth="1"/>
    <col min="11022" max="11022" width="8.7109375" style="359" customWidth="1"/>
    <col min="11023" max="11023" width="10.42578125" style="359" customWidth="1"/>
    <col min="11024" max="11024" width="10.28515625" style="359" customWidth="1"/>
    <col min="11025" max="11264" width="11.42578125" style="359"/>
    <col min="11265" max="11265" width="7" style="359" customWidth="1"/>
    <col min="11266" max="11266" width="10.7109375" style="359" customWidth="1"/>
    <col min="11267" max="11267" width="10.5703125" style="359" customWidth="1"/>
    <col min="11268" max="11268" width="10.7109375" style="359" customWidth="1"/>
    <col min="11269" max="11269" width="10.28515625" style="359" customWidth="1"/>
    <col min="11270" max="11270" width="10.7109375" style="359" customWidth="1"/>
    <col min="11271" max="11271" width="9.42578125" style="359" customWidth="1"/>
    <col min="11272" max="11272" width="10.5703125" style="359" customWidth="1"/>
    <col min="11273" max="11273" width="13.7109375" style="359" customWidth="1"/>
    <col min="11274" max="11275" width="10.42578125" style="359" customWidth="1"/>
    <col min="11276" max="11276" width="10.28515625" style="359" customWidth="1"/>
    <col min="11277" max="11277" width="9.42578125" style="359" customWidth="1"/>
    <col min="11278" max="11278" width="8.7109375" style="359" customWidth="1"/>
    <col min="11279" max="11279" width="10.42578125" style="359" customWidth="1"/>
    <col min="11280" max="11280" width="10.28515625" style="359" customWidth="1"/>
    <col min="11281" max="11520" width="11.42578125" style="359"/>
    <col min="11521" max="11521" width="7" style="359" customWidth="1"/>
    <col min="11522" max="11522" width="10.7109375" style="359" customWidth="1"/>
    <col min="11523" max="11523" width="10.5703125" style="359" customWidth="1"/>
    <col min="11524" max="11524" width="10.7109375" style="359" customWidth="1"/>
    <col min="11525" max="11525" width="10.28515625" style="359" customWidth="1"/>
    <col min="11526" max="11526" width="10.7109375" style="359" customWidth="1"/>
    <col min="11527" max="11527" width="9.42578125" style="359" customWidth="1"/>
    <col min="11528" max="11528" width="10.5703125" style="359" customWidth="1"/>
    <col min="11529" max="11529" width="13.7109375" style="359" customWidth="1"/>
    <col min="11530" max="11531" width="10.42578125" style="359" customWidth="1"/>
    <col min="11532" max="11532" width="10.28515625" style="359" customWidth="1"/>
    <col min="11533" max="11533" width="9.42578125" style="359" customWidth="1"/>
    <col min="11534" max="11534" width="8.7109375" style="359" customWidth="1"/>
    <col min="11535" max="11535" width="10.42578125" style="359" customWidth="1"/>
    <col min="11536" max="11536" width="10.28515625" style="359" customWidth="1"/>
    <col min="11537" max="11776" width="11.42578125" style="359"/>
    <col min="11777" max="11777" width="7" style="359" customWidth="1"/>
    <col min="11778" max="11778" width="10.7109375" style="359" customWidth="1"/>
    <col min="11779" max="11779" width="10.5703125" style="359" customWidth="1"/>
    <col min="11780" max="11780" width="10.7109375" style="359" customWidth="1"/>
    <col min="11781" max="11781" width="10.28515625" style="359" customWidth="1"/>
    <col min="11782" max="11782" width="10.7109375" style="359" customWidth="1"/>
    <col min="11783" max="11783" width="9.42578125" style="359" customWidth="1"/>
    <col min="11784" max="11784" width="10.5703125" style="359" customWidth="1"/>
    <col min="11785" max="11785" width="13.7109375" style="359" customWidth="1"/>
    <col min="11786" max="11787" width="10.42578125" style="359" customWidth="1"/>
    <col min="11788" max="11788" width="10.28515625" style="359" customWidth="1"/>
    <col min="11789" max="11789" width="9.42578125" style="359" customWidth="1"/>
    <col min="11790" max="11790" width="8.7109375" style="359" customWidth="1"/>
    <col min="11791" max="11791" width="10.42578125" style="359" customWidth="1"/>
    <col min="11792" max="11792" width="10.28515625" style="359" customWidth="1"/>
    <col min="11793" max="12032" width="11.42578125" style="359"/>
    <col min="12033" max="12033" width="7" style="359" customWidth="1"/>
    <col min="12034" max="12034" width="10.7109375" style="359" customWidth="1"/>
    <col min="12035" max="12035" width="10.5703125" style="359" customWidth="1"/>
    <col min="12036" max="12036" width="10.7109375" style="359" customWidth="1"/>
    <col min="12037" max="12037" width="10.28515625" style="359" customWidth="1"/>
    <col min="12038" max="12038" width="10.7109375" style="359" customWidth="1"/>
    <col min="12039" max="12039" width="9.42578125" style="359" customWidth="1"/>
    <col min="12040" max="12040" width="10.5703125" style="359" customWidth="1"/>
    <col min="12041" max="12041" width="13.7109375" style="359" customWidth="1"/>
    <col min="12042" max="12043" width="10.42578125" style="359" customWidth="1"/>
    <col min="12044" max="12044" width="10.28515625" style="359" customWidth="1"/>
    <col min="12045" max="12045" width="9.42578125" style="359" customWidth="1"/>
    <col min="12046" max="12046" width="8.7109375" style="359" customWidth="1"/>
    <col min="12047" max="12047" width="10.42578125" style="359" customWidth="1"/>
    <col min="12048" max="12048" width="10.28515625" style="359" customWidth="1"/>
    <col min="12049" max="12288" width="11.42578125" style="359"/>
    <col min="12289" max="12289" width="7" style="359" customWidth="1"/>
    <col min="12290" max="12290" width="10.7109375" style="359" customWidth="1"/>
    <col min="12291" max="12291" width="10.5703125" style="359" customWidth="1"/>
    <col min="12292" max="12292" width="10.7109375" style="359" customWidth="1"/>
    <col min="12293" max="12293" width="10.28515625" style="359" customWidth="1"/>
    <col min="12294" max="12294" width="10.7109375" style="359" customWidth="1"/>
    <col min="12295" max="12295" width="9.42578125" style="359" customWidth="1"/>
    <col min="12296" max="12296" width="10.5703125" style="359" customWidth="1"/>
    <col min="12297" max="12297" width="13.7109375" style="359" customWidth="1"/>
    <col min="12298" max="12299" width="10.42578125" style="359" customWidth="1"/>
    <col min="12300" max="12300" width="10.28515625" style="359" customWidth="1"/>
    <col min="12301" max="12301" width="9.42578125" style="359" customWidth="1"/>
    <col min="12302" max="12302" width="8.7109375" style="359" customWidth="1"/>
    <col min="12303" max="12303" width="10.42578125" style="359" customWidth="1"/>
    <col min="12304" max="12304" width="10.28515625" style="359" customWidth="1"/>
    <col min="12305" max="12544" width="11.42578125" style="359"/>
    <col min="12545" max="12545" width="7" style="359" customWidth="1"/>
    <col min="12546" max="12546" width="10.7109375" style="359" customWidth="1"/>
    <col min="12547" max="12547" width="10.5703125" style="359" customWidth="1"/>
    <col min="12548" max="12548" width="10.7109375" style="359" customWidth="1"/>
    <col min="12549" max="12549" width="10.28515625" style="359" customWidth="1"/>
    <col min="12550" max="12550" width="10.7109375" style="359" customWidth="1"/>
    <col min="12551" max="12551" width="9.42578125" style="359" customWidth="1"/>
    <col min="12552" max="12552" width="10.5703125" style="359" customWidth="1"/>
    <col min="12553" max="12553" width="13.7109375" style="359" customWidth="1"/>
    <col min="12554" max="12555" width="10.42578125" style="359" customWidth="1"/>
    <col min="12556" max="12556" width="10.28515625" style="359" customWidth="1"/>
    <col min="12557" max="12557" width="9.42578125" style="359" customWidth="1"/>
    <col min="12558" max="12558" width="8.7109375" style="359" customWidth="1"/>
    <col min="12559" max="12559" width="10.42578125" style="359" customWidth="1"/>
    <col min="12560" max="12560" width="10.28515625" style="359" customWidth="1"/>
    <col min="12561" max="12800" width="11.42578125" style="359"/>
    <col min="12801" max="12801" width="7" style="359" customWidth="1"/>
    <col min="12802" max="12802" width="10.7109375" style="359" customWidth="1"/>
    <col min="12803" max="12803" width="10.5703125" style="359" customWidth="1"/>
    <col min="12804" max="12804" width="10.7109375" style="359" customWidth="1"/>
    <col min="12805" max="12805" width="10.28515625" style="359" customWidth="1"/>
    <col min="12806" max="12806" width="10.7109375" style="359" customWidth="1"/>
    <col min="12807" max="12807" width="9.42578125" style="359" customWidth="1"/>
    <col min="12808" max="12808" width="10.5703125" style="359" customWidth="1"/>
    <col min="12809" max="12809" width="13.7109375" style="359" customWidth="1"/>
    <col min="12810" max="12811" width="10.42578125" style="359" customWidth="1"/>
    <col min="12812" max="12812" width="10.28515625" style="359" customWidth="1"/>
    <col min="12813" max="12813" width="9.42578125" style="359" customWidth="1"/>
    <col min="12814" max="12814" width="8.7109375" style="359" customWidth="1"/>
    <col min="12815" max="12815" width="10.42578125" style="359" customWidth="1"/>
    <col min="12816" max="12816" width="10.28515625" style="359" customWidth="1"/>
    <col min="12817" max="13056" width="11.42578125" style="359"/>
    <col min="13057" max="13057" width="7" style="359" customWidth="1"/>
    <col min="13058" max="13058" width="10.7109375" style="359" customWidth="1"/>
    <col min="13059" max="13059" width="10.5703125" style="359" customWidth="1"/>
    <col min="13060" max="13060" width="10.7109375" style="359" customWidth="1"/>
    <col min="13061" max="13061" width="10.28515625" style="359" customWidth="1"/>
    <col min="13062" max="13062" width="10.7109375" style="359" customWidth="1"/>
    <col min="13063" max="13063" width="9.42578125" style="359" customWidth="1"/>
    <col min="13064" max="13064" width="10.5703125" style="359" customWidth="1"/>
    <col min="13065" max="13065" width="13.7109375" style="359" customWidth="1"/>
    <col min="13066" max="13067" width="10.42578125" style="359" customWidth="1"/>
    <col min="13068" max="13068" width="10.28515625" style="359" customWidth="1"/>
    <col min="13069" max="13069" width="9.42578125" style="359" customWidth="1"/>
    <col min="13070" max="13070" width="8.7109375" style="359" customWidth="1"/>
    <col min="13071" max="13071" width="10.42578125" style="359" customWidth="1"/>
    <col min="13072" max="13072" width="10.28515625" style="359" customWidth="1"/>
    <col min="13073" max="13312" width="11.42578125" style="359"/>
    <col min="13313" max="13313" width="7" style="359" customWidth="1"/>
    <col min="13314" max="13314" width="10.7109375" style="359" customWidth="1"/>
    <col min="13315" max="13315" width="10.5703125" style="359" customWidth="1"/>
    <col min="13316" max="13316" width="10.7109375" style="359" customWidth="1"/>
    <col min="13317" max="13317" width="10.28515625" style="359" customWidth="1"/>
    <col min="13318" max="13318" width="10.7109375" style="359" customWidth="1"/>
    <col min="13319" max="13319" width="9.42578125" style="359" customWidth="1"/>
    <col min="13320" max="13320" width="10.5703125" style="359" customWidth="1"/>
    <col min="13321" max="13321" width="13.7109375" style="359" customWidth="1"/>
    <col min="13322" max="13323" width="10.42578125" style="359" customWidth="1"/>
    <col min="13324" max="13324" width="10.28515625" style="359" customWidth="1"/>
    <col min="13325" max="13325" width="9.42578125" style="359" customWidth="1"/>
    <col min="13326" max="13326" width="8.7109375" style="359" customWidth="1"/>
    <col min="13327" max="13327" width="10.42578125" style="359" customWidth="1"/>
    <col min="13328" max="13328" width="10.28515625" style="359" customWidth="1"/>
    <col min="13329" max="13568" width="11.42578125" style="359"/>
    <col min="13569" max="13569" width="7" style="359" customWidth="1"/>
    <col min="13570" max="13570" width="10.7109375" style="359" customWidth="1"/>
    <col min="13571" max="13571" width="10.5703125" style="359" customWidth="1"/>
    <col min="13572" max="13572" width="10.7109375" style="359" customWidth="1"/>
    <col min="13573" max="13573" width="10.28515625" style="359" customWidth="1"/>
    <col min="13574" max="13574" width="10.7109375" style="359" customWidth="1"/>
    <col min="13575" max="13575" width="9.42578125" style="359" customWidth="1"/>
    <col min="13576" max="13576" width="10.5703125" style="359" customWidth="1"/>
    <col min="13577" max="13577" width="13.7109375" style="359" customWidth="1"/>
    <col min="13578" max="13579" width="10.42578125" style="359" customWidth="1"/>
    <col min="13580" max="13580" width="10.28515625" style="359" customWidth="1"/>
    <col min="13581" max="13581" width="9.42578125" style="359" customWidth="1"/>
    <col min="13582" max="13582" width="8.7109375" style="359" customWidth="1"/>
    <col min="13583" max="13583" width="10.42578125" style="359" customWidth="1"/>
    <col min="13584" max="13584" width="10.28515625" style="359" customWidth="1"/>
    <col min="13585" max="13824" width="11.42578125" style="359"/>
    <col min="13825" max="13825" width="7" style="359" customWidth="1"/>
    <col min="13826" max="13826" width="10.7109375" style="359" customWidth="1"/>
    <col min="13827" max="13827" width="10.5703125" style="359" customWidth="1"/>
    <col min="13828" max="13828" width="10.7109375" style="359" customWidth="1"/>
    <col min="13829" max="13829" width="10.28515625" style="359" customWidth="1"/>
    <col min="13830" max="13830" width="10.7109375" style="359" customWidth="1"/>
    <col min="13831" max="13831" width="9.42578125" style="359" customWidth="1"/>
    <col min="13832" max="13832" width="10.5703125" style="359" customWidth="1"/>
    <col min="13833" max="13833" width="13.7109375" style="359" customWidth="1"/>
    <col min="13834" max="13835" width="10.42578125" style="359" customWidth="1"/>
    <col min="13836" max="13836" width="10.28515625" style="359" customWidth="1"/>
    <col min="13837" max="13837" width="9.42578125" style="359" customWidth="1"/>
    <col min="13838" max="13838" width="8.7109375" style="359" customWidth="1"/>
    <col min="13839" max="13839" width="10.42578125" style="359" customWidth="1"/>
    <col min="13840" max="13840" width="10.28515625" style="359" customWidth="1"/>
    <col min="13841" max="14080" width="11.42578125" style="359"/>
    <col min="14081" max="14081" width="7" style="359" customWidth="1"/>
    <col min="14082" max="14082" width="10.7109375" style="359" customWidth="1"/>
    <col min="14083" max="14083" width="10.5703125" style="359" customWidth="1"/>
    <col min="14084" max="14084" width="10.7109375" style="359" customWidth="1"/>
    <col min="14085" max="14085" width="10.28515625" style="359" customWidth="1"/>
    <col min="14086" max="14086" width="10.7109375" style="359" customWidth="1"/>
    <col min="14087" max="14087" width="9.42578125" style="359" customWidth="1"/>
    <col min="14088" max="14088" width="10.5703125" style="359" customWidth="1"/>
    <col min="14089" max="14089" width="13.7109375" style="359" customWidth="1"/>
    <col min="14090" max="14091" width="10.42578125" style="359" customWidth="1"/>
    <col min="14092" max="14092" width="10.28515625" style="359" customWidth="1"/>
    <col min="14093" max="14093" width="9.42578125" style="359" customWidth="1"/>
    <col min="14094" max="14094" width="8.7109375" style="359" customWidth="1"/>
    <col min="14095" max="14095" width="10.42578125" style="359" customWidth="1"/>
    <col min="14096" max="14096" width="10.28515625" style="359" customWidth="1"/>
    <col min="14097" max="14336" width="11.42578125" style="359"/>
    <col min="14337" max="14337" width="7" style="359" customWidth="1"/>
    <col min="14338" max="14338" width="10.7109375" style="359" customWidth="1"/>
    <col min="14339" max="14339" width="10.5703125" style="359" customWidth="1"/>
    <col min="14340" max="14340" width="10.7109375" style="359" customWidth="1"/>
    <col min="14341" max="14341" width="10.28515625" style="359" customWidth="1"/>
    <col min="14342" max="14342" width="10.7109375" style="359" customWidth="1"/>
    <col min="14343" max="14343" width="9.42578125" style="359" customWidth="1"/>
    <col min="14344" max="14344" width="10.5703125" style="359" customWidth="1"/>
    <col min="14345" max="14345" width="13.7109375" style="359" customWidth="1"/>
    <col min="14346" max="14347" width="10.42578125" style="359" customWidth="1"/>
    <col min="14348" max="14348" width="10.28515625" style="359" customWidth="1"/>
    <col min="14349" max="14349" width="9.42578125" style="359" customWidth="1"/>
    <col min="14350" max="14350" width="8.7109375" style="359" customWidth="1"/>
    <col min="14351" max="14351" width="10.42578125" style="359" customWidth="1"/>
    <col min="14352" max="14352" width="10.28515625" style="359" customWidth="1"/>
    <col min="14353" max="14592" width="11.42578125" style="359"/>
    <col min="14593" max="14593" width="7" style="359" customWidth="1"/>
    <col min="14594" max="14594" width="10.7109375" style="359" customWidth="1"/>
    <col min="14595" max="14595" width="10.5703125" style="359" customWidth="1"/>
    <col min="14596" max="14596" width="10.7109375" style="359" customWidth="1"/>
    <col min="14597" max="14597" width="10.28515625" style="359" customWidth="1"/>
    <col min="14598" max="14598" width="10.7109375" style="359" customWidth="1"/>
    <col min="14599" max="14599" width="9.42578125" style="359" customWidth="1"/>
    <col min="14600" max="14600" width="10.5703125" style="359" customWidth="1"/>
    <col min="14601" max="14601" width="13.7109375" style="359" customWidth="1"/>
    <col min="14602" max="14603" width="10.42578125" style="359" customWidth="1"/>
    <col min="14604" max="14604" width="10.28515625" style="359" customWidth="1"/>
    <col min="14605" max="14605" width="9.42578125" style="359" customWidth="1"/>
    <col min="14606" max="14606" width="8.7109375" style="359" customWidth="1"/>
    <col min="14607" max="14607" width="10.42578125" style="359" customWidth="1"/>
    <col min="14608" max="14608" width="10.28515625" style="359" customWidth="1"/>
    <col min="14609" max="14848" width="11.42578125" style="359"/>
    <col min="14849" max="14849" width="7" style="359" customWidth="1"/>
    <col min="14850" max="14850" width="10.7109375" style="359" customWidth="1"/>
    <col min="14851" max="14851" width="10.5703125" style="359" customWidth="1"/>
    <col min="14852" max="14852" width="10.7109375" style="359" customWidth="1"/>
    <col min="14853" max="14853" width="10.28515625" style="359" customWidth="1"/>
    <col min="14854" max="14854" width="10.7109375" style="359" customWidth="1"/>
    <col min="14855" max="14855" width="9.42578125" style="359" customWidth="1"/>
    <col min="14856" max="14856" width="10.5703125" style="359" customWidth="1"/>
    <col min="14857" max="14857" width="13.7109375" style="359" customWidth="1"/>
    <col min="14858" max="14859" width="10.42578125" style="359" customWidth="1"/>
    <col min="14860" max="14860" width="10.28515625" style="359" customWidth="1"/>
    <col min="14861" max="14861" width="9.42578125" style="359" customWidth="1"/>
    <col min="14862" max="14862" width="8.7109375" style="359" customWidth="1"/>
    <col min="14863" max="14863" width="10.42578125" style="359" customWidth="1"/>
    <col min="14864" max="14864" width="10.28515625" style="359" customWidth="1"/>
    <col min="14865" max="15104" width="11.42578125" style="359"/>
    <col min="15105" max="15105" width="7" style="359" customWidth="1"/>
    <col min="15106" max="15106" width="10.7109375" style="359" customWidth="1"/>
    <col min="15107" max="15107" width="10.5703125" style="359" customWidth="1"/>
    <col min="15108" max="15108" width="10.7109375" style="359" customWidth="1"/>
    <col min="15109" max="15109" width="10.28515625" style="359" customWidth="1"/>
    <col min="15110" max="15110" width="10.7109375" style="359" customWidth="1"/>
    <col min="15111" max="15111" width="9.42578125" style="359" customWidth="1"/>
    <col min="15112" max="15112" width="10.5703125" style="359" customWidth="1"/>
    <col min="15113" max="15113" width="13.7109375" style="359" customWidth="1"/>
    <col min="15114" max="15115" width="10.42578125" style="359" customWidth="1"/>
    <col min="15116" max="15116" width="10.28515625" style="359" customWidth="1"/>
    <col min="15117" max="15117" width="9.42578125" style="359" customWidth="1"/>
    <col min="15118" max="15118" width="8.7109375" style="359" customWidth="1"/>
    <col min="15119" max="15119" width="10.42578125" style="359" customWidth="1"/>
    <col min="15120" max="15120" width="10.28515625" style="359" customWidth="1"/>
    <col min="15121" max="15360" width="11.42578125" style="359"/>
    <col min="15361" max="15361" width="7" style="359" customWidth="1"/>
    <col min="15362" max="15362" width="10.7109375" style="359" customWidth="1"/>
    <col min="15363" max="15363" width="10.5703125" style="359" customWidth="1"/>
    <col min="15364" max="15364" width="10.7109375" style="359" customWidth="1"/>
    <col min="15365" max="15365" width="10.28515625" style="359" customWidth="1"/>
    <col min="15366" max="15366" width="10.7109375" style="359" customWidth="1"/>
    <col min="15367" max="15367" width="9.42578125" style="359" customWidth="1"/>
    <col min="15368" max="15368" width="10.5703125" style="359" customWidth="1"/>
    <col min="15369" max="15369" width="13.7109375" style="359" customWidth="1"/>
    <col min="15370" max="15371" width="10.42578125" style="359" customWidth="1"/>
    <col min="15372" max="15372" width="10.28515625" style="359" customWidth="1"/>
    <col min="15373" max="15373" width="9.42578125" style="359" customWidth="1"/>
    <col min="15374" max="15374" width="8.7109375" style="359" customWidth="1"/>
    <col min="15375" max="15375" width="10.42578125" style="359" customWidth="1"/>
    <col min="15376" max="15376" width="10.28515625" style="359" customWidth="1"/>
    <col min="15377" max="15616" width="11.42578125" style="359"/>
    <col min="15617" max="15617" width="7" style="359" customWidth="1"/>
    <col min="15618" max="15618" width="10.7109375" style="359" customWidth="1"/>
    <col min="15619" max="15619" width="10.5703125" style="359" customWidth="1"/>
    <col min="15620" max="15620" width="10.7109375" style="359" customWidth="1"/>
    <col min="15621" max="15621" width="10.28515625" style="359" customWidth="1"/>
    <col min="15622" max="15622" width="10.7109375" style="359" customWidth="1"/>
    <col min="15623" max="15623" width="9.42578125" style="359" customWidth="1"/>
    <col min="15624" max="15624" width="10.5703125" style="359" customWidth="1"/>
    <col min="15625" max="15625" width="13.7109375" style="359" customWidth="1"/>
    <col min="15626" max="15627" width="10.42578125" style="359" customWidth="1"/>
    <col min="15628" max="15628" width="10.28515625" style="359" customWidth="1"/>
    <col min="15629" max="15629" width="9.42578125" style="359" customWidth="1"/>
    <col min="15630" max="15630" width="8.7109375" style="359" customWidth="1"/>
    <col min="15631" max="15631" width="10.42578125" style="359" customWidth="1"/>
    <col min="15632" max="15632" width="10.28515625" style="359" customWidth="1"/>
    <col min="15633" max="15872" width="11.42578125" style="359"/>
    <col min="15873" max="15873" width="7" style="359" customWidth="1"/>
    <col min="15874" max="15874" width="10.7109375" style="359" customWidth="1"/>
    <col min="15875" max="15875" width="10.5703125" style="359" customWidth="1"/>
    <col min="15876" max="15876" width="10.7109375" style="359" customWidth="1"/>
    <col min="15877" max="15877" width="10.28515625" style="359" customWidth="1"/>
    <col min="15878" max="15878" width="10.7109375" style="359" customWidth="1"/>
    <col min="15879" max="15879" width="9.42578125" style="359" customWidth="1"/>
    <col min="15880" max="15880" width="10.5703125" style="359" customWidth="1"/>
    <col min="15881" max="15881" width="13.7109375" style="359" customWidth="1"/>
    <col min="15882" max="15883" width="10.42578125" style="359" customWidth="1"/>
    <col min="15884" max="15884" width="10.28515625" style="359" customWidth="1"/>
    <col min="15885" max="15885" width="9.42578125" style="359" customWidth="1"/>
    <col min="15886" max="15886" width="8.7109375" style="359" customWidth="1"/>
    <col min="15887" max="15887" width="10.42578125" style="359" customWidth="1"/>
    <col min="15888" max="15888" width="10.28515625" style="359" customWidth="1"/>
    <col min="15889" max="16128" width="11.42578125" style="359"/>
    <col min="16129" max="16129" width="7" style="359" customWidth="1"/>
    <col min="16130" max="16130" width="10.7109375" style="359" customWidth="1"/>
    <col min="16131" max="16131" width="10.5703125" style="359" customWidth="1"/>
    <col min="16132" max="16132" width="10.7109375" style="359" customWidth="1"/>
    <col min="16133" max="16133" width="10.28515625" style="359" customWidth="1"/>
    <col min="16134" max="16134" width="10.7109375" style="359" customWidth="1"/>
    <col min="16135" max="16135" width="9.42578125" style="359" customWidth="1"/>
    <col min="16136" max="16136" width="10.5703125" style="359" customWidth="1"/>
    <col min="16137" max="16137" width="13.7109375" style="359" customWidth="1"/>
    <col min="16138" max="16139" width="10.42578125" style="359" customWidth="1"/>
    <col min="16140" max="16140" width="10.28515625" style="359" customWidth="1"/>
    <col min="16141" max="16141" width="9.42578125" style="359" customWidth="1"/>
    <col min="16142" max="16142" width="8.7109375" style="359" customWidth="1"/>
    <col min="16143" max="16143" width="10.42578125" style="359" customWidth="1"/>
    <col min="16144" max="16144" width="10.28515625" style="359" customWidth="1"/>
    <col min="16145" max="16384" width="11.42578125" style="359"/>
  </cols>
  <sheetData>
    <row r="1" spans="1:21" ht="15" customHeight="1">
      <c r="A1" s="672" t="s">
        <v>1705</v>
      </c>
      <c r="B1" s="672"/>
      <c r="C1" s="672"/>
      <c r="D1" s="672"/>
      <c r="E1" s="672"/>
      <c r="F1" s="672"/>
      <c r="G1" s="672"/>
      <c r="H1" s="672"/>
      <c r="I1" s="672"/>
      <c r="J1" s="672"/>
      <c r="K1" s="672"/>
      <c r="L1" s="672"/>
      <c r="M1" s="672"/>
      <c r="N1" s="672"/>
      <c r="O1" s="672"/>
      <c r="P1" s="672"/>
    </row>
    <row r="2" spans="1:21" ht="15" customHeight="1">
      <c r="A2" s="672" t="s">
        <v>1706</v>
      </c>
      <c r="B2" s="672"/>
      <c r="C2" s="672"/>
      <c r="D2" s="672"/>
      <c r="E2" s="672"/>
      <c r="F2" s="672" t="s">
        <v>1707</v>
      </c>
      <c r="G2" s="672"/>
      <c r="H2" s="672"/>
      <c r="I2" s="672"/>
      <c r="J2" s="672"/>
      <c r="K2" s="672"/>
      <c r="L2" s="672"/>
      <c r="M2" s="672"/>
      <c r="N2" s="672"/>
      <c r="O2" s="672"/>
      <c r="P2" s="672"/>
    </row>
    <row r="3" spans="1:21" ht="15" customHeight="1">
      <c r="E3" s="360"/>
    </row>
    <row r="4" spans="1:21" ht="15" customHeight="1">
      <c r="A4" s="673" t="s">
        <v>1708</v>
      </c>
      <c r="B4" s="673"/>
      <c r="C4" s="673"/>
      <c r="D4" s="673"/>
      <c r="E4" s="673"/>
      <c r="F4" s="360"/>
      <c r="K4" s="360"/>
      <c r="N4" s="360" t="s">
        <v>1709</v>
      </c>
      <c r="O4" s="361">
        <f>IF(HorasAmortizaciónEquipoCamión=0,0,ROUND(Valor_CamiónSolo*PorcentajeEquipoAmortizarCamión/HorasAmortizaciónEquipoCamión,3))</f>
        <v>0</v>
      </c>
    </row>
    <row r="5" spans="1:21" ht="15" customHeight="1">
      <c r="F5" s="360"/>
      <c r="K5" s="360"/>
      <c r="O5" s="362"/>
    </row>
    <row r="6" spans="1:21" ht="15" customHeight="1">
      <c r="A6" s="426"/>
      <c r="B6" s="426"/>
      <c r="C6" s="426"/>
      <c r="D6" s="426"/>
      <c r="E6" s="426"/>
      <c r="F6" s="360"/>
      <c r="K6" s="360"/>
      <c r="O6" s="362"/>
    </row>
    <row r="7" spans="1:21" ht="15" customHeight="1">
      <c r="A7" s="678" t="s">
        <v>1710</v>
      </c>
      <c r="B7" s="679"/>
      <c r="C7" s="679"/>
      <c r="D7" s="680"/>
      <c r="E7" s="404"/>
      <c r="F7" s="360"/>
      <c r="G7" s="363"/>
      <c r="I7" s="674"/>
      <c r="J7" s="364"/>
      <c r="K7" s="365"/>
      <c r="N7" s="360" t="s">
        <v>1711</v>
      </c>
      <c r="O7" s="392">
        <f>ROUND(Valor_CamiónSolo*E10/4000,3)</f>
        <v>0</v>
      </c>
      <c r="Q7" s="363"/>
      <c r="R7" s="366"/>
      <c r="S7" s="674"/>
      <c r="T7" s="367"/>
      <c r="U7" s="364"/>
    </row>
    <row r="8" spans="1:21" ht="15" customHeight="1">
      <c r="A8" s="678" t="s">
        <v>1712</v>
      </c>
      <c r="B8" s="679"/>
      <c r="C8" s="679"/>
      <c r="D8" s="680"/>
      <c r="E8" s="405"/>
      <c r="F8" s="360"/>
      <c r="G8" s="675"/>
      <c r="H8" s="675"/>
      <c r="I8" s="674"/>
      <c r="K8" s="360"/>
      <c r="O8" s="362"/>
      <c r="Q8" s="675"/>
      <c r="R8" s="675"/>
      <c r="S8" s="674"/>
    </row>
    <row r="9" spans="1:21" ht="15" customHeight="1">
      <c r="A9" s="678" t="s">
        <v>1713</v>
      </c>
      <c r="B9" s="679"/>
      <c r="C9" s="679"/>
      <c r="D9" s="680"/>
      <c r="E9" s="406"/>
      <c r="F9" s="360"/>
      <c r="K9" s="360"/>
      <c r="O9" s="362"/>
    </row>
    <row r="10" spans="1:21" ht="15" customHeight="1">
      <c r="A10" s="678" t="s">
        <v>1714</v>
      </c>
      <c r="B10" s="679"/>
      <c r="C10" s="679"/>
      <c r="D10" s="680"/>
      <c r="E10" s="406"/>
      <c r="F10" s="360"/>
      <c r="K10" s="360"/>
      <c r="N10" s="360" t="s">
        <v>1715</v>
      </c>
      <c r="O10" s="361">
        <f>ROUND(O4*Porcentaje_Reparaciones_Repuestos,3)</f>
        <v>0</v>
      </c>
    </row>
    <row r="11" spans="1:21" ht="15" customHeight="1">
      <c r="A11" s="678" t="s">
        <v>1716</v>
      </c>
      <c r="B11" s="679"/>
      <c r="C11" s="679"/>
      <c r="D11" s="680"/>
      <c r="E11" s="406"/>
      <c r="F11" s="360"/>
      <c r="K11" s="360"/>
      <c r="O11" s="362"/>
    </row>
    <row r="12" spans="1:21" ht="15" customHeight="1">
      <c r="A12" s="678" t="s">
        <v>1717</v>
      </c>
      <c r="B12" s="679"/>
      <c r="C12" s="679"/>
      <c r="D12" s="680"/>
      <c r="E12" s="406"/>
      <c r="F12" s="360"/>
      <c r="K12" s="360"/>
      <c r="O12" s="362"/>
    </row>
    <row r="13" spans="1:21" ht="15" customHeight="1">
      <c r="A13" s="678" t="s">
        <v>1718</v>
      </c>
      <c r="B13" s="679"/>
      <c r="C13" s="679"/>
      <c r="D13" s="680"/>
      <c r="E13" s="405"/>
      <c r="F13" s="360"/>
      <c r="K13" s="360"/>
      <c r="N13" s="360" t="s">
        <v>1719</v>
      </c>
      <c r="O13" s="361">
        <f>ROUND(Tiempo_lavado_en_horas*Mano_Obra_Lavado*Cantidad_lavado_al_mes*12/2000,3)</f>
        <v>0</v>
      </c>
    </row>
    <row r="14" spans="1:21" ht="15" customHeight="1">
      <c r="A14" s="678" t="s">
        <v>1720</v>
      </c>
      <c r="B14" s="679"/>
      <c r="C14" s="679"/>
      <c r="D14" s="680"/>
      <c r="E14" s="407"/>
      <c r="F14" s="360"/>
      <c r="K14" s="360"/>
      <c r="O14" s="362"/>
    </row>
    <row r="15" spans="1:21" ht="15" customHeight="1">
      <c r="A15" s="678" t="s">
        <v>1721</v>
      </c>
      <c r="B15" s="679"/>
      <c r="C15" s="679"/>
      <c r="D15" s="680"/>
      <c r="E15" s="408"/>
      <c r="F15" s="360"/>
      <c r="G15" s="363"/>
      <c r="I15" s="674"/>
      <c r="J15" s="364"/>
      <c r="K15" s="365"/>
      <c r="O15" s="362"/>
      <c r="Q15" s="368"/>
      <c r="R15" s="369"/>
      <c r="S15" s="674"/>
      <c r="T15" s="367"/>
      <c r="U15" s="370"/>
    </row>
    <row r="16" spans="1:21" ht="15" customHeight="1">
      <c r="A16" s="678" t="s">
        <v>1722</v>
      </c>
      <c r="B16" s="679"/>
      <c r="C16" s="679"/>
      <c r="D16" s="680"/>
      <c r="E16" s="409"/>
      <c r="F16" s="360"/>
      <c r="G16" s="675"/>
      <c r="H16" s="675"/>
      <c r="I16" s="674"/>
      <c r="K16" s="360"/>
      <c r="N16" s="360" t="s">
        <v>1723</v>
      </c>
      <c r="O16" s="361">
        <f>ROUND(Valor_CamiónSolo*PorSegurosPatentesImpustoCamión/2000,3)</f>
        <v>0</v>
      </c>
      <c r="Q16" s="676"/>
      <c r="R16" s="676"/>
      <c r="S16" s="674"/>
    </row>
    <row r="17" spans="1:21" ht="15" customHeight="1">
      <c r="A17" s="678" t="s">
        <v>1724</v>
      </c>
      <c r="B17" s="679"/>
      <c r="C17" s="679"/>
      <c r="D17" s="680"/>
      <c r="E17" s="410"/>
      <c r="F17" s="360"/>
      <c r="K17" s="360"/>
      <c r="O17" s="362"/>
    </row>
    <row r="18" spans="1:21" ht="15" customHeight="1">
      <c r="A18" s="678" t="s">
        <v>1725</v>
      </c>
      <c r="B18" s="679"/>
      <c r="C18" s="679"/>
      <c r="D18" s="680"/>
      <c r="E18" s="411"/>
      <c r="F18" s="360"/>
      <c r="K18" s="360"/>
      <c r="O18" s="362"/>
    </row>
    <row r="19" spans="1:21" ht="15" customHeight="1">
      <c r="A19" s="678" t="s">
        <v>1726</v>
      </c>
      <c r="B19" s="679"/>
      <c r="C19" s="679"/>
      <c r="D19" s="680"/>
      <c r="E19" s="412"/>
      <c r="F19" s="360"/>
      <c r="G19" s="363"/>
      <c r="J19" s="364"/>
      <c r="K19" s="365"/>
      <c r="N19" s="360" t="s">
        <v>1727</v>
      </c>
      <c r="O19" s="361">
        <f>IF(V_Ul_cámara_cubiertas_CamiónSolo=0,0,ROUND(Cantidad_camaras_cubiertas*Valor_cámara_cubiertas_CamiónSolo/V_Ul_cámara_cubiertas_CamiónSolo,3))</f>
        <v>0</v>
      </c>
      <c r="Q19" s="371"/>
      <c r="R19" s="372"/>
      <c r="S19" s="373"/>
      <c r="T19" s="367"/>
      <c r="U19" s="374"/>
    </row>
    <row r="20" spans="1:21" ht="15" customHeight="1">
      <c r="A20" s="678" t="s">
        <v>1728</v>
      </c>
      <c r="B20" s="679"/>
      <c r="C20" s="679"/>
      <c r="D20" s="680"/>
      <c r="E20" s="406"/>
      <c r="F20" s="360"/>
      <c r="G20" s="675"/>
      <c r="H20" s="675"/>
      <c r="K20" s="360"/>
      <c r="O20" s="362"/>
    </row>
    <row r="21" spans="1:21" ht="15" customHeight="1">
      <c r="A21" s="678" t="s">
        <v>1779</v>
      </c>
      <c r="B21" s="679"/>
      <c r="C21" s="679"/>
      <c r="D21" s="680" t="s">
        <v>1729</v>
      </c>
      <c r="E21" s="413"/>
      <c r="G21" s="686"/>
      <c r="H21" s="686"/>
      <c r="I21" s="686"/>
      <c r="K21" s="360"/>
      <c r="O21" s="362"/>
    </row>
    <row r="22" spans="1:21" ht="15" customHeight="1">
      <c r="A22" s="678" t="s">
        <v>1780</v>
      </c>
      <c r="B22" s="679"/>
      <c r="C22" s="679"/>
      <c r="D22" s="680" t="s">
        <v>1730</v>
      </c>
      <c r="E22" s="414"/>
      <c r="K22" s="360"/>
      <c r="N22" s="360" t="s">
        <v>1731</v>
      </c>
      <c r="O22" s="361">
        <f>ROUND(Consumo_gasoil_CamiónSolo_porkm*Costo_gasoil*(1+Porcentaje_Lubricantes),3)</f>
        <v>0</v>
      </c>
    </row>
    <row r="23" spans="1:21" ht="15" customHeight="1">
      <c r="A23" s="427"/>
      <c r="B23" s="427"/>
      <c r="C23" s="427"/>
      <c r="D23" s="427"/>
      <c r="E23" s="427"/>
      <c r="G23" s="375"/>
      <c r="H23" s="376"/>
      <c r="I23" s="377"/>
      <c r="J23" s="378"/>
      <c r="K23" s="365"/>
    </row>
    <row r="25" spans="1:21" ht="15" customHeight="1">
      <c r="A25" s="682" t="s">
        <v>1732</v>
      </c>
      <c r="B25" s="682"/>
      <c r="C25" s="682"/>
      <c r="D25" s="682"/>
      <c r="E25" s="682"/>
      <c r="F25" s="682"/>
      <c r="G25" s="682"/>
      <c r="H25" s="683" t="s">
        <v>1733</v>
      </c>
      <c r="I25" s="683"/>
      <c r="J25" s="683"/>
      <c r="K25" s="683"/>
      <c r="L25" s="683"/>
      <c r="M25" s="683"/>
      <c r="N25" s="683"/>
      <c r="O25" s="683"/>
      <c r="P25" s="684" t="s">
        <v>1734</v>
      </c>
    </row>
    <row r="26" spans="1:21" ht="15" customHeight="1">
      <c r="A26" s="379" t="s">
        <v>1735</v>
      </c>
      <c r="B26" s="379" t="s">
        <v>1736</v>
      </c>
      <c r="C26" s="379" t="s">
        <v>1737</v>
      </c>
      <c r="D26" s="379" t="s">
        <v>1738</v>
      </c>
      <c r="E26" s="379" t="s">
        <v>1739</v>
      </c>
      <c r="F26" s="379" t="s">
        <v>1005</v>
      </c>
      <c r="G26" s="379" t="s">
        <v>1740</v>
      </c>
      <c r="H26" s="685" t="s">
        <v>1667</v>
      </c>
      <c r="I26" s="685" t="s">
        <v>1741</v>
      </c>
      <c r="J26" s="379" t="s">
        <v>1742</v>
      </c>
      <c r="K26" s="379" t="s">
        <v>1743</v>
      </c>
      <c r="L26" s="379" t="s">
        <v>1744</v>
      </c>
      <c r="M26" s="379" t="s">
        <v>1745</v>
      </c>
      <c r="N26" s="379" t="s">
        <v>1746</v>
      </c>
      <c r="O26" s="380" t="s">
        <v>1747</v>
      </c>
      <c r="P26" s="684"/>
    </row>
    <row r="27" spans="1:21" ht="15" customHeight="1">
      <c r="A27" s="379" t="s">
        <v>1748</v>
      </c>
      <c r="B27" s="379" t="s">
        <v>1749</v>
      </c>
      <c r="C27" s="379" t="s">
        <v>1750</v>
      </c>
      <c r="D27" s="379" t="s">
        <v>1751</v>
      </c>
      <c r="E27" s="379" t="s">
        <v>1752</v>
      </c>
      <c r="F27" s="379" t="s">
        <v>1753</v>
      </c>
      <c r="G27" s="379" t="s">
        <v>1754</v>
      </c>
      <c r="H27" s="685"/>
      <c r="I27" s="685"/>
      <c r="J27" s="379" t="s">
        <v>1755</v>
      </c>
      <c r="K27" s="379" t="s">
        <v>1756</v>
      </c>
      <c r="L27" s="379" t="s">
        <v>1757</v>
      </c>
      <c r="M27" s="379" t="s">
        <v>1758</v>
      </c>
      <c r="N27" s="379" t="s">
        <v>1759</v>
      </c>
      <c r="O27" s="380" t="s">
        <v>1760</v>
      </c>
      <c r="P27" s="684"/>
    </row>
    <row r="28" spans="1:21" ht="15" customHeight="1">
      <c r="A28" s="681" t="s">
        <v>1761</v>
      </c>
      <c r="B28" s="681" t="s">
        <v>1762</v>
      </c>
      <c r="C28" s="681" t="s">
        <v>1763</v>
      </c>
      <c r="D28" s="681" t="s">
        <v>1764</v>
      </c>
      <c r="E28" s="681" t="s">
        <v>1765</v>
      </c>
      <c r="F28" s="681" t="s">
        <v>1766</v>
      </c>
      <c r="G28" s="681" t="s">
        <v>1767</v>
      </c>
      <c r="H28" s="681" t="s">
        <v>1768</v>
      </c>
      <c r="I28" s="681" t="s">
        <v>1769</v>
      </c>
      <c r="J28" s="681" t="s">
        <v>1770</v>
      </c>
      <c r="K28" s="681" t="s">
        <v>1771</v>
      </c>
      <c r="L28" s="681" t="s">
        <v>1772</v>
      </c>
      <c r="M28" s="681" t="s">
        <v>1773</v>
      </c>
      <c r="N28" s="681" t="s">
        <v>1774</v>
      </c>
      <c r="O28" s="681" t="s">
        <v>1775</v>
      </c>
      <c r="P28" s="677" t="s">
        <v>1776</v>
      </c>
    </row>
    <row r="29" spans="1:21" ht="15" customHeight="1">
      <c r="A29" s="681"/>
      <c r="B29" s="681"/>
      <c r="C29" s="681"/>
      <c r="D29" s="681"/>
      <c r="E29" s="681"/>
      <c r="F29" s="681"/>
      <c r="G29" s="681"/>
      <c r="H29" s="681"/>
      <c r="I29" s="681"/>
      <c r="J29" s="681"/>
      <c r="K29" s="681"/>
      <c r="L29" s="681"/>
      <c r="M29" s="681"/>
      <c r="N29" s="681"/>
      <c r="O29" s="681"/>
      <c r="P29" s="677"/>
    </row>
    <row r="30" spans="1:21" ht="15" customHeight="1">
      <c r="A30" s="381">
        <v>1</v>
      </c>
      <c r="B30" s="382"/>
      <c r="C30" s="383">
        <f>IF(B30=0,0,(2*A30*60)/B30)</f>
        <v>0</v>
      </c>
      <c r="D30" s="384"/>
      <c r="E30" s="383">
        <f t="shared" ref="E30:E64" si="0">+C30+D30</f>
        <v>0</v>
      </c>
      <c r="F30" s="385"/>
      <c r="G30" s="386">
        <f t="shared" ref="G30:G64" si="1">+A30*2</f>
        <v>2</v>
      </c>
      <c r="H30" s="387">
        <f t="shared" ref="H30:H64" si="2">A*(E30/60)</f>
        <v>0</v>
      </c>
      <c r="I30" s="387">
        <f t="shared" ref="I30:I38" si="3">B*(E30/60)</f>
        <v>0</v>
      </c>
      <c r="J30" s="387">
        <f t="shared" ref="J30:J38" si="4">C_*(C30/60)</f>
        <v>0</v>
      </c>
      <c r="K30" s="387">
        <f t="shared" ref="K30:K38" si="5">D*(E30/60)</f>
        <v>0</v>
      </c>
      <c r="L30" s="387">
        <f t="shared" ref="L30:L38" si="6">E*(E30/60)</f>
        <v>0</v>
      </c>
      <c r="M30" s="387">
        <f t="shared" ref="M30:M38" si="7">+G30*F_</f>
        <v>0</v>
      </c>
      <c r="N30" s="387">
        <f t="shared" ref="N30:N38" si="8">Mano_Obra_Lavado*(E30/60)</f>
        <v>0</v>
      </c>
      <c r="O30" s="387">
        <f t="shared" ref="O30:O38" si="9">+G30*G</f>
        <v>0</v>
      </c>
      <c r="P30" s="388">
        <f>IF(F30=0,0,ROUND(SUM(H30:O30)/F30,3))</f>
        <v>0</v>
      </c>
      <c r="R30" s="389"/>
    </row>
    <row r="31" spans="1:21" ht="15" customHeight="1">
      <c r="A31" s="381">
        <v>1.5</v>
      </c>
      <c r="B31" s="382"/>
      <c r="C31" s="383">
        <f t="shared" ref="C31:C64" si="10">IF(B31=0,0,(2*A31*60)/B31)</f>
        <v>0</v>
      </c>
      <c r="D31" s="384"/>
      <c r="E31" s="383">
        <f t="shared" si="0"/>
        <v>0</v>
      </c>
      <c r="F31" s="385"/>
      <c r="G31" s="386">
        <f t="shared" si="1"/>
        <v>3</v>
      </c>
      <c r="H31" s="387">
        <f t="shared" si="2"/>
        <v>0</v>
      </c>
      <c r="I31" s="387">
        <f t="shared" si="3"/>
        <v>0</v>
      </c>
      <c r="J31" s="387">
        <f t="shared" si="4"/>
        <v>0</v>
      </c>
      <c r="K31" s="387">
        <f t="shared" si="5"/>
        <v>0</v>
      </c>
      <c r="L31" s="387">
        <f t="shared" si="6"/>
        <v>0</v>
      </c>
      <c r="M31" s="387">
        <f t="shared" si="7"/>
        <v>0</v>
      </c>
      <c r="N31" s="387">
        <f t="shared" si="8"/>
        <v>0</v>
      </c>
      <c r="O31" s="387">
        <f t="shared" si="9"/>
        <v>0</v>
      </c>
      <c r="P31" s="388">
        <f t="shared" ref="P31:P64" si="11">IF(F31=0,0,ROUND(SUM(H31:O31)/F31,3))</f>
        <v>0</v>
      </c>
      <c r="R31" s="389"/>
    </row>
    <row r="32" spans="1:21" ht="15" customHeight="1">
      <c r="A32" s="381">
        <v>2</v>
      </c>
      <c r="B32" s="382"/>
      <c r="C32" s="383">
        <f t="shared" si="10"/>
        <v>0</v>
      </c>
      <c r="D32" s="384"/>
      <c r="E32" s="383">
        <f t="shared" si="0"/>
        <v>0</v>
      </c>
      <c r="F32" s="385"/>
      <c r="G32" s="386">
        <f t="shared" si="1"/>
        <v>4</v>
      </c>
      <c r="H32" s="387">
        <f t="shared" si="2"/>
        <v>0</v>
      </c>
      <c r="I32" s="387">
        <f t="shared" si="3"/>
        <v>0</v>
      </c>
      <c r="J32" s="387">
        <f t="shared" si="4"/>
        <v>0</v>
      </c>
      <c r="K32" s="387">
        <f t="shared" si="5"/>
        <v>0</v>
      </c>
      <c r="L32" s="387">
        <f t="shared" si="6"/>
        <v>0</v>
      </c>
      <c r="M32" s="387">
        <f t="shared" si="7"/>
        <v>0</v>
      </c>
      <c r="N32" s="387">
        <f t="shared" si="8"/>
        <v>0</v>
      </c>
      <c r="O32" s="387">
        <f t="shared" si="9"/>
        <v>0</v>
      </c>
      <c r="P32" s="388">
        <f t="shared" si="11"/>
        <v>0</v>
      </c>
      <c r="R32" s="389"/>
    </row>
    <row r="33" spans="1:18" ht="15" customHeight="1">
      <c r="A33" s="381">
        <v>2.5</v>
      </c>
      <c r="B33" s="382"/>
      <c r="C33" s="383">
        <f t="shared" si="10"/>
        <v>0</v>
      </c>
      <c r="D33" s="384"/>
      <c r="E33" s="383">
        <f t="shared" si="0"/>
        <v>0</v>
      </c>
      <c r="F33" s="385"/>
      <c r="G33" s="386">
        <f t="shared" si="1"/>
        <v>5</v>
      </c>
      <c r="H33" s="387">
        <f t="shared" si="2"/>
        <v>0</v>
      </c>
      <c r="I33" s="387">
        <f t="shared" si="3"/>
        <v>0</v>
      </c>
      <c r="J33" s="387">
        <f t="shared" si="4"/>
        <v>0</v>
      </c>
      <c r="K33" s="387">
        <f t="shared" si="5"/>
        <v>0</v>
      </c>
      <c r="L33" s="387">
        <f t="shared" si="6"/>
        <v>0</v>
      </c>
      <c r="M33" s="387">
        <f t="shared" si="7"/>
        <v>0</v>
      </c>
      <c r="N33" s="387">
        <f t="shared" si="8"/>
        <v>0</v>
      </c>
      <c r="O33" s="387">
        <f t="shared" si="9"/>
        <v>0</v>
      </c>
      <c r="P33" s="388">
        <f t="shared" si="11"/>
        <v>0</v>
      </c>
      <c r="R33" s="389"/>
    </row>
    <row r="34" spans="1:18" ht="15" customHeight="1">
      <c r="A34" s="381">
        <v>3</v>
      </c>
      <c r="B34" s="382"/>
      <c r="C34" s="383">
        <f t="shared" si="10"/>
        <v>0</v>
      </c>
      <c r="D34" s="384"/>
      <c r="E34" s="383">
        <f t="shared" si="0"/>
        <v>0</v>
      </c>
      <c r="F34" s="385"/>
      <c r="G34" s="386">
        <f t="shared" si="1"/>
        <v>6</v>
      </c>
      <c r="H34" s="387">
        <f t="shared" si="2"/>
        <v>0</v>
      </c>
      <c r="I34" s="387">
        <f t="shared" si="3"/>
        <v>0</v>
      </c>
      <c r="J34" s="387">
        <f t="shared" si="4"/>
        <v>0</v>
      </c>
      <c r="K34" s="387">
        <f t="shared" si="5"/>
        <v>0</v>
      </c>
      <c r="L34" s="387">
        <f t="shared" si="6"/>
        <v>0</v>
      </c>
      <c r="M34" s="387">
        <f t="shared" si="7"/>
        <v>0</v>
      </c>
      <c r="N34" s="387">
        <f t="shared" si="8"/>
        <v>0</v>
      </c>
      <c r="O34" s="387">
        <f t="shared" si="9"/>
        <v>0</v>
      </c>
      <c r="P34" s="388">
        <f t="shared" si="11"/>
        <v>0</v>
      </c>
      <c r="R34" s="389"/>
    </row>
    <row r="35" spans="1:18" ht="15" customHeight="1">
      <c r="A35" s="381">
        <v>3.5</v>
      </c>
      <c r="B35" s="382"/>
      <c r="C35" s="383">
        <f t="shared" si="10"/>
        <v>0</v>
      </c>
      <c r="D35" s="384"/>
      <c r="E35" s="383">
        <f t="shared" si="0"/>
        <v>0</v>
      </c>
      <c r="F35" s="385"/>
      <c r="G35" s="386">
        <f t="shared" si="1"/>
        <v>7</v>
      </c>
      <c r="H35" s="387">
        <f t="shared" si="2"/>
        <v>0</v>
      </c>
      <c r="I35" s="387">
        <f t="shared" si="3"/>
        <v>0</v>
      </c>
      <c r="J35" s="387">
        <f t="shared" si="4"/>
        <v>0</v>
      </c>
      <c r="K35" s="387">
        <f t="shared" si="5"/>
        <v>0</v>
      </c>
      <c r="L35" s="387">
        <f t="shared" si="6"/>
        <v>0</v>
      </c>
      <c r="M35" s="387">
        <f t="shared" si="7"/>
        <v>0</v>
      </c>
      <c r="N35" s="387">
        <f t="shared" si="8"/>
        <v>0</v>
      </c>
      <c r="O35" s="387">
        <f t="shared" si="9"/>
        <v>0</v>
      </c>
      <c r="P35" s="388">
        <f t="shared" si="11"/>
        <v>0</v>
      </c>
      <c r="R35" s="389"/>
    </row>
    <row r="36" spans="1:18" ht="15" customHeight="1">
      <c r="A36" s="381">
        <v>4</v>
      </c>
      <c r="B36" s="382"/>
      <c r="C36" s="383">
        <f t="shared" si="10"/>
        <v>0</v>
      </c>
      <c r="D36" s="384"/>
      <c r="E36" s="383">
        <f t="shared" si="0"/>
        <v>0</v>
      </c>
      <c r="F36" s="385"/>
      <c r="G36" s="386">
        <f t="shared" si="1"/>
        <v>8</v>
      </c>
      <c r="H36" s="387">
        <f t="shared" si="2"/>
        <v>0</v>
      </c>
      <c r="I36" s="387">
        <f t="shared" si="3"/>
        <v>0</v>
      </c>
      <c r="J36" s="387">
        <f t="shared" si="4"/>
        <v>0</v>
      </c>
      <c r="K36" s="387">
        <f t="shared" si="5"/>
        <v>0</v>
      </c>
      <c r="L36" s="387">
        <f t="shared" si="6"/>
        <v>0</v>
      </c>
      <c r="M36" s="387">
        <f t="shared" si="7"/>
        <v>0</v>
      </c>
      <c r="N36" s="387">
        <f t="shared" si="8"/>
        <v>0</v>
      </c>
      <c r="O36" s="387">
        <f t="shared" si="9"/>
        <v>0</v>
      </c>
      <c r="P36" s="388">
        <f t="shared" si="11"/>
        <v>0</v>
      </c>
      <c r="R36" s="389"/>
    </row>
    <row r="37" spans="1:18" ht="15" customHeight="1">
      <c r="A37" s="381">
        <v>4.5</v>
      </c>
      <c r="B37" s="382"/>
      <c r="C37" s="383">
        <f t="shared" si="10"/>
        <v>0</v>
      </c>
      <c r="D37" s="384"/>
      <c r="E37" s="383">
        <f t="shared" si="0"/>
        <v>0</v>
      </c>
      <c r="F37" s="385"/>
      <c r="G37" s="386">
        <f t="shared" si="1"/>
        <v>9</v>
      </c>
      <c r="H37" s="387">
        <f t="shared" si="2"/>
        <v>0</v>
      </c>
      <c r="I37" s="387">
        <f t="shared" si="3"/>
        <v>0</v>
      </c>
      <c r="J37" s="387">
        <f t="shared" si="4"/>
        <v>0</v>
      </c>
      <c r="K37" s="387">
        <f t="shared" si="5"/>
        <v>0</v>
      </c>
      <c r="L37" s="387">
        <f t="shared" si="6"/>
        <v>0</v>
      </c>
      <c r="M37" s="387">
        <f t="shared" si="7"/>
        <v>0</v>
      </c>
      <c r="N37" s="387">
        <f t="shared" si="8"/>
        <v>0</v>
      </c>
      <c r="O37" s="387">
        <f t="shared" si="9"/>
        <v>0</v>
      </c>
      <c r="P37" s="388">
        <f t="shared" si="11"/>
        <v>0</v>
      </c>
      <c r="R37" s="389"/>
    </row>
    <row r="38" spans="1:18" ht="15" customHeight="1">
      <c r="A38" s="381">
        <v>5</v>
      </c>
      <c r="B38" s="382"/>
      <c r="C38" s="383">
        <f t="shared" si="10"/>
        <v>0</v>
      </c>
      <c r="D38" s="384"/>
      <c r="E38" s="383">
        <f t="shared" si="0"/>
        <v>0</v>
      </c>
      <c r="F38" s="385"/>
      <c r="G38" s="386">
        <f t="shared" si="1"/>
        <v>10</v>
      </c>
      <c r="H38" s="387">
        <f t="shared" si="2"/>
        <v>0</v>
      </c>
      <c r="I38" s="387">
        <f t="shared" si="3"/>
        <v>0</v>
      </c>
      <c r="J38" s="387">
        <f t="shared" si="4"/>
        <v>0</v>
      </c>
      <c r="K38" s="387">
        <f t="shared" si="5"/>
        <v>0</v>
      </c>
      <c r="L38" s="387">
        <f t="shared" si="6"/>
        <v>0</v>
      </c>
      <c r="M38" s="387">
        <f t="shared" si="7"/>
        <v>0</v>
      </c>
      <c r="N38" s="387">
        <f t="shared" si="8"/>
        <v>0</v>
      </c>
      <c r="O38" s="387">
        <f t="shared" si="9"/>
        <v>0</v>
      </c>
      <c r="P38" s="388">
        <f t="shared" si="11"/>
        <v>0</v>
      </c>
      <c r="R38" s="389"/>
    </row>
    <row r="39" spans="1:18" ht="15" customHeight="1">
      <c r="A39" s="381">
        <v>6</v>
      </c>
      <c r="B39" s="382"/>
      <c r="C39" s="383">
        <f t="shared" si="10"/>
        <v>0</v>
      </c>
      <c r="D39" s="384"/>
      <c r="E39" s="383">
        <f t="shared" si="0"/>
        <v>0</v>
      </c>
      <c r="F39" s="385"/>
      <c r="G39" s="386">
        <f t="shared" si="1"/>
        <v>12</v>
      </c>
      <c r="H39" s="387">
        <f t="shared" si="2"/>
        <v>0</v>
      </c>
      <c r="I39" s="387">
        <f t="shared" ref="I39:I64" si="12">B*(E39/60)</f>
        <v>0</v>
      </c>
      <c r="J39" s="387">
        <f t="shared" ref="J39:J64" si="13">C_*(C39/60)</f>
        <v>0</v>
      </c>
      <c r="K39" s="387">
        <f t="shared" ref="K39:K64" si="14">D*(E39/60)</f>
        <v>0</v>
      </c>
      <c r="L39" s="387">
        <f t="shared" ref="L39:L64" si="15">E*(E39/60)</f>
        <v>0</v>
      </c>
      <c r="M39" s="387">
        <f t="shared" ref="M39:M64" si="16">+G39*F_</f>
        <v>0</v>
      </c>
      <c r="N39" s="387">
        <f t="shared" ref="N39:N64" si="17">Mano_Obra_Lavado*(E39/60)</f>
        <v>0</v>
      </c>
      <c r="O39" s="387">
        <f t="shared" ref="O39:O64" si="18">+G39*G</f>
        <v>0</v>
      </c>
      <c r="P39" s="388">
        <f t="shared" si="11"/>
        <v>0</v>
      </c>
      <c r="R39" s="389"/>
    </row>
    <row r="40" spans="1:18" ht="15" customHeight="1">
      <c r="A40" s="381">
        <v>7</v>
      </c>
      <c r="B40" s="382"/>
      <c r="C40" s="383">
        <f t="shared" si="10"/>
        <v>0</v>
      </c>
      <c r="D40" s="384"/>
      <c r="E40" s="383">
        <f t="shared" si="0"/>
        <v>0</v>
      </c>
      <c r="F40" s="385"/>
      <c r="G40" s="386">
        <f t="shared" si="1"/>
        <v>14</v>
      </c>
      <c r="H40" s="387">
        <f t="shared" si="2"/>
        <v>0</v>
      </c>
      <c r="I40" s="387">
        <f t="shared" si="12"/>
        <v>0</v>
      </c>
      <c r="J40" s="387">
        <f t="shared" si="13"/>
        <v>0</v>
      </c>
      <c r="K40" s="387">
        <f t="shared" si="14"/>
        <v>0</v>
      </c>
      <c r="L40" s="387">
        <f t="shared" si="15"/>
        <v>0</v>
      </c>
      <c r="M40" s="387">
        <f t="shared" si="16"/>
        <v>0</v>
      </c>
      <c r="N40" s="387">
        <f t="shared" si="17"/>
        <v>0</v>
      </c>
      <c r="O40" s="387">
        <f t="shared" si="18"/>
        <v>0</v>
      </c>
      <c r="P40" s="388">
        <f t="shared" si="11"/>
        <v>0</v>
      </c>
      <c r="R40" s="389"/>
    </row>
    <row r="41" spans="1:18" ht="15" customHeight="1">
      <c r="A41" s="381">
        <v>8</v>
      </c>
      <c r="B41" s="382"/>
      <c r="C41" s="383">
        <f t="shared" si="10"/>
        <v>0</v>
      </c>
      <c r="D41" s="384"/>
      <c r="E41" s="383">
        <f t="shared" si="0"/>
        <v>0</v>
      </c>
      <c r="F41" s="385"/>
      <c r="G41" s="386">
        <f t="shared" si="1"/>
        <v>16</v>
      </c>
      <c r="H41" s="387">
        <f t="shared" si="2"/>
        <v>0</v>
      </c>
      <c r="I41" s="387">
        <f t="shared" si="12"/>
        <v>0</v>
      </c>
      <c r="J41" s="387">
        <f t="shared" si="13"/>
        <v>0</v>
      </c>
      <c r="K41" s="387">
        <f t="shared" si="14"/>
        <v>0</v>
      </c>
      <c r="L41" s="387">
        <f t="shared" si="15"/>
        <v>0</v>
      </c>
      <c r="M41" s="387">
        <f t="shared" si="16"/>
        <v>0</v>
      </c>
      <c r="N41" s="387">
        <f t="shared" si="17"/>
        <v>0</v>
      </c>
      <c r="O41" s="387">
        <f t="shared" si="18"/>
        <v>0</v>
      </c>
      <c r="P41" s="388">
        <f t="shared" si="11"/>
        <v>0</v>
      </c>
      <c r="R41" s="389"/>
    </row>
    <row r="42" spans="1:18" ht="15" customHeight="1">
      <c r="A42" s="381">
        <v>9</v>
      </c>
      <c r="B42" s="382"/>
      <c r="C42" s="383">
        <f t="shared" si="10"/>
        <v>0</v>
      </c>
      <c r="D42" s="384"/>
      <c r="E42" s="383">
        <f t="shared" si="0"/>
        <v>0</v>
      </c>
      <c r="F42" s="385"/>
      <c r="G42" s="386">
        <f t="shared" si="1"/>
        <v>18</v>
      </c>
      <c r="H42" s="387">
        <f t="shared" si="2"/>
        <v>0</v>
      </c>
      <c r="I42" s="387">
        <f t="shared" si="12"/>
        <v>0</v>
      </c>
      <c r="J42" s="387">
        <f t="shared" si="13"/>
        <v>0</v>
      </c>
      <c r="K42" s="387">
        <f t="shared" si="14"/>
        <v>0</v>
      </c>
      <c r="L42" s="387">
        <f t="shared" si="15"/>
        <v>0</v>
      </c>
      <c r="M42" s="387">
        <f t="shared" si="16"/>
        <v>0</v>
      </c>
      <c r="N42" s="387">
        <f t="shared" si="17"/>
        <v>0</v>
      </c>
      <c r="O42" s="387">
        <f t="shared" si="18"/>
        <v>0</v>
      </c>
      <c r="P42" s="388">
        <f t="shared" si="11"/>
        <v>0</v>
      </c>
      <c r="R42" s="389"/>
    </row>
    <row r="43" spans="1:18" ht="15" customHeight="1">
      <c r="A43" s="381">
        <v>10</v>
      </c>
      <c r="B43" s="382"/>
      <c r="C43" s="383">
        <f t="shared" si="10"/>
        <v>0</v>
      </c>
      <c r="D43" s="384"/>
      <c r="E43" s="383">
        <f t="shared" si="0"/>
        <v>0</v>
      </c>
      <c r="F43" s="385"/>
      <c r="G43" s="386">
        <f t="shared" si="1"/>
        <v>20</v>
      </c>
      <c r="H43" s="387">
        <f t="shared" si="2"/>
        <v>0</v>
      </c>
      <c r="I43" s="387">
        <f t="shared" si="12"/>
        <v>0</v>
      </c>
      <c r="J43" s="387">
        <f t="shared" si="13"/>
        <v>0</v>
      </c>
      <c r="K43" s="387">
        <f t="shared" si="14"/>
        <v>0</v>
      </c>
      <c r="L43" s="387">
        <f t="shared" si="15"/>
        <v>0</v>
      </c>
      <c r="M43" s="387">
        <f t="shared" si="16"/>
        <v>0</v>
      </c>
      <c r="N43" s="387">
        <f t="shared" si="17"/>
        <v>0</v>
      </c>
      <c r="O43" s="387">
        <f t="shared" si="18"/>
        <v>0</v>
      </c>
      <c r="P43" s="388">
        <f t="shared" si="11"/>
        <v>0</v>
      </c>
      <c r="R43" s="389"/>
    </row>
    <row r="44" spans="1:18" ht="15" customHeight="1">
      <c r="A44" s="381">
        <v>12</v>
      </c>
      <c r="B44" s="382"/>
      <c r="C44" s="383">
        <f t="shared" si="10"/>
        <v>0</v>
      </c>
      <c r="D44" s="384"/>
      <c r="E44" s="383">
        <f t="shared" si="0"/>
        <v>0</v>
      </c>
      <c r="F44" s="385"/>
      <c r="G44" s="386">
        <f t="shared" si="1"/>
        <v>24</v>
      </c>
      <c r="H44" s="387">
        <f t="shared" si="2"/>
        <v>0</v>
      </c>
      <c r="I44" s="387">
        <f t="shared" si="12"/>
        <v>0</v>
      </c>
      <c r="J44" s="387">
        <f t="shared" si="13"/>
        <v>0</v>
      </c>
      <c r="K44" s="387">
        <f t="shared" si="14"/>
        <v>0</v>
      </c>
      <c r="L44" s="387">
        <f t="shared" si="15"/>
        <v>0</v>
      </c>
      <c r="M44" s="387">
        <f t="shared" si="16"/>
        <v>0</v>
      </c>
      <c r="N44" s="387">
        <f t="shared" si="17"/>
        <v>0</v>
      </c>
      <c r="O44" s="387">
        <f t="shared" si="18"/>
        <v>0</v>
      </c>
      <c r="P44" s="388">
        <f t="shared" si="11"/>
        <v>0</v>
      </c>
      <c r="R44" s="389"/>
    </row>
    <row r="45" spans="1:18" ht="15" customHeight="1">
      <c r="A45" s="381">
        <v>15</v>
      </c>
      <c r="B45" s="382"/>
      <c r="C45" s="383">
        <f t="shared" si="10"/>
        <v>0</v>
      </c>
      <c r="D45" s="384"/>
      <c r="E45" s="383">
        <f t="shared" si="0"/>
        <v>0</v>
      </c>
      <c r="F45" s="385"/>
      <c r="G45" s="386">
        <f t="shared" si="1"/>
        <v>30</v>
      </c>
      <c r="H45" s="387">
        <f t="shared" si="2"/>
        <v>0</v>
      </c>
      <c r="I45" s="387">
        <f t="shared" si="12"/>
        <v>0</v>
      </c>
      <c r="J45" s="387">
        <f t="shared" si="13"/>
        <v>0</v>
      </c>
      <c r="K45" s="387">
        <f t="shared" si="14"/>
        <v>0</v>
      </c>
      <c r="L45" s="387">
        <f t="shared" si="15"/>
        <v>0</v>
      </c>
      <c r="M45" s="387">
        <f t="shared" si="16"/>
        <v>0</v>
      </c>
      <c r="N45" s="387">
        <f t="shared" si="17"/>
        <v>0</v>
      </c>
      <c r="O45" s="387">
        <f t="shared" si="18"/>
        <v>0</v>
      </c>
      <c r="P45" s="388">
        <f t="shared" si="11"/>
        <v>0</v>
      </c>
      <c r="R45" s="389"/>
    </row>
    <row r="46" spans="1:18" ht="15" customHeight="1">
      <c r="A46" s="381">
        <v>17</v>
      </c>
      <c r="B46" s="382"/>
      <c r="C46" s="383">
        <f t="shared" si="10"/>
        <v>0</v>
      </c>
      <c r="D46" s="384"/>
      <c r="E46" s="383">
        <f t="shared" si="0"/>
        <v>0</v>
      </c>
      <c r="F46" s="385"/>
      <c r="G46" s="386">
        <f t="shared" si="1"/>
        <v>34</v>
      </c>
      <c r="H46" s="387">
        <f t="shared" si="2"/>
        <v>0</v>
      </c>
      <c r="I46" s="387">
        <f t="shared" si="12"/>
        <v>0</v>
      </c>
      <c r="J46" s="387">
        <f t="shared" si="13"/>
        <v>0</v>
      </c>
      <c r="K46" s="387">
        <f t="shared" si="14"/>
        <v>0</v>
      </c>
      <c r="L46" s="387">
        <f t="shared" si="15"/>
        <v>0</v>
      </c>
      <c r="M46" s="387">
        <f t="shared" si="16"/>
        <v>0</v>
      </c>
      <c r="N46" s="387">
        <f t="shared" si="17"/>
        <v>0</v>
      </c>
      <c r="O46" s="387">
        <f t="shared" si="18"/>
        <v>0</v>
      </c>
      <c r="P46" s="388">
        <f t="shared" si="11"/>
        <v>0</v>
      </c>
      <c r="R46" s="389"/>
    </row>
    <row r="47" spans="1:18" ht="15" customHeight="1">
      <c r="A47" s="381">
        <v>19</v>
      </c>
      <c r="B47" s="382"/>
      <c r="C47" s="383">
        <f t="shared" si="10"/>
        <v>0</v>
      </c>
      <c r="D47" s="384"/>
      <c r="E47" s="383">
        <f t="shared" si="0"/>
        <v>0</v>
      </c>
      <c r="F47" s="385"/>
      <c r="G47" s="386">
        <f t="shared" si="1"/>
        <v>38</v>
      </c>
      <c r="H47" s="387">
        <f t="shared" si="2"/>
        <v>0</v>
      </c>
      <c r="I47" s="387">
        <f t="shared" si="12"/>
        <v>0</v>
      </c>
      <c r="J47" s="387">
        <f t="shared" si="13"/>
        <v>0</v>
      </c>
      <c r="K47" s="387">
        <f t="shared" si="14"/>
        <v>0</v>
      </c>
      <c r="L47" s="387">
        <f t="shared" si="15"/>
        <v>0</v>
      </c>
      <c r="M47" s="387">
        <f t="shared" si="16"/>
        <v>0</v>
      </c>
      <c r="N47" s="387">
        <f t="shared" si="17"/>
        <v>0</v>
      </c>
      <c r="O47" s="387">
        <f t="shared" si="18"/>
        <v>0</v>
      </c>
      <c r="P47" s="388">
        <f t="shared" si="11"/>
        <v>0</v>
      </c>
      <c r="R47" s="389"/>
    </row>
    <row r="48" spans="1:18" ht="15" customHeight="1">
      <c r="A48" s="381">
        <v>20</v>
      </c>
      <c r="B48" s="382"/>
      <c r="C48" s="383">
        <f t="shared" si="10"/>
        <v>0</v>
      </c>
      <c r="D48" s="384"/>
      <c r="E48" s="383">
        <f t="shared" si="0"/>
        <v>0</v>
      </c>
      <c r="F48" s="385"/>
      <c r="G48" s="386">
        <f t="shared" si="1"/>
        <v>40</v>
      </c>
      <c r="H48" s="387">
        <f t="shared" si="2"/>
        <v>0</v>
      </c>
      <c r="I48" s="387">
        <f t="shared" si="12"/>
        <v>0</v>
      </c>
      <c r="J48" s="387">
        <f t="shared" si="13"/>
        <v>0</v>
      </c>
      <c r="K48" s="387">
        <f t="shared" si="14"/>
        <v>0</v>
      </c>
      <c r="L48" s="387">
        <f t="shared" si="15"/>
        <v>0</v>
      </c>
      <c r="M48" s="387">
        <f t="shared" si="16"/>
        <v>0</v>
      </c>
      <c r="N48" s="387">
        <f t="shared" si="17"/>
        <v>0</v>
      </c>
      <c r="O48" s="387">
        <f t="shared" si="18"/>
        <v>0</v>
      </c>
      <c r="P48" s="388">
        <f t="shared" si="11"/>
        <v>0</v>
      </c>
      <c r="R48" s="389"/>
    </row>
    <row r="49" spans="1:18" ht="15" customHeight="1">
      <c r="A49" s="381">
        <v>25</v>
      </c>
      <c r="B49" s="382"/>
      <c r="C49" s="383">
        <f t="shared" si="10"/>
        <v>0</v>
      </c>
      <c r="D49" s="384"/>
      <c r="E49" s="383">
        <f t="shared" si="0"/>
        <v>0</v>
      </c>
      <c r="F49" s="385"/>
      <c r="G49" s="386">
        <f t="shared" si="1"/>
        <v>50</v>
      </c>
      <c r="H49" s="387">
        <f t="shared" si="2"/>
        <v>0</v>
      </c>
      <c r="I49" s="387">
        <f t="shared" si="12"/>
        <v>0</v>
      </c>
      <c r="J49" s="387">
        <f t="shared" si="13"/>
        <v>0</v>
      </c>
      <c r="K49" s="387">
        <f t="shared" si="14"/>
        <v>0</v>
      </c>
      <c r="L49" s="387">
        <f t="shared" si="15"/>
        <v>0</v>
      </c>
      <c r="M49" s="387">
        <f t="shared" si="16"/>
        <v>0</v>
      </c>
      <c r="N49" s="387">
        <f t="shared" si="17"/>
        <v>0</v>
      </c>
      <c r="O49" s="387">
        <f t="shared" si="18"/>
        <v>0</v>
      </c>
      <c r="P49" s="388">
        <f t="shared" si="11"/>
        <v>0</v>
      </c>
      <c r="R49" s="389"/>
    </row>
    <row r="50" spans="1:18" ht="15" customHeight="1">
      <c r="A50" s="381">
        <v>30</v>
      </c>
      <c r="B50" s="382"/>
      <c r="C50" s="383">
        <f t="shared" si="10"/>
        <v>0</v>
      </c>
      <c r="D50" s="384"/>
      <c r="E50" s="383">
        <f t="shared" si="0"/>
        <v>0</v>
      </c>
      <c r="F50" s="385"/>
      <c r="G50" s="386">
        <f t="shared" si="1"/>
        <v>60</v>
      </c>
      <c r="H50" s="387">
        <f t="shared" si="2"/>
        <v>0</v>
      </c>
      <c r="I50" s="387">
        <f t="shared" si="12"/>
        <v>0</v>
      </c>
      <c r="J50" s="387">
        <f t="shared" si="13"/>
        <v>0</v>
      </c>
      <c r="K50" s="387">
        <f t="shared" si="14"/>
        <v>0</v>
      </c>
      <c r="L50" s="387">
        <f t="shared" si="15"/>
        <v>0</v>
      </c>
      <c r="M50" s="387">
        <f t="shared" si="16"/>
        <v>0</v>
      </c>
      <c r="N50" s="387">
        <f t="shared" si="17"/>
        <v>0</v>
      </c>
      <c r="O50" s="387">
        <f t="shared" si="18"/>
        <v>0</v>
      </c>
      <c r="P50" s="388">
        <f t="shared" si="11"/>
        <v>0</v>
      </c>
      <c r="R50" s="389"/>
    </row>
    <row r="51" spans="1:18" ht="15" customHeight="1">
      <c r="A51" s="381">
        <v>35</v>
      </c>
      <c r="B51" s="382"/>
      <c r="C51" s="383">
        <f t="shared" si="10"/>
        <v>0</v>
      </c>
      <c r="D51" s="384"/>
      <c r="E51" s="383">
        <f t="shared" si="0"/>
        <v>0</v>
      </c>
      <c r="F51" s="385"/>
      <c r="G51" s="386">
        <f t="shared" si="1"/>
        <v>70</v>
      </c>
      <c r="H51" s="387">
        <f t="shared" si="2"/>
        <v>0</v>
      </c>
      <c r="I51" s="387">
        <f t="shared" si="12"/>
        <v>0</v>
      </c>
      <c r="J51" s="387">
        <f t="shared" si="13"/>
        <v>0</v>
      </c>
      <c r="K51" s="387">
        <f t="shared" si="14"/>
        <v>0</v>
      </c>
      <c r="L51" s="387">
        <f t="shared" si="15"/>
        <v>0</v>
      </c>
      <c r="M51" s="387">
        <f t="shared" si="16"/>
        <v>0</v>
      </c>
      <c r="N51" s="387">
        <f t="shared" si="17"/>
        <v>0</v>
      </c>
      <c r="O51" s="387">
        <f t="shared" si="18"/>
        <v>0</v>
      </c>
      <c r="P51" s="388">
        <f t="shared" si="11"/>
        <v>0</v>
      </c>
      <c r="R51" s="389"/>
    </row>
    <row r="52" spans="1:18" ht="15" customHeight="1">
      <c r="A52" s="381">
        <v>40</v>
      </c>
      <c r="B52" s="382"/>
      <c r="C52" s="383">
        <f t="shared" si="10"/>
        <v>0</v>
      </c>
      <c r="D52" s="384"/>
      <c r="E52" s="383">
        <f t="shared" si="0"/>
        <v>0</v>
      </c>
      <c r="F52" s="385"/>
      <c r="G52" s="386">
        <f t="shared" si="1"/>
        <v>80</v>
      </c>
      <c r="H52" s="387">
        <f t="shared" si="2"/>
        <v>0</v>
      </c>
      <c r="I52" s="387">
        <f t="shared" si="12"/>
        <v>0</v>
      </c>
      <c r="J52" s="387">
        <f t="shared" si="13"/>
        <v>0</v>
      </c>
      <c r="K52" s="387">
        <f t="shared" si="14"/>
        <v>0</v>
      </c>
      <c r="L52" s="387">
        <f t="shared" si="15"/>
        <v>0</v>
      </c>
      <c r="M52" s="387">
        <f t="shared" si="16"/>
        <v>0</v>
      </c>
      <c r="N52" s="387">
        <f t="shared" si="17"/>
        <v>0</v>
      </c>
      <c r="O52" s="387">
        <f t="shared" si="18"/>
        <v>0</v>
      </c>
      <c r="P52" s="388">
        <f t="shared" si="11"/>
        <v>0</v>
      </c>
      <c r="R52" s="389"/>
    </row>
    <row r="53" spans="1:18" ht="15" customHeight="1">
      <c r="A53" s="381">
        <v>45</v>
      </c>
      <c r="B53" s="382"/>
      <c r="C53" s="383">
        <f t="shared" si="10"/>
        <v>0</v>
      </c>
      <c r="D53" s="384"/>
      <c r="E53" s="383">
        <f t="shared" si="0"/>
        <v>0</v>
      </c>
      <c r="F53" s="385"/>
      <c r="G53" s="386">
        <f t="shared" si="1"/>
        <v>90</v>
      </c>
      <c r="H53" s="387">
        <f t="shared" si="2"/>
        <v>0</v>
      </c>
      <c r="I53" s="387">
        <f t="shared" si="12"/>
        <v>0</v>
      </c>
      <c r="J53" s="387">
        <f t="shared" si="13"/>
        <v>0</v>
      </c>
      <c r="K53" s="387">
        <f t="shared" si="14"/>
        <v>0</v>
      </c>
      <c r="L53" s="387">
        <f t="shared" si="15"/>
        <v>0</v>
      </c>
      <c r="M53" s="387">
        <f t="shared" si="16"/>
        <v>0</v>
      </c>
      <c r="N53" s="387">
        <f t="shared" si="17"/>
        <v>0</v>
      </c>
      <c r="O53" s="387">
        <f t="shared" si="18"/>
        <v>0</v>
      </c>
      <c r="P53" s="388">
        <f t="shared" si="11"/>
        <v>0</v>
      </c>
      <c r="R53" s="389"/>
    </row>
    <row r="54" spans="1:18" ht="15" customHeight="1">
      <c r="A54" s="381">
        <v>50</v>
      </c>
      <c r="B54" s="382"/>
      <c r="C54" s="383">
        <f t="shared" si="10"/>
        <v>0</v>
      </c>
      <c r="D54" s="384"/>
      <c r="E54" s="383">
        <f t="shared" si="0"/>
        <v>0</v>
      </c>
      <c r="F54" s="385"/>
      <c r="G54" s="386">
        <f t="shared" si="1"/>
        <v>100</v>
      </c>
      <c r="H54" s="387">
        <f t="shared" si="2"/>
        <v>0</v>
      </c>
      <c r="I54" s="387">
        <f t="shared" si="12"/>
        <v>0</v>
      </c>
      <c r="J54" s="387">
        <f t="shared" si="13"/>
        <v>0</v>
      </c>
      <c r="K54" s="387">
        <f t="shared" si="14"/>
        <v>0</v>
      </c>
      <c r="L54" s="387">
        <f t="shared" si="15"/>
        <v>0</v>
      </c>
      <c r="M54" s="387">
        <f t="shared" si="16"/>
        <v>0</v>
      </c>
      <c r="N54" s="387">
        <f t="shared" si="17"/>
        <v>0</v>
      </c>
      <c r="O54" s="387">
        <f t="shared" si="18"/>
        <v>0</v>
      </c>
      <c r="P54" s="388">
        <f t="shared" si="11"/>
        <v>0</v>
      </c>
      <c r="R54" s="389"/>
    </row>
    <row r="55" spans="1:18" ht="15" customHeight="1">
      <c r="A55" s="381">
        <v>55</v>
      </c>
      <c r="B55" s="382"/>
      <c r="C55" s="383">
        <f t="shared" si="10"/>
        <v>0</v>
      </c>
      <c r="D55" s="384"/>
      <c r="E55" s="383">
        <f t="shared" si="0"/>
        <v>0</v>
      </c>
      <c r="F55" s="385"/>
      <c r="G55" s="386">
        <f t="shared" si="1"/>
        <v>110</v>
      </c>
      <c r="H55" s="387">
        <f t="shared" si="2"/>
        <v>0</v>
      </c>
      <c r="I55" s="387">
        <f t="shared" si="12"/>
        <v>0</v>
      </c>
      <c r="J55" s="387">
        <f t="shared" si="13"/>
        <v>0</v>
      </c>
      <c r="K55" s="387">
        <f t="shared" si="14"/>
        <v>0</v>
      </c>
      <c r="L55" s="387">
        <f t="shared" si="15"/>
        <v>0</v>
      </c>
      <c r="M55" s="387">
        <f t="shared" si="16"/>
        <v>0</v>
      </c>
      <c r="N55" s="387">
        <f t="shared" si="17"/>
        <v>0</v>
      </c>
      <c r="O55" s="387">
        <f t="shared" si="18"/>
        <v>0</v>
      </c>
      <c r="P55" s="388">
        <f t="shared" si="11"/>
        <v>0</v>
      </c>
      <c r="R55" s="389"/>
    </row>
    <row r="56" spans="1:18" ht="15" customHeight="1">
      <c r="A56" s="381">
        <v>60</v>
      </c>
      <c r="B56" s="382"/>
      <c r="C56" s="383">
        <f t="shared" si="10"/>
        <v>0</v>
      </c>
      <c r="D56" s="384"/>
      <c r="E56" s="383">
        <f t="shared" si="0"/>
        <v>0</v>
      </c>
      <c r="F56" s="385"/>
      <c r="G56" s="386">
        <f t="shared" si="1"/>
        <v>120</v>
      </c>
      <c r="H56" s="387">
        <f t="shared" si="2"/>
        <v>0</v>
      </c>
      <c r="I56" s="387">
        <f t="shared" si="12"/>
        <v>0</v>
      </c>
      <c r="J56" s="387">
        <f t="shared" si="13"/>
        <v>0</v>
      </c>
      <c r="K56" s="387">
        <f t="shared" si="14"/>
        <v>0</v>
      </c>
      <c r="L56" s="387">
        <f t="shared" si="15"/>
        <v>0</v>
      </c>
      <c r="M56" s="387">
        <f t="shared" si="16"/>
        <v>0</v>
      </c>
      <c r="N56" s="387">
        <f t="shared" si="17"/>
        <v>0</v>
      </c>
      <c r="O56" s="387">
        <f t="shared" si="18"/>
        <v>0</v>
      </c>
      <c r="P56" s="388">
        <f t="shared" si="11"/>
        <v>0</v>
      </c>
      <c r="R56" s="389"/>
    </row>
    <row r="57" spans="1:18" ht="15" customHeight="1">
      <c r="A57" s="381">
        <v>65</v>
      </c>
      <c r="B57" s="382"/>
      <c r="C57" s="383">
        <f t="shared" si="10"/>
        <v>0</v>
      </c>
      <c r="D57" s="384"/>
      <c r="E57" s="383">
        <f t="shared" si="0"/>
        <v>0</v>
      </c>
      <c r="F57" s="385"/>
      <c r="G57" s="386">
        <f t="shared" si="1"/>
        <v>130</v>
      </c>
      <c r="H57" s="387">
        <f t="shared" si="2"/>
        <v>0</v>
      </c>
      <c r="I57" s="387">
        <f t="shared" si="12"/>
        <v>0</v>
      </c>
      <c r="J57" s="387">
        <f t="shared" si="13"/>
        <v>0</v>
      </c>
      <c r="K57" s="387">
        <f t="shared" si="14"/>
        <v>0</v>
      </c>
      <c r="L57" s="387">
        <f t="shared" si="15"/>
        <v>0</v>
      </c>
      <c r="M57" s="387">
        <f t="shared" si="16"/>
        <v>0</v>
      </c>
      <c r="N57" s="387">
        <f t="shared" si="17"/>
        <v>0</v>
      </c>
      <c r="O57" s="387">
        <f t="shared" si="18"/>
        <v>0</v>
      </c>
      <c r="P57" s="388">
        <f t="shared" si="11"/>
        <v>0</v>
      </c>
      <c r="R57" s="389"/>
    </row>
    <row r="58" spans="1:18" ht="15" customHeight="1">
      <c r="A58" s="381">
        <v>70</v>
      </c>
      <c r="B58" s="382"/>
      <c r="C58" s="383">
        <f t="shared" si="10"/>
        <v>0</v>
      </c>
      <c r="D58" s="384"/>
      <c r="E58" s="383">
        <f t="shared" si="0"/>
        <v>0</v>
      </c>
      <c r="F58" s="385"/>
      <c r="G58" s="386">
        <f t="shared" si="1"/>
        <v>140</v>
      </c>
      <c r="H58" s="387">
        <f t="shared" si="2"/>
        <v>0</v>
      </c>
      <c r="I58" s="387">
        <f t="shared" si="12"/>
        <v>0</v>
      </c>
      <c r="J58" s="387">
        <f t="shared" si="13"/>
        <v>0</v>
      </c>
      <c r="K58" s="387">
        <f t="shared" si="14"/>
        <v>0</v>
      </c>
      <c r="L58" s="387">
        <f t="shared" si="15"/>
        <v>0</v>
      </c>
      <c r="M58" s="387">
        <f t="shared" si="16"/>
        <v>0</v>
      </c>
      <c r="N58" s="387">
        <f t="shared" si="17"/>
        <v>0</v>
      </c>
      <c r="O58" s="387">
        <f t="shared" si="18"/>
        <v>0</v>
      </c>
      <c r="P58" s="388">
        <f t="shared" si="11"/>
        <v>0</v>
      </c>
      <c r="R58" s="389"/>
    </row>
    <row r="59" spans="1:18" ht="15" customHeight="1">
      <c r="A59" s="381">
        <v>75</v>
      </c>
      <c r="B59" s="382"/>
      <c r="C59" s="383">
        <f t="shared" si="10"/>
        <v>0</v>
      </c>
      <c r="D59" s="384"/>
      <c r="E59" s="383">
        <f t="shared" si="0"/>
        <v>0</v>
      </c>
      <c r="F59" s="385"/>
      <c r="G59" s="386">
        <f t="shared" si="1"/>
        <v>150</v>
      </c>
      <c r="H59" s="387">
        <f t="shared" si="2"/>
        <v>0</v>
      </c>
      <c r="I59" s="387">
        <f t="shared" si="12"/>
        <v>0</v>
      </c>
      <c r="J59" s="387">
        <f t="shared" si="13"/>
        <v>0</v>
      </c>
      <c r="K59" s="387">
        <f t="shared" si="14"/>
        <v>0</v>
      </c>
      <c r="L59" s="387">
        <f t="shared" si="15"/>
        <v>0</v>
      </c>
      <c r="M59" s="387">
        <f t="shared" si="16"/>
        <v>0</v>
      </c>
      <c r="N59" s="387">
        <f t="shared" si="17"/>
        <v>0</v>
      </c>
      <c r="O59" s="387">
        <f t="shared" si="18"/>
        <v>0</v>
      </c>
      <c r="P59" s="388">
        <f t="shared" si="11"/>
        <v>0</v>
      </c>
      <c r="R59" s="389"/>
    </row>
    <row r="60" spans="1:18" ht="15" customHeight="1">
      <c r="A60" s="381">
        <v>80</v>
      </c>
      <c r="B60" s="382"/>
      <c r="C60" s="383">
        <f t="shared" si="10"/>
        <v>0</v>
      </c>
      <c r="D60" s="384"/>
      <c r="E60" s="383">
        <f t="shared" si="0"/>
        <v>0</v>
      </c>
      <c r="F60" s="385"/>
      <c r="G60" s="386">
        <f t="shared" si="1"/>
        <v>160</v>
      </c>
      <c r="H60" s="387">
        <f t="shared" si="2"/>
        <v>0</v>
      </c>
      <c r="I60" s="387">
        <f t="shared" si="12"/>
        <v>0</v>
      </c>
      <c r="J60" s="387">
        <f t="shared" si="13"/>
        <v>0</v>
      </c>
      <c r="K60" s="387">
        <f t="shared" si="14"/>
        <v>0</v>
      </c>
      <c r="L60" s="387">
        <f t="shared" si="15"/>
        <v>0</v>
      </c>
      <c r="M60" s="387">
        <f t="shared" si="16"/>
        <v>0</v>
      </c>
      <c r="N60" s="387">
        <f t="shared" si="17"/>
        <v>0</v>
      </c>
      <c r="O60" s="387">
        <f t="shared" si="18"/>
        <v>0</v>
      </c>
      <c r="P60" s="388">
        <f t="shared" si="11"/>
        <v>0</v>
      </c>
      <c r="R60" s="389"/>
    </row>
    <row r="61" spans="1:18" ht="15" customHeight="1">
      <c r="A61" s="381">
        <v>85</v>
      </c>
      <c r="B61" s="382"/>
      <c r="C61" s="383">
        <f t="shared" si="10"/>
        <v>0</v>
      </c>
      <c r="D61" s="384"/>
      <c r="E61" s="383">
        <f t="shared" si="0"/>
        <v>0</v>
      </c>
      <c r="F61" s="385"/>
      <c r="G61" s="386">
        <f t="shared" si="1"/>
        <v>170</v>
      </c>
      <c r="H61" s="387">
        <f t="shared" si="2"/>
        <v>0</v>
      </c>
      <c r="I61" s="387">
        <f t="shared" si="12"/>
        <v>0</v>
      </c>
      <c r="J61" s="387">
        <f t="shared" si="13"/>
        <v>0</v>
      </c>
      <c r="K61" s="387">
        <f t="shared" si="14"/>
        <v>0</v>
      </c>
      <c r="L61" s="387">
        <f t="shared" si="15"/>
        <v>0</v>
      </c>
      <c r="M61" s="387">
        <f t="shared" si="16"/>
        <v>0</v>
      </c>
      <c r="N61" s="387">
        <f t="shared" si="17"/>
        <v>0</v>
      </c>
      <c r="O61" s="387">
        <f t="shared" si="18"/>
        <v>0</v>
      </c>
      <c r="P61" s="388">
        <f t="shared" si="11"/>
        <v>0</v>
      </c>
      <c r="R61" s="389"/>
    </row>
    <row r="62" spans="1:18" ht="15" customHeight="1">
      <c r="A62" s="381">
        <v>90</v>
      </c>
      <c r="B62" s="382"/>
      <c r="C62" s="383">
        <f t="shared" si="10"/>
        <v>0</v>
      </c>
      <c r="D62" s="384"/>
      <c r="E62" s="383">
        <f t="shared" si="0"/>
        <v>0</v>
      </c>
      <c r="F62" s="385"/>
      <c r="G62" s="386">
        <f t="shared" si="1"/>
        <v>180</v>
      </c>
      <c r="H62" s="387">
        <f t="shared" si="2"/>
        <v>0</v>
      </c>
      <c r="I62" s="387">
        <f t="shared" si="12"/>
        <v>0</v>
      </c>
      <c r="J62" s="387">
        <f t="shared" si="13"/>
        <v>0</v>
      </c>
      <c r="K62" s="387">
        <f t="shared" si="14"/>
        <v>0</v>
      </c>
      <c r="L62" s="387">
        <f t="shared" si="15"/>
        <v>0</v>
      </c>
      <c r="M62" s="387">
        <f t="shared" si="16"/>
        <v>0</v>
      </c>
      <c r="N62" s="387">
        <f t="shared" si="17"/>
        <v>0</v>
      </c>
      <c r="O62" s="387">
        <f t="shared" si="18"/>
        <v>0</v>
      </c>
      <c r="P62" s="388">
        <f t="shared" si="11"/>
        <v>0</v>
      </c>
      <c r="R62" s="389"/>
    </row>
    <row r="63" spans="1:18" ht="15" customHeight="1">
      <c r="A63" s="381">
        <v>95</v>
      </c>
      <c r="B63" s="382"/>
      <c r="C63" s="383">
        <f t="shared" si="10"/>
        <v>0</v>
      </c>
      <c r="D63" s="384"/>
      <c r="E63" s="383">
        <f t="shared" si="0"/>
        <v>0</v>
      </c>
      <c r="F63" s="385"/>
      <c r="G63" s="386">
        <f t="shared" si="1"/>
        <v>190</v>
      </c>
      <c r="H63" s="387">
        <f t="shared" si="2"/>
        <v>0</v>
      </c>
      <c r="I63" s="387">
        <f t="shared" si="12"/>
        <v>0</v>
      </c>
      <c r="J63" s="387">
        <f t="shared" si="13"/>
        <v>0</v>
      </c>
      <c r="K63" s="387">
        <f t="shared" si="14"/>
        <v>0</v>
      </c>
      <c r="L63" s="387">
        <f t="shared" si="15"/>
        <v>0</v>
      </c>
      <c r="M63" s="387">
        <f t="shared" si="16"/>
        <v>0</v>
      </c>
      <c r="N63" s="387">
        <f t="shared" si="17"/>
        <v>0</v>
      </c>
      <c r="O63" s="387">
        <f t="shared" si="18"/>
        <v>0</v>
      </c>
      <c r="P63" s="388">
        <f t="shared" si="11"/>
        <v>0</v>
      </c>
      <c r="R63" s="389"/>
    </row>
    <row r="64" spans="1:18" ht="15" customHeight="1">
      <c r="A64" s="381">
        <v>100</v>
      </c>
      <c r="B64" s="382"/>
      <c r="C64" s="383">
        <f t="shared" si="10"/>
        <v>0</v>
      </c>
      <c r="D64" s="384"/>
      <c r="E64" s="383">
        <f t="shared" si="0"/>
        <v>0</v>
      </c>
      <c r="F64" s="385"/>
      <c r="G64" s="386">
        <f t="shared" si="1"/>
        <v>200</v>
      </c>
      <c r="H64" s="387">
        <f t="shared" si="2"/>
        <v>0</v>
      </c>
      <c r="I64" s="387">
        <f t="shared" si="12"/>
        <v>0</v>
      </c>
      <c r="J64" s="387">
        <f t="shared" si="13"/>
        <v>0</v>
      </c>
      <c r="K64" s="387">
        <f t="shared" si="14"/>
        <v>0</v>
      </c>
      <c r="L64" s="387">
        <f t="shared" si="15"/>
        <v>0</v>
      </c>
      <c r="M64" s="387">
        <f t="shared" si="16"/>
        <v>0</v>
      </c>
      <c r="N64" s="387">
        <f t="shared" si="17"/>
        <v>0</v>
      </c>
      <c r="O64" s="387">
        <f t="shared" si="18"/>
        <v>0</v>
      </c>
      <c r="P64" s="388">
        <f t="shared" si="11"/>
        <v>0</v>
      </c>
      <c r="R64" s="389"/>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16" workbookViewId="0">
      <selection activeCell="A23" sqref="A23:E23"/>
    </sheetView>
  </sheetViews>
  <sheetFormatPr baseColWidth="10" defaultRowHeight="15" customHeight="1"/>
  <cols>
    <col min="1" max="1" width="7.7109375" style="359" customWidth="1"/>
    <col min="2" max="4" width="10.7109375" style="359" customWidth="1"/>
    <col min="5" max="5" width="13.85546875" style="359" bestFit="1" customWidth="1"/>
    <col min="6" max="6" width="10.7109375" style="359" customWidth="1"/>
    <col min="7" max="7" width="9.42578125" style="359" customWidth="1"/>
    <col min="8" max="8" width="10.5703125" style="359" customWidth="1"/>
    <col min="9" max="9" width="13.7109375" style="359" customWidth="1"/>
    <col min="10" max="11" width="10.42578125" style="359" customWidth="1"/>
    <col min="12" max="12" width="10.28515625" style="359" customWidth="1"/>
    <col min="13" max="13" width="9.42578125" style="359" customWidth="1"/>
    <col min="14" max="14" width="8.7109375" style="359" customWidth="1"/>
    <col min="15" max="15" width="13.28515625" style="359" bestFit="1" customWidth="1"/>
    <col min="16" max="16" width="10.28515625" style="359" customWidth="1"/>
    <col min="17" max="256" width="11.42578125" style="359"/>
    <col min="257" max="257" width="7" style="359" customWidth="1"/>
    <col min="258" max="258" width="10.7109375" style="359" customWidth="1"/>
    <col min="259" max="259" width="10.5703125" style="359" customWidth="1"/>
    <col min="260" max="260" width="10.7109375" style="359" customWidth="1"/>
    <col min="261" max="261" width="10.28515625" style="359" customWidth="1"/>
    <col min="262" max="262" width="10.7109375" style="359" customWidth="1"/>
    <col min="263" max="263" width="9.42578125" style="359" customWidth="1"/>
    <col min="264" max="264" width="10.5703125" style="359" customWidth="1"/>
    <col min="265" max="265" width="13.7109375" style="359" customWidth="1"/>
    <col min="266" max="267" width="10.42578125" style="359" customWidth="1"/>
    <col min="268" max="268" width="10.28515625" style="359" customWidth="1"/>
    <col min="269" max="269" width="9.42578125" style="359" customWidth="1"/>
    <col min="270" max="270" width="8.7109375" style="359" customWidth="1"/>
    <col min="271" max="271" width="10.42578125" style="359" customWidth="1"/>
    <col min="272" max="272" width="10.28515625" style="359" customWidth="1"/>
    <col min="273" max="512" width="11.42578125" style="359"/>
    <col min="513" max="513" width="7" style="359" customWidth="1"/>
    <col min="514" max="514" width="10.7109375" style="359" customWidth="1"/>
    <col min="515" max="515" width="10.5703125" style="359" customWidth="1"/>
    <col min="516" max="516" width="10.7109375" style="359" customWidth="1"/>
    <col min="517" max="517" width="10.28515625" style="359" customWidth="1"/>
    <col min="518" max="518" width="10.7109375" style="359" customWidth="1"/>
    <col min="519" max="519" width="9.42578125" style="359" customWidth="1"/>
    <col min="520" max="520" width="10.5703125" style="359" customWidth="1"/>
    <col min="521" max="521" width="13.7109375" style="359" customWidth="1"/>
    <col min="522" max="523" width="10.42578125" style="359" customWidth="1"/>
    <col min="524" max="524" width="10.28515625" style="359" customWidth="1"/>
    <col min="525" max="525" width="9.42578125" style="359" customWidth="1"/>
    <col min="526" max="526" width="8.7109375" style="359" customWidth="1"/>
    <col min="527" max="527" width="10.42578125" style="359" customWidth="1"/>
    <col min="528" max="528" width="10.28515625" style="359" customWidth="1"/>
    <col min="529" max="768" width="11.42578125" style="359"/>
    <col min="769" max="769" width="7" style="359" customWidth="1"/>
    <col min="770" max="770" width="10.7109375" style="359" customWidth="1"/>
    <col min="771" max="771" width="10.5703125" style="359" customWidth="1"/>
    <col min="772" max="772" width="10.7109375" style="359" customWidth="1"/>
    <col min="773" max="773" width="10.28515625" style="359" customWidth="1"/>
    <col min="774" max="774" width="10.7109375" style="359" customWidth="1"/>
    <col min="775" max="775" width="9.42578125" style="359" customWidth="1"/>
    <col min="776" max="776" width="10.5703125" style="359" customWidth="1"/>
    <col min="777" max="777" width="13.7109375" style="359" customWidth="1"/>
    <col min="778" max="779" width="10.42578125" style="359" customWidth="1"/>
    <col min="780" max="780" width="10.28515625" style="359" customWidth="1"/>
    <col min="781" max="781" width="9.42578125" style="359" customWidth="1"/>
    <col min="782" max="782" width="8.7109375" style="359" customWidth="1"/>
    <col min="783" max="783" width="10.42578125" style="359" customWidth="1"/>
    <col min="784" max="784" width="10.28515625" style="359" customWidth="1"/>
    <col min="785" max="1024" width="11.42578125" style="359"/>
    <col min="1025" max="1025" width="7" style="359" customWidth="1"/>
    <col min="1026" max="1026" width="10.7109375" style="359" customWidth="1"/>
    <col min="1027" max="1027" width="10.5703125" style="359" customWidth="1"/>
    <col min="1028" max="1028" width="10.7109375" style="359" customWidth="1"/>
    <col min="1029" max="1029" width="10.28515625" style="359" customWidth="1"/>
    <col min="1030" max="1030" width="10.7109375" style="359" customWidth="1"/>
    <col min="1031" max="1031" width="9.42578125" style="359" customWidth="1"/>
    <col min="1032" max="1032" width="10.5703125" style="359" customWidth="1"/>
    <col min="1033" max="1033" width="13.7109375" style="359" customWidth="1"/>
    <col min="1034" max="1035" width="10.42578125" style="359" customWidth="1"/>
    <col min="1036" max="1036" width="10.28515625" style="359" customWidth="1"/>
    <col min="1037" max="1037" width="9.42578125" style="359" customWidth="1"/>
    <col min="1038" max="1038" width="8.7109375" style="359" customWidth="1"/>
    <col min="1039" max="1039" width="10.42578125" style="359" customWidth="1"/>
    <col min="1040" max="1040" width="10.28515625" style="359" customWidth="1"/>
    <col min="1041" max="1280" width="11.42578125" style="359"/>
    <col min="1281" max="1281" width="7" style="359" customWidth="1"/>
    <col min="1282" max="1282" width="10.7109375" style="359" customWidth="1"/>
    <col min="1283" max="1283" width="10.5703125" style="359" customWidth="1"/>
    <col min="1284" max="1284" width="10.7109375" style="359" customWidth="1"/>
    <col min="1285" max="1285" width="10.28515625" style="359" customWidth="1"/>
    <col min="1286" max="1286" width="10.7109375" style="359" customWidth="1"/>
    <col min="1287" max="1287" width="9.42578125" style="359" customWidth="1"/>
    <col min="1288" max="1288" width="10.5703125" style="359" customWidth="1"/>
    <col min="1289" max="1289" width="13.7109375" style="359" customWidth="1"/>
    <col min="1290" max="1291" width="10.42578125" style="359" customWidth="1"/>
    <col min="1292" max="1292" width="10.28515625" style="359" customWidth="1"/>
    <col min="1293" max="1293" width="9.42578125" style="359" customWidth="1"/>
    <col min="1294" max="1294" width="8.7109375" style="359" customWidth="1"/>
    <col min="1295" max="1295" width="10.42578125" style="359" customWidth="1"/>
    <col min="1296" max="1296" width="10.28515625" style="359" customWidth="1"/>
    <col min="1297" max="1536" width="11.42578125" style="359"/>
    <col min="1537" max="1537" width="7" style="359" customWidth="1"/>
    <col min="1538" max="1538" width="10.7109375" style="359" customWidth="1"/>
    <col min="1539" max="1539" width="10.5703125" style="359" customWidth="1"/>
    <col min="1540" max="1540" width="10.7109375" style="359" customWidth="1"/>
    <col min="1541" max="1541" width="10.28515625" style="359" customWidth="1"/>
    <col min="1542" max="1542" width="10.7109375" style="359" customWidth="1"/>
    <col min="1543" max="1543" width="9.42578125" style="359" customWidth="1"/>
    <col min="1544" max="1544" width="10.5703125" style="359" customWidth="1"/>
    <col min="1545" max="1545" width="13.7109375" style="359" customWidth="1"/>
    <col min="1546" max="1547" width="10.42578125" style="359" customWidth="1"/>
    <col min="1548" max="1548" width="10.28515625" style="359" customWidth="1"/>
    <col min="1549" max="1549" width="9.42578125" style="359" customWidth="1"/>
    <col min="1550" max="1550" width="8.7109375" style="359" customWidth="1"/>
    <col min="1551" max="1551" width="10.42578125" style="359" customWidth="1"/>
    <col min="1552" max="1552" width="10.28515625" style="359" customWidth="1"/>
    <col min="1553" max="1792" width="11.42578125" style="359"/>
    <col min="1793" max="1793" width="7" style="359" customWidth="1"/>
    <col min="1794" max="1794" width="10.7109375" style="359" customWidth="1"/>
    <col min="1795" max="1795" width="10.5703125" style="359" customWidth="1"/>
    <col min="1796" max="1796" width="10.7109375" style="359" customWidth="1"/>
    <col min="1797" max="1797" width="10.28515625" style="359" customWidth="1"/>
    <col min="1798" max="1798" width="10.7109375" style="359" customWidth="1"/>
    <col min="1799" max="1799" width="9.42578125" style="359" customWidth="1"/>
    <col min="1800" max="1800" width="10.5703125" style="359" customWidth="1"/>
    <col min="1801" max="1801" width="13.7109375" style="359" customWidth="1"/>
    <col min="1802" max="1803" width="10.42578125" style="359" customWidth="1"/>
    <col min="1804" max="1804" width="10.28515625" style="359" customWidth="1"/>
    <col min="1805" max="1805" width="9.42578125" style="359" customWidth="1"/>
    <col min="1806" max="1806" width="8.7109375" style="359" customWidth="1"/>
    <col min="1807" max="1807" width="10.42578125" style="359" customWidth="1"/>
    <col min="1808" max="1808" width="10.28515625" style="359" customWidth="1"/>
    <col min="1809" max="2048" width="11.42578125" style="359"/>
    <col min="2049" max="2049" width="7" style="359" customWidth="1"/>
    <col min="2050" max="2050" width="10.7109375" style="359" customWidth="1"/>
    <col min="2051" max="2051" width="10.5703125" style="359" customWidth="1"/>
    <col min="2052" max="2052" width="10.7109375" style="359" customWidth="1"/>
    <col min="2053" max="2053" width="10.28515625" style="359" customWidth="1"/>
    <col min="2054" max="2054" width="10.7109375" style="359" customWidth="1"/>
    <col min="2055" max="2055" width="9.42578125" style="359" customWidth="1"/>
    <col min="2056" max="2056" width="10.5703125" style="359" customWidth="1"/>
    <col min="2057" max="2057" width="13.7109375" style="359" customWidth="1"/>
    <col min="2058" max="2059" width="10.42578125" style="359" customWidth="1"/>
    <col min="2060" max="2060" width="10.28515625" style="359" customWidth="1"/>
    <col min="2061" max="2061" width="9.42578125" style="359" customWidth="1"/>
    <col min="2062" max="2062" width="8.7109375" style="359" customWidth="1"/>
    <col min="2063" max="2063" width="10.42578125" style="359" customWidth="1"/>
    <col min="2064" max="2064" width="10.28515625" style="359" customWidth="1"/>
    <col min="2065" max="2304" width="11.42578125" style="359"/>
    <col min="2305" max="2305" width="7" style="359" customWidth="1"/>
    <col min="2306" max="2306" width="10.7109375" style="359" customWidth="1"/>
    <col min="2307" max="2307" width="10.5703125" style="359" customWidth="1"/>
    <col min="2308" max="2308" width="10.7109375" style="359" customWidth="1"/>
    <col min="2309" max="2309" width="10.28515625" style="359" customWidth="1"/>
    <col min="2310" max="2310" width="10.7109375" style="359" customWidth="1"/>
    <col min="2311" max="2311" width="9.42578125" style="359" customWidth="1"/>
    <col min="2312" max="2312" width="10.5703125" style="359" customWidth="1"/>
    <col min="2313" max="2313" width="13.7109375" style="359" customWidth="1"/>
    <col min="2314" max="2315" width="10.42578125" style="359" customWidth="1"/>
    <col min="2316" max="2316" width="10.28515625" style="359" customWidth="1"/>
    <col min="2317" max="2317" width="9.42578125" style="359" customWidth="1"/>
    <col min="2318" max="2318" width="8.7109375" style="359" customWidth="1"/>
    <col min="2319" max="2319" width="10.42578125" style="359" customWidth="1"/>
    <col min="2320" max="2320" width="10.28515625" style="359" customWidth="1"/>
    <col min="2321" max="2560" width="11.42578125" style="359"/>
    <col min="2561" max="2561" width="7" style="359" customWidth="1"/>
    <col min="2562" max="2562" width="10.7109375" style="359" customWidth="1"/>
    <col min="2563" max="2563" width="10.5703125" style="359" customWidth="1"/>
    <col min="2564" max="2564" width="10.7109375" style="359" customWidth="1"/>
    <col min="2565" max="2565" width="10.28515625" style="359" customWidth="1"/>
    <col min="2566" max="2566" width="10.7109375" style="359" customWidth="1"/>
    <col min="2567" max="2567" width="9.42578125" style="359" customWidth="1"/>
    <col min="2568" max="2568" width="10.5703125" style="359" customWidth="1"/>
    <col min="2569" max="2569" width="13.7109375" style="359" customWidth="1"/>
    <col min="2570" max="2571" width="10.42578125" style="359" customWidth="1"/>
    <col min="2572" max="2572" width="10.28515625" style="359" customWidth="1"/>
    <col min="2573" max="2573" width="9.42578125" style="359" customWidth="1"/>
    <col min="2574" max="2574" width="8.7109375" style="359" customWidth="1"/>
    <col min="2575" max="2575" width="10.42578125" style="359" customWidth="1"/>
    <col min="2576" max="2576" width="10.28515625" style="359" customWidth="1"/>
    <col min="2577" max="2816" width="11.42578125" style="359"/>
    <col min="2817" max="2817" width="7" style="359" customWidth="1"/>
    <col min="2818" max="2818" width="10.7109375" style="359" customWidth="1"/>
    <col min="2819" max="2819" width="10.5703125" style="359" customWidth="1"/>
    <col min="2820" max="2820" width="10.7109375" style="359" customWidth="1"/>
    <col min="2821" max="2821" width="10.28515625" style="359" customWidth="1"/>
    <col min="2822" max="2822" width="10.7109375" style="359" customWidth="1"/>
    <col min="2823" max="2823" width="9.42578125" style="359" customWidth="1"/>
    <col min="2824" max="2824" width="10.5703125" style="359" customWidth="1"/>
    <col min="2825" max="2825" width="13.7109375" style="359" customWidth="1"/>
    <col min="2826" max="2827" width="10.42578125" style="359" customWidth="1"/>
    <col min="2828" max="2828" width="10.28515625" style="359" customWidth="1"/>
    <col min="2829" max="2829" width="9.42578125" style="359" customWidth="1"/>
    <col min="2830" max="2830" width="8.7109375" style="359" customWidth="1"/>
    <col min="2831" max="2831" width="10.42578125" style="359" customWidth="1"/>
    <col min="2832" max="2832" width="10.28515625" style="359" customWidth="1"/>
    <col min="2833" max="3072" width="11.42578125" style="359"/>
    <col min="3073" max="3073" width="7" style="359" customWidth="1"/>
    <col min="3074" max="3074" width="10.7109375" style="359" customWidth="1"/>
    <col min="3075" max="3075" width="10.5703125" style="359" customWidth="1"/>
    <col min="3076" max="3076" width="10.7109375" style="359" customWidth="1"/>
    <col min="3077" max="3077" width="10.28515625" style="359" customWidth="1"/>
    <col min="3078" max="3078" width="10.7109375" style="359" customWidth="1"/>
    <col min="3079" max="3079" width="9.42578125" style="359" customWidth="1"/>
    <col min="3080" max="3080" width="10.5703125" style="359" customWidth="1"/>
    <col min="3081" max="3081" width="13.7109375" style="359" customWidth="1"/>
    <col min="3082" max="3083" width="10.42578125" style="359" customWidth="1"/>
    <col min="3084" max="3084" width="10.28515625" style="359" customWidth="1"/>
    <col min="3085" max="3085" width="9.42578125" style="359" customWidth="1"/>
    <col min="3086" max="3086" width="8.7109375" style="359" customWidth="1"/>
    <col min="3087" max="3087" width="10.42578125" style="359" customWidth="1"/>
    <col min="3088" max="3088" width="10.28515625" style="359" customWidth="1"/>
    <col min="3089" max="3328" width="11.42578125" style="359"/>
    <col min="3329" max="3329" width="7" style="359" customWidth="1"/>
    <col min="3330" max="3330" width="10.7109375" style="359" customWidth="1"/>
    <col min="3331" max="3331" width="10.5703125" style="359" customWidth="1"/>
    <col min="3332" max="3332" width="10.7109375" style="359" customWidth="1"/>
    <col min="3333" max="3333" width="10.28515625" style="359" customWidth="1"/>
    <col min="3334" max="3334" width="10.7109375" style="359" customWidth="1"/>
    <col min="3335" max="3335" width="9.42578125" style="359" customWidth="1"/>
    <col min="3336" max="3336" width="10.5703125" style="359" customWidth="1"/>
    <col min="3337" max="3337" width="13.7109375" style="359" customWidth="1"/>
    <col min="3338" max="3339" width="10.42578125" style="359" customWidth="1"/>
    <col min="3340" max="3340" width="10.28515625" style="359" customWidth="1"/>
    <col min="3341" max="3341" width="9.42578125" style="359" customWidth="1"/>
    <col min="3342" max="3342" width="8.7109375" style="359" customWidth="1"/>
    <col min="3343" max="3343" width="10.42578125" style="359" customWidth="1"/>
    <col min="3344" max="3344" width="10.28515625" style="359" customWidth="1"/>
    <col min="3345" max="3584" width="11.42578125" style="359"/>
    <col min="3585" max="3585" width="7" style="359" customWidth="1"/>
    <col min="3586" max="3586" width="10.7109375" style="359" customWidth="1"/>
    <col min="3587" max="3587" width="10.5703125" style="359" customWidth="1"/>
    <col min="3588" max="3588" width="10.7109375" style="359" customWidth="1"/>
    <col min="3589" max="3589" width="10.28515625" style="359" customWidth="1"/>
    <col min="3590" max="3590" width="10.7109375" style="359" customWidth="1"/>
    <col min="3591" max="3591" width="9.42578125" style="359" customWidth="1"/>
    <col min="3592" max="3592" width="10.5703125" style="359" customWidth="1"/>
    <col min="3593" max="3593" width="13.7109375" style="359" customWidth="1"/>
    <col min="3594" max="3595" width="10.42578125" style="359" customWidth="1"/>
    <col min="3596" max="3596" width="10.28515625" style="359" customWidth="1"/>
    <col min="3597" max="3597" width="9.42578125" style="359" customWidth="1"/>
    <col min="3598" max="3598" width="8.7109375" style="359" customWidth="1"/>
    <col min="3599" max="3599" width="10.42578125" style="359" customWidth="1"/>
    <col min="3600" max="3600" width="10.28515625" style="359" customWidth="1"/>
    <col min="3601" max="3840" width="11.42578125" style="359"/>
    <col min="3841" max="3841" width="7" style="359" customWidth="1"/>
    <col min="3842" max="3842" width="10.7109375" style="359" customWidth="1"/>
    <col min="3843" max="3843" width="10.5703125" style="359" customWidth="1"/>
    <col min="3844" max="3844" width="10.7109375" style="359" customWidth="1"/>
    <col min="3845" max="3845" width="10.28515625" style="359" customWidth="1"/>
    <col min="3846" max="3846" width="10.7109375" style="359" customWidth="1"/>
    <col min="3847" max="3847" width="9.42578125" style="359" customWidth="1"/>
    <col min="3848" max="3848" width="10.5703125" style="359" customWidth="1"/>
    <col min="3849" max="3849" width="13.7109375" style="359" customWidth="1"/>
    <col min="3850" max="3851" width="10.42578125" style="359" customWidth="1"/>
    <col min="3852" max="3852" width="10.28515625" style="359" customWidth="1"/>
    <col min="3853" max="3853" width="9.42578125" style="359" customWidth="1"/>
    <col min="3854" max="3854" width="8.7109375" style="359" customWidth="1"/>
    <col min="3855" max="3855" width="10.42578125" style="359" customWidth="1"/>
    <col min="3856" max="3856" width="10.28515625" style="359" customWidth="1"/>
    <col min="3857" max="4096" width="11.42578125" style="359"/>
    <col min="4097" max="4097" width="7" style="359" customWidth="1"/>
    <col min="4098" max="4098" width="10.7109375" style="359" customWidth="1"/>
    <col min="4099" max="4099" width="10.5703125" style="359" customWidth="1"/>
    <col min="4100" max="4100" width="10.7109375" style="359" customWidth="1"/>
    <col min="4101" max="4101" width="10.28515625" style="359" customWidth="1"/>
    <col min="4102" max="4102" width="10.7109375" style="359" customWidth="1"/>
    <col min="4103" max="4103" width="9.42578125" style="359" customWidth="1"/>
    <col min="4104" max="4104" width="10.5703125" style="359" customWidth="1"/>
    <col min="4105" max="4105" width="13.7109375" style="359" customWidth="1"/>
    <col min="4106" max="4107" width="10.42578125" style="359" customWidth="1"/>
    <col min="4108" max="4108" width="10.28515625" style="359" customWidth="1"/>
    <col min="4109" max="4109" width="9.42578125" style="359" customWidth="1"/>
    <col min="4110" max="4110" width="8.7109375" style="359" customWidth="1"/>
    <col min="4111" max="4111" width="10.42578125" style="359" customWidth="1"/>
    <col min="4112" max="4112" width="10.28515625" style="359" customWidth="1"/>
    <col min="4113" max="4352" width="11.42578125" style="359"/>
    <col min="4353" max="4353" width="7" style="359" customWidth="1"/>
    <col min="4354" max="4354" width="10.7109375" style="359" customWidth="1"/>
    <col min="4355" max="4355" width="10.5703125" style="359" customWidth="1"/>
    <col min="4356" max="4356" width="10.7109375" style="359" customWidth="1"/>
    <col min="4357" max="4357" width="10.28515625" style="359" customWidth="1"/>
    <col min="4358" max="4358" width="10.7109375" style="359" customWidth="1"/>
    <col min="4359" max="4359" width="9.42578125" style="359" customWidth="1"/>
    <col min="4360" max="4360" width="10.5703125" style="359" customWidth="1"/>
    <col min="4361" max="4361" width="13.7109375" style="359" customWidth="1"/>
    <col min="4362" max="4363" width="10.42578125" style="359" customWidth="1"/>
    <col min="4364" max="4364" width="10.28515625" style="359" customWidth="1"/>
    <col min="4365" max="4365" width="9.42578125" style="359" customWidth="1"/>
    <col min="4366" max="4366" width="8.7109375" style="359" customWidth="1"/>
    <col min="4367" max="4367" width="10.42578125" style="359" customWidth="1"/>
    <col min="4368" max="4368" width="10.28515625" style="359" customWidth="1"/>
    <col min="4369" max="4608" width="11.42578125" style="359"/>
    <col min="4609" max="4609" width="7" style="359" customWidth="1"/>
    <col min="4610" max="4610" width="10.7109375" style="359" customWidth="1"/>
    <col min="4611" max="4611" width="10.5703125" style="359" customWidth="1"/>
    <col min="4612" max="4612" width="10.7109375" style="359" customWidth="1"/>
    <col min="4613" max="4613" width="10.28515625" style="359" customWidth="1"/>
    <col min="4614" max="4614" width="10.7109375" style="359" customWidth="1"/>
    <col min="4615" max="4615" width="9.42578125" style="359" customWidth="1"/>
    <col min="4616" max="4616" width="10.5703125" style="359" customWidth="1"/>
    <col min="4617" max="4617" width="13.7109375" style="359" customWidth="1"/>
    <col min="4618" max="4619" width="10.42578125" style="359" customWidth="1"/>
    <col min="4620" max="4620" width="10.28515625" style="359" customWidth="1"/>
    <col min="4621" max="4621" width="9.42578125" style="359" customWidth="1"/>
    <col min="4622" max="4622" width="8.7109375" style="359" customWidth="1"/>
    <col min="4623" max="4623" width="10.42578125" style="359" customWidth="1"/>
    <col min="4624" max="4624" width="10.28515625" style="359" customWidth="1"/>
    <col min="4625" max="4864" width="11.42578125" style="359"/>
    <col min="4865" max="4865" width="7" style="359" customWidth="1"/>
    <col min="4866" max="4866" width="10.7109375" style="359" customWidth="1"/>
    <col min="4867" max="4867" width="10.5703125" style="359" customWidth="1"/>
    <col min="4868" max="4868" width="10.7109375" style="359" customWidth="1"/>
    <col min="4869" max="4869" width="10.28515625" style="359" customWidth="1"/>
    <col min="4870" max="4870" width="10.7109375" style="359" customWidth="1"/>
    <col min="4871" max="4871" width="9.42578125" style="359" customWidth="1"/>
    <col min="4872" max="4872" width="10.5703125" style="359" customWidth="1"/>
    <col min="4873" max="4873" width="13.7109375" style="359" customWidth="1"/>
    <col min="4874" max="4875" width="10.42578125" style="359" customWidth="1"/>
    <col min="4876" max="4876" width="10.28515625" style="359" customWidth="1"/>
    <col min="4877" max="4877" width="9.42578125" style="359" customWidth="1"/>
    <col min="4878" max="4878" width="8.7109375" style="359" customWidth="1"/>
    <col min="4879" max="4879" width="10.42578125" style="359" customWidth="1"/>
    <col min="4880" max="4880" width="10.28515625" style="359" customWidth="1"/>
    <col min="4881" max="5120" width="11.42578125" style="359"/>
    <col min="5121" max="5121" width="7" style="359" customWidth="1"/>
    <col min="5122" max="5122" width="10.7109375" style="359" customWidth="1"/>
    <col min="5123" max="5123" width="10.5703125" style="359" customWidth="1"/>
    <col min="5124" max="5124" width="10.7109375" style="359" customWidth="1"/>
    <col min="5125" max="5125" width="10.28515625" style="359" customWidth="1"/>
    <col min="5126" max="5126" width="10.7109375" style="359" customWidth="1"/>
    <col min="5127" max="5127" width="9.42578125" style="359" customWidth="1"/>
    <col min="5128" max="5128" width="10.5703125" style="359" customWidth="1"/>
    <col min="5129" max="5129" width="13.7109375" style="359" customWidth="1"/>
    <col min="5130" max="5131" width="10.42578125" style="359" customWidth="1"/>
    <col min="5132" max="5132" width="10.28515625" style="359" customWidth="1"/>
    <col min="5133" max="5133" width="9.42578125" style="359" customWidth="1"/>
    <col min="5134" max="5134" width="8.7109375" style="359" customWidth="1"/>
    <col min="5135" max="5135" width="10.42578125" style="359" customWidth="1"/>
    <col min="5136" max="5136" width="10.28515625" style="359" customWidth="1"/>
    <col min="5137" max="5376" width="11.42578125" style="359"/>
    <col min="5377" max="5377" width="7" style="359" customWidth="1"/>
    <col min="5378" max="5378" width="10.7109375" style="359" customWidth="1"/>
    <col min="5379" max="5379" width="10.5703125" style="359" customWidth="1"/>
    <col min="5380" max="5380" width="10.7109375" style="359" customWidth="1"/>
    <col min="5381" max="5381" width="10.28515625" style="359" customWidth="1"/>
    <col min="5382" max="5382" width="10.7109375" style="359" customWidth="1"/>
    <col min="5383" max="5383" width="9.42578125" style="359" customWidth="1"/>
    <col min="5384" max="5384" width="10.5703125" style="359" customWidth="1"/>
    <col min="5385" max="5385" width="13.7109375" style="359" customWidth="1"/>
    <col min="5386" max="5387" width="10.42578125" style="359" customWidth="1"/>
    <col min="5388" max="5388" width="10.28515625" style="359" customWidth="1"/>
    <col min="5389" max="5389" width="9.42578125" style="359" customWidth="1"/>
    <col min="5390" max="5390" width="8.7109375" style="359" customWidth="1"/>
    <col min="5391" max="5391" width="10.42578125" style="359" customWidth="1"/>
    <col min="5392" max="5392" width="10.28515625" style="359" customWidth="1"/>
    <col min="5393" max="5632" width="11.42578125" style="359"/>
    <col min="5633" max="5633" width="7" style="359" customWidth="1"/>
    <col min="5634" max="5634" width="10.7109375" style="359" customWidth="1"/>
    <col min="5635" max="5635" width="10.5703125" style="359" customWidth="1"/>
    <col min="5636" max="5636" width="10.7109375" style="359" customWidth="1"/>
    <col min="5637" max="5637" width="10.28515625" style="359" customWidth="1"/>
    <col min="5638" max="5638" width="10.7109375" style="359" customWidth="1"/>
    <col min="5639" max="5639" width="9.42578125" style="359" customWidth="1"/>
    <col min="5640" max="5640" width="10.5703125" style="359" customWidth="1"/>
    <col min="5641" max="5641" width="13.7109375" style="359" customWidth="1"/>
    <col min="5642" max="5643" width="10.42578125" style="359" customWidth="1"/>
    <col min="5644" max="5644" width="10.28515625" style="359" customWidth="1"/>
    <col min="5645" max="5645" width="9.42578125" style="359" customWidth="1"/>
    <col min="5646" max="5646" width="8.7109375" style="359" customWidth="1"/>
    <col min="5647" max="5647" width="10.42578125" style="359" customWidth="1"/>
    <col min="5648" max="5648" width="10.28515625" style="359" customWidth="1"/>
    <col min="5649" max="5888" width="11.42578125" style="359"/>
    <col min="5889" max="5889" width="7" style="359" customWidth="1"/>
    <col min="5890" max="5890" width="10.7109375" style="359" customWidth="1"/>
    <col min="5891" max="5891" width="10.5703125" style="359" customWidth="1"/>
    <col min="5892" max="5892" width="10.7109375" style="359" customWidth="1"/>
    <col min="5893" max="5893" width="10.28515625" style="359" customWidth="1"/>
    <col min="5894" max="5894" width="10.7109375" style="359" customWidth="1"/>
    <col min="5895" max="5895" width="9.42578125" style="359" customWidth="1"/>
    <col min="5896" max="5896" width="10.5703125" style="359" customWidth="1"/>
    <col min="5897" max="5897" width="13.7109375" style="359" customWidth="1"/>
    <col min="5898" max="5899" width="10.42578125" style="359" customWidth="1"/>
    <col min="5900" max="5900" width="10.28515625" style="359" customWidth="1"/>
    <col min="5901" max="5901" width="9.42578125" style="359" customWidth="1"/>
    <col min="5902" max="5902" width="8.7109375" style="359" customWidth="1"/>
    <col min="5903" max="5903" width="10.42578125" style="359" customWidth="1"/>
    <col min="5904" max="5904" width="10.28515625" style="359" customWidth="1"/>
    <col min="5905" max="6144" width="11.42578125" style="359"/>
    <col min="6145" max="6145" width="7" style="359" customWidth="1"/>
    <col min="6146" max="6146" width="10.7109375" style="359" customWidth="1"/>
    <col min="6147" max="6147" width="10.5703125" style="359" customWidth="1"/>
    <col min="6148" max="6148" width="10.7109375" style="359" customWidth="1"/>
    <col min="6149" max="6149" width="10.28515625" style="359" customWidth="1"/>
    <col min="6150" max="6150" width="10.7109375" style="359" customWidth="1"/>
    <col min="6151" max="6151" width="9.42578125" style="359" customWidth="1"/>
    <col min="6152" max="6152" width="10.5703125" style="359" customWidth="1"/>
    <col min="6153" max="6153" width="13.7109375" style="359" customWidth="1"/>
    <col min="6154" max="6155" width="10.42578125" style="359" customWidth="1"/>
    <col min="6156" max="6156" width="10.28515625" style="359" customWidth="1"/>
    <col min="6157" max="6157" width="9.42578125" style="359" customWidth="1"/>
    <col min="6158" max="6158" width="8.7109375" style="359" customWidth="1"/>
    <col min="6159" max="6159" width="10.42578125" style="359" customWidth="1"/>
    <col min="6160" max="6160" width="10.28515625" style="359" customWidth="1"/>
    <col min="6161" max="6400" width="11.42578125" style="359"/>
    <col min="6401" max="6401" width="7" style="359" customWidth="1"/>
    <col min="6402" max="6402" width="10.7109375" style="359" customWidth="1"/>
    <col min="6403" max="6403" width="10.5703125" style="359" customWidth="1"/>
    <col min="6404" max="6404" width="10.7109375" style="359" customWidth="1"/>
    <col min="6405" max="6405" width="10.28515625" style="359" customWidth="1"/>
    <col min="6406" max="6406" width="10.7109375" style="359" customWidth="1"/>
    <col min="6407" max="6407" width="9.42578125" style="359" customWidth="1"/>
    <col min="6408" max="6408" width="10.5703125" style="359" customWidth="1"/>
    <col min="6409" max="6409" width="13.7109375" style="359" customWidth="1"/>
    <col min="6410" max="6411" width="10.42578125" style="359" customWidth="1"/>
    <col min="6412" max="6412" width="10.28515625" style="359" customWidth="1"/>
    <col min="6413" max="6413" width="9.42578125" style="359" customWidth="1"/>
    <col min="6414" max="6414" width="8.7109375" style="359" customWidth="1"/>
    <col min="6415" max="6415" width="10.42578125" style="359" customWidth="1"/>
    <col min="6416" max="6416" width="10.28515625" style="359" customWidth="1"/>
    <col min="6417" max="6656" width="11.42578125" style="359"/>
    <col min="6657" max="6657" width="7" style="359" customWidth="1"/>
    <col min="6658" max="6658" width="10.7109375" style="359" customWidth="1"/>
    <col min="6659" max="6659" width="10.5703125" style="359" customWidth="1"/>
    <col min="6660" max="6660" width="10.7109375" style="359" customWidth="1"/>
    <col min="6661" max="6661" width="10.28515625" style="359" customWidth="1"/>
    <col min="6662" max="6662" width="10.7109375" style="359" customWidth="1"/>
    <col min="6663" max="6663" width="9.42578125" style="359" customWidth="1"/>
    <col min="6664" max="6664" width="10.5703125" style="359" customWidth="1"/>
    <col min="6665" max="6665" width="13.7109375" style="359" customWidth="1"/>
    <col min="6666" max="6667" width="10.42578125" style="359" customWidth="1"/>
    <col min="6668" max="6668" width="10.28515625" style="359" customWidth="1"/>
    <col min="6669" max="6669" width="9.42578125" style="359" customWidth="1"/>
    <col min="6670" max="6670" width="8.7109375" style="359" customWidth="1"/>
    <col min="6671" max="6671" width="10.42578125" style="359" customWidth="1"/>
    <col min="6672" max="6672" width="10.28515625" style="359" customWidth="1"/>
    <col min="6673" max="6912" width="11.42578125" style="359"/>
    <col min="6913" max="6913" width="7" style="359" customWidth="1"/>
    <col min="6914" max="6914" width="10.7109375" style="359" customWidth="1"/>
    <col min="6915" max="6915" width="10.5703125" style="359" customWidth="1"/>
    <col min="6916" max="6916" width="10.7109375" style="359" customWidth="1"/>
    <col min="6917" max="6917" width="10.28515625" style="359" customWidth="1"/>
    <col min="6918" max="6918" width="10.7109375" style="359" customWidth="1"/>
    <col min="6919" max="6919" width="9.42578125" style="359" customWidth="1"/>
    <col min="6920" max="6920" width="10.5703125" style="359" customWidth="1"/>
    <col min="6921" max="6921" width="13.7109375" style="359" customWidth="1"/>
    <col min="6922" max="6923" width="10.42578125" style="359" customWidth="1"/>
    <col min="6924" max="6924" width="10.28515625" style="359" customWidth="1"/>
    <col min="6925" max="6925" width="9.42578125" style="359" customWidth="1"/>
    <col min="6926" max="6926" width="8.7109375" style="359" customWidth="1"/>
    <col min="6927" max="6927" width="10.42578125" style="359" customWidth="1"/>
    <col min="6928" max="6928" width="10.28515625" style="359" customWidth="1"/>
    <col min="6929" max="7168" width="11.42578125" style="359"/>
    <col min="7169" max="7169" width="7" style="359" customWidth="1"/>
    <col min="7170" max="7170" width="10.7109375" style="359" customWidth="1"/>
    <col min="7171" max="7171" width="10.5703125" style="359" customWidth="1"/>
    <col min="7172" max="7172" width="10.7109375" style="359" customWidth="1"/>
    <col min="7173" max="7173" width="10.28515625" style="359" customWidth="1"/>
    <col min="7174" max="7174" width="10.7109375" style="359" customWidth="1"/>
    <col min="7175" max="7175" width="9.42578125" style="359" customWidth="1"/>
    <col min="7176" max="7176" width="10.5703125" style="359" customWidth="1"/>
    <col min="7177" max="7177" width="13.7109375" style="359" customWidth="1"/>
    <col min="7178" max="7179" width="10.42578125" style="359" customWidth="1"/>
    <col min="7180" max="7180" width="10.28515625" style="359" customWidth="1"/>
    <col min="7181" max="7181" width="9.42578125" style="359" customWidth="1"/>
    <col min="7182" max="7182" width="8.7109375" style="359" customWidth="1"/>
    <col min="7183" max="7183" width="10.42578125" style="359" customWidth="1"/>
    <col min="7184" max="7184" width="10.28515625" style="359" customWidth="1"/>
    <col min="7185" max="7424" width="11.42578125" style="359"/>
    <col min="7425" max="7425" width="7" style="359" customWidth="1"/>
    <col min="7426" max="7426" width="10.7109375" style="359" customWidth="1"/>
    <col min="7427" max="7427" width="10.5703125" style="359" customWidth="1"/>
    <col min="7428" max="7428" width="10.7109375" style="359" customWidth="1"/>
    <col min="7429" max="7429" width="10.28515625" style="359" customWidth="1"/>
    <col min="7430" max="7430" width="10.7109375" style="359" customWidth="1"/>
    <col min="7431" max="7431" width="9.42578125" style="359" customWidth="1"/>
    <col min="7432" max="7432" width="10.5703125" style="359" customWidth="1"/>
    <col min="7433" max="7433" width="13.7109375" style="359" customWidth="1"/>
    <col min="7434" max="7435" width="10.42578125" style="359" customWidth="1"/>
    <col min="7436" max="7436" width="10.28515625" style="359" customWidth="1"/>
    <col min="7437" max="7437" width="9.42578125" style="359" customWidth="1"/>
    <col min="7438" max="7438" width="8.7109375" style="359" customWidth="1"/>
    <col min="7439" max="7439" width="10.42578125" style="359" customWidth="1"/>
    <col min="7440" max="7440" width="10.28515625" style="359" customWidth="1"/>
    <col min="7441" max="7680" width="11.42578125" style="359"/>
    <col min="7681" max="7681" width="7" style="359" customWidth="1"/>
    <col min="7682" max="7682" width="10.7109375" style="359" customWidth="1"/>
    <col min="7683" max="7683" width="10.5703125" style="359" customWidth="1"/>
    <col min="7684" max="7684" width="10.7109375" style="359" customWidth="1"/>
    <col min="7685" max="7685" width="10.28515625" style="359" customWidth="1"/>
    <col min="7686" max="7686" width="10.7109375" style="359" customWidth="1"/>
    <col min="7687" max="7687" width="9.42578125" style="359" customWidth="1"/>
    <col min="7688" max="7688" width="10.5703125" style="359" customWidth="1"/>
    <col min="7689" max="7689" width="13.7109375" style="359" customWidth="1"/>
    <col min="7690" max="7691" width="10.42578125" style="359" customWidth="1"/>
    <col min="7692" max="7692" width="10.28515625" style="359" customWidth="1"/>
    <col min="7693" max="7693" width="9.42578125" style="359" customWidth="1"/>
    <col min="7694" max="7694" width="8.7109375" style="359" customWidth="1"/>
    <col min="7695" max="7695" width="10.42578125" style="359" customWidth="1"/>
    <col min="7696" max="7696" width="10.28515625" style="359" customWidth="1"/>
    <col min="7697" max="7936" width="11.42578125" style="359"/>
    <col min="7937" max="7937" width="7" style="359" customWidth="1"/>
    <col min="7938" max="7938" width="10.7109375" style="359" customWidth="1"/>
    <col min="7939" max="7939" width="10.5703125" style="359" customWidth="1"/>
    <col min="7940" max="7940" width="10.7109375" style="359" customWidth="1"/>
    <col min="7941" max="7941" width="10.28515625" style="359" customWidth="1"/>
    <col min="7942" max="7942" width="10.7109375" style="359" customWidth="1"/>
    <col min="7943" max="7943" width="9.42578125" style="359" customWidth="1"/>
    <col min="7944" max="7944" width="10.5703125" style="359" customWidth="1"/>
    <col min="7945" max="7945" width="13.7109375" style="359" customWidth="1"/>
    <col min="7946" max="7947" width="10.42578125" style="359" customWidth="1"/>
    <col min="7948" max="7948" width="10.28515625" style="359" customWidth="1"/>
    <col min="7949" max="7949" width="9.42578125" style="359" customWidth="1"/>
    <col min="7950" max="7950" width="8.7109375" style="359" customWidth="1"/>
    <col min="7951" max="7951" width="10.42578125" style="359" customWidth="1"/>
    <col min="7952" max="7952" width="10.28515625" style="359" customWidth="1"/>
    <col min="7953" max="8192" width="11.42578125" style="359"/>
    <col min="8193" max="8193" width="7" style="359" customWidth="1"/>
    <col min="8194" max="8194" width="10.7109375" style="359" customWidth="1"/>
    <col min="8195" max="8195" width="10.5703125" style="359" customWidth="1"/>
    <col min="8196" max="8196" width="10.7109375" style="359" customWidth="1"/>
    <col min="8197" max="8197" width="10.28515625" style="359" customWidth="1"/>
    <col min="8198" max="8198" width="10.7109375" style="359" customWidth="1"/>
    <col min="8199" max="8199" width="9.42578125" style="359" customWidth="1"/>
    <col min="8200" max="8200" width="10.5703125" style="359" customWidth="1"/>
    <col min="8201" max="8201" width="13.7109375" style="359" customWidth="1"/>
    <col min="8202" max="8203" width="10.42578125" style="359" customWidth="1"/>
    <col min="8204" max="8204" width="10.28515625" style="359" customWidth="1"/>
    <col min="8205" max="8205" width="9.42578125" style="359" customWidth="1"/>
    <col min="8206" max="8206" width="8.7109375" style="359" customWidth="1"/>
    <col min="8207" max="8207" width="10.42578125" style="359" customWidth="1"/>
    <col min="8208" max="8208" width="10.28515625" style="359" customWidth="1"/>
    <col min="8209" max="8448" width="11.42578125" style="359"/>
    <col min="8449" max="8449" width="7" style="359" customWidth="1"/>
    <col min="8450" max="8450" width="10.7109375" style="359" customWidth="1"/>
    <col min="8451" max="8451" width="10.5703125" style="359" customWidth="1"/>
    <col min="8452" max="8452" width="10.7109375" style="359" customWidth="1"/>
    <col min="8453" max="8453" width="10.28515625" style="359" customWidth="1"/>
    <col min="8454" max="8454" width="10.7109375" style="359" customWidth="1"/>
    <col min="8455" max="8455" width="9.42578125" style="359" customWidth="1"/>
    <col min="8456" max="8456" width="10.5703125" style="359" customWidth="1"/>
    <col min="8457" max="8457" width="13.7109375" style="359" customWidth="1"/>
    <col min="8458" max="8459" width="10.42578125" style="359" customWidth="1"/>
    <col min="8460" max="8460" width="10.28515625" style="359" customWidth="1"/>
    <col min="8461" max="8461" width="9.42578125" style="359" customWidth="1"/>
    <col min="8462" max="8462" width="8.7109375" style="359" customWidth="1"/>
    <col min="8463" max="8463" width="10.42578125" style="359" customWidth="1"/>
    <col min="8464" max="8464" width="10.28515625" style="359" customWidth="1"/>
    <col min="8465" max="8704" width="11.42578125" style="359"/>
    <col min="8705" max="8705" width="7" style="359" customWidth="1"/>
    <col min="8706" max="8706" width="10.7109375" style="359" customWidth="1"/>
    <col min="8707" max="8707" width="10.5703125" style="359" customWidth="1"/>
    <col min="8708" max="8708" width="10.7109375" style="359" customWidth="1"/>
    <col min="8709" max="8709" width="10.28515625" style="359" customWidth="1"/>
    <col min="8710" max="8710" width="10.7109375" style="359" customWidth="1"/>
    <col min="8711" max="8711" width="9.42578125" style="359" customWidth="1"/>
    <col min="8712" max="8712" width="10.5703125" style="359" customWidth="1"/>
    <col min="8713" max="8713" width="13.7109375" style="359" customWidth="1"/>
    <col min="8714" max="8715" width="10.42578125" style="359" customWidth="1"/>
    <col min="8716" max="8716" width="10.28515625" style="359" customWidth="1"/>
    <col min="8717" max="8717" width="9.42578125" style="359" customWidth="1"/>
    <col min="8718" max="8718" width="8.7109375" style="359" customWidth="1"/>
    <col min="8719" max="8719" width="10.42578125" style="359" customWidth="1"/>
    <col min="8720" max="8720" width="10.28515625" style="359" customWidth="1"/>
    <col min="8721" max="8960" width="11.42578125" style="359"/>
    <col min="8961" max="8961" width="7" style="359" customWidth="1"/>
    <col min="8962" max="8962" width="10.7109375" style="359" customWidth="1"/>
    <col min="8963" max="8963" width="10.5703125" style="359" customWidth="1"/>
    <col min="8964" max="8964" width="10.7109375" style="359" customWidth="1"/>
    <col min="8965" max="8965" width="10.28515625" style="359" customWidth="1"/>
    <col min="8966" max="8966" width="10.7109375" style="359" customWidth="1"/>
    <col min="8967" max="8967" width="9.42578125" style="359" customWidth="1"/>
    <col min="8968" max="8968" width="10.5703125" style="359" customWidth="1"/>
    <col min="8969" max="8969" width="13.7109375" style="359" customWidth="1"/>
    <col min="8970" max="8971" width="10.42578125" style="359" customWidth="1"/>
    <col min="8972" max="8972" width="10.28515625" style="359" customWidth="1"/>
    <col min="8973" max="8973" width="9.42578125" style="359" customWidth="1"/>
    <col min="8974" max="8974" width="8.7109375" style="359" customWidth="1"/>
    <col min="8975" max="8975" width="10.42578125" style="359" customWidth="1"/>
    <col min="8976" max="8976" width="10.28515625" style="359" customWidth="1"/>
    <col min="8977" max="9216" width="11.42578125" style="359"/>
    <col min="9217" max="9217" width="7" style="359" customWidth="1"/>
    <col min="9218" max="9218" width="10.7109375" style="359" customWidth="1"/>
    <col min="9219" max="9219" width="10.5703125" style="359" customWidth="1"/>
    <col min="9220" max="9220" width="10.7109375" style="359" customWidth="1"/>
    <col min="9221" max="9221" width="10.28515625" style="359" customWidth="1"/>
    <col min="9222" max="9222" width="10.7109375" style="359" customWidth="1"/>
    <col min="9223" max="9223" width="9.42578125" style="359" customWidth="1"/>
    <col min="9224" max="9224" width="10.5703125" style="359" customWidth="1"/>
    <col min="9225" max="9225" width="13.7109375" style="359" customWidth="1"/>
    <col min="9226" max="9227" width="10.42578125" style="359" customWidth="1"/>
    <col min="9228" max="9228" width="10.28515625" style="359" customWidth="1"/>
    <col min="9229" max="9229" width="9.42578125" style="359" customWidth="1"/>
    <col min="9230" max="9230" width="8.7109375" style="359" customWidth="1"/>
    <col min="9231" max="9231" width="10.42578125" style="359" customWidth="1"/>
    <col min="9232" max="9232" width="10.28515625" style="359" customWidth="1"/>
    <col min="9233" max="9472" width="11.42578125" style="359"/>
    <col min="9473" max="9473" width="7" style="359" customWidth="1"/>
    <col min="9474" max="9474" width="10.7109375" style="359" customWidth="1"/>
    <col min="9475" max="9475" width="10.5703125" style="359" customWidth="1"/>
    <col min="9476" max="9476" width="10.7109375" style="359" customWidth="1"/>
    <col min="9477" max="9477" width="10.28515625" style="359" customWidth="1"/>
    <col min="9478" max="9478" width="10.7109375" style="359" customWidth="1"/>
    <col min="9479" max="9479" width="9.42578125" style="359" customWidth="1"/>
    <col min="9480" max="9480" width="10.5703125" style="359" customWidth="1"/>
    <col min="9481" max="9481" width="13.7109375" style="359" customWidth="1"/>
    <col min="9482" max="9483" width="10.42578125" style="359" customWidth="1"/>
    <col min="9484" max="9484" width="10.28515625" style="359" customWidth="1"/>
    <col min="9485" max="9485" width="9.42578125" style="359" customWidth="1"/>
    <col min="9486" max="9486" width="8.7109375" style="359" customWidth="1"/>
    <col min="9487" max="9487" width="10.42578125" style="359" customWidth="1"/>
    <col min="9488" max="9488" width="10.28515625" style="359" customWidth="1"/>
    <col min="9489" max="9728" width="11.42578125" style="359"/>
    <col min="9729" max="9729" width="7" style="359" customWidth="1"/>
    <col min="9730" max="9730" width="10.7109375" style="359" customWidth="1"/>
    <col min="9731" max="9731" width="10.5703125" style="359" customWidth="1"/>
    <col min="9732" max="9732" width="10.7109375" style="359" customWidth="1"/>
    <col min="9733" max="9733" width="10.28515625" style="359" customWidth="1"/>
    <col min="9734" max="9734" width="10.7109375" style="359" customWidth="1"/>
    <col min="9735" max="9735" width="9.42578125" style="359" customWidth="1"/>
    <col min="9736" max="9736" width="10.5703125" style="359" customWidth="1"/>
    <col min="9737" max="9737" width="13.7109375" style="359" customWidth="1"/>
    <col min="9738" max="9739" width="10.42578125" style="359" customWidth="1"/>
    <col min="9740" max="9740" width="10.28515625" style="359" customWidth="1"/>
    <col min="9741" max="9741" width="9.42578125" style="359" customWidth="1"/>
    <col min="9742" max="9742" width="8.7109375" style="359" customWidth="1"/>
    <col min="9743" max="9743" width="10.42578125" style="359" customWidth="1"/>
    <col min="9744" max="9744" width="10.28515625" style="359" customWidth="1"/>
    <col min="9745" max="9984" width="11.42578125" style="359"/>
    <col min="9985" max="9985" width="7" style="359" customWidth="1"/>
    <col min="9986" max="9986" width="10.7109375" style="359" customWidth="1"/>
    <col min="9987" max="9987" width="10.5703125" style="359" customWidth="1"/>
    <col min="9988" max="9988" width="10.7109375" style="359" customWidth="1"/>
    <col min="9989" max="9989" width="10.28515625" style="359" customWidth="1"/>
    <col min="9990" max="9990" width="10.7109375" style="359" customWidth="1"/>
    <col min="9991" max="9991" width="9.42578125" style="359" customWidth="1"/>
    <col min="9992" max="9992" width="10.5703125" style="359" customWidth="1"/>
    <col min="9993" max="9993" width="13.7109375" style="359" customWidth="1"/>
    <col min="9994" max="9995" width="10.42578125" style="359" customWidth="1"/>
    <col min="9996" max="9996" width="10.28515625" style="359" customWidth="1"/>
    <col min="9997" max="9997" width="9.42578125" style="359" customWidth="1"/>
    <col min="9998" max="9998" width="8.7109375" style="359" customWidth="1"/>
    <col min="9999" max="9999" width="10.42578125" style="359" customWidth="1"/>
    <col min="10000" max="10000" width="10.28515625" style="359" customWidth="1"/>
    <col min="10001" max="10240" width="11.42578125" style="359"/>
    <col min="10241" max="10241" width="7" style="359" customWidth="1"/>
    <col min="10242" max="10242" width="10.7109375" style="359" customWidth="1"/>
    <col min="10243" max="10243" width="10.5703125" style="359" customWidth="1"/>
    <col min="10244" max="10244" width="10.7109375" style="359" customWidth="1"/>
    <col min="10245" max="10245" width="10.28515625" style="359" customWidth="1"/>
    <col min="10246" max="10246" width="10.7109375" style="359" customWidth="1"/>
    <col min="10247" max="10247" width="9.42578125" style="359" customWidth="1"/>
    <col min="10248" max="10248" width="10.5703125" style="359" customWidth="1"/>
    <col min="10249" max="10249" width="13.7109375" style="359" customWidth="1"/>
    <col min="10250" max="10251" width="10.42578125" style="359" customWidth="1"/>
    <col min="10252" max="10252" width="10.28515625" style="359" customWidth="1"/>
    <col min="10253" max="10253" width="9.42578125" style="359" customWidth="1"/>
    <col min="10254" max="10254" width="8.7109375" style="359" customWidth="1"/>
    <col min="10255" max="10255" width="10.42578125" style="359" customWidth="1"/>
    <col min="10256" max="10256" width="10.28515625" style="359" customWidth="1"/>
    <col min="10257" max="10496" width="11.42578125" style="359"/>
    <col min="10497" max="10497" width="7" style="359" customWidth="1"/>
    <col min="10498" max="10498" width="10.7109375" style="359" customWidth="1"/>
    <col min="10499" max="10499" width="10.5703125" style="359" customWidth="1"/>
    <col min="10500" max="10500" width="10.7109375" style="359" customWidth="1"/>
    <col min="10501" max="10501" width="10.28515625" style="359" customWidth="1"/>
    <col min="10502" max="10502" width="10.7109375" style="359" customWidth="1"/>
    <col min="10503" max="10503" width="9.42578125" style="359" customWidth="1"/>
    <col min="10504" max="10504" width="10.5703125" style="359" customWidth="1"/>
    <col min="10505" max="10505" width="13.7109375" style="359" customWidth="1"/>
    <col min="10506" max="10507" width="10.42578125" style="359" customWidth="1"/>
    <col min="10508" max="10508" width="10.28515625" style="359" customWidth="1"/>
    <col min="10509" max="10509" width="9.42578125" style="359" customWidth="1"/>
    <col min="10510" max="10510" width="8.7109375" style="359" customWidth="1"/>
    <col min="10511" max="10511" width="10.42578125" style="359" customWidth="1"/>
    <col min="10512" max="10512" width="10.28515625" style="359" customWidth="1"/>
    <col min="10513" max="10752" width="11.42578125" style="359"/>
    <col min="10753" max="10753" width="7" style="359" customWidth="1"/>
    <col min="10754" max="10754" width="10.7109375" style="359" customWidth="1"/>
    <col min="10755" max="10755" width="10.5703125" style="359" customWidth="1"/>
    <col min="10756" max="10756" width="10.7109375" style="359" customWidth="1"/>
    <col min="10757" max="10757" width="10.28515625" style="359" customWidth="1"/>
    <col min="10758" max="10758" width="10.7109375" style="359" customWidth="1"/>
    <col min="10759" max="10759" width="9.42578125" style="359" customWidth="1"/>
    <col min="10760" max="10760" width="10.5703125" style="359" customWidth="1"/>
    <col min="10761" max="10761" width="13.7109375" style="359" customWidth="1"/>
    <col min="10762" max="10763" width="10.42578125" style="359" customWidth="1"/>
    <col min="10764" max="10764" width="10.28515625" style="359" customWidth="1"/>
    <col min="10765" max="10765" width="9.42578125" style="359" customWidth="1"/>
    <col min="10766" max="10766" width="8.7109375" style="359" customWidth="1"/>
    <col min="10767" max="10767" width="10.42578125" style="359" customWidth="1"/>
    <col min="10768" max="10768" width="10.28515625" style="359" customWidth="1"/>
    <col min="10769" max="11008" width="11.42578125" style="359"/>
    <col min="11009" max="11009" width="7" style="359" customWidth="1"/>
    <col min="11010" max="11010" width="10.7109375" style="359" customWidth="1"/>
    <col min="11011" max="11011" width="10.5703125" style="359" customWidth="1"/>
    <col min="11012" max="11012" width="10.7109375" style="359" customWidth="1"/>
    <col min="11013" max="11013" width="10.28515625" style="359" customWidth="1"/>
    <col min="11014" max="11014" width="10.7109375" style="359" customWidth="1"/>
    <col min="11015" max="11015" width="9.42578125" style="359" customWidth="1"/>
    <col min="11016" max="11016" width="10.5703125" style="359" customWidth="1"/>
    <col min="11017" max="11017" width="13.7109375" style="359" customWidth="1"/>
    <col min="11018" max="11019" width="10.42578125" style="359" customWidth="1"/>
    <col min="11020" max="11020" width="10.28515625" style="359" customWidth="1"/>
    <col min="11021" max="11021" width="9.42578125" style="359" customWidth="1"/>
    <col min="11022" max="11022" width="8.7109375" style="359" customWidth="1"/>
    <col min="11023" max="11023" width="10.42578125" style="359" customWidth="1"/>
    <col min="11024" max="11024" width="10.28515625" style="359" customWidth="1"/>
    <col min="11025" max="11264" width="11.42578125" style="359"/>
    <col min="11265" max="11265" width="7" style="359" customWidth="1"/>
    <col min="11266" max="11266" width="10.7109375" style="359" customWidth="1"/>
    <col min="11267" max="11267" width="10.5703125" style="359" customWidth="1"/>
    <col min="11268" max="11268" width="10.7109375" style="359" customWidth="1"/>
    <col min="11269" max="11269" width="10.28515625" style="359" customWidth="1"/>
    <col min="11270" max="11270" width="10.7109375" style="359" customWidth="1"/>
    <col min="11271" max="11271" width="9.42578125" style="359" customWidth="1"/>
    <col min="11272" max="11272" width="10.5703125" style="359" customWidth="1"/>
    <col min="11273" max="11273" width="13.7109375" style="359" customWidth="1"/>
    <col min="11274" max="11275" width="10.42578125" style="359" customWidth="1"/>
    <col min="11276" max="11276" width="10.28515625" style="359" customWidth="1"/>
    <col min="11277" max="11277" width="9.42578125" style="359" customWidth="1"/>
    <col min="11278" max="11278" width="8.7109375" style="359" customWidth="1"/>
    <col min="11279" max="11279" width="10.42578125" style="359" customWidth="1"/>
    <col min="11280" max="11280" width="10.28515625" style="359" customWidth="1"/>
    <col min="11281" max="11520" width="11.42578125" style="359"/>
    <col min="11521" max="11521" width="7" style="359" customWidth="1"/>
    <col min="11522" max="11522" width="10.7109375" style="359" customWidth="1"/>
    <col min="11523" max="11523" width="10.5703125" style="359" customWidth="1"/>
    <col min="11524" max="11524" width="10.7109375" style="359" customWidth="1"/>
    <col min="11525" max="11525" width="10.28515625" style="359" customWidth="1"/>
    <col min="11526" max="11526" width="10.7109375" style="359" customWidth="1"/>
    <col min="11527" max="11527" width="9.42578125" style="359" customWidth="1"/>
    <col min="11528" max="11528" width="10.5703125" style="359" customWidth="1"/>
    <col min="11529" max="11529" width="13.7109375" style="359" customWidth="1"/>
    <col min="11530" max="11531" width="10.42578125" style="359" customWidth="1"/>
    <col min="11532" max="11532" width="10.28515625" style="359" customWidth="1"/>
    <col min="11533" max="11533" width="9.42578125" style="359" customWidth="1"/>
    <col min="11534" max="11534" width="8.7109375" style="359" customWidth="1"/>
    <col min="11535" max="11535" width="10.42578125" style="359" customWidth="1"/>
    <col min="11536" max="11536" width="10.28515625" style="359" customWidth="1"/>
    <col min="11537" max="11776" width="11.42578125" style="359"/>
    <col min="11777" max="11777" width="7" style="359" customWidth="1"/>
    <col min="11778" max="11778" width="10.7109375" style="359" customWidth="1"/>
    <col min="11779" max="11779" width="10.5703125" style="359" customWidth="1"/>
    <col min="11780" max="11780" width="10.7109375" style="359" customWidth="1"/>
    <col min="11781" max="11781" width="10.28515625" style="359" customWidth="1"/>
    <col min="11782" max="11782" width="10.7109375" style="359" customWidth="1"/>
    <col min="11783" max="11783" width="9.42578125" style="359" customWidth="1"/>
    <col min="11784" max="11784" width="10.5703125" style="359" customWidth="1"/>
    <col min="11785" max="11785" width="13.7109375" style="359" customWidth="1"/>
    <col min="11786" max="11787" width="10.42578125" style="359" customWidth="1"/>
    <col min="11788" max="11788" width="10.28515625" style="359" customWidth="1"/>
    <col min="11789" max="11789" width="9.42578125" style="359" customWidth="1"/>
    <col min="11790" max="11790" width="8.7109375" style="359" customWidth="1"/>
    <col min="11791" max="11791" width="10.42578125" style="359" customWidth="1"/>
    <col min="11792" max="11792" width="10.28515625" style="359" customWidth="1"/>
    <col min="11793" max="12032" width="11.42578125" style="359"/>
    <col min="12033" max="12033" width="7" style="359" customWidth="1"/>
    <col min="12034" max="12034" width="10.7109375" style="359" customWidth="1"/>
    <col min="12035" max="12035" width="10.5703125" style="359" customWidth="1"/>
    <col min="12036" max="12036" width="10.7109375" style="359" customWidth="1"/>
    <col min="12037" max="12037" width="10.28515625" style="359" customWidth="1"/>
    <col min="12038" max="12038" width="10.7109375" style="359" customWidth="1"/>
    <col min="12039" max="12039" width="9.42578125" style="359" customWidth="1"/>
    <col min="12040" max="12040" width="10.5703125" style="359" customWidth="1"/>
    <col min="12041" max="12041" width="13.7109375" style="359" customWidth="1"/>
    <col min="12042" max="12043" width="10.42578125" style="359" customWidth="1"/>
    <col min="12044" max="12044" width="10.28515625" style="359" customWidth="1"/>
    <col min="12045" max="12045" width="9.42578125" style="359" customWidth="1"/>
    <col min="12046" max="12046" width="8.7109375" style="359" customWidth="1"/>
    <col min="12047" max="12047" width="10.42578125" style="359" customWidth="1"/>
    <col min="12048" max="12048" width="10.28515625" style="359" customWidth="1"/>
    <col min="12049" max="12288" width="11.42578125" style="359"/>
    <col min="12289" max="12289" width="7" style="359" customWidth="1"/>
    <col min="12290" max="12290" width="10.7109375" style="359" customWidth="1"/>
    <col min="12291" max="12291" width="10.5703125" style="359" customWidth="1"/>
    <col min="12292" max="12292" width="10.7109375" style="359" customWidth="1"/>
    <col min="12293" max="12293" width="10.28515625" style="359" customWidth="1"/>
    <col min="12294" max="12294" width="10.7109375" style="359" customWidth="1"/>
    <col min="12295" max="12295" width="9.42578125" style="359" customWidth="1"/>
    <col min="12296" max="12296" width="10.5703125" style="359" customWidth="1"/>
    <col min="12297" max="12297" width="13.7109375" style="359" customWidth="1"/>
    <col min="12298" max="12299" width="10.42578125" style="359" customWidth="1"/>
    <col min="12300" max="12300" width="10.28515625" style="359" customWidth="1"/>
    <col min="12301" max="12301" width="9.42578125" style="359" customWidth="1"/>
    <col min="12302" max="12302" width="8.7109375" style="359" customWidth="1"/>
    <col min="12303" max="12303" width="10.42578125" style="359" customWidth="1"/>
    <col min="12304" max="12304" width="10.28515625" style="359" customWidth="1"/>
    <col min="12305" max="12544" width="11.42578125" style="359"/>
    <col min="12545" max="12545" width="7" style="359" customWidth="1"/>
    <col min="12546" max="12546" width="10.7109375" style="359" customWidth="1"/>
    <col min="12547" max="12547" width="10.5703125" style="359" customWidth="1"/>
    <col min="12548" max="12548" width="10.7109375" style="359" customWidth="1"/>
    <col min="12549" max="12549" width="10.28515625" style="359" customWidth="1"/>
    <col min="12550" max="12550" width="10.7109375" style="359" customWidth="1"/>
    <col min="12551" max="12551" width="9.42578125" style="359" customWidth="1"/>
    <col min="12552" max="12552" width="10.5703125" style="359" customWidth="1"/>
    <col min="12553" max="12553" width="13.7109375" style="359" customWidth="1"/>
    <col min="12554" max="12555" width="10.42578125" style="359" customWidth="1"/>
    <col min="12556" max="12556" width="10.28515625" style="359" customWidth="1"/>
    <col min="12557" max="12557" width="9.42578125" style="359" customWidth="1"/>
    <col min="12558" max="12558" width="8.7109375" style="359" customWidth="1"/>
    <col min="12559" max="12559" width="10.42578125" style="359" customWidth="1"/>
    <col min="12560" max="12560" width="10.28515625" style="359" customWidth="1"/>
    <col min="12561" max="12800" width="11.42578125" style="359"/>
    <col min="12801" max="12801" width="7" style="359" customWidth="1"/>
    <col min="12802" max="12802" width="10.7109375" style="359" customWidth="1"/>
    <col min="12803" max="12803" width="10.5703125" style="359" customWidth="1"/>
    <col min="12804" max="12804" width="10.7109375" style="359" customWidth="1"/>
    <col min="12805" max="12805" width="10.28515625" style="359" customWidth="1"/>
    <col min="12806" max="12806" width="10.7109375" style="359" customWidth="1"/>
    <col min="12807" max="12807" width="9.42578125" style="359" customWidth="1"/>
    <col min="12808" max="12808" width="10.5703125" style="359" customWidth="1"/>
    <col min="12809" max="12809" width="13.7109375" style="359" customWidth="1"/>
    <col min="12810" max="12811" width="10.42578125" style="359" customWidth="1"/>
    <col min="12812" max="12812" width="10.28515625" style="359" customWidth="1"/>
    <col min="12813" max="12813" width="9.42578125" style="359" customWidth="1"/>
    <col min="12814" max="12814" width="8.7109375" style="359" customWidth="1"/>
    <col min="12815" max="12815" width="10.42578125" style="359" customWidth="1"/>
    <col min="12816" max="12816" width="10.28515625" style="359" customWidth="1"/>
    <col min="12817" max="13056" width="11.42578125" style="359"/>
    <col min="13057" max="13057" width="7" style="359" customWidth="1"/>
    <col min="13058" max="13058" width="10.7109375" style="359" customWidth="1"/>
    <col min="13059" max="13059" width="10.5703125" style="359" customWidth="1"/>
    <col min="13060" max="13060" width="10.7109375" style="359" customWidth="1"/>
    <col min="13061" max="13061" width="10.28515625" style="359" customWidth="1"/>
    <col min="13062" max="13062" width="10.7109375" style="359" customWidth="1"/>
    <col min="13063" max="13063" width="9.42578125" style="359" customWidth="1"/>
    <col min="13064" max="13064" width="10.5703125" style="359" customWidth="1"/>
    <col min="13065" max="13065" width="13.7109375" style="359" customWidth="1"/>
    <col min="13066" max="13067" width="10.42578125" style="359" customWidth="1"/>
    <col min="13068" max="13068" width="10.28515625" style="359" customWidth="1"/>
    <col min="13069" max="13069" width="9.42578125" style="359" customWidth="1"/>
    <col min="13070" max="13070" width="8.7109375" style="359" customWidth="1"/>
    <col min="13071" max="13071" width="10.42578125" style="359" customWidth="1"/>
    <col min="13072" max="13072" width="10.28515625" style="359" customWidth="1"/>
    <col min="13073" max="13312" width="11.42578125" style="359"/>
    <col min="13313" max="13313" width="7" style="359" customWidth="1"/>
    <col min="13314" max="13314" width="10.7109375" style="359" customWidth="1"/>
    <col min="13315" max="13315" width="10.5703125" style="359" customWidth="1"/>
    <col min="13316" max="13316" width="10.7109375" style="359" customWidth="1"/>
    <col min="13317" max="13317" width="10.28515625" style="359" customWidth="1"/>
    <col min="13318" max="13318" width="10.7109375" style="359" customWidth="1"/>
    <col min="13319" max="13319" width="9.42578125" style="359" customWidth="1"/>
    <col min="13320" max="13320" width="10.5703125" style="359" customWidth="1"/>
    <col min="13321" max="13321" width="13.7109375" style="359" customWidth="1"/>
    <col min="13322" max="13323" width="10.42578125" style="359" customWidth="1"/>
    <col min="13324" max="13324" width="10.28515625" style="359" customWidth="1"/>
    <col min="13325" max="13325" width="9.42578125" style="359" customWidth="1"/>
    <col min="13326" max="13326" width="8.7109375" style="359" customWidth="1"/>
    <col min="13327" max="13327" width="10.42578125" style="359" customWidth="1"/>
    <col min="13328" max="13328" width="10.28515625" style="359" customWidth="1"/>
    <col min="13329" max="13568" width="11.42578125" style="359"/>
    <col min="13569" max="13569" width="7" style="359" customWidth="1"/>
    <col min="13570" max="13570" width="10.7109375" style="359" customWidth="1"/>
    <col min="13571" max="13571" width="10.5703125" style="359" customWidth="1"/>
    <col min="13572" max="13572" width="10.7109375" style="359" customWidth="1"/>
    <col min="13573" max="13573" width="10.28515625" style="359" customWidth="1"/>
    <col min="13574" max="13574" width="10.7109375" style="359" customWidth="1"/>
    <col min="13575" max="13575" width="9.42578125" style="359" customWidth="1"/>
    <col min="13576" max="13576" width="10.5703125" style="359" customWidth="1"/>
    <col min="13577" max="13577" width="13.7109375" style="359" customWidth="1"/>
    <col min="13578" max="13579" width="10.42578125" style="359" customWidth="1"/>
    <col min="13580" max="13580" width="10.28515625" style="359" customWidth="1"/>
    <col min="13581" max="13581" width="9.42578125" style="359" customWidth="1"/>
    <col min="13582" max="13582" width="8.7109375" style="359" customWidth="1"/>
    <col min="13583" max="13583" width="10.42578125" style="359" customWidth="1"/>
    <col min="13584" max="13584" width="10.28515625" style="359" customWidth="1"/>
    <col min="13585" max="13824" width="11.42578125" style="359"/>
    <col min="13825" max="13825" width="7" style="359" customWidth="1"/>
    <col min="13826" max="13826" width="10.7109375" style="359" customWidth="1"/>
    <col min="13827" max="13827" width="10.5703125" style="359" customWidth="1"/>
    <col min="13828" max="13828" width="10.7109375" style="359" customWidth="1"/>
    <col min="13829" max="13829" width="10.28515625" style="359" customWidth="1"/>
    <col min="13830" max="13830" width="10.7109375" style="359" customWidth="1"/>
    <col min="13831" max="13831" width="9.42578125" style="359" customWidth="1"/>
    <col min="13832" max="13832" width="10.5703125" style="359" customWidth="1"/>
    <col min="13833" max="13833" width="13.7109375" style="359" customWidth="1"/>
    <col min="13834" max="13835" width="10.42578125" style="359" customWidth="1"/>
    <col min="13836" max="13836" width="10.28515625" style="359" customWidth="1"/>
    <col min="13837" max="13837" width="9.42578125" style="359" customWidth="1"/>
    <col min="13838" max="13838" width="8.7109375" style="359" customWidth="1"/>
    <col min="13839" max="13839" width="10.42578125" style="359" customWidth="1"/>
    <col min="13840" max="13840" width="10.28515625" style="359" customWidth="1"/>
    <col min="13841" max="14080" width="11.42578125" style="359"/>
    <col min="14081" max="14081" width="7" style="359" customWidth="1"/>
    <col min="14082" max="14082" width="10.7109375" style="359" customWidth="1"/>
    <col min="14083" max="14083" width="10.5703125" style="359" customWidth="1"/>
    <col min="14084" max="14084" width="10.7109375" style="359" customWidth="1"/>
    <col min="14085" max="14085" width="10.28515625" style="359" customWidth="1"/>
    <col min="14086" max="14086" width="10.7109375" style="359" customWidth="1"/>
    <col min="14087" max="14087" width="9.42578125" style="359" customWidth="1"/>
    <col min="14088" max="14088" width="10.5703125" style="359" customWidth="1"/>
    <col min="14089" max="14089" width="13.7109375" style="359" customWidth="1"/>
    <col min="14090" max="14091" width="10.42578125" style="359" customWidth="1"/>
    <col min="14092" max="14092" width="10.28515625" style="359" customWidth="1"/>
    <col min="14093" max="14093" width="9.42578125" style="359" customWidth="1"/>
    <col min="14094" max="14094" width="8.7109375" style="359" customWidth="1"/>
    <col min="14095" max="14095" width="10.42578125" style="359" customWidth="1"/>
    <col min="14096" max="14096" width="10.28515625" style="359" customWidth="1"/>
    <col min="14097" max="14336" width="11.42578125" style="359"/>
    <col min="14337" max="14337" width="7" style="359" customWidth="1"/>
    <col min="14338" max="14338" width="10.7109375" style="359" customWidth="1"/>
    <col min="14339" max="14339" width="10.5703125" style="359" customWidth="1"/>
    <col min="14340" max="14340" width="10.7109375" style="359" customWidth="1"/>
    <col min="14341" max="14341" width="10.28515625" style="359" customWidth="1"/>
    <col min="14342" max="14342" width="10.7109375" style="359" customWidth="1"/>
    <col min="14343" max="14343" width="9.42578125" style="359" customWidth="1"/>
    <col min="14344" max="14344" width="10.5703125" style="359" customWidth="1"/>
    <col min="14345" max="14345" width="13.7109375" style="359" customWidth="1"/>
    <col min="14346" max="14347" width="10.42578125" style="359" customWidth="1"/>
    <col min="14348" max="14348" width="10.28515625" style="359" customWidth="1"/>
    <col min="14349" max="14349" width="9.42578125" style="359" customWidth="1"/>
    <col min="14350" max="14350" width="8.7109375" style="359" customWidth="1"/>
    <col min="14351" max="14351" width="10.42578125" style="359" customWidth="1"/>
    <col min="14352" max="14352" width="10.28515625" style="359" customWidth="1"/>
    <col min="14353" max="14592" width="11.42578125" style="359"/>
    <col min="14593" max="14593" width="7" style="359" customWidth="1"/>
    <col min="14594" max="14594" width="10.7109375" style="359" customWidth="1"/>
    <col min="14595" max="14595" width="10.5703125" style="359" customWidth="1"/>
    <col min="14596" max="14596" width="10.7109375" style="359" customWidth="1"/>
    <col min="14597" max="14597" width="10.28515625" style="359" customWidth="1"/>
    <col min="14598" max="14598" width="10.7109375" style="359" customWidth="1"/>
    <col min="14599" max="14599" width="9.42578125" style="359" customWidth="1"/>
    <col min="14600" max="14600" width="10.5703125" style="359" customWidth="1"/>
    <col min="14601" max="14601" width="13.7109375" style="359" customWidth="1"/>
    <col min="14602" max="14603" width="10.42578125" style="359" customWidth="1"/>
    <col min="14604" max="14604" width="10.28515625" style="359" customWidth="1"/>
    <col min="14605" max="14605" width="9.42578125" style="359" customWidth="1"/>
    <col min="14606" max="14606" width="8.7109375" style="359" customWidth="1"/>
    <col min="14607" max="14607" width="10.42578125" style="359" customWidth="1"/>
    <col min="14608" max="14608" width="10.28515625" style="359" customWidth="1"/>
    <col min="14609" max="14848" width="11.42578125" style="359"/>
    <col min="14849" max="14849" width="7" style="359" customWidth="1"/>
    <col min="14850" max="14850" width="10.7109375" style="359" customWidth="1"/>
    <col min="14851" max="14851" width="10.5703125" style="359" customWidth="1"/>
    <col min="14852" max="14852" width="10.7109375" style="359" customWidth="1"/>
    <col min="14853" max="14853" width="10.28515625" style="359" customWidth="1"/>
    <col min="14854" max="14854" width="10.7109375" style="359" customWidth="1"/>
    <col min="14855" max="14855" width="9.42578125" style="359" customWidth="1"/>
    <col min="14856" max="14856" width="10.5703125" style="359" customWidth="1"/>
    <col min="14857" max="14857" width="13.7109375" style="359" customWidth="1"/>
    <col min="14858" max="14859" width="10.42578125" style="359" customWidth="1"/>
    <col min="14860" max="14860" width="10.28515625" style="359" customWidth="1"/>
    <col min="14861" max="14861" width="9.42578125" style="359" customWidth="1"/>
    <col min="14862" max="14862" width="8.7109375" style="359" customWidth="1"/>
    <col min="14863" max="14863" width="10.42578125" style="359" customWidth="1"/>
    <col min="14864" max="14864" width="10.28515625" style="359" customWidth="1"/>
    <col min="14865" max="15104" width="11.42578125" style="359"/>
    <col min="15105" max="15105" width="7" style="359" customWidth="1"/>
    <col min="15106" max="15106" width="10.7109375" style="359" customWidth="1"/>
    <col min="15107" max="15107" width="10.5703125" style="359" customWidth="1"/>
    <col min="15108" max="15108" width="10.7109375" style="359" customWidth="1"/>
    <col min="15109" max="15109" width="10.28515625" style="359" customWidth="1"/>
    <col min="15110" max="15110" width="10.7109375" style="359" customWidth="1"/>
    <col min="15111" max="15111" width="9.42578125" style="359" customWidth="1"/>
    <col min="15112" max="15112" width="10.5703125" style="359" customWidth="1"/>
    <col min="15113" max="15113" width="13.7109375" style="359" customWidth="1"/>
    <col min="15114" max="15115" width="10.42578125" style="359" customWidth="1"/>
    <col min="15116" max="15116" width="10.28515625" style="359" customWidth="1"/>
    <col min="15117" max="15117" width="9.42578125" style="359" customWidth="1"/>
    <col min="15118" max="15118" width="8.7109375" style="359" customWidth="1"/>
    <col min="15119" max="15119" width="10.42578125" style="359" customWidth="1"/>
    <col min="15120" max="15120" width="10.28515625" style="359" customWidth="1"/>
    <col min="15121" max="15360" width="11.42578125" style="359"/>
    <col min="15361" max="15361" width="7" style="359" customWidth="1"/>
    <col min="15362" max="15362" width="10.7109375" style="359" customWidth="1"/>
    <col min="15363" max="15363" width="10.5703125" style="359" customWidth="1"/>
    <col min="15364" max="15364" width="10.7109375" style="359" customWidth="1"/>
    <col min="15365" max="15365" width="10.28515625" style="359" customWidth="1"/>
    <col min="15366" max="15366" width="10.7109375" style="359" customWidth="1"/>
    <col min="15367" max="15367" width="9.42578125" style="359" customWidth="1"/>
    <col min="15368" max="15368" width="10.5703125" style="359" customWidth="1"/>
    <col min="15369" max="15369" width="13.7109375" style="359" customWidth="1"/>
    <col min="15370" max="15371" width="10.42578125" style="359" customWidth="1"/>
    <col min="15372" max="15372" width="10.28515625" style="359" customWidth="1"/>
    <col min="15373" max="15373" width="9.42578125" style="359" customWidth="1"/>
    <col min="15374" max="15374" width="8.7109375" style="359" customWidth="1"/>
    <col min="15375" max="15375" width="10.42578125" style="359" customWidth="1"/>
    <col min="15376" max="15376" width="10.28515625" style="359" customWidth="1"/>
    <col min="15377" max="15616" width="11.42578125" style="359"/>
    <col min="15617" max="15617" width="7" style="359" customWidth="1"/>
    <col min="15618" max="15618" width="10.7109375" style="359" customWidth="1"/>
    <col min="15619" max="15619" width="10.5703125" style="359" customWidth="1"/>
    <col min="15620" max="15620" width="10.7109375" style="359" customWidth="1"/>
    <col min="15621" max="15621" width="10.28515625" style="359" customWidth="1"/>
    <col min="15622" max="15622" width="10.7109375" style="359" customWidth="1"/>
    <col min="15623" max="15623" width="9.42578125" style="359" customWidth="1"/>
    <col min="15624" max="15624" width="10.5703125" style="359" customWidth="1"/>
    <col min="15625" max="15625" width="13.7109375" style="359" customWidth="1"/>
    <col min="15626" max="15627" width="10.42578125" style="359" customWidth="1"/>
    <col min="15628" max="15628" width="10.28515625" style="359" customWidth="1"/>
    <col min="15629" max="15629" width="9.42578125" style="359" customWidth="1"/>
    <col min="15630" max="15630" width="8.7109375" style="359" customWidth="1"/>
    <col min="15631" max="15631" width="10.42578125" style="359" customWidth="1"/>
    <col min="15632" max="15632" width="10.28515625" style="359" customWidth="1"/>
    <col min="15633" max="15872" width="11.42578125" style="359"/>
    <col min="15873" max="15873" width="7" style="359" customWidth="1"/>
    <col min="15874" max="15874" width="10.7109375" style="359" customWidth="1"/>
    <col min="15875" max="15875" width="10.5703125" style="359" customWidth="1"/>
    <col min="15876" max="15876" width="10.7109375" style="359" customWidth="1"/>
    <col min="15877" max="15877" width="10.28515625" style="359" customWidth="1"/>
    <col min="15878" max="15878" width="10.7109375" style="359" customWidth="1"/>
    <col min="15879" max="15879" width="9.42578125" style="359" customWidth="1"/>
    <col min="15880" max="15880" width="10.5703125" style="359" customWidth="1"/>
    <col min="15881" max="15881" width="13.7109375" style="359" customWidth="1"/>
    <col min="15882" max="15883" width="10.42578125" style="359" customWidth="1"/>
    <col min="15884" max="15884" width="10.28515625" style="359" customWidth="1"/>
    <col min="15885" max="15885" width="9.42578125" style="359" customWidth="1"/>
    <col min="15886" max="15886" width="8.7109375" style="359" customWidth="1"/>
    <col min="15887" max="15887" width="10.42578125" style="359" customWidth="1"/>
    <col min="15888" max="15888" width="10.28515625" style="359" customWidth="1"/>
    <col min="15889" max="16128" width="11.42578125" style="359"/>
    <col min="16129" max="16129" width="7" style="359" customWidth="1"/>
    <col min="16130" max="16130" width="10.7109375" style="359" customWidth="1"/>
    <col min="16131" max="16131" width="10.5703125" style="359" customWidth="1"/>
    <col min="16132" max="16132" width="10.7109375" style="359" customWidth="1"/>
    <col min="16133" max="16133" width="10.28515625" style="359" customWidth="1"/>
    <col min="16134" max="16134" width="10.7109375" style="359" customWidth="1"/>
    <col min="16135" max="16135" width="9.42578125" style="359" customWidth="1"/>
    <col min="16136" max="16136" width="10.5703125" style="359" customWidth="1"/>
    <col min="16137" max="16137" width="13.7109375" style="359" customWidth="1"/>
    <col min="16138" max="16139" width="10.42578125" style="359" customWidth="1"/>
    <col min="16140" max="16140" width="10.28515625" style="359" customWidth="1"/>
    <col min="16141" max="16141" width="9.42578125" style="359" customWidth="1"/>
    <col min="16142" max="16142" width="8.7109375" style="359" customWidth="1"/>
    <col min="16143" max="16143" width="10.42578125" style="359" customWidth="1"/>
    <col min="16144" max="16144" width="10.28515625" style="359" customWidth="1"/>
    <col min="16145" max="16384" width="11.42578125" style="359"/>
  </cols>
  <sheetData>
    <row r="1" spans="1:21" ht="15" customHeight="1">
      <c r="A1" s="672" t="s">
        <v>1705</v>
      </c>
      <c r="B1" s="672"/>
      <c r="C1" s="672"/>
      <c r="D1" s="672"/>
      <c r="E1" s="672"/>
      <c r="F1" s="672"/>
      <c r="G1" s="672"/>
      <c r="H1" s="672"/>
      <c r="I1" s="672"/>
      <c r="J1" s="672"/>
      <c r="K1" s="672"/>
      <c r="L1" s="672"/>
      <c r="M1" s="672"/>
      <c r="N1" s="672"/>
      <c r="O1" s="672"/>
      <c r="P1" s="672"/>
    </row>
    <row r="2" spans="1:21" ht="15" customHeight="1">
      <c r="A2" s="672" t="s">
        <v>1777</v>
      </c>
      <c r="B2" s="672"/>
      <c r="C2" s="672"/>
      <c r="D2" s="672"/>
      <c r="E2" s="672"/>
      <c r="F2" s="672" t="s">
        <v>1707</v>
      </c>
      <c r="G2" s="672"/>
      <c r="H2" s="672"/>
      <c r="I2" s="672"/>
      <c r="J2" s="672"/>
      <c r="K2" s="672"/>
      <c r="L2" s="672"/>
      <c r="M2" s="672"/>
      <c r="N2" s="672"/>
      <c r="O2" s="672"/>
      <c r="P2" s="672"/>
    </row>
    <row r="3" spans="1:21" ht="15" customHeight="1">
      <c r="E3" s="360"/>
    </row>
    <row r="4" spans="1:21" ht="15" customHeight="1">
      <c r="A4" s="673" t="s">
        <v>1708</v>
      </c>
      <c r="B4" s="673"/>
      <c r="C4" s="673"/>
      <c r="D4" s="673"/>
      <c r="E4" s="673"/>
      <c r="F4" s="360"/>
      <c r="K4" s="360"/>
      <c r="N4" s="360" t="s">
        <v>1709</v>
      </c>
      <c r="O4" s="361">
        <f>IF(HorasAmortizaciónEquipoCamión=0,0,ROUND(Valor_CamiónAcoplado*PorcentajeEquipoAmortizarCamión/HorasAmortizaciónEquipoCamión,3))</f>
        <v>0</v>
      </c>
    </row>
    <row r="5" spans="1:21" ht="15" customHeight="1">
      <c r="F5" s="360"/>
      <c r="K5" s="360"/>
      <c r="O5" s="362"/>
    </row>
    <row r="6" spans="1:21" ht="15" customHeight="1">
      <c r="A6" s="426"/>
      <c r="B6" s="426"/>
      <c r="C6" s="426"/>
      <c r="D6" s="426"/>
      <c r="E6" s="426"/>
      <c r="F6" s="360"/>
      <c r="K6" s="360"/>
      <c r="O6" s="362"/>
    </row>
    <row r="7" spans="1:21" ht="15" customHeight="1">
      <c r="A7" s="687" t="s">
        <v>1710</v>
      </c>
      <c r="B7" s="687"/>
      <c r="C7" s="687"/>
      <c r="D7" s="687"/>
      <c r="E7" s="415"/>
      <c r="F7" s="360"/>
      <c r="G7" s="363"/>
      <c r="I7" s="674"/>
      <c r="J7" s="364"/>
      <c r="K7" s="365"/>
      <c r="N7" s="360" t="s">
        <v>1711</v>
      </c>
      <c r="O7" s="361">
        <f>ROUND(Valor_CamiónAcoplado*E10/4000,3)</f>
        <v>0</v>
      </c>
      <c r="Q7" s="363"/>
      <c r="R7" s="366"/>
      <c r="S7" s="674"/>
      <c r="T7" s="367"/>
      <c r="U7" s="364"/>
    </row>
    <row r="8" spans="1:21" ht="15" customHeight="1">
      <c r="A8" s="687" t="s">
        <v>1712</v>
      </c>
      <c r="B8" s="687"/>
      <c r="C8" s="687"/>
      <c r="D8" s="687"/>
      <c r="E8" s="416"/>
      <c r="F8" s="360"/>
      <c r="G8" s="675"/>
      <c r="H8" s="675"/>
      <c r="I8" s="674"/>
      <c r="K8" s="360"/>
      <c r="O8" s="362"/>
      <c r="Q8" s="675"/>
      <c r="R8" s="675"/>
      <c r="S8" s="674"/>
    </row>
    <row r="9" spans="1:21" ht="15" customHeight="1">
      <c r="A9" s="687" t="s">
        <v>1713</v>
      </c>
      <c r="B9" s="687"/>
      <c r="C9" s="687"/>
      <c r="D9" s="687"/>
      <c r="E9" s="417"/>
      <c r="F9" s="360"/>
      <c r="K9" s="360"/>
      <c r="O9" s="362"/>
    </row>
    <row r="10" spans="1:21" ht="15" customHeight="1">
      <c r="A10" s="687" t="s">
        <v>1714</v>
      </c>
      <c r="B10" s="687"/>
      <c r="C10" s="687"/>
      <c r="D10" s="687"/>
      <c r="E10" s="417"/>
      <c r="F10" s="360"/>
      <c r="K10" s="360"/>
      <c r="N10" s="360" t="s">
        <v>1715</v>
      </c>
      <c r="O10" s="361">
        <f>ROUND(O4*Porcentaje_Reparaciones_Repuestos,3)</f>
        <v>0</v>
      </c>
    </row>
    <row r="11" spans="1:21" ht="15" customHeight="1">
      <c r="A11" s="687" t="s">
        <v>1716</v>
      </c>
      <c r="B11" s="687"/>
      <c r="C11" s="687"/>
      <c r="D11" s="687"/>
      <c r="E11" s="417"/>
      <c r="F11" s="360"/>
      <c r="K11" s="360"/>
      <c r="O11" s="362"/>
    </row>
    <row r="12" spans="1:21" ht="15" customHeight="1">
      <c r="A12" s="687" t="s">
        <v>1717</v>
      </c>
      <c r="B12" s="687"/>
      <c r="C12" s="687"/>
      <c r="D12" s="687"/>
      <c r="E12" s="417"/>
      <c r="F12" s="360"/>
      <c r="K12" s="360"/>
      <c r="O12" s="362"/>
    </row>
    <row r="13" spans="1:21" ht="15" customHeight="1">
      <c r="A13" s="687" t="s">
        <v>1718</v>
      </c>
      <c r="B13" s="687"/>
      <c r="C13" s="687"/>
      <c r="D13" s="687"/>
      <c r="E13" s="416"/>
      <c r="F13" s="360"/>
      <c r="K13" s="360"/>
      <c r="N13" s="360" t="s">
        <v>1719</v>
      </c>
      <c r="O13" s="361">
        <f>ROUND(Tiempo_lavado_en_horas*Mano_Obra_Lavado*Cantidad_lavado_al_mes*12/2000,3)</f>
        <v>0</v>
      </c>
    </row>
    <row r="14" spans="1:21" ht="15" customHeight="1">
      <c r="A14" s="687" t="s">
        <v>1720</v>
      </c>
      <c r="B14" s="687"/>
      <c r="C14" s="687"/>
      <c r="D14" s="687"/>
      <c r="E14" s="418"/>
      <c r="F14" s="360"/>
      <c r="K14" s="360"/>
      <c r="O14" s="362"/>
    </row>
    <row r="15" spans="1:21" ht="15" customHeight="1">
      <c r="A15" s="687" t="s">
        <v>1721</v>
      </c>
      <c r="B15" s="687"/>
      <c r="C15" s="687"/>
      <c r="D15" s="687"/>
      <c r="E15" s="419"/>
      <c r="F15" s="360"/>
      <c r="G15" s="363"/>
      <c r="I15" s="674"/>
      <c r="J15" s="364"/>
      <c r="K15" s="365"/>
      <c r="O15" s="362"/>
      <c r="Q15" s="368"/>
      <c r="R15" s="369"/>
      <c r="S15" s="674"/>
      <c r="T15" s="367"/>
      <c r="U15" s="370"/>
    </row>
    <row r="16" spans="1:21" ht="15" customHeight="1">
      <c r="A16" s="687" t="s">
        <v>1722</v>
      </c>
      <c r="B16" s="687"/>
      <c r="C16" s="687"/>
      <c r="D16" s="687"/>
      <c r="E16" s="420"/>
      <c r="F16" s="360"/>
      <c r="G16" s="675"/>
      <c r="H16" s="675"/>
      <c r="I16" s="674"/>
      <c r="K16" s="360"/>
      <c r="N16" s="360" t="s">
        <v>1723</v>
      </c>
      <c r="O16" s="361">
        <f>ROUND(Valor_CamiónAcoplado*PorSegurosPatentesImpustoCamión/2000,3)</f>
        <v>0</v>
      </c>
      <c r="Q16" s="676"/>
      <c r="R16" s="676"/>
      <c r="S16" s="674"/>
    </row>
    <row r="17" spans="1:21" ht="15" customHeight="1">
      <c r="A17" s="687" t="s">
        <v>1724</v>
      </c>
      <c r="B17" s="687"/>
      <c r="C17" s="687"/>
      <c r="D17" s="687"/>
      <c r="E17" s="421"/>
      <c r="F17" s="360"/>
      <c r="K17" s="360"/>
      <c r="O17" s="362"/>
    </row>
    <row r="18" spans="1:21" ht="15" customHeight="1">
      <c r="A18" s="687" t="s">
        <v>1725</v>
      </c>
      <c r="B18" s="687"/>
      <c r="C18" s="687"/>
      <c r="D18" s="687"/>
      <c r="E18" s="422"/>
      <c r="F18" s="360"/>
      <c r="K18" s="360"/>
      <c r="O18" s="362"/>
    </row>
    <row r="19" spans="1:21" ht="15" customHeight="1">
      <c r="A19" s="687" t="s">
        <v>1726</v>
      </c>
      <c r="B19" s="687"/>
      <c r="C19" s="687"/>
      <c r="D19" s="687"/>
      <c r="E19" s="423"/>
      <c r="F19" s="360"/>
      <c r="G19" s="363"/>
      <c r="J19" s="364"/>
      <c r="K19" s="365"/>
      <c r="N19" s="360" t="s">
        <v>1727</v>
      </c>
      <c r="O19" s="361">
        <f>IF(V_U_cámara_cubiertas_CamiónAcoplado=0,0,ROUND(Cantidad_camaras_cubiertas*Valor_cámara_cubiertas_CamiónAcoplado/V_U_cámara_cubiertas_CamiónAcoplado,3))</f>
        <v>0</v>
      </c>
      <c r="Q19" s="371"/>
      <c r="R19" s="372"/>
      <c r="S19" s="373"/>
      <c r="T19" s="367"/>
      <c r="U19" s="374"/>
    </row>
    <row r="20" spans="1:21" ht="15" customHeight="1">
      <c r="A20" s="687" t="s">
        <v>1728</v>
      </c>
      <c r="B20" s="687"/>
      <c r="C20" s="687"/>
      <c r="D20" s="687"/>
      <c r="E20" s="417"/>
      <c r="F20" s="360"/>
      <c r="G20" s="675"/>
      <c r="H20" s="675"/>
      <c r="K20" s="360"/>
      <c r="O20" s="362"/>
    </row>
    <row r="21" spans="1:21" ht="15" customHeight="1">
      <c r="A21" s="687" t="s">
        <v>1779</v>
      </c>
      <c r="B21" s="687"/>
      <c r="C21" s="687"/>
      <c r="D21" s="687" t="s">
        <v>1729</v>
      </c>
      <c r="E21" s="424"/>
      <c r="G21" s="686"/>
      <c r="H21" s="686"/>
      <c r="I21" s="686"/>
      <c r="K21" s="360"/>
      <c r="O21" s="362"/>
    </row>
    <row r="22" spans="1:21" ht="15" customHeight="1">
      <c r="A22" s="687" t="s">
        <v>1780</v>
      </c>
      <c r="B22" s="687"/>
      <c r="C22" s="687"/>
      <c r="D22" s="687" t="s">
        <v>1730</v>
      </c>
      <c r="E22" s="425"/>
      <c r="K22" s="360"/>
      <c r="N22" s="360" t="s">
        <v>1731</v>
      </c>
      <c r="O22" s="361">
        <f>ROUND(Consumo_gasoil_CamiónAcoplado_porkm*Costo_gasoil*(1+Porcentaje_Lubricantes),3)</f>
        <v>0</v>
      </c>
    </row>
    <row r="23" spans="1:21" ht="15" customHeight="1">
      <c r="A23" s="427"/>
      <c r="B23" s="427"/>
      <c r="C23" s="427"/>
      <c r="D23" s="427"/>
      <c r="E23" s="427"/>
      <c r="G23" s="375"/>
      <c r="H23" s="376"/>
      <c r="I23" s="377"/>
      <c r="J23" s="378"/>
      <c r="K23" s="365"/>
    </row>
    <row r="25" spans="1:21" ht="15" customHeight="1">
      <c r="A25" s="682" t="s">
        <v>1732</v>
      </c>
      <c r="B25" s="682"/>
      <c r="C25" s="682"/>
      <c r="D25" s="682"/>
      <c r="E25" s="682"/>
      <c r="F25" s="682"/>
      <c r="G25" s="682"/>
      <c r="H25" s="683" t="s">
        <v>1733</v>
      </c>
      <c r="I25" s="683"/>
      <c r="J25" s="683"/>
      <c r="K25" s="683"/>
      <c r="L25" s="683"/>
      <c r="M25" s="683"/>
      <c r="N25" s="683"/>
      <c r="O25" s="683"/>
      <c r="P25" s="684" t="s">
        <v>1734</v>
      </c>
    </row>
    <row r="26" spans="1:21" ht="15" customHeight="1">
      <c r="A26" s="379" t="s">
        <v>1735</v>
      </c>
      <c r="B26" s="379" t="s">
        <v>1736</v>
      </c>
      <c r="C26" s="379" t="s">
        <v>1737</v>
      </c>
      <c r="D26" s="379" t="s">
        <v>1738</v>
      </c>
      <c r="E26" s="379" t="s">
        <v>1739</v>
      </c>
      <c r="F26" s="379" t="s">
        <v>1005</v>
      </c>
      <c r="G26" s="379" t="s">
        <v>1740</v>
      </c>
      <c r="H26" s="685" t="s">
        <v>1667</v>
      </c>
      <c r="I26" s="685" t="s">
        <v>1741</v>
      </c>
      <c r="J26" s="379" t="s">
        <v>1742</v>
      </c>
      <c r="K26" s="379" t="s">
        <v>1743</v>
      </c>
      <c r="L26" s="379" t="s">
        <v>1744</v>
      </c>
      <c r="M26" s="379" t="s">
        <v>1745</v>
      </c>
      <c r="N26" s="379" t="s">
        <v>1746</v>
      </c>
      <c r="O26" s="380" t="s">
        <v>1778</v>
      </c>
      <c r="P26" s="684"/>
    </row>
    <row r="27" spans="1:21" ht="15" customHeight="1">
      <c r="A27" s="379" t="s">
        <v>1748</v>
      </c>
      <c r="B27" s="379" t="s">
        <v>1749</v>
      </c>
      <c r="C27" s="379" t="s">
        <v>1750</v>
      </c>
      <c r="D27" s="379" t="s">
        <v>1751</v>
      </c>
      <c r="E27" s="379" t="s">
        <v>1752</v>
      </c>
      <c r="F27" s="379" t="s">
        <v>1753</v>
      </c>
      <c r="G27" s="379" t="s">
        <v>1754</v>
      </c>
      <c r="H27" s="685"/>
      <c r="I27" s="685"/>
      <c r="J27" s="379" t="s">
        <v>1755</v>
      </c>
      <c r="K27" s="379" t="s">
        <v>1756</v>
      </c>
      <c r="L27" s="379" t="s">
        <v>1757</v>
      </c>
      <c r="M27" s="379" t="s">
        <v>1758</v>
      </c>
      <c r="N27" s="379" t="s">
        <v>1759</v>
      </c>
      <c r="O27" s="380" t="s">
        <v>1760</v>
      </c>
      <c r="P27" s="684"/>
    </row>
    <row r="28" spans="1:21" ht="15" customHeight="1">
      <c r="A28" s="681" t="s">
        <v>1761</v>
      </c>
      <c r="B28" s="681" t="s">
        <v>1762</v>
      </c>
      <c r="C28" s="681" t="s">
        <v>1763</v>
      </c>
      <c r="D28" s="681" t="s">
        <v>1764</v>
      </c>
      <c r="E28" s="681" t="s">
        <v>1765</v>
      </c>
      <c r="F28" s="681" t="s">
        <v>1766</v>
      </c>
      <c r="G28" s="681" t="s">
        <v>1767</v>
      </c>
      <c r="H28" s="681" t="s">
        <v>1768</v>
      </c>
      <c r="I28" s="681" t="s">
        <v>1769</v>
      </c>
      <c r="J28" s="681" t="s">
        <v>1770</v>
      </c>
      <c r="K28" s="681" t="s">
        <v>1771</v>
      </c>
      <c r="L28" s="681" t="s">
        <v>1772</v>
      </c>
      <c r="M28" s="681" t="s">
        <v>1773</v>
      </c>
      <c r="N28" s="681" t="s">
        <v>1774</v>
      </c>
      <c r="O28" s="681" t="s">
        <v>1775</v>
      </c>
      <c r="P28" s="677" t="s">
        <v>1776</v>
      </c>
    </row>
    <row r="29" spans="1:21" ht="15" customHeight="1">
      <c r="A29" s="681"/>
      <c r="B29" s="681"/>
      <c r="C29" s="681"/>
      <c r="D29" s="681"/>
      <c r="E29" s="681"/>
      <c r="F29" s="681"/>
      <c r="G29" s="681"/>
      <c r="H29" s="681"/>
      <c r="I29" s="681"/>
      <c r="J29" s="681"/>
      <c r="K29" s="681"/>
      <c r="L29" s="681"/>
      <c r="M29" s="681"/>
      <c r="N29" s="681"/>
      <c r="O29" s="681"/>
      <c r="P29" s="677"/>
    </row>
    <row r="30" spans="1:21" ht="15" customHeight="1">
      <c r="A30" s="381">
        <v>55</v>
      </c>
      <c r="B30" s="390"/>
      <c r="C30" s="383">
        <f>IF(B30=0,0,(2*A30*60)/B30)</f>
        <v>0</v>
      </c>
      <c r="D30" s="383"/>
      <c r="E30" s="383">
        <f t="shared" ref="E30:E64" si="0">+C30+D30</f>
        <v>0</v>
      </c>
      <c r="F30" s="391">
        <f>A30*$E$21</f>
        <v>0</v>
      </c>
      <c r="G30" s="386">
        <f t="shared" ref="G30:G64" si="1">+A30*2</f>
        <v>110</v>
      </c>
      <c r="H30" s="387">
        <f>'Transp. Camión con Acoplado'!A*(E30/60)</f>
        <v>0</v>
      </c>
      <c r="I30" s="387">
        <f>'Transp. Camión con Acoplado'!B*(E30/60)</f>
        <v>0</v>
      </c>
      <c r="J30" s="387">
        <f>'Transp. Camión con Acoplado'!C_*(C30/60)</f>
        <v>0</v>
      </c>
      <c r="K30" s="387">
        <f>'Transp. Camión con Acoplado'!D*(E30/60)</f>
        <v>0</v>
      </c>
      <c r="L30" s="387">
        <f>'Transp. Camión con Acoplado'!E*(E30/60)</f>
        <v>0</v>
      </c>
      <c r="M30" s="387">
        <f>'Transp. Camión con Acoplado'!F_*G30</f>
        <v>0</v>
      </c>
      <c r="N30" s="387">
        <f t="shared" ref="N30:N64" si="2">Mano_Obra_Lavado*(E30/60)</f>
        <v>0</v>
      </c>
      <c r="O30" s="387">
        <f>+G30*'Transp. Camión con Acoplado'!G</f>
        <v>0</v>
      </c>
      <c r="P30" s="388">
        <f>IF(F30=0,0,ROUND(SUM(H30:O30)/F30,3))</f>
        <v>0</v>
      </c>
      <c r="R30" s="389"/>
    </row>
    <row r="31" spans="1:21" ht="15" customHeight="1">
      <c r="A31" s="381">
        <v>60</v>
      </c>
      <c r="B31" s="390"/>
      <c r="C31" s="383">
        <f t="shared" ref="C31:C64" si="3">IF(B31=0,0,(2*A31*60)/B31)</f>
        <v>0</v>
      </c>
      <c r="D31" s="383"/>
      <c r="E31" s="383">
        <f t="shared" si="0"/>
        <v>0</v>
      </c>
      <c r="F31" s="391">
        <f t="shared" ref="F31:F64" si="4">A31*$E$21</f>
        <v>0</v>
      </c>
      <c r="G31" s="386">
        <f t="shared" si="1"/>
        <v>120</v>
      </c>
      <c r="H31" s="387">
        <f>'Transp. Camión con Acoplado'!A*(E31/60)</f>
        <v>0</v>
      </c>
      <c r="I31" s="387">
        <f>'Transp. Camión con Acoplado'!B*(E31/60)</f>
        <v>0</v>
      </c>
      <c r="J31" s="387">
        <f>'Transp. Camión con Acoplado'!C_*(C31/60)</f>
        <v>0</v>
      </c>
      <c r="K31" s="387">
        <f>'Transp. Camión con Acoplado'!D*(E31/60)</f>
        <v>0</v>
      </c>
      <c r="L31" s="387">
        <f>'Transp. Camión con Acoplado'!E*(E31/60)</f>
        <v>0</v>
      </c>
      <c r="M31" s="387">
        <f>'Transp. Camión con Acoplado'!F_*G31</f>
        <v>0</v>
      </c>
      <c r="N31" s="387">
        <f t="shared" si="2"/>
        <v>0</v>
      </c>
      <c r="O31" s="387">
        <f>+G31*'Transp. Camión con Acoplado'!G</f>
        <v>0</v>
      </c>
      <c r="P31" s="388">
        <f t="shared" ref="P31:P64" si="5">IF(F31=0,0,ROUND(SUM(H31:O31)/F31,3))</f>
        <v>0</v>
      </c>
      <c r="R31" s="389"/>
    </row>
    <row r="32" spans="1:21" ht="15" customHeight="1">
      <c r="A32" s="381">
        <v>65</v>
      </c>
      <c r="B32" s="390"/>
      <c r="C32" s="383">
        <f t="shared" si="3"/>
        <v>0</v>
      </c>
      <c r="D32" s="383"/>
      <c r="E32" s="383">
        <f t="shared" si="0"/>
        <v>0</v>
      </c>
      <c r="F32" s="391">
        <f t="shared" si="4"/>
        <v>0</v>
      </c>
      <c r="G32" s="386">
        <f t="shared" si="1"/>
        <v>130</v>
      </c>
      <c r="H32" s="387">
        <f>'Transp. Camión con Acoplado'!A*(E32/60)</f>
        <v>0</v>
      </c>
      <c r="I32" s="387">
        <f>'Transp. Camión con Acoplado'!B*(E32/60)</f>
        <v>0</v>
      </c>
      <c r="J32" s="387">
        <f>'Transp. Camión con Acoplado'!C_*(C32/60)</f>
        <v>0</v>
      </c>
      <c r="K32" s="387">
        <f>'Transp. Camión con Acoplado'!D*(E32/60)</f>
        <v>0</v>
      </c>
      <c r="L32" s="387">
        <f>'Transp. Camión con Acoplado'!E*(E32/60)</f>
        <v>0</v>
      </c>
      <c r="M32" s="387">
        <f>'Transp. Camión con Acoplado'!F_*G32</f>
        <v>0</v>
      </c>
      <c r="N32" s="387">
        <f t="shared" si="2"/>
        <v>0</v>
      </c>
      <c r="O32" s="387">
        <f>+G32*'Transp. Camión con Acoplado'!G</f>
        <v>0</v>
      </c>
      <c r="P32" s="388">
        <f t="shared" si="5"/>
        <v>0</v>
      </c>
      <c r="R32" s="389"/>
    </row>
    <row r="33" spans="1:18" ht="15" customHeight="1">
      <c r="A33" s="381">
        <v>70</v>
      </c>
      <c r="B33" s="390"/>
      <c r="C33" s="383">
        <f t="shared" si="3"/>
        <v>0</v>
      </c>
      <c r="D33" s="383"/>
      <c r="E33" s="383">
        <f t="shared" si="0"/>
        <v>0</v>
      </c>
      <c r="F33" s="391">
        <f t="shared" si="4"/>
        <v>0</v>
      </c>
      <c r="G33" s="386">
        <f t="shared" si="1"/>
        <v>140</v>
      </c>
      <c r="H33" s="387">
        <f>'Transp. Camión con Acoplado'!A*(E33/60)</f>
        <v>0</v>
      </c>
      <c r="I33" s="387">
        <f>'Transp. Camión con Acoplado'!B*(E33/60)</f>
        <v>0</v>
      </c>
      <c r="J33" s="387">
        <f>'Transp. Camión con Acoplado'!C_*(C33/60)</f>
        <v>0</v>
      </c>
      <c r="K33" s="387">
        <f>'Transp. Camión con Acoplado'!D*(E33/60)</f>
        <v>0</v>
      </c>
      <c r="L33" s="387">
        <f>'Transp. Camión con Acoplado'!E*(E33/60)</f>
        <v>0</v>
      </c>
      <c r="M33" s="387">
        <f>'Transp. Camión con Acoplado'!F_*G33</f>
        <v>0</v>
      </c>
      <c r="N33" s="387">
        <f t="shared" si="2"/>
        <v>0</v>
      </c>
      <c r="O33" s="387">
        <f>+G33*'Transp. Camión con Acoplado'!G</f>
        <v>0</v>
      </c>
      <c r="P33" s="388">
        <f t="shared" si="5"/>
        <v>0</v>
      </c>
      <c r="R33" s="389"/>
    </row>
    <row r="34" spans="1:18" ht="15" customHeight="1">
      <c r="A34" s="381">
        <v>75</v>
      </c>
      <c r="B34" s="390"/>
      <c r="C34" s="383">
        <f t="shared" si="3"/>
        <v>0</v>
      </c>
      <c r="D34" s="383"/>
      <c r="E34" s="383">
        <f t="shared" si="0"/>
        <v>0</v>
      </c>
      <c r="F34" s="391">
        <f t="shared" si="4"/>
        <v>0</v>
      </c>
      <c r="G34" s="386">
        <f t="shared" si="1"/>
        <v>150</v>
      </c>
      <c r="H34" s="387">
        <f>'Transp. Camión con Acoplado'!A*(E34/60)</f>
        <v>0</v>
      </c>
      <c r="I34" s="387">
        <f>'Transp. Camión con Acoplado'!B*(E34/60)</f>
        <v>0</v>
      </c>
      <c r="J34" s="387">
        <f>'Transp. Camión con Acoplado'!C_*(C34/60)</f>
        <v>0</v>
      </c>
      <c r="K34" s="387">
        <f>'Transp. Camión con Acoplado'!D*(E34/60)</f>
        <v>0</v>
      </c>
      <c r="L34" s="387">
        <f>'Transp. Camión con Acoplado'!E*(E34/60)</f>
        <v>0</v>
      </c>
      <c r="M34" s="387">
        <f>'Transp. Camión con Acoplado'!F_*G34</f>
        <v>0</v>
      </c>
      <c r="N34" s="387">
        <f t="shared" si="2"/>
        <v>0</v>
      </c>
      <c r="O34" s="387">
        <f>+G34*'Transp. Camión con Acoplado'!G</f>
        <v>0</v>
      </c>
      <c r="P34" s="388">
        <f t="shared" si="5"/>
        <v>0</v>
      </c>
      <c r="R34" s="389"/>
    </row>
    <row r="35" spans="1:18" ht="15" customHeight="1">
      <c r="A35" s="381">
        <v>80</v>
      </c>
      <c r="B35" s="390"/>
      <c r="C35" s="383">
        <f t="shared" si="3"/>
        <v>0</v>
      </c>
      <c r="D35" s="383"/>
      <c r="E35" s="383">
        <f t="shared" si="0"/>
        <v>0</v>
      </c>
      <c r="F35" s="391">
        <f t="shared" si="4"/>
        <v>0</v>
      </c>
      <c r="G35" s="386">
        <f t="shared" si="1"/>
        <v>160</v>
      </c>
      <c r="H35" s="387">
        <f>'Transp. Camión con Acoplado'!A*(E35/60)</f>
        <v>0</v>
      </c>
      <c r="I35" s="387">
        <f>'Transp. Camión con Acoplado'!B*(E35/60)</f>
        <v>0</v>
      </c>
      <c r="J35" s="387">
        <f>'Transp. Camión con Acoplado'!C_*(C35/60)</f>
        <v>0</v>
      </c>
      <c r="K35" s="387">
        <f>'Transp. Camión con Acoplado'!D*(E35/60)</f>
        <v>0</v>
      </c>
      <c r="L35" s="387">
        <f>'Transp. Camión con Acoplado'!E*(E35/60)</f>
        <v>0</v>
      </c>
      <c r="M35" s="387">
        <f>'Transp. Camión con Acoplado'!F_*G35</f>
        <v>0</v>
      </c>
      <c r="N35" s="387">
        <f t="shared" si="2"/>
        <v>0</v>
      </c>
      <c r="O35" s="387">
        <f>+G35*'Transp. Camión con Acoplado'!G</f>
        <v>0</v>
      </c>
      <c r="P35" s="388">
        <f t="shared" si="5"/>
        <v>0</v>
      </c>
      <c r="R35" s="389"/>
    </row>
    <row r="36" spans="1:18" ht="15" customHeight="1">
      <c r="A36" s="381">
        <v>85</v>
      </c>
      <c r="B36" s="390"/>
      <c r="C36" s="383">
        <f t="shared" si="3"/>
        <v>0</v>
      </c>
      <c r="D36" s="383"/>
      <c r="E36" s="383">
        <f t="shared" si="0"/>
        <v>0</v>
      </c>
      <c r="F36" s="391">
        <f t="shared" si="4"/>
        <v>0</v>
      </c>
      <c r="G36" s="386">
        <f t="shared" si="1"/>
        <v>170</v>
      </c>
      <c r="H36" s="387">
        <f>'Transp. Camión con Acoplado'!A*(E36/60)</f>
        <v>0</v>
      </c>
      <c r="I36" s="387">
        <f>'Transp. Camión con Acoplado'!B*(E36/60)</f>
        <v>0</v>
      </c>
      <c r="J36" s="387">
        <f>'Transp. Camión con Acoplado'!C_*(C36/60)</f>
        <v>0</v>
      </c>
      <c r="K36" s="387">
        <f>'Transp. Camión con Acoplado'!D*(E36/60)</f>
        <v>0</v>
      </c>
      <c r="L36" s="387">
        <f>'Transp. Camión con Acoplado'!E*(E36/60)</f>
        <v>0</v>
      </c>
      <c r="M36" s="387">
        <f>'Transp. Camión con Acoplado'!F_*G36</f>
        <v>0</v>
      </c>
      <c r="N36" s="387">
        <f t="shared" si="2"/>
        <v>0</v>
      </c>
      <c r="O36" s="387">
        <f>+G36*'Transp. Camión con Acoplado'!G</f>
        <v>0</v>
      </c>
      <c r="P36" s="388">
        <f t="shared" si="5"/>
        <v>0</v>
      </c>
      <c r="R36" s="389"/>
    </row>
    <row r="37" spans="1:18" ht="15" customHeight="1">
      <c r="A37" s="381">
        <v>90</v>
      </c>
      <c r="B37" s="390"/>
      <c r="C37" s="383">
        <f t="shared" si="3"/>
        <v>0</v>
      </c>
      <c r="D37" s="383"/>
      <c r="E37" s="383">
        <f t="shared" si="0"/>
        <v>0</v>
      </c>
      <c r="F37" s="391">
        <f t="shared" si="4"/>
        <v>0</v>
      </c>
      <c r="G37" s="386">
        <f t="shared" si="1"/>
        <v>180</v>
      </c>
      <c r="H37" s="387">
        <f>'Transp. Camión con Acoplado'!A*(E37/60)</f>
        <v>0</v>
      </c>
      <c r="I37" s="387">
        <f>'Transp. Camión con Acoplado'!B*(E37/60)</f>
        <v>0</v>
      </c>
      <c r="J37" s="387">
        <f>'Transp. Camión con Acoplado'!C_*(C37/60)</f>
        <v>0</v>
      </c>
      <c r="K37" s="387">
        <f>'Transp. Camión con Acoplado'!D*(E37/60)</f>
        <v>0</v>
      </c>
      <c r="L37" s="387">
        <f>'Transp. Camión con Acoplado'!E*(E37/60)</f>
        <v>0</v>
      </c>
      <c r="M37" s="387">
        <f>'Transp. Camión con Acoplado'!F_*G37</f>
        <v>0</v>
      </c>
      <c r="N37" s="387">
        <f t="shared" si="2"/>
        <v>0</v>
      </c>
      <c r="O37" s="387">
        <f>+G37*'Transp. Camión con Acoplado'!G</f>
        <v>0</v>
      </c>
      <c r="P37" s="388">
        <f t="shared" si="5"/>
        <v>0</v>
      </c>
      <c r="R37" s="389"/>
    </row>
    <row r="38" spans="1:18" ht="15" customHeight="1">
      <c r="A38" s="381">
        <v>95</v>
      </c>
      <c r="B38" s="390"/>
      <c r="C38" s="383">
        <f t="shared" si="3"/>
        <v>0</v>
      </c>
      <c r="D38" s="383"/>
      <c r="E38" s="383">
        <f t="shared" si="0"/>
        <v>0</v>
      </c>
      <c r="F38" s="391">
        <f t="shared" si="4"/>
        <v>0</v>
      </c>
      <c r="G38" s="386">
        <f t="shared" si="1"/>
        <v>190</v>
      </c>
      <c r="H38" s="387">
        <f>'Transp. Camión con Acoplado'!A*(E38/60)</f>
        <v>0</v>
      </c>
      <c r="I38" s="387">
        <f>'Transp. Camión con Acoplado'!B*(E38/60)</f>
        <v>0</v>
      </c>
      <c r="J38" s="387">
        <f>'Transp. Camión con Acoplado'!C_*(C38/60)</f>
        <v>0</v>
      </c>
      <c r="K38" s="387">
        <f>'Transp. Camión con Acoplado'!D*(E38/60)</f>
        <v>0</v>
      </c>
      <c r="L38" s="387">
        <f>'Transp. Camión con Acoplado'!E*(E38/60)</f>
        <v>0</v>
      </c>
      <c r="M38" s="387">
        <f>'Transp. Camión con Acoplado'!F_*G38</f>
        <v>0</v>
      </c>
      <c r="N38" s="387">
        <f t="shared" si="2"/>
        <v>0</v>
      </c>
      <c r="O38" s="387">
        <f>+G38*'Transp. Camión con Acoplado'!G</f>
        <v>0</v>
      </c>
      <c r="P38" s="388">
        <f t="shared" si="5"/>
        <v>0</v>
      </c>
      <c r="R38" s="389"/>
    </row>
    <row r="39" spans="1:18" ht="15" customHeight="1">
      <c r="A39" s="381">
        <v>100</v>
      </c>
      <c r="B39" s="390"/>
      <c r="C39" s="383">
        <f t="shared" si="3"/>
        <v>0</v>
      </c>
      <c r="D39" s="383"/>
      <c r="E39" s="383">
        <f t="shared" si="0"/>
        <v>0</v>
      </c>
      <c r="F39" s="391">
        <f t="shared" si="4"/>
        <v>0</v>
      </c>
      <c r="G39" s="386">
        <f t="shared" si="1"/>
        <v>200</v>
      </c>
      <c r="H39" s="387">
        <f>'Transp. Camión con Acoplado'!A*(E39/60)</f>
        <v>0</v>
      </c>
      <c r="I39" s="387">
        <f>'Transp. Camión con Acoplado'!B*(E39/60)</f>
        <v>0</v>
      </c>
      <c r="J39" s="387">
        <f>'Transp. Camión con Acoplado'!C_*(C39/60)</f>
        <v>0</v>
      </c>
      <c r="K39" s="387">
        <f>'Transp. Camión con Acoplado'!D*(E39/60)</f>
        <v>0</v>
      </c>
      <c r="L39" s="387">
        <f>'Transp. Camión con Acoplado'!E*(E39/60)</f>
        <v>0</v>
      </c>
      <c r="M39" s="387">
        <f>'Transp. Camión con Acoplado'!F_*G39</f>
        <v>0</v>
      </c>
      <c r="N39" s="387">
        <f t="shared" si="2"/>
        <v>0</v>
      </c>
      <c r="O39" s="387">
        <f>+G39*'Transp. Camión con Acoplado'!G</f>
        <v>0</v>
      </c>
      <c r="P39" s="388">
        <f t="shared" si="5"/>
        <v>0</v>
      </c>
      <c r="R39" s="389"/>
    </row>
    <row r="40" spans="1:18" ht="15" customHeight="1">
      <c r="A40" s="381">
        <v>105</v>
      </c>
      <c r="B40" s="390"/>
      <c r="C40" s="383">
        <f t="shared" si="3"/>
        <v>0</v>
      </c>
      <c r="D40" s="383"/>
      <c r="E40" s="383">
        <f t="shared" si="0"/>
        <v>0</v>
      </c>
      <c r="F40" s="391">
        <f t="shared" si="4"/>
        <v>0</v>
      </c>
      <c r="G40" s="386">
        <f t="shared" si="1"/>
        <v>210</v>
      </c>
      <c r="H40" s="387">
        <f>'Transp. Camión con Acoplado'!A*(E40/60)</f>
        <v>0</v>
      </c>
      <c r="I40" s="387">
        <f>'Transp. Camión con Acoplado'!B*(E40/60)</f>
        <v>0</v>
      </c>
      <c r="J40" s="387">
        <f>'Transp. Camión con Acoplado'!C_*(C40/60)</f>
        <v>0</v>
      </c>
      <c r="K40" s="387">
        <f>'Transp. Camión con Acoplado'!D*(E40/60)</f>
        <v>0</v>
      </c>
      <c r="L40" s="387">
        <f>'Transp. Camión con Acoplado'!E*(E40/60)</f>
        <v>0</v>
      </c>
      <c r="M40" s="387">
        <f>'Transp. Camión con Acoplado'!F_*G40</f>
        <v>0</v>
      </c>
      <c r="N40" s="387">
        <f t="shared" si="2"/>
        <v>0</v>
      </c>
      <c r="O40" s="387">
        <f>+G40*'Transp. Camión con Acoplado'!G</f>
        <v>0</v>
      </c>
      <c r="P40" s="388">
        <f t="shared" si="5"/>
        <v>0</v>
      </c>
      <c r="R40" s="389"/>
    </row>
    <row r="41" spans="1:18" ht="15" customHeight="1">
      <c r="A41" s="381">
        <v>110</v>
      </c>
      <c r="B41" s="390"/>
      <c r="C41" s="383">
        <f t="shared" si="3"/>
        <v>0</v>
      </c>
      <c r="D41" s="383"/>
      <c r="E41" s="383">
        <f t="shared" si="0"/>
        <v>0</v>
      </c>
      <c r="F41" s="391">
        <f t="shared" si="4"/>
        <v>0</v>
      </c>
      <c r="G41" s="386">
        <f t="shared" si="1"/>
        <v>220</v>
      </c>
      <c r="H41" s="387">
        <f>'Transp. Camión con Acoplado'!A*(E41/60)</f>
        <v>0</v>
      </c>
      <c r="I41" s="387">
        <f>'Transp. Camión con Acoplado'!B*(E41/60)</f>
        <v>0</v>
      </c>
      <c r="J41" s="387">
        <f>'Transp. Camión con Acoplado'!C_*(C41/60)</f>
        <v>0</v>
      </c>
      <c r="K41" s="387">
        <f>'Transp. Camión con Acoplado'!D*(E41/60)</f>
        <v>0</v>
      </c>
      <c r="L41" s="387">
        <f>'Transp. Camión con Acoplado'!E*(E41/60)</f>
        <v>0</v>
      </c>
      <c r="M41" s="387">
        <f>'Transp. Camión con Acoplado'!F_*G41</f>
        <v>0</v>
      </c>
      <c r="N41" s="387">
        <f t="shared" si="2"/>
        <v>0</v>
      </c>
      <c r="O41" s="387">
        <f>+G41*'Transp. Camión con Acoplado'!G</f>
        <v>0</v>
      </c>
      <c r="P41" s="388">
        <f t="shared" si="5"/>
        <v>0</v>
      </c>
      <c r="R41" s="389"/>
    </row>
    <row r="42" spans="1:18" ht="15" customHeight="1">
      <c r="A42" s="381">
        <v>120</v>
      </c>
      <c r="B42" s="390"/>
      <c r="C42" s="383">
        <f t="shared" si="3"/>
        <v>0</v>
      </c>
      <c r="D42" s="383"/>
      <c r="E42" s="383">
        <f t="shared" si="0"/>
        <v>0</v>
      </c>
      <c r="F42" s="391">
        <f t="shared" si="4"/>
        <v>0</v>
      </c>
      <c r="G42" s="386">
        <f t="shared" si="1"/>
        <v>240</v>
      </c>
      <c r="H42" s="387">
        <f>'Transp. Camión con Acoplado'!A*(E42/60)</f>
        <v>0</v>
      </c>
      <c r="I42" s="387">
        <f>'Transp. Camión con Acoplado'!B*(E42/60)</f>
        <v>0</v>
      </c>
      <c r="J42" s="387">
        <f>'Transp. Camión con Acoplado'!C_*(C42/60)</f>
        <v>0</v>
      </c>
      <c r="K42" s="387">
        <f>'Transp. Camión con Acoplado'!D*(E42/60)</f>
        <v>0</v>
      </c>
      <c r="L42" s="387">
        <f>'Transp. Camión con Acoplado'!E*(E42/60)</f>
        <v>0</v>
      </c>
      <c r="M42" s="387">
        <f>'Transp. Camión con Acoplado'!F_*G42</f>
        <v>0</v>
      </c>
      <c r="N42" s="387">
        <f t="shared" si="2"/>
        <v>0</v>
      </c>
      <c r="O42" s="387">
        <f>+G42*'Transp. Camión con Acoplado'!G</f>
        <v>0</v>
      </c>
      <c r="P42" s="388">
        <f t="shared" si="5"/>
        <v>0</v>
      </c>
      <c r="R42" s="389"/>
    </row>
    <row r="43" spans="1:18" ht="15" customHeight="1">
      <c r="A43" s="381">
        <v>130</v>
      </c>
      <c r="B43" s="390"/>
      <c r="C43" s="383">
        <f t="shared" si="3"/>
        <v>0</v>
      </c>
      <c r="D43" s="383"/>
      <c r="E43" s="383">
        <f t="shared" si="0"/>
        <v>0</v>
      </c>
      <c r="F43" s="391">
        <f t="shared" si="4"/>
        <v>0</v>
      </c>
      <c r="G43" s="386">
        <f t="shared" si="1"/>
        <v>260</v>
      </c>
      <c r="H43" s="387">
        <f>'Transp. Camión con Acoplado'!A*(E43/60)</f>
        <v>0</v>
      </c>
      <c r="I43" s="387">
        <f>'Transp. Camión con Acoplado'!B*(E43/60)</f>
        <v>0</v>
      </c>
      <c r="J43" s="387">
        <f>'Transp. Camión con Acoplado'!C_*(C43/60)</f>
        <v>0</v>
      </c>
      <c r="K43" s="387">
        <f>'Transp. Camión con Acoplado'!D*(E43/60)</f>
        <v>0</v>
      </c>
      <c r="L43" s="387">
        <f>'Transp. Camión con Acoplado'!E*(E43/60)</f>
        <v>0</v>
      </c>
      <c r="M43" s="387">
        <f>'Transp. Camión con Acoplado'!F_*G43</f>
        <v>0</v>
      </c>
      <c r="N43" s="387">
        <f t="shared" si="2"/>
        <v>0</v>
      </c>
      <c r="O43" s="387">
        <f>+G43*'Transp. Camión con Acoplado'!G</f>
        <v>0</v>
      </c>
      <c r="P43" s="388">
        <f t="shared" si="5"/>
        <v>0</v>
      </c>
      <c r="R43" s="389"/>
    </row>
    <row r="44" spans="1:18" ht="15" customHeight="1">
      <c r="A44" s="381">
        <v>140</v>
      </c>
      <c r="B44" s="390"/>
      <c r="C44" s="383">
        <f t="shared" si="3"/>
        <v>0</v>
      </c>
      <c r="D44" s="383"/>
      <c r="E44" s="383">
        <f t="shared" si="0"/>
        <v>0</v>
      </c>
      <c r="F44" s="391">
        <f t="shared" si="4"/>
        <v>0</v>
      </c>
      <c r="G44" s="386">
        <f t="shared" si="1"/>
        <v>280</v>
      </c>
      <c r="H44" s="387">
        <f>'Transp. Camión con Acoplado'!A*(E44/60)</f>
        <v>0</v>
      </c>
      <c r="I44" s="387">
        <f>'Transp. Camión con Acoplado'!B*(E44/60)</f>
        <v>0</v>
      </c>
      <c r="J44" s="387">
        <f>'Transp. Camión con Acoplado'!C_*(C44/60)</f>
        <v>0</v>
      </c>
      <c r="K44" s="387">
        <f>'Transp. Camión con Acoplado'!D*(E44/60)</f>
        <v>0</v>
      </c>
      <c r="L44" s="387">
        <f>'Transp. Camión con Acoplado'!E*(E44/60)</f>
        <v>0</v>
      </c>
      <c r="M44" s="387">
        <f>'Transp. Camión con Acoplado'!F_*G44</f>
        <v>0</v>
      </c>
      <c r="N44" s="387">
        <f t="shared" si="2"/>
        <v>0</v>
      </c>
      <c r="O44" s="387">
        <f>+G44*'Transp. Camión con Acoplado'!G</f>
        <v>0</v>
      </c>
      <c r="P44" s="388">
        <f t="shared" si="5"/>
        <v>0</v>
      </c>
      <c r="R44" s="389"/>
    </row>
    <row r="45" spans="1:18" ht="15" customHeight="1">
      <c r="A45" s="381">
        <v>150</v>
      </c>
      <c r="B45" s="390"/>
      <c r="C45" s="383">
        <f t="shared" si="3"/>
        <v>0</v>
      </c>
      <c r="D45" s="383"/>
      <c r="E45" s="383">
        <f t="shared" si="0"/>
        <v>0</v>
      </c>
      <c r="F45" s="391">
        <f t="shared" si="4"/>
        <v>0</v>
      </c>
      <c r="G45" s="386">
        <f t="shared" si="1"/>
        <v>300</v>
      </c>
      <c r="H45" s="387">
        <f>'Transp. Camión con Acoplado'!A*(E45/60)</f>
        <v>0</v>
      </c>
      <c r="I45" s="387">
        <f>'Transp. Camión con Acoplado'!B*(E45/60)</f>
        <v>0</v>
      </c>
      <c r="J45" s="387">
        <f>'Transp. Camión con Acoplado'!C_*(C45/60)</f>
        <v>0</v>
      </c>
      <c r="K45" s="387">
        <f>'Transp. Camión con Acoplado'!D*(E45/60)</f>
        <v>0</v>
      </c>
      <c r="L45" s="387">
        <f>'Transp. Camión con Acoplado'!E*(E45/60)</f>
        <v>0</v>
      </c>
      <c r="M45" s="387">
        <f>'Transp. Camión con Acoplado'!F_*G45</f>
        <v>0</v>
      </c>
      <c r="N45" s="387">
        <f t="shared" si="2"/>
        <v>0</v>
      </c>
      <c r="O45" s="387">
        <f>+G45*'Transp. Camión con Acoplado'!G</f>
        <v>0</v>
      </c>
      <c r="P45" s="388">
        <f t="shared" si="5"/>
        <v>0</v>
      </c>
      <c r="R45" s="389"/>
    </row>
    <row r="46" spans="1:18" ht="15" customHeight="1">
      <c r="A46" s="381">
        <v>160</v>
      </c>
      <c r="B46" s="390"/>
      <c r="C46" s="383">
        <f t="shared" si="3"/>
        <v>0</v>
      </c>
      <c r="D46" s="383"/>
      <c r="E46" s="383">
        <f t="shared" si="0"/>
        <v>0</v>
      </c>
      <c r="F46" s="391">
        <f t="shared" si="4"/>
        <v>0</v>
      </c>
      <c r="G46" s="386">
        <f t="shared" si="1"/>
        <v>320</v>
      </c>
      <c r="H46" s="387">
        <f>'Transp. Camión con Acoplado'!A*(E46/60)</f>
        <v>0</v>
      </c>
      <c r="I46" s="387">
        <f>'Transp. Camión con Acoplado'!B*(E46/60)</f>
        <v>0</v>
      </c>
      <c r="J46" s="387">
        <f>'Transp. Camión con Acoplado'!C_*(C46/60)</f>
        <v>0</v>
      </c>
      <c r="K46" s="387">
        <f>'Transp. Camión con Acoplado'!D*(E46/60)</f>
        <v>0</v>
      </c>
      <c r="L46" s="387">
        <f>'Transp. Camión con Acoplado'!E*(E46/60)</f>
        <v>0</v>
      </c>
      <c r="M46" s="387">
        <f>'Transp. Camión con Acoplado'!F_*G46</f>
        <v>0</v>
      </c>
      <c r="N46" s="387">
        <f t="shared" si="2"/>
        <v>0</v>
      </c>
      <c r="O46" s="387">
        <f>+G46*'Transp. Camión con Acoplado'!G</f>
        <v>0</v>
      </c>
      <c r="P46" s="388">
        <f t="shared" si="5"/>
        <v>0</v>
      </c>
      <c r="R46" s="389"/>
    </row>
    <row r="47" spans="1:18" ht="15" customHeight="1">
      <c r="A47" s="381">
        <v>170</v>
      </c>
      <c r="B47" s="390"/>
      <c r="C47" s="383">
        <f t="shared" si="3"/>
        <v>0</v>
      </c>
      <c r="D47" s="383"/>
      <c r="E47" s="383">
        <f t="shared" si="0"/>
        <v>0</v>
      </c>
      <c r="F47" s="391">
        <f t="shared" si="4"/>
        <v>0</v>
      </c>
      <c r="G47" s="386">
        <f t="shared" si="1"/>
        <v>340</v>
      </c>
      <c r="H47" s="387">
        <f>'Transp. Camión con Acoplado'!A*(E47/60)</f>
        <v>0</v>
      </c>
      <c r="I47" s="387">
        <f>'Transp. Camión con Acoplado'!B*(E47/60)</f>
        <v>0</v>
      </c>
      <c r="J47" s="387">
        <f>'Transp. Camión con Acoplado'!C_*(C47/60)</f>
        <v>0</v>
      </c>
      <c r="K47" s="387">
        <f>'Transp. Camión con Acoplado'!D*(E47/60)</f>
        <v>0</v>
      </c>
      <c r="L47" s="387">
        <f>'Transp. Camión con Acoplado'!E*(E47/60)</f>
        <v>0</v>
      </c>
      <c r="M47" s="387">
        <f>'Transp. Camión con Acoplado'!F_*G47</f>
        <v>0</v>
      </c>
      <c r="N47" s="387">
        <f t="shared" si="2"/>
        <v>0</v>
      </c>
      <c r="O47" s="387">
        <f>+G47*'Transp. Camión con Acoplado'!G</f>
        <v>0</v>
      </c>
      <c r="P47" s="388">
        <f t="shared" si="5"/>
        <v>0</v>
      </c>
      <c r="R47" s="389"/>
    </row>
    <row r="48" spans="1:18" ht="15" customHeight="1">
      <c r="A48" s="381">
        <v>180</v>
      </c>
      <c r="B48" s="390"/>
      <c r="C48" s="383">
        <f t="shared" si="3"/>
        <v>0</v>
      </c>
      <c r="D48" s="383"/>
      <c r="E48" s="383">
        <f t="shared" si="0"/>
        <v>0</v>
      </c>
      <c r="F48" s="391">
        <f t="shared" si="4"/>
        <v>0</v>
      </c>
      <c r="G48" s="386">
        <f t="shared" si="1"/>
        <v>360</v>
      </c>
      <c r="H48" s="387">
        <f>'Transp. Camión con Acoplado'!A*(E48/60)</f>
        <v>0</v>
      </c>
      <c r="I48" s="387">
        <f>'Transp. Camión con Acoplado'!B*(E48/60)</f>
        <v>0</v>
      </c>
      <c r="J48" s="387">
        <f>'Transp. Camión con Acoplado'!C_*(C48/60)</f>
        <v>0</v>
      </c>
      <c r="K48" s="387">
        <f>'Transp. Camión con Acoplado'!D*(E48/60)</f>
        <v>0</v>
      </c>
      <c r="L48" s="387">
        <f>'Transp. Camión con Acoplado'!E*(E48/60)</f>
        <v>0</v>
      </c>
      <c r="M48" s="387">
        <f>'Transp. Camión con Acoplado'!F_*G48</f>
        <v>0</v>
      </c>
      <c r="N48" s="387">
        <f t="shared" si="2"/>
        <v>0</v>
      </c>
      <c r="O48" s="387">
        <f>+G48*'Transp. Camión con Acoplado'!G</f>
        <v>0</v>
      </c>
      <c r="P48" s="388">
        <f t="shared" si="5"/>
        <v>0</v>
      </c>
      <c r="R48" s="389"/>
    </row>
    <row r="49" spans="1:18" ht="15" customHeight="1">
      <c r="A49" s="381">
        <v>200</v>
      </c>
      <c r="B49" s="390"/>
      <c r="C49" s="383">
        <f t="shared" si="3"/>
        <v>0</v>
      </c>
      <c r="D49" s="383"/>
      <c r="E49" s="383">
        <f t="shared" si="0"/>
        <v>0</v>
      </c>
      <c r="F49" s="391">
        <f t="shared" si="4"/>
        <v>0</v>
      </c>
      <c r="G49" s="386">
        <f t="shared" si="1"/>
        <v>400</v>
      </c>
      <c r="H49" s="387">
        <f>'Transp. Camión con Acoplado'!A*(E49/60)</f>
        <v>0</v>
      </c>
      <c r="I49" s="387">
        <f>'Transp. Camión con Acoplado'!B*(E49/60)</f>
        <v>0</v>
      </c>
      <c r="J49" s="387">
        <f>'Transp. Camión con Acoplado'!C_*(C49/60)</f>
        <v>0</v>
      </c>
      <c r="K49" s="387">
        <f>'Transp. Camión con Acoplado'!D*(E49/60)</f>
        <v>0</v>
      </c>
      <c r="L49" s="387">
        <f>'Transp. Camión con Acoplado'!E*(E49/60)</f>
        <v>0</v>
      </c>
      <c r="M49" s="387">
        <f>'Transp. Camión con Acoplado'!F_*G49</f>
        <v>0</v>
      </c>
      <c r="N49" s="387">
        <f t="shared" si="2"/>
        <v>0</v>
      </c>
      <c r="O49" s="387">
        <f>+G49*'Transp. Camión con Acoplado'!G</f>
        <v>0</v>
      </c>
      <c r="P49" s="388">
        <f t="shared" si="5"/>
        <v>0</v>
      </c>
      <c r="R49" s="389"/>
    </row>
    <row r="50" spans="1:18" ht="15" customHeight="1">
      <c r="A50" s="381">
        <v>225</v>
      </c>
      <c r="B50" s="390"/>
      <c r="C50" s="383">
        <f t="shared" si="3"/>
        <v>0</v>
      </c>
      <c r="D50" s="383"/>
      <c r="E50" s="383">
        <f t="shared" si="0"/>
        <v>0</v>
      </c>
      <c r="F50" s="391">
        <f t="shared" si="4"/>
        <v>0</v>
      </c>
      <c r="G50" s="386">
        <f t="shared" si="1"/>
        <v>450</v>
      </c>
      <c r="H50" s="387">
        <f>'Transp. Camión con Acoplado'!A*(E50/60)</f>
        <v>0</v>
      </c>
      <c r="I50" s="387">
        <f>'Transp. Camión con Acoplado'!B*(E50/60)</f>
        <v>0</v>
      </c>
      <c r="J50" s="387">
        <f>'Transp. Camión con Acoplado'!C_*(C50/60)</f>
        <v>0</v>
      </c>
      <c r="K50" s="387">
        <f>'Transp. Camión con Acoplado'!D*(E50/60)</f>
        <v>0</v>
      </c>
      <c r="L50" s="387">
        <f>'Transp. Camión con Acoplado'!E*(E50/60)</f>
        <v>0</v>
      </c>
      <c r="M50" s="387">
        <f>'Transp. Camión con Acoplado'!F_*G50</f>
        <v>0</v>
      </c>
      <c r="N50" s="387">
        <f t="shared" si="2"/>
        <v>0</v>
      </c>
      <c r="O50" s="387">
        <f>+G50*'Transp. Camión con Acoplado'!G</f>
        <v>0</v>
      </c>
      <c r="P50" s="388">
        <f t="shared" si="5"/>
        <v>0</v>
      </c>
      <c r="R50" s="389"/>
    </row>
    <row r="51" spans="1:18" ht="15" customHeight="1">
      <c r="A51" s="381">
        <v>250</v>
      </c>
      <c r="B51" s="390"/>
      <c r="C51" s="383">
        <f t="shared" si="3"/>
        <v>0</v>
      </c>
      <c r="D51" s="383"/>
      <c r="E51" s="383">
        <f t="shared" si="0"/>
        <v>0</v>
      </c>
      <c r="F51" s="391">
        <f t="shared" si="4"/>
        <v>0</v>
      </c>
      <c r="G51" s="386">
        <f t="shared" si="1"/>
        <v>500</v>
      </c>
      <c r="H51" s="387">
        <f>'Transp. Camión con Acoplado'!A*(E51/60)</f>
        <v>0</v>
      </c>
      <c r="I51" s="387">
        <f>'Transp. Camión con Acoplado'!B*(E51/60)</f>
        <v>0</v>
      </c>
      <c r="J51" s="387">
        <f>'Transp. Camión con Acoplado'!C_*(C51/60)</f>
        <v>0</v>
      </c>
      <c r="K51" s="387">
        <f>'Transp. Camión con Acoplado'!D*(E51/60)</f>
        <v>0</v>
      </c>
      <c r="L51" s="387">
        <f>'Transp. Camión con Acoplado'!E*(E51/60)</f>
        <v>0</v>
      </c>
      <c r="M51" s="387">
        <f>'Transp. Camión con Acoplado'!F_*G51</f>
        <v>0</v>
      </c>
      <c r="N51" s="387">
        <f t="shared" si="2"/>
        <v>0</v>
      </c>
      <c r="O51" s="387">
        <f>+G51*'Transp. Camión con Acoplado'!G</f>
        <v>0</v>
      </c>
      <c r="P51" s="388">
        <f t="shared" si="5"/>
        <v>0</v>
      </c>
      <c r="R51" s="389"/>
    </row>
    <row r="52" spans="1:18" ht="15" customHeight="1">
      <c r="A52" s="381">
        <v>275</v>
      </c>
      <c r="B52" s="390"/>
      <c r="C52" s="383">
        <f t="shared" si="3"/>
        <v>0</v>
      </c>
      <c r="D52" s="383"/>
      <c r="E52" s="383">
        <f t="shared" si="0"/>
        <v>0</v>
      </c>
      <c r="F52" s="391">
        <f t="shared" si="4"/>
        <v>0</v>
      </c>
      <c r="G52" s="386">
        <f t="shared" si="1"/>
        <v>550</v>
      </c>
      <c r="H52" s="387">
        <f>'Transp. Camión con Acoplado'!A*(E52/60)</f>
        <v>0</v>
      </c>
      <c r="I52" s="387">
        <f>'Transp. Camión con Acoplado'!B*(E52/60)</f>
        <v>0</v>
      </c>
      <c r="J52" s="387">
        <f>'Transp. Camión con Acoplado'!C_*(C52/60)</f>
        <v>0</v>
      </c>
      <c r="K52" s="387">
        <f>'Transp. Camión con Acoplado'!D*(E52/60)</f>
        <v>0</v>
      </c>
      <c r="L52" s="387">
        <f>'Transp. Camión con Acoplado'!E*(E52/60)</f>
        <v>0</v>
      </c>
      <c r="M52" s="387">
        <f>'Transp. Camión con Acoplado'!F_*G52</f>
        <v>0</v>
      </c>
      <c r="N52" s="387">
        <f t="shared" si="2"/>
        <v>0</v>
      </c>
      <c r="O52" s="387">
        <f>+G52*'Transp. Camión con Acoplado'!G</f>
        <v>0</v>
      </c>
      <c r="P52" s="388">
        <f t="shared" si="5"/>
        <v>0</v>
      </c>
      <c r="R52" s="389"/>
    </row>
    <row r="53" spans="1:18" ht="15" customHeight="1">
      <c r="A53" s="381">
        <v>300</v>
      </c>
      <c r="B53" s="390"/>
      <c r="C53" s="383">
        <f t="shared" si="3"/>
        <v>0</v>
      </c>
      <c r="D53" s="383"/>
      <c r="E53" s="383">
        <f t="shared" si="0"/>
        <v>0</v>
      </c>
      <c r="F53" s="391">
        <f t="shared" si="4"/>
        <v>0</v>
      </c>
      <c r="G53" s="386">
        <f t="shared" si="1"/>
        <v>600</v>
      </c>
      <c r="H53" s="387">
        <f>'Transp. Camión con Acoplado'!A*(E53/60)</f>
        <v>0</v>
      </c>
      <c r="I53" s="387">
        <f>'Transp. Camión con Acoplado'!B*(E53/60)</f>
        <v>0</v>
      </c>
      <c r="J53" s="387">
        <f>'Transp. Camión con Acoplado'!C_*(C53/60)</f>
        <v>0</v>
      </c>
      <c r="K53" s="387">
        <f>'Transp. Camión con Acoplado'!D*(E53/60)</f>
        <v>0</v>
      </c>
      <c r="L53" s="387">
        <f>'Transp. Camión con Acoplado'!E*(E53/60)</f>
        <v>0</v>
      </c>
      <c r="M53" s="387">
        <f>'Transp. Camión con Acoplado'!F_*G53</f>
        <v>0</v>
      </c>
      <c r="N53" s="387">
        <f t="shared" si="2"/>
        <v>0</v>
      </c>
      <c r="O53" s="387">
        <f>+G53*'Transp. Camión con Acoplado'!G</f>
        <v>0</v>
      </c>
      <c r="P53" s="388">
        <f t="shared" si="5"/>
        <v>0</v>
      </c>
      <c r="R53" s="389"/>
    </row>
    <row r="54" spans="1:18" ht="15" customHeight="1">
      <c r="A54" s="381">
        <v>325</v>
      </c>
      <c r="B54" s="390"/>
      <c r="C54" s="383">
        <f t="shared" si="3"/>
        <v>0</v>
      </c>
      <c r="D54" s="383"/>
      <c r="E54" s="383">
        <f t="shared" si="0"/>
        <v>0</v>
      </c>
      <c r="F54" s="391">
        <f t="shared" si="4"/>
        <v>0</v>
      </c>
      <c r="G54" s="386">
        <f t="shared" si="1"/>
        <v>650</v>
      </c>
      <c r="H54" s="387">
        <f>'Transp. Camión con Acoplado'!A*(E54/60)</f>
        <v>0</v>
      </c>
      <c r="I54" s="387">
        <f>'Transp. Camión con Acoplado'!B*(E54/60)</f>
        <v>0</v>
      </c>
      <c r="J54" s="387">
        <f>'Transp. Camión con Acoplado'!C_*(C54/60)</f>
        <v>0</v>
      </c>
      <c r="K54" s="387">
        <f>'Transp. Camión con Acoplado'!D*(E54/60)</f>
        <v>0</v>
      </c>
      <c r="L54" s="387">
        <f>'Transp. Camión con Acoplado'!E*(E54/60)</f>
        <v>0</v>
      </c>
      <c r="M54" s="387">
        <f>'Transp. Camión con Acoplado'!F_*G54</f>
        <v>0</v>
      </c>
      <c r="N54" s="387">
        <f t="shared" si="2"/>
        <v>0</v>
      </c>
      <c r="O54" s="387">
        <f>+G54*'Transp. Camión con Acoplado'!G</f>
        <v>0</v>
      </c>
      <c r="P54" s="388">
        <f t="shared" si="5"/>
        <v>0</v>
      </c>
      <c r="R54" s="389"/>
    </row>
    <row r="55" spans="1:18" ht="15" customHeight="1">
      <c r="A55" s="381">
        <v>350</v>
      </c>
      <c r="B55" s="390"/>
      <c r="C55" s="383">
        <f t="shared" si="3"/>
        <v>0</v>
      </c>
      <c r="D55" s="383"/>
      <c r="E55" s="383">
        <f t="shared" si="0"/>
        <v>0</v>
      </c>
      <c r="F55" s="391">
        <f t="shared" si="4"/>
        <v>0</v>
      </c>
      <c r="G55" s="386">
        <f t="shared" si="1"/>
        <v>700</v>
      </c>
      <c r="H55" s="387">
        <f>'Transp. Camión con Acoplado'!A*(E55/60)</f>
        <v>0</v>
      </c>
      <c r="I55" s="387">
        <f>'Transp. Camión con Acoplado'!B*(E55/60)</f>
        <v>0</v>
      </c>
      <c r="J55" s="387">
        <f>'Transp. Camión con Acoplado'!C_*(C55/60)</f>
        <v>0</v>
      </c>
      <c r="K55" s="387">
        <f>'Transp. Camión con Acoplado'!D*(E55/60)</f>
        <v>0</v>
      </c>
      <c r="L55" s="387">
        <f>'Transp. Camión con Acoplado'!E*(E55/60)</f>
        <v>0</v>
      </c>
      <c r="M55" s="387">
        <f>'Transp. Camión con Acoplado'!F_*G55</f>
        <v>0</v>
      </c>
      <c r="N55" s="387">
        <f t="shared" si="2"/>
        <v>0</v>
      </c>
      <c r="O55" s="387">
        <f>+G55*'Transp. Camión con Acoplado'!G</f>
        <v>0</v>
      </c>
      <c r="P55" s="388">
        <f t="shared" si="5"/>
        <v>0</v>
      </c>
      <c r="R55" s="389"/>
    </row>
    <row r="56" spans="1:18" ht="15" customHeight="1">
      <c r="A56" s="381">
        <v>375</v>
      </c>
      <c r="B56" s="390"/>
      <c r="C56" s="383">
        <f t="shared" si="3"/>
        <v>0</v>
      </c>
      <c r="D56" s="383"/>
      <c r="E56" s="383">
        <f t="shared" si="0"/>
        <v>0</v>
      </c>
      <c r="F56" s="391">
        <f t="shared" si="4"/>
        <v>0</v>
      </c>
      <c r="G56" s="386">
        <f t="shared" si="1"/>
        <v>750</v>
      </c>
      <c r="H56" s="387">
        <f>'Transp. Camión con Acoplado'!A*(E56/60)</f>
        <v>0</v>
      </c>
      <c r="I56" s="387">
        <f>'Transp. Camión con Acoplado'!B*(E56/60)</f>
        <v>0</v>
      </c>
      <c r="J56" s="387">
        <f>'Transp. Camión con Acoplado'!C_*(C56/60)</f>
        <v>0</v>
      </c>
      <c r="K56" s="387">
        <f>'Transp. Camión con Acoplado'!D*(E56/60)</f>
        <v>0</v>
      </c>
      <c r="L56" s="387">
        <f>'Transp. Camión con Acoplado'!E*(E56/60)</f>
        <v>0</v>
      </c>
      <c r="M56" s="387">
        <f>'Transp. Camión con Acoplado'!F_*G56</f>
        <v>0</v>
      </c>
      <c r="N56" s="387">
        <f t="shared" si="2"/>
        <v>0</v>
      </c>
      <c r="O56" s="387">
        <f>+G56*'Transp. Camión con Acoplado'!G</f>
        <v>0</v>
      </c>
      <c r="P56" s="388">
        <f t="shared" si="5"/>
        <v>0</v>
      </c>
      <c r="R56" s="389"/>
    </row>
    <row r="57" spans="1:18" ht="15" customHeight="1">
      <c r="A57" s="381">
        <v>400</v>
      </c>
      <c r="B57" s="390"/>
      <c r="C57" s="383">
        <f t="shared" si="3"/>
        <v>0</v>
      </c>
      <c r="D57" s="383"/>
      <c r="E57" s="383">
        <f t="shared" si="0"/>
        <v>0</v>
      </c>
      <c r="F57" s="391">
        <f t="shared" si="4"/>
        <v>0</v>
      </c>
      <c r="G57" s="386">
        <f t="shared" si="1"/>
        <v>800</v>
      </c>
      <c r="H57" s="387">
        <f>'Transp. Camión con Acoplado'!A*(E57/60)</f>
        <v>0</v>
      </c>
      <c r="I57" s="387">
        <f>'Transp. Camión con Acoplado'!B*(E57/60)</f>
        <v>0</v>
      </c>
      <c r="J57" s="387">
        <f>'Transp. Camión con Acoplado'!C_*(C57/60)</f>
        <v>0</v>
      </c>
      <c r="K57" s="387">
        <f>'Transp. Camión con Acoplado'!D*(E57/60)</f>
        <v>0</v>
      </c>
      <c r="L57" s="387">
        <f>'Transp. Camión con Acoplado'!E*(E57/60)</f>
        <v>0</v>
      </c>
      <c r="M57" s="387">
        <f>'Transp. Camión con Acoplado'!F_*G57</f>
        <v>0</v>
      </c>
      <c r="N57" s="387">
        <f t="shared" si="2"/>
        <v>0</v>
      </c>
      <c r="O57" s="387">
        <f>+G57*'Transp. Camión con Acoplado'!G</f>
        <v>0</v>
      </c>
      <c r="P57" s="388">
        <f t="shared" si="5"/>
        <v>0</v>
      </c>
      <c r="R57" s="389"/>
    </row>
    <row r="58" spans="1:18" ht="15" customHeight="1">
      <c r="A58" s="381">
        <v>425</v>
      </c>
      <c r="B58" s="390"/>
      <c r="C58" s="383">
        <f t="shared" si="3"/>
        <v>0</v>
      </c>
      <c r="D58" s="383"/>
      <c r="E58" s="383">
        <f t="shared" si="0"/>
        <v>0</v>
      </c>
      <c r="F58" s="391">
        <f t="shared" si="4"/>
        <v>0</v>
      </c>
      <c r="G58" s="386">
        <f t="shared" si="1"/>
        <v>850</v>
      </c>
      <c r="H58" s="387">
        <f>'Transp. Camión con Acoplado'!A*(E58/60)</f>
        <v>0</v>
      </c>
      <c r="I58" s="387">
        <f>'Transp. Camión con Acoplado'!B*(E58/60)</f>
        <v>0</v>
      </c>
      <c r="J58" s="387">
        <f>'Transp. Camión con Acoplado'!C_*(C58/60)</f>
        <v>0</v>
      </c>
      <c r="K58" s="387">
        <f>'Transp. Camión con Acoplado'!D*(E58/60)</f>
        <v>0</v>
      </c>
      <c r="L58" s="387">
        <f>'Transp. Camión con Acoplado'!E*(E58/60)</f>
        <v>0</v>
      </c>
      <c r="M58" s="387">
        <f>'Transp. Camión con Acoplado'!F_*G58</f>
        <v>0</v>
      </c>
      <c r="N58" s="387">
        <f t="shared" si="2"/>
        <v>0</v>
      </c>
      <c r="O58" s="387">
        <f>+G58*'Transp. Camión con Acoplado'!G</f>
        <v>0</v>
      </c>
      <c r="P58" s="388">
        <f t="shared" si="5"/>
        <v>0</v>
      </c>
      <c r="R58" s="389"/>
    </row>
    <row r="59" spans="1:18" ht="15" customHeight="1">
      <c r="A59" s="381">
        <v>450</v>
      </c>
      <c r="B59" s="390"/>
      <c r="C59" s="383">
        <f t="shared" si="3"/>
        <v>0</v>
      </c>
      <c r="D59" s="383"/>
      <c r="E59" s="383">
        <f t="shared" si="0"/>
        <v>0</v>
      </c>
      <c r="F59" s="391">
        <f t="shared" si="4"/>
        <v>0</v>
      </c>
      <c r="G59" s="386">
        <f t="shared" si="1"/>
        <v>900</v>
      </c>
      <c r="H59" s="387">
        <f>'Transp. Camión con Acoplado'!A*(E59/60)</f>
        <v>0</v>
      </c>
      <c r="I59" s="387">
        <f>'Transp. Camión con Acoplado'!B*(E59/60)</f>
        <v>0</v>
      </c>
      <c r="J59" s="387">
        <f>'Transp. Camión con Acoplado'!C_*(C59/60)</f>
        <v>0</v>
      </c>
      <c r="K59" s="387">
        <f>'Transp. Camión con Acoplado'!D*(E59/60)</f>
        <v>0</v>
      </c>
      <c r="L59" s="387">
        <f>'Transp. Camión con Acoplado'!E*(E59/60)</f>
        <v>0</v>
      </c>
      <c r="M59" s="387">
        <f>'Transp. Camión con Acoplado'!F_*G59</f>
        <v>0</v>
      </c>
      <c r="N59" s="387">
        <f t="shared" si="2"/>
        <v>0</v>
      </c>
      <c r="O59" s="387">
        <f>+G59*'Transp. Camión con Acoplado'!G</f>
        <v>0</v>
      </c>
      <c r="P59" s="388">
        <f t="shared" si="5"/>
        <v>0</v>
      </c>
      <c r="R59" s="389"/>
    </row>
    <row r="60" spans="1:18" ht="15" customHeight="1">
      <c r="A60" s="381">
        <v>475</v>
      </c>
      <c r="B60" s="390"/>
      <c r="C60" s="383">
        <f t="shared" si="3"/>
        <v>0</v>
      </c>
      <c r="D60" s="383"/>
      <c r="E60" s="383">
        <f t="shared" si="0"/>
        <v>0</v>
      </c>
      <c r="F60" s="391">
        <f t="shared" si="4"/>
        <v>0</v>
      </c>
      <c r="G60" s="386">
        <f t="shared" si="1"/>
        <v>950</v>
      </c>
      <c r="H60" s="387">
        <f>'Transp. Camión con Acoplado'!A*(E60/60)</f>
        <v>0</v>
      </c>
      <c r="I60" s="387">
        <f>'Transp. Camión con Acoplado'!B*(E60/60)</f>
        <v>0</v>
      </c>
      <c r="J60" s="387">
        <f>'Transp. Camión con Acoplado'!C_*(C60/60)</f>
        <v>0</v>
      </c>
      <c r="K60" s="387">
        <f>'Transp. Camión con Acoplado'!D*(E60/60)</f>
        <v>0</v>
      </c>
      <c r="L60" s="387">
        <f>'Transp. Camión con Acoplado'!E*(E60/60)</f>
        <v>0</v>
      </c>
      <c r="M60" s="387">
        <f>'Transp. Camión con Acoplado'!F_*G60</f>
        <v>0</v>
      </c>
      <c r="N60" s="387">
        <f t="shared" si="2"/>
        <v>0</v>
      </c>
      <c r="O60" s="387">
        <f>+G60*'Transp. Camión con Acoplado'!G</f>
        <v>0</v>
      </c>
      <c r="P60" s="388">
        <f t="shared" si="5"/>
        <v>0</v>
      </c>
      <c r="R60" s="389"/>
    </row>
    <row r="61" spans="1:18" ht="15" customHeight="1">
      <c r="A61" s="381">
        <v>500</v>
      </c>
      <c r="B61" s="390"/>
      <c r="C61" s="383">
        <f t="shared" si="3"/>
        <v>0</v>
      </c>
      <c r="D61" s="383"/>
      <c r="E61" s="383">
        <f t="shared" si="0"/>
        <v>0</v>
      </c>
      <c r="F61" s="391">
        <f t="shared" si="4"/>
        <v>0</v>
      </c>
      <c r="G61" s="386">
        <f t="shared" si="1"/>
        <v>1000</v>
      </c>
      <c r="H61" s="387">
        <f>'Transp. Camión con Acoplado'!A*(E61/60)</f>
        <v>0</v>
      </c>
      <c r="I61" s="387">
        <f>'Transp. Camión con Acoplado'!B*(E61/60)</f>
        <v>0</v>
      </c>
      <c r="J61" s="387">
        <f>'Transp. Camión con Acoplado'!C_*(C61/60)</f>
        <v>0</v>
      </c>
      <c r="K61" s="387">
        <f>'Transp. Camión con Acoplado'!D*(E61/60)</f>
        <v>0</v>
      </c>
      <c r="L61" s="387">
        <f>'Transp. Camión con Acoplado'!E*(E61/60)</f>
        <v>0</v>
      </c>
      <c r="M61" s="387">
        <f>'Transp. Camión con Acoplado'!F_*G61</f>
        <v>0</v>
      </c>
      <c r="N61" s="387">
        <f t="shared" si="2"/>
        <v>0</v>
      </c>
      <c r="O61" s="387">
        <f>+G61*'Transp. Camión con Acoplado'!G</f>
        <v>0</v>
      </c>
      <c r="P61" s="388">
        <f t="shared" si="5"/>
        <v>0</v>
      </c>
      <c r="R61" s="389"/>
    </row>
    <row r="62" spans="1:18" ht="15" customHeight="1">
      <c r="A62" s="381">
        <v>600</v>
      </c>
      <c r="B62" s="390"/>
      <c r="C62" s="383">
        <f t="shared" si="3"/>
        <v>0</v>
      </c>
      <c r="D62" s="383"/>
      <c r="E62" s="383">
        <f t="shared" si="0"/>
        <v>0</v>
      </c>
      <c r="F62" s="391">
        <f t="shared" si="4"/>
        <v>0</v>
      </c>
      <c r="G62" s="386">
        <f t="shared" si="1"/>
        <v>1200</v>
      </c>
      <c r="H62" s="387">
        <f>'Transp. Camión con Acoplado'!A*(E62/60)</f>
        <v>0</v>
      </c>
      <c r="I62" s="387">
        <f>'Transp. Camión con Acoplado'!B*(E62/60)</f>
        <v>0</v>
      </c>
      <c r="J62" s="387">
        <f>'Transp. Camión con Acoplado'!C_*(C62/60)</f>
        <v>0</v>
      </c>
      <c r="K62" s="387">
        <f>'Transp. Camión con Acoplado'!D*(E62/60)</f>
        <v>0</v>
      </c>
      <c r="L62" s="387">
        <f>'Transp. Camión con Acoplado'!E*(E62/60)</f>
        <v>0</v>
      </c>
      <c r="M62" s="387">
        <f>'Transp. Camión con Acoplado'!F_*G62</f>
        <v>0</v>
      </c>
      <c r="N62" s="387">
        <f t="shared" si="2"/>
        <v>0</v>
      </c>
      <c r="O62" s="387">
        <f>+G62*'Transp. Camión con Acoplado'!G</f>
        <v>0</v>
      </c>
      <c r="P62" s="388">
        <f t="shared" si="5"/>
        <v>0</v>
      </c>
      <c r="R62" s="389"/>
    </row>
    <row r="63" spans="1:18" ht="15" customHeight="1">
      <c r="A63" s="381">
        <v>800</v>
      </c>
      <c r="B63" s="390"/>
      <c r="C63" s="383">
        <f t="shared" si="3"/>
        <v>0</v>
      </c>
      <c r="D63" s="383"/>
      <c r="E63" s="383">
        <f t="shared" si="0"/>
        <v>0</v>
      </c>
      <c r="F63" s="391">
        <f t="shared" si="4"/>
        <v>0</v>
      </c>
      <c r="G63" s="386">
        <f t="shared" si="1"/>
        <v>1600</v>
      </c>
      <c r="H63" s="387">
        <f>'Transp. Camión con Acoplado'!A*(E63/60)</f>
        <v>0</v>
      </c>
      <c r="I63" s="387">
        <f>'Transp. Camión con Acoplado'!B*(E63/60)</f>
        <v>0</v>
      </c>
      <c r="J63" s="387">
        <f>'Transp. Camión con Acoplado'!C_*(C63/60)</f>
        <v>0</v>
      </c>
      <c r="K63" s="387">
        <f>'Transp. Camión con Acoplado'!D*(E63/60)</f>
        <v>0</v>
      </c>
      <c r="L63" s="387">
        <f>'Transp. Camión con Acoplado'!E*(E63/60)</f>
        <v>0</v>
      </c>
      <c r="M63" s="387">
        <f>'Transp. Camión con Acoplado'!F_*G63</f>
        <v>0</v>
      </c>
      <c r="N63" s="387">
        <f t="shared" si="2"/>
        <v>0</v>
      </c>
      <c r="O63" s="387">
        <f>+G63*'Transp. Camión con Acoplado'!G</f>
        <v>0</v>
      </c>
      <c r="P63" s="388">
        <f t="shared" si="5"/>
        <v>0</v>
      </c>
      <c r="R63" s="389"/>
    </row>
    <row r="64" spans="1:18" ht="15" customHeight="1">
      <c r="A64" s="381">
        <v>1000</v>
      </c>
      <c r="B64" s="390"/>
      <c r="C64" s="383">
        <f t="shared" si="3"/>
        <v>0</v>
      </c>
      <c r="D64" s="383"/>
      <c r="E64" s="383">
        <f t="shared" si="0"/>
        <v>0</v>
      </c>
      <c r="F64" s="391">
        <f t="shared" si="4"/>
        <v>0</v>
      </c>
      <c r="G64" s="386">
        <f t="shared" si="1"/>
        <v>2000</v>
      </c>
      <c r="H64" s="387">
        <f>'Transp. Camión con Acoplado'!A*(E64/60)</f>
        <v>0</v>
      </c>
      <c r="I64" s="387">
        <f>'Transp. Camión con Acoplado'!B*(E64/60)</f>
        <v>0</v>
      </c>
      <c r="J64" s="387">
        <f>'Transp. Camión con Acoplado'!C_*(C64/60)</f>
        <v>0</v>
      </c>
      <c r="K64" s="387">
        <f>'Transp. Camión con Acoplado'!D*(E64/60)</f>
        <v>0</v>
      </c>
      <c r="L64" s="387">
        <f>'Transp. Camión con Acoplado'!E*(E64/60)</f>
        <v>0</v>
      </c>
      <c r="M64" s="387">
        <f>'Transp. Camión con Acoplado'!F_*G64</f>
        <v>0</v>
      </c>
      <c r="N64" s="387">
        <f t="shared" si="2"/>
        <v>0</v>
      </c>
      <c r="O64" s="387">
        <f>+G64*'Transp. Camión con Acoplado'!G</f>
        <v>0</v>
      </c>
      <c r="P64" s="388">
        <f t="shared" si="5"/>
        <v>0</v>
      </c>
      <c r="R64" s="389"/>
    </row>
    <row r="65" spans="13:16" ht="15" customHeight="1">
      <c r="M65" s="688"/>
      <c r="N65" s="688"/>
      <c r="O65" s="688"/>
      <c r="P65" s="688"/>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968"/>
  <sheetViews>
    <sheetView topLeftCell="A923" workbookViewId="0">
      <selection activeCell="H936" sqref="H936"/>
    </sheetView>
  </sheetViews>
  <sheetFormatPr baseColWidth="10" defaultRowHeight="12.75"/>
  <cols>
    <col min="1" max="1" width="20.7109375" style="533" customWidth="1"/>
    <col min="2" max="4" width="8.7109375" style="534" customWidth="1"/>
    <col min="5" max="5" width="57" style="533" customWidth="1"/>
    <col min="6" max="6" width="15.85546875" style="533" customWidth="1"/>
    <col min="7" max="7" width="16.5703125" style="533" customWidth="1"/>
  </cols>
  <sheetData>
    <row r="1" spans="1:7">
      <c r="A1" s="531"/>
      <c r="B1" s="532" t="s">
        <v>541</v>
      </c>
      <c r="C1" s="532"/>
      <c r="D1" s="532"/>
      <c r="E1" s="531"/>
      <c r="F1" s="531"/>
      <c r="G1" s="531"/>
    </row>
    <row r="3" spans="1:7">
      <c r="A3" s="536" t="s">
        <v>342</v>
      </c>
      <c r="B3" s="534" t="s">
        <v>41</v>
      </c>
      <c r="C3" s="536"/>
      <c r="D3" s="536"/>
      <c r="E3" s="689" t="s">
        <v>42</v>
      </c>
      <c r="F3" s="536"/>
      <c r="G3" s="536"/>
    </row>
    <row r="4" spans="1:7">
      <c r="A4" s="535"/>
      <c r="B4" s="534" t="s">
        <v>43</v>
      </c>
      <c r="C4" s="536"/>
      <c r="D4" s="536"/>
      <c r="E4" s="689"/>
      <c r="F4" s="536"/>
      <c r="G4" s="536"/>
    </row>
    <row r="5" spans="1:7">
      <c r="A5" s="532"/>
      <c r="B5" s="532"/>
      <c r="C5" s="532"/>
      <c r="D5" s="532"/>
      <c r="E5" s="532"/>
      <c r="F5" s="532"/>
      <c r="G5" s="532"/>
    </row>
    <row r="6" spans="1:7">
      <c r="A6" s="534" t="str">
        <f t="shared" ref="A6:A69" si="0">CONCATENATE("INDEC-CM - ",B6,C6,D6)</f>
        <v>INDEC-CM - 37210-51</v>
      </c>
      <c r="B6" s="534">
        <v>37210</v>
      </c>
      <c r="C6" s="534" t="s">
        <v>44</v>
      </c>
      <c r="D6" s="534">
        <v>51</v>
      </c>
      <c r="E6" s="533" t="s">
        <v>45</v>
      </c>
    </row>
    <row r="7" spans="1:7">
      <c r="A7" s="534" t="str">
        <f t="shared" si="0"/>
        <v>INDEC-CM - 37210-52</v>
      </c>
      <c r="B7" s="534">
        <v>37210</v>
      </c>
      <c r="C7" s="534" t="s">
        <v>44</v>
      </c>
      <c r="D7" s="534">
        <v>52</v>
      </c>
      <c r="E7" s="533" t="s">
        <v>46</v>
      </c>
    </row>
    <row r="8" spans="1:7">
      <c r="A8" s="534" t="str">
        <f t="shared" si="0"/>
        <v>INDEC-CM - 42911-81</v>
      </c>
      <c r="B8" s="534">
        <v>42911</v>
      </c>
      <c r="C8" s="534" t="s">
        <v>44</v>
      </c>
      <c r="D8" s="534">
        <v>81</v>
      </c>
      <c r="E8" s="538" t="s">
        <v>47</v>
      </c>
      <c r="F8" s="538"/>
      <c r="G8" s="538"/>
    </row>
    <row r="9" spans="1:7">
      <c r="A9" s="534" t="str">
        <f t="shared" si="0"/>
        <v>INDEC-CM - 41242-11</v>
      </c>
      <c r="B9" s="534">
        <v>41242</v>
      </c>
      <c r="C9" s="534" t="s">
        <v>44</v>
      </c>
      <c r="D9" s="534">
        <v>11</v>
      </c>
      <c r="E9" s="538" t="s">
        <v>48</v>
      </c>
      <c r="F9" s="538"/>
      <c r="G9" s="538"/>
    </row>
    <row r="10" spans="1:7">
      <c r="A10" s="534" t="str">
        <f t="shared" si="0"/>
        <v>INDEC-CM - 37440-21</v>
      </c>
      <c r="B10" s="534">
        <v>37440</v>
      </c>
      <c r="C10" s="534" t="s">
        <v>44</v>
      </c>
      <c r="D10" s="534">
        <v>21</v>
      </c>
      <c r="E10" s="533" t="s">
        <v>49</v>
      </c>
    </row>
    <row r="11" spans="1:7">
      <c r="A11" s="534" t="str">
        <f t="shared" si="0"/>
        <v>INDEC-CM - 38130-13</v>
      </c>
      <c r="B11" s="534">
        <v>38130</v>
      </c>
      <c r="C11" s="534" t="s">
        <v>44</v>
      </c>
      <c r="D11" s="534">
        <v>13</v>
      </c>
      <c r="E11" s="538" t="s">
        <v>50</v>
      </c>
      <c r="F11" s="538"/>
      <c r="G11" s="538"/>
    </row>
    <row r="12" spans="1:7">
      <c r="A12" s="534" t="str">
        <f t="shared" si="0"/>
        <v>INDEC-CM - 38130-12</v>
      </c>
      <c r="B12" s="534">
        <v>38130</v>
      </c>
      <c r="C12" s="534" t="s">
        <v>44</v>
      </c>
      <c r="D12" s="534">
        <v>12</v>
      </c>
      <c r="E12" s="538" t="s">
        <v>51</v>
      </c>
      <c r="F12" s="538"/>
      <c r="G12" s="538"/>
    </row>
    <row r="13" spans="1:7">
      <c r="A13" s="534" t="str">
        <f t="shared" si="0"/>
        <v>INDEC-CM - 38130-11</v>
      </c>
      <c r="B13" s="534">
        <v>38130</v>
      </c>
      <c r="C13" s="534" t="s">
        <v>44</v>
      </c>
      <c r="D13" s="534">
        <v>11</v>
      </c>
      <c r="E13" s="538" t="s">
        <v>52</v>
      </c>
      <c r="F13" s="538"/>
      <c r="G13" s="538"/>
    </row>
    <row r="14" spans="1:7">
      <c r="A14" s="534" t="str">
        <f t="shared" si="0"/>
        <v>INDEC-CM - 27230-11</v>
      </c>
      <c r="B14" s="534">
        <v>27230</v>
      </c>
      <c r="C14" s="534" t="s">
        <v>44</v>
      </c>
      <c r="D14" s="534">
        <v>11</v>
      </c>
      <c r="E14" s="538" t="s">
        <v>53</v>
      </c>
      <c r="F14" s="538"/>
      <c r="G14" s="538"/>
    </row>
    <row r="15" spans="1:7">
      <c r="A15" s="534" t="str">
        <f t="shared" si="0"/>
        <v>INDEC-CM - 44821-11</v>
      </c>
      <c r="B15" s="534">
        <v>44821</v>
      </c>
      <c r="C15" s="534" t="s">
        <v>44</v>
      </c>
      <c r="D15" s="534">
        <v>11</v>
      </c>
      <c r="E15" s="533" t="s">
        <v>54</v>
      </c>
    </row>
    <row r="16" spans="1:7">
      <c r="A16" s="534" t="str">
        <f t="shared" si="0"/>
        <v>INDEC-CM - 37560-11</v>
      </c>
      <c r="B16" s="534">
        <v>37560</v>
      </c>
      <c r="C16" s="534" t="s">
        <v>44</v>
      </c>
      <c r="D16" s="534">
        <v>11</v>
      </c>
      <c r="E16" s="538" t="s">
        <v>55</v>
      </c>
      <c r="F16" s="538"/>
      <c r="G16" s="538"/>
    </row>
    <row r="17" spans="1:7">
      <c r="A17" s="534" t="str">
        <f t="shared" si="0"/>
        <v>INDEC-CM - 15400-11</v>
      </c>
      <c r="B17" s="534">
        <v>15400</v>
      </c>
      <c r="C17" s="534" t="s">
        <v>44</v>
      </c>
      <c r="D17" s="534">
        <v>11</v>
      </c>
      <c r="E17" s="538" t="s">
        <v>56</v>
      </c>
      <c r="F17" s="538"/>
      <c r="G17" s="538"/>
    </row>
    <row r="18" spans="1:7">
      <c r="A18" s="534" t="str">
        <f t="shared" si="0"/>
        <v>INDEC-CM - 15310-11</v>
      </c>
      <c r="B18" s="534">
        <v>15310</v>
      </c>
      <c r="C18" s="534" t="s">
        <v>44</v>
      </c>
      <c r="D18" s="534">
        <v>11</v>
      </c>
      <c r="E18" s="533" t="s">
        <v>57</v>
      </c>
    </row>
    <row r="19" spans="1:7">
      <c r="A19" s="534" t="str">
        <f t="shared" si="0"/>
        <v>INDEC-CM - 46531-11</v>
      </c>
      <c r="B19" s="534">
        <v>46531</v>
      </c>
      <c r="C19" s="534" t="s">
        <v>44</v>
      </c>
      <c r="D19" s="534">
        <v>11</v>
      </c>
      <c r="E19" s="538" t="s">
        <v>58</v>
      </c>
      <c r="F19" s="538"/>
      <c r="G19" s="538"/>
    </row>
    <row r="20" spans="1:7">
      <c r="A20" s="534" t="str">
        <f t="shared" si="0"/>
        <v>INDEC-CM - 43540-11</v>
      </c>
      <c r="B20" s="534">
        <v>43540</v>
      </c>
      <c r="C20" s="534" t="s">
        <v>44</v>
      </c>
      <c r="D20" s="534">
        <v>11</v>
      </c>
      <c r="E20" s="533" t="s">
        <v>59</v>
      </c>
    </row>
    <row r="21" spans="1:7">
      <c r="A21" s="534" t="str">
        <f t="shared" si="0"/>
        <v>INDEC-CM - 43540-12</v>
      </c>
      <c r="B21" s="534">
        <v>43540</v>
      </c>
      <c r="C21" s="534" t="s">
        <v>44</v>
      </c>
      <c r="D21" s="534">
        <v>12</v>
      </c>
      <c r="E21" s="533" t="s">
        <v>60</v>
      </c>
    </row>
    <row r="22" spans="1:7">
      <c r="A22" s="539" t="str">
        <f t="shared" si="0"/>
        <v>INDEC-CM - 37370-21</v>
      </c>
      <c r="B22" s="539">
        <v>37370</v>
      </c>
      <c r="C22" s="539" t="s">
        <v>44</v>
      </c>
      <c r="D22" s="539">
        <v>21</v>
      </c>
      <c r="E22" s="540" t="s">
        <v>61</v>
      </c>
      <c r="F22" s="533" t="s">
        <v>2037</v>
      </c>
    </row>
    <row r="23" spans="1:7">
      <c r="A23" s="539" t="str">
        <f t="shared" si="0"/>
        <v>INDEC-CM - 37370-11</v>
      </c>
      <c r="B23" s="539">
        <v>37370</v>
      </c>
      <c r="C23" s="539" t="s">
        <v>44</v>
      </c>
      <c r="D23" s="539">
        <v>11</v>
      </c>
      <c r="E23" s="540" t="s">
        <v>62</v>
      </c>
      <c r="F23" s="533" t="s">
        <v>2037</v>
      </c>
    </row>
    <row r="24" spans="1:7">
      <c r="A24" s="539" t="str">
        <f t="shared" si="0"/>
        <v>INDEC-CM - 37370-12</v>
      </c>
      <c r="B24" s="539">
        <v>37370</v>
      </c>
      <c r="C24" s="539" t="s">
        <v>44</v>
      </c>
      <c r="D24" s="539">
        <v>12</v>
      </c>
      <c r="E24" s="540" t="s">
        <v>63</v>
      </c>
      <c r="F24" s="533" t="s">
        <v>2037</v>
      </c>
    </row>
    <row r="25" spans="1:7">
      <c r="A25" s="534" t="str">
        <f t="shared" si="0"/>
        <v>INDEC-CM - 37690-11</v>
      </c>
      <c r="B25" s="534">
        <v>37690</v>
      </c>
      <c r="C25" s="534" t="s">
        <v>44</v>
      </c>
      <c r="D25" s="534">
        <v>11</v>
      </c>
      <c r="E25" s="533" t="s">
        <v>64</v>
      </c>
    </row>
    <row r="26" spans="1:7">
      <c r="A26" s="534" t="str">
        <f t="shared" si="0"/>
        <v>INDEC-CM - 42911-11</v>
      </c>
      <c r="B26" s="534">
        <v>42911</v>
      </c>
      <c r="C26" s="534" t="s">
        <v>44</v>
      </c>
      <c r="D26" s="534">
        <v>11</v>
      </c>
      <c r="E26" s="533" t="s">
        <v>65</v>
      </c>
    </row>
    <row r="27" spans="1:7">
      <c r="A27" s="534" t="str">
        <f t="shared" si="0"/>
        <v>INDEC-CM - 37129-11</v>
      </c>
      <c r="B27" s="534">
        <v>37129</v>
      </c>
      <c r="C27" s="534" t="s">
        <v>44</v>
      </c>
      <c r="D27" s="534">
        <v>11</v>
      </c>
      <c r="E27" s="533" t="s">
        <v>66</v>
      </c>
    </row>
    <row r="28" spans="1:7">
      <c r="A28" s="534" t="str">
        <f t="shared" si="0"/>
        <v>INDEC-CM - 35110-41</v>
      </c>
      <c r="B28" s="534">
        <v>35110</v>
      </c>
      <c r="C28" s="534" t="s">
        <v>44</v>
      </c>
      <c r="D28" s="534">
        <v>41</v>
      </c>
      <c r="E28" s="533" t="s">
        <v>67</v>
      </c>
    </row>
    <row r="29" spans="1:7">
      <c r="A29" s="534" t="str">
        <f t="shared" si="0"/>
        <v>INDEC-CM - 37210-23</v>
      </c>
      <c r="B29" s="534">
        <v>37210</v>
      </c>
      <c r="C29" s="534" t="s">
        <v>44</v>
      </c>
      <c r="D29" s="534">
        <v>23</v>
      </c>
      <c r="E29" s="533" t="s">
        <v>68</v>
      </c>
    </row>
    <row r="30" spans="1:7">
      <c r="A30" s="534" t="str">
        <f t="shared" si="0"/>
        <v>INDEC-CM - 37210-22</v>
      </c>
      <c r="B30" s="534">
        <v>37210</v>
      </c>
      <c r="C30" s="534" t="s">
        <v>44</v>
      </c>
      <c r="D30" s="534">
        <v>22</v>
      </c>
      <c r="E30" s="533" t="s">
        <v>69</v>
      </c>
    </row>
    <row r="31" spans="1:7">
      <c r="A31" s="534" t="str">
        <f t="shared" si="0"/>
        <v>INDEC-CM - 37210-21</v>
      </c>
      <c r="B31" s="534">
        <v>37210</v>
      </c>
      <c r="C31" s="534" t="s">
        <v>44</v>
      </c>
      <c r="D31" s="534">
        <v>21</v>
      </c>
      <c r="E31" s="533" t="s">
        <v>70</v>
      </c>
    </row>
    <row r="32" spans="1:7">
      <c r="A32" s="534" t="str">
        <f t="shared" si="0"/>
        <v>INDEC-CM - 41543-21</v>
      </c>
      <c r="B32" s="534">
        <v>41543</v>
      </c>
      <c r="C32" s="534" t="s">
        <v>44</v>
      </c>
      <c r="D32" s="534">
        <v>21</v>
      </c>
      <c r="E32" s="533" t="s">
        <v>71</v>
      </c>
    </row>
    <row r="33" spans="1:6">
      <c r="A33" s="534" t="str">
        <f t="shared" si="0"/>
        <v>INDEC-CM - 46340-31</v>
      </c>
      <c r="B33" s="534">
        <v>46340</v>
      </c>
      <c r="C33" s="534" t="s">
        <v>44</v>
      </c>
      <c r="D33" s="534">
        <v>31</v>
      </c>
      <c r="E33" s="533" t="s">
        <v>72</v>
      </c>
    </row>
    <row r="34" spans="1:6">
      <c r="A34" s="534" t="str">
        <f t="shared" si="0"/>
        <v>INDEC-CM - 46320-11</v>
      </c>
      <c r="B34" s="534">
        <v>46320</v>
      </c>
      <c r="C34" s="534" t="s">
        <v>44</v>
      </c>
      <c r="D34" s="534">
        <v>11</v>
      </c>
      <c r="E34" s="533" t="s">
        <v>73</v>
      </c>
    </row>
    <row r="35" spans="1:6">
      <c r="A35" s="534" t="str">
        <f t="shared" si="0"/>
        <v>INDEC-CM - 46340-11</v>
      </c>
      <c r="B35" s="534">
        <v>46340</v>
      </c>
      <c r="C35" s="534" t="s">
        <v>44</v>
      </c>
      <c r="D35" s="534">
        <v>11</v>
      </c>
      <c r="E35" s="533" t="s">
        <v>74</v>
      </c>
    </row>
    <row r="36" spans="1:6">
      <c r="A36" s="534" t="str">
        <f t="shared" si="0"/>
        <v>INDEC-CM - 46340-12</v>
      </c>
      <c r="B36" s="534">
        <v>46340</v>
      </c>
      <c r="C36" s="534" t="s">
        <v>44</v>
      </c>
      <c r="D36" s="534">
        <v>12</v>
      </c>
      <c r="E36" s="533" t="s">
        <v>75</v>
      </c>
    </row>
    <row r="37" spans="1:6">
      <c r="A37" s="534" t="str">
        <f t="shared" si="0"/>
        <v>INDEC-CM - 46340-21</v>
      </c>
      <c r="B37" s="534">
        <v>46340</v>
      </c>
      <c r="C37" s="534" t="s">
        <v>44</v>
      </c>
      <c r="D37" s="534">
        <v>21</v>
      </c>
      <c r="E37" s="533" t="s">
        <v>76</v>
      </c>
    </row>
    <row r="38" spans="1:6">
      <c r="A38" s="534" t="str">
        <f t="shared" si="0"/>
        <v>INDEC-CM - 46212-21</v>
      </c>
      <c r="B38" s="534">
        <v>46212</v>
      </c>
      <c r="C38" s="534" t="s">
        <v>44</v>
      </c>
      <c r="D38" s="534">
        <v>21</v>
      </c>
      <c r="E38" s="533" t="s">
        <v>77</v>
      </c>
    </row>
    <row r="39" spans="1:6">
      <c r="A39" s="534" t="str">
        <f t="shared" si="0"/>
        <v>INDEC-CM - 42999-23</v>
      </c>
      <c r="B39" s="534">
        <v>42999</v>
      </c>
      <c r="C39" s="534" t="s">
        <v>44</v>
      </c>
      <c r="D39" s="534">
        <v>23</v>
      </c>
      <c r="E39" s="533" t="s">
        <v>78</v>
      </c>
    </row>
    <row r="40" spans="1:6">
      <c r="A40" s="534" t="str">
        <f t="shared" si="0"/>
        <v>INDEC-CM - 42999-21</v>
      </c>
      <c r="B40" s="534">
        <v>42999</v>
      </c>
      <c r="C40" s="534" t="s">
        <v>44</v>
      </c>
      <c r="D40" s="534">
        <v>21</v>
      </c>
      <c r="E40" s="533" t="s">
        <v>79</v>
      </c>
    </row>
    <row r="41" spans="1:6">
      <c r="A41" s="534" t="str">
        <f t="shared" si="0"/>
        <v>INDEC-CM - 42999-31</v>
      </c>
      <c r="B41" s="534">
        <v>42999</v>
      </c>
      <c r="C41" s="534" t="s">
        <v>44</v>
      </c>
      <c r="D41" s="534">
        <v>31</v>
      </c>
      <c r="E41" s="533" t="s">
        <v>80</v>
      </c>
    </row>
    <row r="42" spans="1:6">
      <c r="A42" s="534" t="str">
        <f t="shared" si="0"/>
        <v>INDEC-CM - 42999-22</v>
      </c>
      <c r="B42" s="534">
        <v>42999</v>
      </c>
      <c r="C42" s="534" t="s">
        <v>44</v>
      </c>
      <c r="D42" s="534">
        <v>22</v>
      </c>
      <c r="E42" s="533" t="s">
        <v>81</v>
      </c>
    </row>
    <row r="43" spans="1:6">
      <c r="A43" s="539" t="str">
        <f t="shared" si="0"/>
        <v>INDEC-CM - 31600-63</v>
      </c>
      <c r="B43" s="539">
        <v>31600</v>
      </c>
      <c r="C43" s="539" t="s">
        <v>44</v>
      </c>
      <c r="D43" s="539">
        <v>63</v>
      </c>
      <c r="E43" s="540" t="s">
        <v>82</v>
      </c>
      <c r="F43" s="533" t="s">
        <v>2037</v>
      </c>
    </row>
    <row r="44" spans="1:6">
      <c r="A44" s="539" t="str">
        <f t="shared" si="0"/>
        <v>INDEC-CM - 31600-62</v>
      </c>
      <c r="B44" s="539">
        <v>31600</v>
      </c>
      <c r="C44" s="539" t="s">
        <v>44</v>
      </c>
      <c r="D44" s="539">
        <v>62</v>
      </c>
      <c r="E44" s="540" t="s">
        <v>83</v>
      </c>
      <c r="F44" s="533" t="s">
        <v>2037</v>
      </c>
    </row>
    <row r="45" spans="1:6">
      <c r="A45" s="539" t="str">
        <f t="shared" si="0"/>
        <v>INDEC-CM - 31600-61</v>
      </c>
      <c r="B45" s="539">
        <v>31600</v>
      </c>
      <c r="C45" s="539" t="s">
        <v>44</v>
      </c>
      <c r="D45" s="539">
        <v>61</v>
      </c>
      <c r="E45" s="540" t="s">
        <v>84</v>
      </c>
      <c r="F45" s="533" t="s">
        <v>2037</v>
      </c>
    </row>
    <row r="46" spans="1:6">
      <c r="A46" s="534" t="str">
        <f t="shared" si="0"/>
        <v>INDEC-CM - 37420-11</v>
      </c>
      <c r="B46" s="534">
        <v>37420</v>
      </c>
      <c r="C46" s="534" t="s">
        <v>44</v>
      </c>
      <c r="D46" s="534">
        <v>11</v>
      </c>
      <c r="E46" s="533" t="s">
        <v>85</v>
      </c>
    </row>
    <row r="47" spans="1:6">
      <c r="A47" s="534" t="str">
        <f t="shared" si="0"/>
        <v>INDEC-CM - 37420-12</v>
      </c>
      <c r="B47" s="534">
        <v>37420</v>
      </c>
      <c r="C47" s="534" t="s">
        <v>44</v>
      </c>
      <c r="D47" s="534">
        <v>12</v>
      </c>
      <c r="E47" s="533" t="s">
        <v>86</v>
      </c>
    </row>
    <row r="48" spans="1:6">
      <c r="A48" s="534" t="str">
        <f t="shared" si="0"/>
        <v>INDEC-CM - 44822-11</v>
      </c>
      <c r="B48" s="534">
        <v>44822</v>
      </c>
      <c r="C48" s="534" t="s">
        <v>44</v>
      </c>
      <c r="D48" s="534">
        <v>11</v>
      </c>
      <c r="E48" s="533" t="s">
        <v>87</v>
      </c>
    </row>
    <row r="49" spans="1:5">
      <c r="A49" s="534" t="str">
        <f t="shared" si="0"/>
        <v>INDEC-CM - 44826-11</v>
      </c>
      <c r="B49" s="534">
        <v>44826</v>
      </c>
      <c r="C49" s="534" t="s">
        <v>44</v>
      </c>
      <c r="D49" s="534">
        <v>11</v>
      </c>
      <c r="E49" s="533" t="s">
        <v>88</v>
      </c>
    </row>
    <row r="50" spans="1:5">
      <c r="A50" s="534" t="str">
        <f t="shared" si="0"/>
        <v>INDEC-CM - 44826-12</v>
      </c>
      <c r="B50" s="534">
        <v>44826</v>
      </c>
      <c r="C50" s="534" t="s">
        <v>44</v>
      </c>
      <c r="D50" s="534">
        <v>12</v>
      </c>
      <c r="E50" s="533" t="s">
        <v>89</v>
      </c>
    </row>
    <row r="51" spans="1:5">
      <c r="A51" s="534" t="str">
        <f t="shared" si="0"/>
        <v>INDEC-CM - 42911-21</v>
      </c>
      <c r="B51" s="534">
        <v>42911</v>
      </c>
      <c r="C51" s="534" t="s">
        <v>44</v>
      </c>
      <c r="D51" s="534">
        <v>21</v>
      </c>
      <c r="E51" s="533" t="s">
        <v>90</v>
      </c>
    </row>
    <row r="52" spans="1:5">
      <c r="A52" s="534" t="str">
        <f t="shared" si="0"/>
        <v>INDEC-CM - 41277-21</v>
      </c>
      <c r="B52" s="534">
        <v>41277</v>
      </c>
      <c r="C52" s="534" t="s">
        <v>44</v>
      </c>
      <c r="D52" s="534">
        <v>21</v>
      </c>
      <c r="E52" s="533" t="s">
        <v>91</v>
      </c>
    </row>
    <row r="53" spans="1:5">
      <c r="A53" s="534" t="str">
        <f t="shared" si="0"/>
        <v>INDEC-CM - 41277-11</v>
      </c>
      <c r="B53" s="534">
        <v>41277</v>
      </c>
      <c r="C53" s="534" t="s">
        <v>44</v>
      </c>
      <c r="D53" s="534">
        <v>11</v>
      </c>
      <c r="E53" s="533" t="s">
        <v>92</v>
      </c>
    </row>
    <row r="54" spans="1:5">
      <c r="A54" s="534" t="str">
        <f t="shared" si="0"/>
        <v>INDEC-CM - 41516-11</v>
      </c>
      <c r="B54" s="534">
        <v>41516</v>
      </c>
      <c r="C54" s="534" t="s">
        <v>44</v>
      </c>
      <c r="D54" s="534">
        <v>11</v>
      </c>
      <c r="E54" s="533" t="s">
        <v>93</v>
      </c>
    </row>
    <row r="55" spans="1:5">
      <c r="A55" s="534" t="str">
        <f t="shared" si="0"/>
        <v>INDEC-CM - 41516-12</v>
      </c>
      <c r="B55" s="534">
        <v>41516</v>
      </c>
      <c r="C55" s="534" t="s">
        <v>44</v>
      </c>
      <c r="D55" s="534">
        <v>12</v>
      </c>
      <c r="E55" s="533" t="s">
        <v>94</v>
      </c>
    </row>
    <row r="56" spans="1:5">
      <c r="A56" s="534" t="str">
        <f t="shared" si="0"/>
        <v>INDEC-CM - 41273-11</v>
      </c>
      <c r="B56" s="534">
        <v>41273</v>
      </c>
      <c r="C56" s="534" t="s">
        <v>44</v>
      </c>
      <c r="D56" s="534">
        <v>11</v>
      </c>
      <c r="E56" s="533" t="s">
        <v>95</v>
      </c>
    </row>
    <row r="57" spans="1:5">
      <c r="A57" s="534" t="str">
        <f t="shared" si="0"/>
        <v>INDEC-CM - 41273-12</v>
      </c>
      <c r="B57" s="534">
        <v>41273</v>
      </c>
      <c r="C57" s="534" t="s">
        <v>44</v>
      </c>
      <c r="D57" s="534">
        <v>12</v>
      </c>
      <c r="E57" s="533" t="s">
        <v>96</v>
      </c>
    </row>
    <row r="58" spans="1:5">
      <c r="A58" s="534" t="str">
        <f t="shared" si="0"/>
        <v>INDEC-CM - 41277-41</v>
      </c>
      <c r="B58" s="534">
        <v>41277</v>
      </c>
      <c r="C58" s="534" t="s">
        <v>44</v>
      </c>
      <c r="D58" s="534">
        <v>41</v>
      </c>
      <c r="E58" s="533" t="s">
        <v>97</v>
      </c>
    </row>
    <row r="59" spans="1:5">
      <c r="A59" s="534" t="str">
        <f t="shared" si="0"/>
        <v>INDEC-CM - 41277-31</v>
      </c>
      <c r="B59" s="534">
        <v>41277</v>
      </c>
      <c r="C59" s="534" t="s">
        <v>44</v>
      </c>
      <c r="D59" s="534">
        <v>31</v>
      </c>
      <c r="E59" s="533" t="s">
        <v>98</v>
      </c>
    </row>
    <row r="60" spans="1:5">
      <c r="A60" s="534" t="str">
        <f t="shared" si="0"/>
        <v>INDEC-CM - 41543-11</v>
      </c>
      <c r="B60" s="534">
        <v>41543</v>
      </c>
      <c r="C60" s="534" t="s">
        <v>44</v>
      </c>
      <c r="D60" s="534">
        <v>11</v>
      </c>
      <c r="E60" s="533" t="s">
        <v>99</v>
      </c>
    </row>
    <row r="61" spans="1:5">
      <c r="A61" s="534" t="str">
        <f t="shared" si="0"/>
        <v>INDEC-CM - 36320-21</v>
      </c>
      <c r="B61" s="534">
        <v>36320</v>
      </c>
      <c r="C61" s="534" t="s">
        <v>44</v>
      </c>
      <c r="D61" s="534">
        <v>21</v>
      </c>
      <c r="E61" s="533" t="s">
        <v>100</v>
      </c>
    </row>
    <row r="62" spans="1:5">
      <c r="A62" s="534" t="str">
        <f t="shared" si="0"/>
        <v>INDEC-CM - 36320-22</v>
      </c>
      <c r="B62" s="534">
        <v>36320</v>
      </c>
      <c r="C62" s="534" t="s">
        <v>44</v>
      </c>
      <c r="D62" s="534">
        <v>22</v>
      </c>
      <c r="E62" s="533" t="s">
        <v>101</v>
      </c>
    </row>
    <row r="63" spans="1:5">
      <c r="A63" s="534" t="str">
        <f t="shared" si="0"/>
        <v>INDEC-CM - 36320-11</v>
      </c>
      <c r="B63" s="534">
        <v>36320</v>
      </c>
      <c r="C63" s="534" t="s">
        <v>44</v>
      </c>
      <c r="D63" s="534">
        <v>11</v>
      </c>
      <c r="E63" s="533" t="s">
        <v>102</v>
      </c>
    </row>
    <row r="64" spans="1:5">
      <c r="A64" s="534" t="str">
        <f t="shared" si="0"/>
        <v>INDEC-CM - 36320-12</v>
      </c>
      <c r="B64" s="534">
        <v>36320</v>
      </c>
      <c r="C64" s="534" t="s">
        <v>44</v>
      </c>
      <c r="D64" s="534">
        <v>12</v>
      </c>
      <c r="E64" s="533" t="s">
        <v>103</v>
      </c>
    </row>
    <row r="65" spans="1:7">
      <c r="A65" s="534" t="str">
        <f t="shared" si="0"/>
        <v>INDEC-CM - 15320-11</v>
      </c>
      <c r="B65" s="534">
        <v>15320</v>
      </c>
      <c r="C65" s="534" t="s">
        <v>44</v>
      </c>
      <c r="D65" s="534">
        <v>11</v>
      </c>
      <c r="E65" s="533" t="s">
        <v>104</v>
      </c>
    </row>
    <row r="66" spans="1:7">
      <c r="A66" s="534" t="str">
        <f t="shared" si="0"/>
        <v>INDEC-CM - 37350-61</v>
      </c>
      <c r="B66" s="534">
        <v>37350</v>
      </c>
      <c r="C66" s="534" t="s">
        <v>44</v>
      </c>
      <c r="D66" s="534">
        <v>61</v>
      </c>
      <c r="E66" s="538" t="s">
        <v>105</v>
      </c>
      <c r="F66" s="538"/>
      <c r="G66" s="538"/>
    </row>
    <row r="67" spans="1:7">
      <c r="A67" s="534" t="str">
        <f t="shared" si="0"/>
        <v>INDEC-CM - 37440-31</v>
      </c>
      <c r="B67" s="534">
        <v>37440</v>
      </c>
      <c r="C67" s="534" t="s">
        <v>44</v>
      </c>
      <c r="D67" s="534">
        <v>31</v>
      </c>
      <c r="E67" s="533" t="s">
        <v>106</v>
      </c>
    </row>
    <row r="68" spans="1:7">
      <c r="A68" s="534" t="str">
        <f t="shared" si="0"/>
        <v>INDEC-CM - 37440-11</v>
      </c>
      <c r="B68" s="534">
        <v>37440</v>
      </c>
      <c r="C68" s="534" t="s">
        <v>44</v>
      </c>
      <c r="D68" s="534">
        <v>11</v>
      </c>
      <c r="E68" s="533" t="s">
        <v>107</v>
      </c>
    </row>
    <row r="69" spans="1:7">
      <c r="A69" s="534" t="str">
        <f t="shared" si="0"/>
        <v>INDEC-CM - 44821-21</v>
      </c>
      <c r="B69" s="534">
        <v>44821</v>
      </c>
      <c r="C69" s="534" t="s">
        <v>44</v>
      </c>
      <c r="D69" s="534">
        <v>21</v>
      </c>
      <c r="E69" s="533" t="s">
        <v>108</v>
      </c>
    </row>
    <row r="70" spans="1:7">
      <c r="A70" s="534" t="str">
        <f t="shared" ref="A70:A133" si="1">CONCATENATE("INDEC-CM - ",B70,C70,D70)</f>
        <v>INDEC-CM - 36320-31</v>
      </c>
      <c r="B70" s="534">
        <v>36320</v>
      </c>
      <c r="C70" s="534" t="s">
        <v>44</v>
      </c>
      <c r="D70" s="534">
        <v>31</v>
      </c>
      <c r="E70" s="533" t="s">
        <v>109</v>
      </c>
    </row>
    <row r="71" spans="1:7">
      <c r="A71" s="534" t="str">
        <f t="shared" si="1"/>
        <v>INDEC-CM - 41278-12</v>
      </c>
      <c r="B71" s="534">
        <v>41278</v>
      </c>
      <c r="C71" s="534" t="s">
        <v>44</v>
      </c>
      <c r="D71" s="534">
        <v>12</v>
      </c>
      <c r="E71" s="538" t="s">
        <v>110</v>
      </c>
      <c r="F71" s="538"/>
      <c r="G71" s="538"/>
    </row>
    <row r="72" spans="1:7">
      <c r="A72" s="534" t="str">
        <f t="shared" si="1"/>
        <v>INDEC-CM - 41278-11</v>
      </c>
      <c r="B72" s="534">
        <v>41278</v>
      </c>
      <c r="C72" s="534" t="s">
        <v>44</v>
      </c>
      <c r="D72" s="534">
        <v>11</v>
      </c>
      <c r="E72" s="538" t="s">
        <v>111</v>
      </c>
      <c r="F72" s="538"/>
      <c r="G72" s="538"/>
    </row>
    <row r="73" spans="1:7">
      <c r="A73" s="534" t="str">
        <f t="shared" si="1"/>
        <v>INDEC-CM - 36320-41</v>
      </c>
      <c r="B73" s="534">
        <v>36320</v>
      </c>
      <c r="C73" s="534" t="s">
        <v>44</v>
      </c>
      <c r="D73" s="534">
        <v>41</v>
      </c>
      <c r="E73" s="533" t="s">
        <v>112</v>
      </c>
    </row>
    <row r="74" spans="1:7">
      <c r="A74" s="534" t="str">
        <f t="shared" si="1"/>
        <v>INDEC-CM - 41516-21</v>
      </c>
      <c r="B74" s="534">
        <v>41516</v>
      </c>
      <c r="C74" s="534" t="s">
        <v>44</v>
      </c>
      <c r="D74" s="534">
        <v>21</v>
      </c>
      <c r="E74" s="533" t="s">
        <v>113</v>
      </c>
    </row>
    <row r="75" spans="1:7">
      <c r="A75" s="539" t="str">
        <f t="shared" si="1"/>
        <v>INDEC-CM - 41278-22</v>
      </c>
      <c r="B75" s="539">
        <v>41278</v>
      </c>
      <c r="C75" s="539" t="s">
        <v>44</v>
      </c>
      <c r="D75" s="539">
        <v>22</v>
      </c>
      <c r="E75" s="541" t="s">
        <v>114</v>
      </c>
      <c r="F75" s="533" t="s">
        <v>2037</v>
      </c>
    </row>
    <row r="76" spans="1:7">
      <c r="A76" s="534" t="str">
        <f t="shared" si="1"/>
        <v>INDEC-CM - 46350-11</v>
      </c>
      <c r="B76" s="534">
        <v>46350</v>
      </c>
      <c r="C76" s="534" t="s">
        <v>44</v>
      </c>
      <c r="D76" s="534">
        <v>11</v>
      </c>
      <c r="E76" s="533" t="s">
        <v>115</v>
      </c>
    </row>
    <row r="77" spans="1:7">
      <c r="A77" s="534" t="str">
        <f t="shared" si="1"/>
        <v>INDEC-CM - 41278-41</v>
      </c>
      <c r="B77" s="534">
        <v>41278</v>
      </c>
      <c r="C77" s="534" t="s">
        <v>44</v>
      </c>
      <c r="D77" s="534">
        <v>41</v>
      </c>
      <c r="E77" s="538" t="s">
        <v>116</v>
      </c>
      <c r="F77" s="538"/>
      <c r="G77" s="538"/>
    </row>
    <row r="78" spans="1:7">
      <c r="A78" s="534" t="str">
        <f t="shared" si="1"/>
        <v>INDEC-CM - 42999-11</v>
      </c>
      <c r="B78" s="534">
        <v>42999</v>
      </c>
      <c r="C78" s="534" t="s">
        <v>44</v>
      </c>
      <c r="D78" s="534">
        <v>11</v>
      </c>
      <c r="E78" s="533" t="s">
        <v>117</v>
      </c>
    </row>
    <row r="79" spans="1:7">
      <c r="A79" s="534" t="str">
        <f t="shared" si="1"/>
        <v>INDEC-CM - 36320-51</v>
      </c>
      <c r="B79" s="534">
        <v>36320</v>
      </c>
      <c r="C79" s="534" t="s">
        <v>44</v>
      </c>
      <c r="D79" s="534">
        <v>51</v>
      </c>
      <c r="E79" s="533" t="s">
        <v>118</v>
      </c>
    </row>
    <row r="80" spans="1:7">
      <c r="A80" s="534" t="str">
        <f t="shared" si="1"/>
        <v>INDEC-CM - 31600-12</v>
      </c>
      <c r="B80" s="534">
        <v>31600</v>
      </c>
      <c r="C80" s="534" t="s">
        <v>44</v>
      </c>
      <c r="D80" s="534">
        <v>12</v>
      </c>
      <c r="E80" s="533" t="s">
        <v>119</v>
      </c>
    </row>
    <row r="81" spans="1:7">
      <c r="A81" s="534" t="str">
        <f t="shared" si="1"/>
        <v>INDEC-CM - 36950-11</v>
      </c>
      <c r="B81" s="534">
        <v>36950</v>
      </c>
      <c r="C81" s="534" t="s">
        <v>44</v>
      </c>
      <c r="D81" s="534">
        <v>11</v>
      </c>
      <c r="E81" s="533" t="s">
        <v>120</v>
      </c>
    </row>
    <row r="82" spans="1:7">
      <c r="A82" s="534" t="str">
        <f t="shared" si="1"/>
        <v>INDEC-CM - 31600-11</v>
      </c>
      <c r="B82" s="534">
        <v>31600</v>
      </c>
      <c r="C82" s="534" t="s">
        <v>44</v>
      </c>
      <c r="D82" s="534">
        <v>11</v>
      </c>
      <c r="E82" s="533" t="s">
        <v>121</v>
      </c>
    </row>
    <row r="83" spans="1:7">
      <c r="A83" s="534" t="str">
        <f t="shared" si="1"/>
        <v>INDEC-CM - 37112-11</v>
      </c>
      <c r="B83" s="534">
        <v>37112</v>
      </c>
      <c r="C83" s="534" t="s">
        <v>44</v>
      </c>
      <c r="D83" s="534">
        <v>11</v>
      </c>
      <c r="E83" s="533" t="s">
        <v>122</v>
      </c>
    </row>
    <row r="84" spans="1:7">
      <c r="A84" s="534" t="str">
        <f t="shared" si="1"/>
        <v>INDEC-CM - 41278-31</v>
      </c>
      <c r="B84" s="534">
        <v>41278</v>
      </c>
      <c r="C84" s="534" t="s">
        <v>44</v>
      </c>
      <c r="D84" s="534">
        <v>31</v>
      </c>
      <c r="E84" s="538" t="s">
        <v>123</v>
      </c>
      <c r="F84" s="538"/>
      <c r="G84" s="538"/>
    </row>
    <row r="85" spans="1:7">
      <c r="A85" s="534" t="str">
        <f t="shared" si="1"/>
        <v>INDEC-CM - 41278-13</v>
      </c>
      <c r="B85" s="534">
        <v>41278</v>
      </c>
      <c r="C85" s="534" t="s">
        <v>44</v>
      </c>
      <c r="D85" s="534">
        <v>13</v>
      </c>
      <c r="E85" s="538" t="s">
        <v>124</v>
      </c>
      <c r="F85" s="538"/>
      <c r="G85" s="538"/>
    </row>
    <row r="86" spans="1:7">
      <c r="A86" s="534" t="str">
        <f t="shared" si="1"/>
        <v>INDEC-CM - 37570-11</v>
      </c>
      <c r="B86" s="534">
        <v>37570</v>
      </c>
      <c r="C86" s="534" t="s">
        <v>44</v>
      </c>
      <c r="D86" s="534">
        <v>11</v>
      </c>
      <c r="E86" s="538" t="s">
        <v>125</v>
      </c>
      <c r="F86" s="538"/>
      <c r="G86" s="538"/>
    </row>
    <row r="87" spans="1:7">
      <c r="A87" s="534" t="str">
        <f t="shared" si="1"/>
        <v>INDEC-CM - 43220-11</v>
      </c>
      <c r="B87" s="534">
        <v>43220</v>
      </c>
      <c r="C87" s="534" t="s">
        <v>44</v>
      </c>
      <c r="D87" s="534">
        <v>11</v>
      </c>
      <c r="E87" s="533" t="s">
        <v>126</v>
      </c>
    </row>
    <row r="88" spans="1:7">
      <c r="A88" s="534" t="str">
        <f t="shared" si="1"/>
        <v>INDEC-CM - 43220-12</v>
      </c>
      <c r="B88" s="534">
        <v>43220</v>
      </c>
      <c r="C88" s="534" t="s">
        <v>44</v>
      </c>
      <c r="D88" s="534">
        <v>12</v>
      </c>
      <c r="E88" s="533" t="s">
        <v>127</v>
      </c>
    </row>
    <row r="89" spans="1:7">
      <c r="A89" s="534" t="str">
        <f t="shared" si="1"/>
        <v>INDEC-CM - 43220-21</v>
      </c>
      <c r="B89" s="534">
        <v>43220</v>
      </c>
      <c r="C89" s="534" t="s">
        <v>44</v>
      </c>
      <c r="D89" s="534">
        <v>21</v>
      </c>
      <c r="E89" s="533" t="s">
        <v>128</v>
      </c>
    </row>
    <row r="90" spans="1:7">
      <c r="A90" s="534" t="str">
        <f t="shared" si="1"/>
        <v>INDEC-CM - 43220-22</v>
      </c>
      <c r="B90" s="534">
        <v>43220</v>
      </c>
      <c r="C90" s="534" t="s">
        <v>44</v>
      </c>
      <c r="D90" s="534">
        <v>22</v>
      </c>
      <c r="E90" s="533" t="s">
        <v>129</v>
      </c>
    </row>
    <row r="91" spans="1:7">
      <c r="A91" s="534" t="str">
        <f t="shared" si="1"/>
        <v>INDEC-CM - 43220-23</v>
      </c>
      <c r="B91" s="534">
        <v>43220</v>
      </c>
      <c r="C91" s="534" t="s">
        <v>44</v>
      </c>
      <c r="D91" s="534">
        <v>23</v>
      </c>
      <c r="E91" s="533" t="s">
        <v>130</v>
      </c>
    </row>
    <row r="92" spans="1:7">
      <c r="A92" s="534" t="str">
        <f t="shared" si="1"/>
        <v>INDEC-CM - 43220-31</v>
      </c>
      <c r="B92" s="534">
        <v>43220</v>
      </c>
      <c r="C92" s="534" t="s">
        <v>44</v>
      </c>
      <c r="D92" s="534">
        <v>31</v>
      </c>
      <c r="E92" s="533" t="s">
        <v>131</v>
      </c>
    </row>
    <row r="93" spans="1:7">
      <c r="A93" s="534" t="str">
        <f t="shared" si="1"/>
        <v>INDEC-CM - 43220-32</v>
      </c>
      <c r="B93" s="534">
        <v>43220</v>
      </c>
      <c r="C93" s="534" t="s">
        <v>44</v>
      </c>
      <c r="D93" s="534">
        <v>32</v>
      </c>
      <c r="E93" s="533" t="s">
        <v>132</v>
      </c>
    </row>
    <row r="94" spans="1:7">
      <c r="A94" s="534" t="str">
        <f t="shared" si="1"/>
        <v>INDEC-CM - 41278-32</v>
      </c>
      <c r="B94" s="534">
        <v>41278</v>
      </c>
      <c r="C94" s="534" t="s">
        <v>44</v>
      </c>
      <c r="D94" s="534">
        <v>32</v>
      </c>
      <c r="E94" s="538" t="s">
        <v>133</v>
      </c>
      <c r="F94" s="538"/>
      <c r="G94" s="538"/>
    </row>
    <row r="95" spans="1:7">
      <c r="A95" s="534" t="str">
        <f t="shared" si="1"/>
        <v>INDEC-CM - 36320-32</v>
      </c>
      <c r="B95" s="534">
        <v>36320</v>
      </c>
      <c r="C95" s="534" t="s">
        <v>44</v>
      </c>
      <c r="D95" s="534">
        <v>32</v>
      </c>
      <c r="E95" s="533" t="s">
        <v>134</v>
      </c>
    </row>
    <row r="96" spans="1:7">
      <c r="A96" s="539" t="str">
        <f t="shared" si="1"/>
        <v>INDEC-CM - 41278-23</v>
      </c>
      <c r="B96" s="539">
        <v>41278</v>
      </c>
      <c r="C96" s="539" t="s">
        <v>44</v>
      </c>
      <c r="D96" s="539">
        <v>23</v>
      </c>
      <c r="E96" s="541" t="s">
        <v>135</v>
      </c>
      <c r="F96" s="533" t="s">
        <v>2037</v>
      </c>
    </row>
    <row r="97" spans="1:6">
      <c r="A97" s="534" t="str">
        <f t="shared" si="1"/>
        <v>INDEC-CM - 35110-11</v>
      </c>
      <c r="B97" s="534">
        <v>35110</v>
      </c>
      <c r="C97" s="534" t="s">
        <v>44</v>
      </c>
      <c r="D97" s="534">
        <v>11</v>
      </c>
      <c r="E97" s="533" t="s">
        <v>136</v>
      </c>
    </row>
    <row r="98" spans="1:6">
      <c r="A98" s="534" t="str">
        <f t="shared" si="1"/>
        <v>INDEC-CM - 35110-12</v>
      </c>
      <c r="B98" s="534">
        <v>35110</v>
      </c>
      <c r="C98" s="534" t="s">
        <v>44</v>
      </c>
      <c r="D98" s="534">
        <v>12</v>
      </c>
      <c r="E98" s="533" t="s">
        <v>137</v>
      </c>
    </row>
    <row r="99" spans="1:6">
      <c r="A99" s="534" t="str">
        <f t="shared" si="1"/>
        <v>INDEC-CM - 35110-21</v>
      </c>
      <c r="B99" s="534">
        <v>35110</v>
      </c>
      <c r="C99" s="534" t="s">
        <v>44</v>
      </c>
      <c r="D99" s="534">
        <v>21</v>
      </c>
      <c r="E99" s="533" t="s">
        <v>138</v>
      </c>
    </row>
    <row r="100" spans="1:6">
      <c r="A100" s="534" t="str">
        <f t="shared" si="1"/>
        <v>INDEC-CM - 35110-22</v>
      </c>
      <c r="B100" s="534">
        <v>35110</v>
      </c>
      <c r="C100" s="534" t="s">
        <v>44</v>
      </c>
      <c r="D100" s="534">
        <v>22</v>
      </c>
      <c r="E100" s="533" t="s">
        <v>139</v>
      </c>
    </row>
    <row r="101" spans="1:6">
      <c r="A101" s="534" t="str">
        <f t="shared" si="1"/>
        <v>INDEC-CM - 41547-11</v>
      </c>
      <c r="B101" s="534">
        <v>41547</v>
      </c>
      <c r="C101" s="534" t="s">
        <v>44</v>
      </c>
      <c r="D101" s="534">
        <v>11</v>
      </c>
      <c r="E101" s="533" t="s">
        <v>140</v>
      </c>
    </row>
    <row r="102" spans="1:6">
      <c r="A102" s="539" t="str">
        <f t="shared" si="1"/>
        <v>INDEC-CM - 31600-73</v>
      </c>
      <c r="B102" s="539">
        <v>31600</v>
      </c>
      <c r="C102" s="539" t="s">
        <v>44</v>
      </c>
      <c r="D102" s="539">
        <v>73</v>
      </c>
      <c r="E102" s="540" t="s">
        <v>141</v>
      </c>
      <c r="F102" s="533" t="s">
        <v>2037</v>
      </c>
    </row>
    <row r="103" spans="1:6">
      <c r="A103" s="539" t="str">
        <f t="shared" si="1"/>
        <v>INDEC-CM - 31600-72</v>
      </c>
      <c r="B103" s="539">
        <v>31600</v>
      </c>
      <c r="C103" s="539" t="s">
        <v>44</v>
      </c>
      <c r="D103" s="539">
        <v>72</v>
      </c>
      <c r="E103" s="540" t="s">
        <v>142</v>
      </c>
      <c r="F103" s="533" t="s">
        <v>2037</v>
      </c>
    </row>
    <row r="104" spans="1:6">
      <c r="A104" s="539" t="str">
        <f t="shared" si="1"/>
        <v>INDEC-CM - 31600-71</v>
      </c>
      <c r="B104" s="539">
        <v>31600</v>
      </c>
      <c r="C104" s="539" t="s">
        <v>44</v>
      </c>
      <c r="D104" s="539">
        <v>71</v>
      </c>
      <c r="E104" s="540" t="s">
        <v>143</v>
      </c>
      <c r="F104" s="533" t="s">
        <v>2037</v>
      </c>
    </row>
    <row r="105" spans="1:6">
      <c r="A105" s="534" t="str">
        <f t="shared" si="1"/>
        <v>INDEC-CM - 35110-61</v>
      </c>
      <c r="B105" s="534">
        <v>35110</v>
      </c>
      <c r="C105" s="534" t="s">
        <v>44</v>
      </c>
      <c r="D105" s="534">
        <v>61</v>
      </c>
      <c r="E105" s="533" t="s">
        <v>144</v>
      </c>
    </row>
    <row r="106" spans="1:6">
      <c r="A106" s="534" t="str">
        <f t="shared" si="1"/>
        <v>INDEC-CM - 31600-53</v>
      </c>
      <c r="B106" s="534">
        <v>31600</v>
      </c>
      <c r="C106" s="534" t="s">
        <v>44</v>
      </c>
      <c r="D106" s="534">
        <v>53</v>
      </c>
      <c r="E106" s="533" t="s">
        <v>145</v>
      </c>
    </row>
    <row r="107" spans="1:6">
      <c r="A107" s="534" t="str">
        <f t="shared" si="1"/>
        <v>INDEC-CM - 31600-51</v>
      </c>
      <c r="B107" s="534">
        <v>31600</v>
      </c>
      <c r="C107" s="534" t="s">
        <v>44</v>
      </c>
      <c r="D107" s="534">
        <v>51</v>
      </c>
      <c r="E107" s="533" t="s">
        <v>146</v>
      </c>
    </row>
    <row r="108" spans="1:6">
      <c r="A108" s="534" t="str">
        <f t="shared" si="1"/>
        <v>INDEC-CM - 37550-21</v>
      </c>
      <c r="B108" s="534">
        <v>37550</v>
      </c>
      <c r="C108" s="534" t="s">
        <v>44</v>
      </c>
      <c r="D108" s="534">
        <v>21</v>
      </c>
      <c r="E108" s="533" t="s">
        <v>147</v>
      </c>
    </row>
    <row r="109" spans="1:6">
      <c r="A109" s="534" t="str">
        <f t="shared" si="1"/>
        <v>INDEC-CM - 42999-41</v>
      </c>
      <c r="B109" s="534">
        <v>42999</v>
      </c>
      <c r="C109" s="534" t="s">
        <v>44</v>
      </c>
      <c r="D109" s="534">
        <v>41</v>
      </c>
      <c r="E109" s="533" t="s">
        <v>148</v>
      </c>
    </row>
    <row r="110" spans="1:6">
      <c r="A110" s="534" t="str">
        <f t="shared" si="1"/>
        <v>INDEC-CM - 42911-53</v>
      </c>
      <c r="B110" s="534">
        <v>42911</v>
      </c>
      <c r="C110" s="534" t="s">
        <v>44</v>
      </c>
      <c r="D110" s="534">
        <v>53</v>
      </c>
      <c r="E110" s="533" t="s">
        <v>149</v>
      </c>
    </row>
    <row r="111" spans="1:6">
      <c r="A111" s="534" t="str">
        <f t="shared" si="1"/>
        <v>INDEC-CM - 42911-52</v>
      </c>
      <c r="B111" s="534">
        <v>42911</v>
      </c>
      <c r="C111" s="534" t="s">
        <v>44</v>
      </c>
      <c r="D111" s="534">
        <v>52</v>
      </c>
      <c r="E111" s="533" t="s">
        <v>150</v>
      </c>
    </row>
    <row r="112" spans="1:6">
      <c r="A112" s="534" t="str">
        <f t="shared" si="1"/>
        <v>INDEC-CM - 42911-51</v>
      </c>
      <c r="B112" s="534">
        <v>42911</v>
      </c>
      <c r="C112" s="534" t="s">
        <v>44</v>
      </c>
      <c r="D112" s="534">
        <v>51</v>
      </c>
      <c r="E112" s="533" t="s">
        <v>151</v>
      </c>
    </row>
    <row r="113" spans="1:7">
      <c r="A113" s="534" t="str">
        <f t="shared" si="1"/>
        <v>INDEC-CM - 42911-43</v>
      </c>
      <c r="B113" s="534">
        <v>42911</v>
      </c>
      <c r="C113" s="534" t="s">
        <v>44</v>
      </c>
      <c r="D113" s="534">
        <v>43</v>
      </c>
      <c r="E113" s="533" t="s">
        <v>152</v>
      </c>
    </row>
    <row r="114" spans="1:7">
      <c r="A114" s="534" t="str">
        <f t="shared" si="1"/>
        <v>INDEC-CM - 42911-42</v>
      </c>
      <c r="B114" s="534">
        <v>42911</v>
      </c>
      <c r="C114" s="534" t="s">
        <v>44</v>
      </c>
      <c r="D114" s="534">
        <v>42</v>
      </c>
      <c r="E114" s="533" t="s">
        <v>153</v>
      </c>
    </row>
    <row r="115" spans="1:7">
      <c r="A115" s="534" t="str">
        <f t="shared" si="1"/>
        <v>INDEC-CM - 42911-41</v>
      </c>
      <c r="B115" s="534">
        <v>42911</v>
      </c>
      <c r="C115" s="534" t="s">
        <v>44</v>
      </c>
      <c r="D115" s="534">
        <v>41</v>
      </c>
      <c r="E115" s="533" t="s">
        <v>154</v>
      </c>
    </row>
    <row r="116" spans="1:7">
      <c r="A116" s="534" t="str">
        <f t="shared" si="1"/>
        <v>INDEC-CM - 42911-56</v>
      </c>
      <c r="B116" s="534">
        <v>42911</v>
      </c>
      <c r="C116" s="534" t="s">
        <v>44</v>
      </c>
      <c r="D116" s="534">
        <v>56</v>
      </c>
      <c r="E116" s="533" t="s">
        <v>155</v>
      </c>
    </row>
    <row r="117" spans="1:7">
      <c r="A117" s="534" t="str">
        <f t="shared" si="1"/>
        <v>INDEC-CM - 42911-55</v>
      </c>
      <c r="B117" s="534">
        <v>42911</v>
      </c>
      <c r="C117" s="534" t="s">
        <v>44</v>
      </c>
      <c r="D117" s="534">
        <v>55</v>
      </c>
      <c r="E117" s="533" t="s">
        <v>156</v>
      </c>
    </row>
    <row r="118" spans="1:7">
      <c r="A118" s="534" t="str">
        <f t="shared" si="1"/>
        <v>INDEC-CM - 42911-54</v>
      </c>
      <c r="B118" s="534">
        <v>42911</v>
      </c>
      <c r="C118" s="534" t="s">
        <v>44</v>
      </c>
      <c r="D118" s="534">
        <v>54</v>
      </c>
      <c r="E118" s="533" t="s">
        <v>157</v>
      </c>
    </row>
    <row r="119" spans="1:7">
      <c r="A119" s="534" t="str">
        <f t="shared" si="1"/>
        <v>INDEC-CM - 42911-32</v>
      </c>
      <c r="B119" s="534">
        <v>42911</v>
      </c>
      <c r="C119" s="534" t="s">
        <v>44</v>
      </c>
      <c r="D119" s="534">
        <v>32</v>
      </c>
      <c r="E119" s="533" t="s">
        <v>158</v>
      </c>
    </row>
    <row r="120" spans="1:7">
      <c r="A120" s="534" t="str">
        <f t="shared" si="1"/>
        <v>INDEC-CM - 42911-31</v>
      </c>
      <c r="B120" s="534">
        <v>42911</v>
      </c>
      <c r="C120" s="534" t="s">
        <v>44</v>
      </c>
      <c r="D120" s="534">
        <v>31</v>
      </c>
      <c r="E120" s="533" t="s">
        <v>159</v>
      </c>
    </row>
    <row r="121" spans="1:7">
      <c r="A121" s="534" t="str">
        <f t="shared" si="1"/>
        <v>INDEC-CM - 42911-59</v>
      </c>
      <c r="B121" s="534">
        <v>42911</v>
      </c>
      <c r="C121" s="534" t="s">
        <v>44</v>
      </c>
      <c r="D121" s="534">
        <v>59</v>
      </c>
      <c r="E121" s="533" t="s">
        <v>160</v>
      </c>
    </row>
    <row r="122" spans="1:7">
      <c r="A122" s="534" t="str">
        <f t="shared" si="1"/>
        <v>INDEC-CM - 42911-58</v>
      </c>
      <c r="B122" s="534">
        <v>42911</v>
      </c>
      <c r="C122" s="534" t="s">
        <v>44</v>
      </c>
      <c r="D122" s="534">
        <v>58</v>
      </c>
      <c r="E122" s="538" t="s">
        <v>161</v>
      </c>
      <c r="F122" s="538"/>
      <c r="G122" s="538"/>
    </row>
    <row r="123" spans="1:7">
      <c r="A123" s="534" t="str">
        <f t="shared" si="1"/>
        <v>INDEC-CM - 42911-57</v>
      </c>
      <c r="B123" s="534">
        <v>42911</v>
      </c>
      <c r="C123" s="534" t="s">
        <v>44</v>
      </c>
      <c r="D123" s="534">
        <v>57</v>
      </c>
      <c r="E123" s="538" t="s">
        <v>162</v>
      </c>
      <c r="F123" s="538"/>
      <c r="G123" s="538"/>
    </row>
    <row r="124" spans="1:7">
      <c r="A124" s="534" t="str">
        <f t="shared" si="1"/>
        <v>INDEC-CM - 43923-21</v>
      </c>
      <c r="B124" s="534">
        <v>43923</v>
      </c>
      <c r="C124" s="534" t="s">
        <v>44</v>
      </c>
      <c r="D124" s="534">
        <v>21</v>
      </c>
      <c r="E124" s="538" t="s">
        <v>163</v>
      </c>
      <c r="F124" s="538"/>
      <c r="G124" s="538"/>
    </row>
    <row r="125" spans="1:7">
      <c r="A125" s="534" t="str">
        <f t="shared" si="1"/>
        <v>INDEC-CM - 37510-11</v>
      </c>
      <c r="B125" s="534">
        <v>37510</v>
      </c>
      <c r="C125" s="534" t="s">
        <v>44</v>
      </c>
      <c r="D125" s="534">
        <v>11</v>
      </c>
      <c r="E125" s="533" t="s">
        <v>164</v>
      </c>
    </row>
    <row r="126" spans="1:7">
      <c r="A126" s="534" t="str">
        <f t="shared" si="1"/>
        <v>INDEC-CM - 44821-31</v>
      </c>
      <c r="B126" s="534">
        <v>44821</v>
      </c>
      <c r="C126" s="534" t="s">
        <v>44</v>
      </c>
      <c r="D126" s="534">
        <v>31</v>
      </c>
      <c r="E126" s="533" t="s">
        <v>165</v>
      </c>
    </row>
    <row r="127" spans="1:7">
      <c r="A127" s="534" t="str">
        <f t="shared" si="1"/>
        <v>INDEC-CM - 46531-12</v>
      </c>
      <c r="B127" s="534">
        <v>46531</v>
      </c>
      <c r="C127" s="534" t="s">
        <v>44</v>
      </c>
      <c r="D127" s="534">
        <v>12</v>
      </c>
      <c r="E127" s="538" t="s">
        <v>166</v>
      </c>
      <c r="F127" s="538"/>
      <c r="G127" s="538"/>
    </row>
    <row r="128" spans="1:7">
      <c r="A128" s="534" t="str">
        <f t="shared" si="1"/>
        <v>INDEC-CM - 37210-13</v>
      </c>
      <c r="B128" s="534">
        <v>37210</v>
      </c>
      <c r="C128" s="534" t="s">
        <v>44</v>
      </c>
      <c r="D128" s="534">
        <v>13</v>
      </c>
      <c r="E128" s="533" t="s">
        <v>167</v>
      </c>
    </row>
    <row r="129" spans="1:7">
      <c r="A129" s="534" t="str">
        <f t="shared" si="1"/>
        <v>INDEC-CM - 37210-12</v>
      </c>
      <c r="B129" s="534">
        <v>37210</v>
      </c>
      <c r="C129" s="534" t="s">
        <v>44</v>
      </c>
      <c r="D129" s="534">
        <v>12</v>
      </c>
      <c r="E129" s="533" t="s">
        <v>168</v>
      </c>
    </row>
    <row r="130" spans="1:7">
      <c r="A130" s="534" t="str">
        <f t="shared" si="1"/>
        <v>INDEC-CM - 37210-11</v>
      </c>
      <c r="B130" s="534">
        <v>37210</v>
      </c>
      <c r="C130" s="534" t="s">
        <v>44</v>
      </c>
      <c r="D130" s="534">
        <v>11</v>
      </c>
      <c r="E130" s="538" t="s">
        <v>169</v>
      </c>
      <c r="F130" s="538"/>
      <c r="G130" s="538"/>
    </row>
    <row r="131" spans="1:7">
      <c r="A131" s="534" t="str">
        <f t="shared" si="1"/>
        <v>INDEC-CM - 46212-11</v>
      </c>
      <c r="B131" s="534">
        <v>46212</v>
      </c>
      <c r="C131" s="534" t="s">
        <v>44</v>
      </c>
      <c r="D131" s="534">
        <v>11</v>
      </c>
      <c r="E131" s="533" t="s">
        <v>170</v>
      </c>
    </row>
    <row r="132" spans="1:7">
      <c r="A132" s="534" t="str">
        <f t="shared" si="1"/>
        <v>INDEC-CM - 46212-51</v>
      </c>
      <c r="B132" s="534">
        <v>46212</v>
      </c>
      <c r="C132" s="534" t="s">
        <v>44</v>
      </c>
      <c r="D132" s="534">
        <v>51</v>
      </c>
      <c r="E132" s="533" t="s">
        <v>171</v>
      </c>
    </row>
    <row r="133" spans="1:7">
      <c r="A133" s="534" t="str">
        <f t="shared" si="1"/>
        <v>INDEC-CM - 46212-31</v>
      </c>
      <c r="B133" s="534">
        <v>46212</v>
      </c>
      <c r="C133" s="534" t="s">
        <v>44</v>
      </c>
      <c r="D133" s="534">
        <v>31</v>
      </c>
      <c r="E133" s="533" t="s">
        <v>172</v>
      </c>
    </row>
    <row r="134" spans="1:7">
      <c r="A134" s="534" t="str">
        <f t="shared" ref="A134:A197" si="2">CONCATENATE("INDEC-CM - ",B134,C134,D134)</f>
        <v>INDEC-CM - 46212-41</v>
      </c>
      <c r="B134" s="534">
        <v>46212</v>
      </c>
      <c r="C134" s="534" t="s">
        <v>44</v>
      </c>
      <c r="D134" s="534">
        <v>41</v>
      </c>
      <c r="E134" s="533" t="s">
        <v>173</v>
      </c>
    </row>
    <row r="135" spans="1:7">
      <c r="A135" s="534" t="str">
        <f t="shared" si="2"/>
        <v>INDEC-CM - 42999-51</v>
      </c>
      <c r="B135" s="534">
        <v>42999</v>
      </c>
      <c r="C135" s="534" t="s">
        <v>44</v>
      </c>
      <c r="D135" s="534">
        <v>51</v>
      </c>
      <c r="E135" s="533" t="s">
        <v>174</v>
      </c>
    </row>
    <row r="136" spans="1:7">
      <c r="A136" s="534" t="str">
        <f t="shared" si="2"/>
        <v>INDEC-CM - 35110-51</v>
      </c>
      <c r="B136" s="534">
        <v>35110</v>
      </c>
      <c r="C136" s="534" t="s">
        <v>44</v>
      </c>
      <c r="D136" s="534">
        <v>51</v>
      </c>
      <c r="E136" s="533" t="s">
        <v>175</v>
      </c>
    </row>
    <row r="137" spans="1:7">
      <c r="A137" s="534" t="str">
        <f t="shared" si="2"/>
        <v>INDEC-CM - 37350-11</v>
      </c>
      <c r="B137" s="534">
        <v>37350</v>
      </c>
      <c r="C137" s="534" t="s">
        <v>44</v>
      </c>
      <c r="D137" s="534">
        <v>11</v>
      </c>
      <c r="E137" s="533" t="s">
        <v>176</v>
      </c>
    </row>
    <row r="138" spans="1:7">
      <c r="A138" s="534" t="str">
        <f t="shared" si="2"/>
        <v>INDEC-CM - 37350-41</v>
      </c>
      <c r="B138" s="534">
        <v>37350</v>
      </c>
      <c r="C138" s="534" t="s">
        <v>44</v>
      </c>
      <c r="D138" s="534">
        <v>41</v>
      </c>
      <c r="E138" s="533" t="s">
        <v>177</v>
      </c>
    </row>
    <row r="139" spans="1:7">
      <c r="A139" s="534" t="str">
        <f t="shared" si="2"/>
        <v>INDEC-CM - 37350-21</v>
      </c>
      <c r="B139" s="534">
        <v>37350</v>
      </c>
      <c r="C139" s="534" t="s">
        <v>44</v>
      </c>
      <c r="D139" s="534">
        <v>21</v>
      </c>
      <c r="E139" s="533" t="s">
        <v>178</v>
      </c>
    </row>
    <row r="140" spans="1:7">
      <c r="A140" s="534" t="str">
        <f t="shared" si="2"/>
        <v>INDEC-CM - 37350-31</v>
      </c>
      <c r="B140" s="534">
        <v>37350</v>
      </c>
      <c r="C140" s="534" t="s">
        <v>44</v>
      </c>
      <c r="D140" s="534">
        <v>31</v>
      </c>
      <c r="E140" s="533" t="s">
        <v>179</v>
      </c>
    </row>
    <row r="141" spans="1:7">
      <c r="A141" s="534" t="str">
        <f t="shared" si="2"/>
        <v>INDEC-CM - 37210-32</v>
      </c>
      <c r="B141" s="534">
        <v>37210</v>
      </c>
      <c r="C141" s="534" t="s">
        <v>44</v>
      </c>
      <c r="D141" s="534">
        <v>32</v>
      </c>
      <c r="E141" s="533" t="s">
        <v>180</v>
      </c>
    </row>
    <row r="142" spans="1:7">
      <c r="A142" s="534" t="str">
        <f t="shared" si="2"/>
        <v>INDEC-CM - 37210-31</v>
      </c>
      <c r="B142" s="534">
        <v>37210</v>
      </c>
      <c r="C142" s="534" t="s">
        <v>44</v>
      </c>
      <c r="D142" s="534">
        <v>31</v>
      </c>
      <c r="E142" s="533" t="s">
        <v>181</v>
      </c>
    </row>
    <row r="143" spans="1:7">
      <c r="A143" s="534" t="str">
        <f t="shared" si="2"/>
        <v>INDEC-CM - 37210-33</v>
      </c>
      <c r="B143" s="534">
        <v>37210</v>
      </c>
      <c r="C143" s="534" t="s">
        <v>44</v>
      </c>
      <c r="D143" s="534">
        <v>33</v>
      </c>
      <c r="E143" s="533" t="s">
        <v>182</v>
      </c>
    </row>
    <row r="144" spans="1:7">
      <c r="A144" s="534" t="str">
        <f t="shared" si="2"/>
        <v>INDEC-CM - 31210-41</v>
      </c>
      <c r="B144" s="534">
        <v>31210</v>
      </c>
      <c r="C144" s="534" t="s">
        <v>44</v>
      </c>
      <c r="D144" s="534">
        <v>41</v>
      </c>
      <c r="E144" s="533" t="s">
        <v>183</v>
      </c>
    </row>
    <row r="145" spans="1:7">
      <c r="A145" s="534" t="str">
        <f t="shared" si="2"/>
        <v>INDEC-CM - 43240-21</v>
      </c>
      <c r="B145" s="534">
        <v>43240</v>
      </c>
      <c r="C145" s="534" t="s">
        <v>44</v>
      </c>
      <c r="D145" s="534">
        <v>21</v>
      </c>
      <c r="E145" s="533" t="s">
        <v>184</v>
      </c>
    </row>
    <row r="146" spans="1:7">
      <c r="A146" s="534" t="str">
        <f t="shared" si="2"/>
        <v>INDEC-CM - 43240-32</v>
      </c>
      <c r="B146" s="534">
        <v>43240</v>
      </c>
      <c r="C146" s="534" t="s">
        <v>44</v>
      </c>
      <c r="D146" s="534">
        <v>32</v>
      </c>
      <c r="E146" s="533" t="s">
        <v>185</v>
      </c>
    </row>
    <row r="147" spans="1:7">
      <c r="A147" s="534" t="str">
        <f t="shared" si="2"/>
        <v>INDEC-CM - 43240-31</v>
      </c>
      <c r="B147" s="534">
        <v>43240</v>
      </c>
      <c r="C147" s="534" t="s">
        <v>44</v>
      </c>
      <c r="D147" s="534">
        <v>31</v>
      </c>
      <c r="E147" s="533" t="s">
        <v>186</v>
      </c>
    </row>
    <row r="148" spans="1:7">
      <c r="A148" s="534" t="str">
        <f t="shared" si="2"/>
        <v>INDEC-CM - 43240-41</v>
      </c>
      <c r="B148" s="534">
        <v>43240</v>
      </c>
      <c r="C148" s="534" t="s">
        <v>44</v>
      </c>
      <c r="D148" s="534">
        <v>41</v>
      </c>
      <c r="E148" s="533" t="s">
        <v>187</v>
      </c>
    </row>
    <row r="149" spans="1:7">
      <c r="A149" s="534" t="str">
        <f t="shared" si="2"/>
        <v>INDEC-CM - 37540-32</v>
      </c>
      <c r="B149" s="534">
        <v>37540</v>
      </c>
      <c r="C149" s="534" t="s">
        <v>44</v>
      </c>
      <c r="D149" s="534">
        <v>32</v>
      </c>
      <c r="E149" s="538" t="s">
        <v>188</v>
      </c>
      <c r="F149" s="538"/>
      <c r="G149" s="538"/>
    </row>
    <row r="150" spans="1:7">
      <c r="A150" s="534" t="str">
        <f t="shared" si="2"/>
        <v>INDEC-CM - 37540-31</v>
      </c>
      <c r="B150" s="534">
        <v>37540</v>
      </c>
      <c r="C150" s="534" t="s">
        <v>44</v>
      </c>
      <c r="D150" s="534">
        <v>31</v>
      </c>
      <c r="E150" s="533" t="s">
        <v>189</v>
      </c>
    </row>
    <row r="151" spans="1:7">
      <c r="A151" s="534" t="str">
        <f t="shared" si="2"/>
        <v>INDEC-CM - 31210-21</v>
      </c>
      <c r="B151" s="534">
        <v>31210</v>
      </c>
      <c r="C151" s="534" t="s">
        <v>44</v>
      </c>
      <c r="D151" s="534">
        <v>21</v>
      </c>
      <c r="E151" s="538" t="s">
        <v>190</v>
      </c>
      <c r="F151" s="538"/>
      <c r="G151" s="538"/>
    </row>
    <row r="152" spans="1:7">
      <c r="A152" s="534" t="str">
        <f t="shared" si="2"/>
        <v>INDEC-CM - 42911-61</v>
      </c>
      <c r="B152" s="534">
        <v>42911</v>
      </c>
      <c r="C152" s="534" t="s">
        <v>44</v>
      </c>
      <c r="D152" s="534">
        <v>61</v>
      </c>
      <c r="E152" s="538" t="s">
        <v>191</v>
      </c>
      <c r="F152" s="538"/>
      <c r="G152" s="538"/>
    </row>
    <row r="153" spans="1:7">
      <c r="A153" s="534" t="str">
        <f t="shared" si="2"/>
        <v>INDEC-CM - 43923-11</v>
      </c>
      <c r="B153" s="534">
        <v>43923</v>
      </c>
      <c r="C153" s="534" t="s">
        <v>44</v>
      </c>
      <c r="D153" s="534">
        <v>11</v>
      </c>
      <c r="E153" s="538" t="s">
        <v>192</v>
      </c>
      <c r="F153" s="538"/>
      <c r="G153" s="538"/>
    </row>
    <row r="154" spans="1:7">
      <c r="A154" s="534" t="str">
        <f t="shared" si="2"/>
        <v>INDEC-CM - 37930-12</v>
      </c>
      <c r="B154" s="534">
        <v>37930</v>
      </c>
      <c r="C154" s="534" t="s">
        <v>44</v>
      </c>
      <c r="D154" s="534">
        <v>12</v>
      </c>
      <c r="E154" s="533" t="s">
        <v>193</v>
      </c>
    </row>
    <row r="155" spans="1:7">
      <c r="A155" s="534" t="str">
        <f t="shared" si="2"/>
        <v>INDEC-CM - 37930-11</v>
      </c>
      <c r="B155" s="534">
        <v>37930</v>
      </c>
      <c r="C155" s="534" t="s">
        <v>44</v>
      </c>
      <c r="D155" s="534">
        <v>11</v>
      </c>
      <c r="E155" s="533" t="s">
        <v>194</v>
      </c>
    </row>
    <row r="156" spans="1:7">
      <c r="A156" s="534" t="str">
        <f t="shared" si="2"/>
        <v>INDEC-CM - 42999-61</v>
      </c>
      <c r="B156" s="534">
        <v>42999</v>
      </c>
      <c r="C156" s="534" t="s">
        <v>44</v>
      </c>
      <c r="D156" s="534">
        <v>61</v>
      </c>
      <c r="E156" s="538" t="s">
        <v>195</v>
      </c>
      <c r="F156" s="538"/>
      <c r="G156" s="538"/>
    </row>
    <row r="157" spans="1:7">
      <c r="A157" s="534" t="str">
        <f t="shared" si="2"/>
        <v>INDEC-CM - 42999-62</v>
      </c>
      <c r="B157" s="534">
        <v>42999</v>
      </c>
      <c r="C157" s="534" t="s">
        <v>44</v>
      </c>
      <c r="D157" s="534">
        <v>62</v>
      </c>
      <c r="E157" s="538" t="s">
        <v>196</v>
      </c>
      <c r="F157" s="538"/>
      <c r="G157" s="538"/>
    </row>
    <row r="158" spans="1:7">
      <c r="A158" s="534" t="str">
        <f t="shared" si="2"/>
        <v>INDEC-CM - 37610-11</v>
      </c>
      <c r="B158" s="534">
        <v>37610</v>
      </c>
      <c r="C158" s="534" t="s">
        <v>44</v>
      </c>
      <c r="D158" s="534">
        <v>11</v>
      </c>
      <c r="E158" s="538" t="s">
        <v>197</v>
      </c>
      <c r="F158" s="538"/>
      <c r="G158" s="538"/>
    </row>
    <row r="159" spans="1:7">
      <c r="A159" s="534" t="str">
        <f t="shared" si="2"/>
        <v>INDEC-CM - 37610-12</v>
      </c>
      <c r="B159" s="534">
        <v>37610</v>
      </c>
      <c r="C159" s="534" t="s">
        <v>44</v>
      </c>
      <c r="D159" s="534">
        <v>12</v>
      </c>
      <c r="E159" s="538" t="s">
        <v>198</v>
      </c>
      <c r="F159" s="538"/>
      <c r="G159" s="538"/>
    </row>
    <row r="160" spans="1:7">
      <c r="A160" s="534" t="str">
        <f t="shared" si="2"/>
        <v>INDEC-CM - 42943-11</v>
      </c>
      <c r="B160" s="534">
        <v>42943</v>
      </c>
      <c r="C160" s="534" t="s">
        <v>44</v>
      </c>
      <c r="D160" s="534">
        <v>11</v>
      </c>
      <c r="E160" s="538" t="s">
        <v>199</v>
      </c>
      <c r="F160" s="538"/>
      <c r="G160" s="538"/>
    </row>
    <row r="161" spans="1:7">
      <c r="A161" s="534" t="str">
        <f t="shared" si="2"/>
        <v>INDEC-CM - 37540-11</v>
      </c>
      <c r="B161" s="534">
        <v>37540</v>
      </c>
      <c r="C161" s="534" t="s">
        <v>44</v>
      </c>
      <c r="D161" s="534">
        <v>11</v>
      </c>
      <c r="E161" s="533" t="s">
        <v>200</v>
      </c>
    </row>
    <row r="162" spans="1:7">
      <c r="A162" s="534" t="str">
        <f t="shared" si="2"/>
        <v>INDEC-CM - 38130-16</v>
      </c>
      <c r="B162" s="534">
        <v>38130</v>
      </c>
      <c r="C162" s="534" t="s">
        <v>44</v>
      </c>
      <c r="D162" s="534">
        <v>16</v>
      </c>
      <c r="E162" s="538" t="s">
        <v>201</v>
      </c>
      <c r="F162" s="538"/>
      <c r="G162" s="538"/>
    </row>
    <row r="163" spans="1:7">
      <c r="A163" s="534" t="str">
        <f t="shared" si="2"/>
        <v>INDEC-CM - 38130-15</v>
      </c>
      <c r="B163" s="534">
        <v>38130</v>
      </c>
      <c r="C163" s="534" t="s">
        <v>44</v>
      </c>
      <c r="D163" s="534">
        <v>15</v>
      </c>
      <c r="E163" s="538" t="s">
        <v>202</v>
      </c>
      <c r="F163" s="538"/>
      <c r="G163" s="538"/>
    </row>
    <row r="164" spans="1:7">
      <c r="A164" s="534" t="str">
        <f t="shared" si="2"/>
        <v>INDEC-CM - 38130-14</v>
      </c>
      <c r="B164" s="534">
        <v>38130</v>
      </c>
      <c r="C164" s="534" t="s">
        <v>44</v>
      </c>
      <c r="D164" s="534">
        <v>14</v>
      </c>
      <c r="E164" s="538" t="s">
        <v>203</v>
      </c>
      <c r="F164" s="538"/>
      <c r="G164" s="538"/>
    </row>
    <row r="165" spans="1:7">
      <c r="A165" s="534" t="str">
        <f t="shared" si="2"/>
        <v>INDEC-CM - 35490-11</v>
      </c>
      <c r="B165" s="534">
        <v>35490</v>
      </c>
      <c r="C165" s="534" t="s">
        <v>44</v>
      </c>
      <c r="D165" s="534">
        <v>11</v>
      </c>
      <c r="E165" s="533" t="s">
        <v>204</v>
      </c>
    </row>
    <row r="166" spans="1:7">
      <c r="A166" s="534" t="str">
        <f t="shared" si="2"/>
        <v>INDEC-CM - 41251-11</v>
      </c>
      <c r="B166" s="534">
        <v>41251</v>
      </c>
      <c r="C166" s="534" t="s">
        <v>44</v>
      </c>
      <c r="D166" s="534">
        <v>11</v>
      </c>
      <c r="E166" s="538" t="s">
        <v>205</v>
      </c>
      <c r="F166" s="538"/>
      <c r="G166" s="538"/>
    </row>
    <row r="167" spans="1:7">
      <c r="A167" s="539" t="str">
        <f t="shared" si="2"/>
        <v>INDEC-CM - 41278-21</v>
      </c>
      <c r="B167" s="539">
        <v>41278</v>
      </c>
      <c r="C167" s="539" t="s">
        <v>44</v>
      </c>
      <c r="D167" s="539">
        <v>21</v>
      </c>
      <c r="E167" s="541" t="s">
        <v>206</v>
      </c>
      <c r="F167" s="533" t="s">
        <v>2037</v>
      </c>
    </row>
    <row r="168" spans="1:7">
      <c r="A168" s="534" t="str">
        <f t="shared" si="2"/>
        <v>INDEC-CM - 42911-71</v>
      </c>
      <c r="B168" s="534">
        <v>42911</v>
      </c>
      <c r="C168" s="534" t="s">
        <v>44</v>
      </c>
      <c r="D168" s="534">
        <v>71</v>
      </c>
      <c r="E168" s="538" t="s">
        <v>207</v>
      </c>
      <c r="F168" s="538"/>
      <c r="G168" s="538"/>
    </row>
    <row r="169" spans="1:7">
      <c r="A169" s="534" t="str">
        <f t="shared" si="2"/>
        <v>INDEC-CM - 37210-42</v>
      </c>
      <c r="B169" s="534">
        <v>37210</v>
      </c>
      <c r="C169" s="534" t="s">
        <v>44</v>
      </c>
      <c r="D169" s="534">
        <v>42</v>
      </c>
      <c r="E169" s="538" t="s">
        <v>208</v>
      </c>
      <c r="F169" s="538"/>
      <c r="G169" s="538"/>
    </row>
    <row r="170" spans="1:7">
      <c r="A170" s="534" t="str">
        <f t="shared" si="2"/>
        <v>INDEC-CM - 37210-41</v>
      </c>
      <c r="B170" s="534">
        <v>37210</v>
      </c>
      <c r="C170" s="534" t="s">
        <v>44</v>
      </c>
      <c r="D170" s="534">
        <v>41</v>
      </c>
      <c r="E170" s="538" t="s">
        <v>209</v>
      </c>
      <c r="F170" s="538"/>
      <c r="G170" s="538"/>
    </row>
    <row r="171" spans="1:7">
      <c r="A171" s="534" t="str">
        <f t="shared" si="2"/>
        <v>INDEC-CM - 36930-11</v>
      </c>
      <c r="B171" s="534">
        <v>36930</v>
      </c>
      <c r="C171" s="534" t="s">
        <v>44</v>
      </c>
      <c r="D171" s="534">
        <v>11</v>
      </c>
      <c r="E171" s="533" t="s">
        <v>210</v>
      </c>
    </row>
    <row r="172" spans="1:7">
      <c r="A172" s="534" t="str">
        <f t="shared" si="2"/>
        <v>INDEC-CM - 36950-21</v>
      </c>
      <c r="B172" s="534">
        <v>36950</v>
      </c>
      <c r="C172" s="534" t="s">
        <v>44</v>
      </c>
      <c r="D172" s="534">
        <v>21</v>
      </c>
      <c r="E172" s="533" t="s">
        <v>211</v>
      </c>
    </row>
    <row r="173" spans="1:7">
      <c r="A173" s="534" t="str">
        <f t="shared" si="2"/>
        <v>INDEC-CM - 35110-31</v>
      </c>
      <c r="B173" s="534">
        <v>35110</v>
      </c>
      <c r="C173" s="534" t="s">
        <v>44</v>
      </c>
      <c r="D173" s="534">
        <v>31</v>
      </c>
      <c r="E173" s="533" t="s">
        <v>212</v>
      </c>
    </row>
    <row r="174" spans="1:7">
      <c r="A174" s="534" t="str">
        <f t="shared" si="2"/>
        <v>INDEC-CM - 35110-32</v>
      </c>
      <c r="B174" s="534">
        <v>35110</v>
      </c>
      <c r="C174" s="534" t="s">
        <v>44</v>
      </c>
      <c r="D174" s="534">
        <v>32</v>
      </c>
      <c r="E174" s="533" t="s">
        <v>213</v>
      </c>
    </row>
    <row r="175" spans="1:7">
      <c r="A175" s="534" t="str">
        <f t="shared" si="2"/>
        <v>INDEC-CM - 37940-11</v>
      </c>
      <c r="B175" s="534">
        <v>37940</v>
      </c>
      <c r="C175" s="534" t="s">
        <v>44</v>
      </c>
      <c r="D175" s="534">
        <v>11</v>
      </c>
      <c r="E175" s="533" t="s">
        <v>214</v>
      </c>
    </row>
    <row r="176" spans="1:7">
      <c r="A176" s="534" t="str">
        <f t="shared" si="2"/>
        <v>INDEC-CM - 35110-71</v>
      </c>
      <c r="B176" s="534">
        <v>35110</v>
      </c>
      <c r="C176" s="534" t="s">
        <v>44</v>
      </c>
      <c r="D176" s="534">
        <v>71</v>
      </c>
      <c r="E176" s="533" t="s">
        <v>215</v>
      </c>
    </row>
    <row r="177" spans="1:7">
      <c r="A177" s="534" t="str">
        <f t="shared" si="2"/>
        <v>INDEC-CM - 31210-31</v>
      </c>
      <c r="B177" s="534">
        <v>31210</v>
      </c>
      <c r="C177" s="534" t="s">
        <v>44</v>
      </c>
      <c r="D177" s="534">
        <v>31</v>
      </c>
      <c r="E177" s="533" t="s">
        <v>216</v>
      </c>
    </row>
    <row r="178" spans="1:7">
      <c r="A178" s="534" t="str">
        <f t="shared" si="2"/>
        <v>INDEC-CM - 31210-32</v>
      </c>
      <c r="B178" s="534">
        <v>31210</v>
      </c>
      <c r="C178" s="534" t="s">
        <v>44</v>
      </c>
      <c r="D178" s="534">
        <v>32</v>
      </c>
      <c r="E178" s="533" t="s">
        <v>217</v>
      </c>
    </row>
    <row r="179" spans="1:7">
      <c r="A179" s="534" t="str">
        <f t="shared" si="2"/>
        <v>INDEC-CM - 41541-11</v>
      </c>
      <c r="B179" s="534">
        <v>41541</v>
      </c>
      <c r="C179" s="534" t="s">
        <v>44</v>
      </c>
      <c r="D179" s="534">
        <v>11</v>
      </c>
      <c r="E179" s="533" t="s">
        <v>218</v>
      </c>
    </row>
    <row r="180" spans="1:7">
      <c r="A180" s="534" t="str">
        <f t="shared" si="2"/>
        <v>INDEC-CM - 34720-11</v>
      </c>
      <c r="B180" s="534">
        <v>34720</v>
      </c>
      <c r="C180" s="534" t="s">
        <v>44</v>
      </c>
      <c r="D180" s="534">
        <v>11</v>
      </c>
      <c r="E180" s="538" t="s">
        <v>219</v>
      </c>
      <c r="F180" s="538"/>
      <c r="G180" s="538"/>
    </row>
    <row r="181" spans="1:7">
      <c r="A181" s="534" t="str">
        <f t="shared" si="2"/>
        <v>INDEC-CM - 47220-11</v>
      </c>
      <c r="B181" s="534">
        <v>47220</v>
      </c>
      <c r="C181" s="534" t="s">
        <v>44</v>
      </c>
      <c r="D181" s="534">
        <v>11</v>
      </c>
      <c r="E181" s="538" t="s">
        <v>220</v>
      </c>
      <c r="F181" s="538"/>
      <c r="G181" s="538"/>
    </row>
    <row r="182" spans="1:7">
      <c r="A182" s="534" t="str">
        <f t="shared" si="2"/>
        <v>INDEC-CM - 31600-81</v>
      </c>
      <c r="B182" s="534">
        <v>31600</v>
      </c>
      <c r="C182" s="534" t="s">
        <v>44</v>
      </c>
      <c r="D182" s="534">
        <v>81</v>
      </c>
      <c r="E182" s="533" t="s">
        <v>221</v>
      </c>
    </row>
    <row r="183" spans="1:7">
      <c r="A183" s="534" t="str">
        <f t="shared" si="2"/>
        <v>INDEC-CM - 42120-31</v>
      </c>
      <c r="B183" s="534">
        <v>42120</v>
      </c>
      <c r="C183" s="534" t="s">
        <v>44</v>
      </c>
      <c r="D183" s="534">
        <v>31</v>
      </c>
      <c r="E183" s="533" t="s">
        <v>222</v>
      </c>
    </row>
    <row r="184" spans="1:7">
      <c r="A184" s="534" t="str">
        <f t="shared" si="2"/>
        <v>INDEC-CM - 35490-21</v>
      </c>
      <c r="B184" s="534">
        <v>35490</v>
      </c>
      <c r="C184" s="534" t="s">
        <v>44</v>
      </c>
      <c r="D184" s="534">
        <v>21</v>
      </c>
      <c r="E184" s="538" t="s">
        <v>223</v>
      </c>
      <c r="F184" s="538"/>
      <c r="G184" s="538"/>
    </row>
    <row r="185" spans="1:7">
      <c r="A185" s="534" t="str">
        <f t="shared" si="2"/>
        <v>INDEC-CM - 31600-41</v>
      </c>
      <c r="B185" s="534">
        <v>31600</v>
      </c>
      <c r="C185" s="534" t="s">
        <v>44</v>
      </c>
      <c r="D185" s="534">
        <v>41</v>
      </c>
      <c r="E185" s="538" t="s">
        <v>224</v>
      </c>
      <c r="F185" s="538"/>
      <c r="G185" s="538"/>
    </row>
    <row r="186" spans="1:7">
      <c r="A186" s="534" t="str">
        <f t="shared" si="2"/>
        <v>INDEC-CM - 42120-21</v>
      </c>
      <c r="B186" s="534">
        <v>42120</v>
      </c>
      <c r="C186" s="534" t="s">
        <v>44</v>
      </c>
      <c r="D186" s="534">
        <v>21</v>
      </c>
      <c r="E186" s="538" t="s">
        <v>225</v>
      </c>
      <c r="F186" s="538"/>
      <c r="G186" s="538"/>
    </row>
    <row r="187" spans="1:7">
      <c r="A187" s="534" t="str">
        <f t="shared" si="2"/>
        <v>INDEC-CM - 42120-22</v>
      </c>
      <c r="B187" s="534">
        <v>42120</v>
      </c>
      <c r="C187" s="534" t="s">
        <v>44</v>
      </c>
      <c r="D187" s="534">
        <v>22</v>
      </c>
      <c r="E187" s="538" t="s">
        <v>226</v>
      </c>
      <c r="F187" s="538"/>
      <c r="G187" s="538"/>
    </row>
    <row r="188" spans="1:7">
      <c r="A188" s="534" t="str">
        <f t="shared" si="2"/>
        <v>INDEC-CM - 31600-33</v>
      </c>
      <c r="B188" s="534">
        <v>31600</v>
      </c>
      <c r="C188" s="534" t="s">
        <v>44</v>
      </c>
      <c r="D188" s="534">
        <v>33</v>
      </c>
      <c r="E188" s="533" t="s">
        <v>227</v>
      </c>
    </row>
    <row r="189" spans="1:7">
      <c r="A189" s="534" t="str">
        <f t="shared" si="2"/>
        <v>INDEC-CM - 31600-32</v>
      </c>
      <c r="B189" s="534">
        <v>31600</v>
      </c>
      <c r="C189" s="534" t="s">
        <v>44</v>
      </c>
      <c r="D189" s="534">
        <v>32</v>
      </c>
      <c r="E189" s="533" t="s">
        <v>228</v>
      </c>
    </row>
    <row r="190" spans="1:7">
      <c r="A190" s="534" t="str">
        <f t="shared" si="2"/>
        <v>INDEC-CM - 31600-31</v>
      </c>
      <c r="B190" s="534">
        <v>31600</v>
      </c>
      <c r="C190" s="534" t="s">
        <v>44</v>
      </c>
      <c r="D190" s="534">
        <v>31</v>
      </c>
      <c r="E190" s="533" t="s">
        <v>229</v>
      </c>
    </row>
    <row r="191" spans="1:7">
      <c r="A191" s="534" t="str">
        <f t="shared" si="2"/>
        <v>INDEC-CM - 42120-11</v>
      </c>
      <c r="B191" s="534">
        <v>42120</v>
      </c>
      <c r="C191" s="534" t="s">
        <v>44</v>
      </c>
      <c r="D191" s="534">
        <v>11</v>
      </c>
      <c r="E191" s="533" t="s">
        <v>230</v>
      </c>
    </row>
    <row r="192" spans="1:7">
      <c r="A192" s="534" t="str">
        <f t="shared" si="2"/>
        <v>INDEC-CM - 31600-23</v>
      </c>
      <c r="B192" s="534">
        <v>31600</v>
      </c>
      <c r="C192" s="534" t="s">
        <v>44</v>
      </c>
      <c r="D192" s="534">
        <v>23</v>
      </c>
      <c r="E192" s="533" t="s">
        <v>231</v>
      </c>
    </row>
    <row r="193" spans="1:7">
      <c r="A193" s="534" t="str">
        <f t="shared" si="2"/>
        <v>INDEC-CM - 31600-22</v>
      </c>
      <c r="B193" s="534">
        <v>31600</v>
      </c>
      <c r="C193" s="534" t="s">
        <v>44</v>
      </c>
      <c r="D193" s="534">
        <v>22</v>
      </c>
      <c r="E193" s="533" t="s">
        <v>232</v>
      </c>
    </row>
    <row r="194" spans="1:7">
      <c r="A194" s="534" t="str">
        <f t="shared" si="2"/>
        <v>INDEC-CM - 31600-21</v>
      </c>
      <c r="B194" s="534">
        <v>31600</v>
      </c>
      <c r="C194" s="534" t="s">
        <v>44</v>
      </c>
      <c r="D194" s="534">
        <v>21</v>
      </c>
      <c r="E194" s="533" t="s">
        <v>233</v>
      </c>
    </row>
    <row r="195" spans="1:7">
      <c r="A195" s="534" t="str">
        <f t="shared" si="2"/>
        <v>INDEC-CM - 41278-33</v>
      </c>
      <c r="B195" s="534">
        <v>41278</v>
      </c>
      <c r="C195" s="534" t="s">
        <v>44</v>
      </c>
      <c r="D195" s="534">
        <v>33</v>
      </c>
      <c r="E195" s="538" t="s">
        <v>234</v>
      </c>
      <c r="F195" s="538"/>
      <c r="G195" s="538"/>
    </row>
    <row r="196" spans="1:7">
      <c r="A196" s="534" t="str">
        <f t="shared" si="2"/>
        <v>INDEC-CM - 36320-33</v>
      </c>
      <c r="B196" s="534">
        <v>36320</v>
      </c>
      <c r="C196" s="534" t="s">
        <v>44</v>
      </c>
      <c r="D196" s="534">
        <v>33</v>
      </c>
      <c r="E196" s="533" t="s">
        <v>235</v>
      </c>
    </row>
    <row r="197" spans="1:7">
      <c r="A197" s="534" t="str">
        <f t="shared" si="2"/>
        <v>INDEC-CM - 48270-11</v>
      </c>
      <c r="B197" s="534">
        <v>48270</v>
      </c>
      <c r="C197" s="534" t="s">
        <v>44</v>
      </c>
      <c r="D197" s="534">
        <v>11</v>
      </c>
      <c r="E197" s="538" t="s">
        <v>236</v>
      </c>
      <c r="F197" s="538"/>
      <c r="G197" s="538"/>
    </row>
    <row r="198" spans="1:7">
      <c r="A198" s="534" t="str">
        <f t="shared" ref="A198:A220" si="3">CONCATENATE("INDEC-CM - ",B198,C198,D198)</f>
        <v>INDEC-CM - 42190-11</v>
      </c>
      <c r="B198" s="534">
        <v>42190</v>
      </c>
      <c r="C198" s="534" t="s">
        <v>44</v>
      </c>
      <c r="D198" s="534">
        <v>11</v>
      </c>
      <c r="E198" s="533" t="s">
        <v>237</v>
      </c>
    </row>
    <row r="199" spans="1:7">
      <c r="A199" s="534" t="str">
        <f t="shared" si="3"/>
        <v>INDEC-CM - 43923-31</v>
      </c>
      <c r="B199" s="534">
        <v>43923</v>
      </c>
      <c r="C199" s="534" t="s">
        <v>44</v>
      </c>
      <c r="D199" s="534">
        <v>31</v>
      </c>
      <c r="E199" s="538" t="s">
        <v>238</v>
      </c>
      <c r="F199" s="538"/>
      <c r="G199" s="538"/>
    </row>
    <row r="200" spans="1:7">
      <c r="A200" s="534" t="str">
        <f t="shared" si="3"/>
        <v>INDEC-CM - 31210-11</v>
      </c>
      <c r="B200" s="534">
        <v>31210</v>
      </c>
      <c r="C200" s="534" t="s">
        <v>44</v>
      </c>
      <c r="D200" s="534">
        <v>11</v>
      </c>
      <c r="E200" s="538" t="s">
        <v>239</v>
      </c>
      <c r="F200" s="538"/>
      <c r="G200" s="538"/>
    </row>
    <row r="201" spans="1:7">
      <c r="A201" s="534" t="str">
        <f t="shared" si="3"/>
        <v>INDEC-CM - 37129-21</v>
      </c>
      <c r="B201" s="534">
        <v>37129</v>
      </c>
      <c r="C201" s="534" t="s">
        <v>44</v>
      </c>
      <c r="D201" s="534">
        <v>21</v>
      </c>
      <c r="E201" s="533" t="s">
        <v>240</v>
      </c>
    </row>
    <row r="202" spans="1:7">
      <c r="A202" s="534" t="str">
        <f t="shared" si="3"/>
        <v>INDEC-CM - 37560-21</v>
      </c>
      <c r="B202" s="534">
        <v>37560</v>
      </c>
      <c r="C202" s="534" t="s">
        <v>44</v>
      </c>
      <c r="D202" s="534">
        <v>21</v>
      </c>
      <c r="E202" s="538" t="s">
        <v>241</v>
      </c>
      <c r="F202" s="538"/>
      <c r="G202" s="538"/>
    </row>
    <row r="203" spans="1:7">
      <c r="A203" s="534" t="str">
        <f t="shared" si="3"/>
        <v>INDEC-CM - 42999-71</v>
      </c>
      <c r="B203" s="534">
        <v>42999</v>
      </c>
      <c r="C203" s="534" t="s">
        <v>44</v>
      </c>
      <c r="D203" s="534">
        <v>71</v>
      </c>
      <c r="E203" s="533" t="s">
        <v>242</v>
      </c>
    </row>
    <row r="204" spans="1:7">
      <c r="A204" s="534" t="str">
        <f t="shared" si="3"/>
        <v>INDEC-CM - 41516-22</v>
      </c>
      <c r="B204" s="534">
        <v>41516</v>
      </c>
      <c r="C204" s="534" t="s">
        <v>44</v>
      </c>
      <c r="D204" s="534">
        <v>22</v>
      </c>
      <c r="E204" s="533" t="s">
        <v>243</v>
      </c>
    </row>
    <row r="205" spans="1:7">
      <c r="A205" s="534" t="str">
        <f t="shared" si="3"/>
        <v>INDEC-CM - 37350-51</v>
      </c>
      <c r="B205" s="534">
        <v>37350</v>
      </c>
      <c r="C205" s="534" t="s">
        <v>44</v>
      </c>
      <c r="D205" s="534">
        <v>51</v>
      </c>
      <c r="E205" s="533" t="s">
        <v>244</v>
      </c>
    </row>
    <row r="206" spans="1:7">
      <c r="A206" s="534" t="str">
        <f t="shared" si="3"/>
        <v>INDEC-CM - 44826-21</v>
      </c>
      <c r="B206" s="534">
        <v>44826</v>
      </c>
      <c r="C206" s="534" t="s">
        <v>44</v>
      </c>
      <c r="D206" s="534">
        <v>21</v>
      </c>
      <c r="E206" s="533" t="s">
        <v>245</v>
      </c>
    </row>
    <row r="207" spans="1:7">
      <c r="A207" s="534" t="str">
        <f t="shared" si="3"/>
        <v>INDEC-CM - 31210-22</v>
      </c>
      <c r="B207" s="534">
        <v>31210</v>
      </c>
      <c r="C207" s="534" t="s">
        <v>44</v>
      </c>
      <c r="D207" s="534">
        <v>22</v>
      </c>
      <c r="E207" s="533" t="s">
        <v>246</v>
      </c>
    </row>
    <row r="208" spans="1:7">
      <c r="A208" s="534" t="str">
        <f t="shared" si="3"/>
        <v>INDEC-CM - 31100-11</v>
      </c>
      <c r="B208" s="534">
        <v>31100</v>
      </c>
      <c r="C208" s="534" t="s">
        <v>44</v>
      </c>
      <c r="D208" s="534">
        <v>11</v>
      </c>
      <c r="E208" s="533" t="s">
        <v>247</v>
      </c>
    </row>
    <row r="209" spans="1:7">
      <c r="A209" s="534" t="str">
        <f t="shared" si="3"/>
        <v>INDEC-CM - 46212-53</v>
      </c>
      <c r="B209" s="534">
        <v>46212</v>
      </c>
      <c r="C209" s="534" t="s">
        <v>44</v>
      </c>
      <c r="D209" s="534">
        <v>53</v>
      </c>
      <c r="E209" s="533" t="s">
        <v>248</v>
      </c>
    </row>
    <row r="210" spans="1:7">
      <c r="A210" s="534" t="str">
        <f t="shared" si="3"/>
        <v>INDEC-CM - 46212-52</v>
      </c>
      <c r="B210" s="534">
        <v>46212</v>
      </c>
      <c r="C210" s="534" t="s">
        <v>44</v>
      </c>
      <c r="D210" s="534">
        <v>52</v>
      </c>
      <c r="E210" s="538" t="s">
        <v>249</v>
      </c>
      <c r="F210" s="538"/>
      <c r="G210" s="538"/>
    </row>
    <row r="211" spans="1:7">
      <c r="A211" s="534" t="str">
        <f t="shared" si="3"/>
        <v>INDEC-CM - 15400-21</v>
      </c>
      <c r="B211" s="534">
        <v>15400</v>
      </c>
      <c r="C211" s="534" t="s">
        <v>44</v>
      </c>
      <c r="D211" s="534">
        <v>21</v>
      </c>
      <c r="E211" s="533" t="s">
        <v>250</v>
      </c>
    </row>
    <row r="212" spans="1:7">
      <c r="A212" s="534" t="str">
        <f t="shared" si="3"/>
        <v>INDEC-CM - 43240-11</v>
      </c>
      <c r="B212" s="534">
        <v>43240</v>
      </c>
      <c r="C212" s="534" t="s">
        <v>44</v>
      </c>
      <c r="D212" s="534">
        <v>11</v>
      </c>
      <c r="E212" s="533" t="s">
        <v>251</v>
      </c>
    </row>
    <row r="213" spans="1:7">
      <c r="A213" s="534" t="str">
        <f t="shared" si="3"/>
        <v>INDEC-CM - 31600-42</v>
      </c>
      <c r="B213" s="534">
        <v>31600</v>
      </c>
      <c r="C213" s="534" t="s">
        <v>44</v>
      </c>
      <c r="D213" s="534">
        <v>42</v>
      </c>
      <c r="E213" s="538" t="s">
        <v>252</v>
      </c>
      <c r="F213" s="538"/>
      <c r="G213" s="538"/>
    </row>
    <row r="214" spans="1:7">
      <c r="A214" s="539" t="str">
        <f t="shared" si="3"/>
        <v>INDEC-CM - 42120-42</v>
      </c>
      <c r="B214" s="539">
        <v>42120</v>
      </c>
      <c r="C214" s="539" t="s">
        <v>44</v>
      </c>
      <c r="D214" s="539">
        <v>42</v>
      </c>
      <c r="E214" s="541" t="s">
        <v>253</v>
      </c>
      <c r="F214" s="533" t="s">
        <v>2037</v>
      </c>
    </row>
    <row r="215" spans="1:7">
      <c r="A215" s="539" t="str">
        <f t="shared" si="3"/>
        <v>INDEC-CM - 42120-41</v>
      </c>
      <c r="B215" s="539">
        <v>42120</v>
      </c>
      <c r="C215" s="539" t="s">
        <v>44</v>
      </c>
      <c r="D215" s="539">
        <v>41</v>
      </c>
      <c r="E215" s="541" t="s">
        <v>254</v>
      </c>
      <c r="F215" s="533" t="s">
        <v>2037</v>
      </c>
    </row>
    <row r="216" spans="1:7">
      <c r="A216" s="539" t="str">
        <f t="shared" si="3"/>
        <v>INDEC-CM - 42120-51</v>
      </c>
      <c r="B216" s="539">
        <v>42120</v>
      </c>
      <c r="C216" s="539" t="s">
        <v>44</v>
      </c>
      <c r="D216" s="539">
        <v>51</v>
      </c>
      <c r="E216" s="540" t="s">
        <v>255</v>
      </c>
      <c r="F216" s="533" t="s">
        <v>2037</v>
      </c>
    </row>
    <row r="217" spans="1:7">
      <c r="A217" s="534" t="str">
        <f t="shared" si="3"/>
        <v>INDEC-CM - 37550-11</v>
      </c>
      <c r="B217" s="534">
        <v>37550</v>
      </c>
      <c r="C217" s="534" t="s">
        <v>44</v>
      </c>
      <c r="D217" s="534">
        <v>11</v>
      </c>
      <c r="E217" s="533" t="s">
        <v>256</v>
      </c>
    </row>
    <row r="218" spans="1:7">
      <c r="A218" s="534" t="str">
        <f t="shared" si="3"/>
        <v>INDEC-CM - 37410-11</v>
      </c>
      <c r="B218" s="534">
        <v>37410</v>
      </c>
      <c r="C218" s="534" t="s">
        <v>44</v>
      </c>
      <c r="D218" s="534">
        <v>11</v>
      </c>
      <c r="E218" s="533" t="s">
        <v>257</v>
      </c>
    </row>
    <row r="219" spans="1:7">
      <c r="A219" s="534" t="str">
        <f t="shared" si="3"/>
        <v>INDEC-CM - 31210-33</v>
      </c>
      <c r="B219" s="534">
        <v>31210</v>
      </c>
      <c r="C219" s="534" t="s">
        <v>44</v>
      </c>
      <c r="D219" s="534">
        <v>33</v>
      </c>
      <c r="E219" s="533" t="s">
        <v>258</v>
      </c>
    </row>
    <row r="220" spans="1:7">
      <c r="A220" s="534" t="str">
        <f t="shared" si="3"/>
        <v>INDEC-CM - 37540-21</v>
      </c>
      <c r="B220" s="534">
        <v>37540</v>
      </c>
      <c r="C220" s="534" t="s">
        <v>44</v>
      </c>
      <c r="D220" s="534">
        <v>21</v>
      </c>
      <c r="E220" s="533" t="s">
        <v>259</v>
      </c>
    </row>
    <row r="223" spans="1:7">
      <c r="A223" s="17"/>
      <c r="B223" s="532" t="s">
        <v>534</v>
      </c>
      <c r="C223" s="16"/>
      <c r="D223" s="16"/>
      <c r="E223" s="17"/>
    </row>
    <row r="224" spans="1:7">
      <c r="A224" s="17"/>
      <c r="B224" s="542"/>
      <c r="C224" s="16"/>
      <c r="D224" s="16"/>
      <c r="E224" s="17"/>
    </row>
    <row r="225" spans="1:5">
      <c r="A225" s="689" t="s">
        <v>342</v>
      </c>
      <c r="B225" s="689" t="s">
        <v>41</v>
      </c>
      <c r="C225" s="689"/>
      <c r="D225" s="689"/>
      <c r="E225" s="689" t="s">
        <v>42</v>
      </c>
    </row>
    <row r="226" spans="1:5">
      <c r="A226" s="689"/>
      <c r="B226" s="689" t="s">
        <v>43</v>
      </c>
      <c r="C226" s="689"/>
      <c r="D226" s="689"/>
      <c r="E226" s="689"/>
    </row>
    <row r="227" spans="1:5">
      <c r="A227" s="534" t="str">
        <f>CONCATENATE(B227,C227,D227)</f>
        <v/>
      </c>
      <c r="B227" s="543"/>
      <c r="C227" s="16"/>
      <c r="D227" s="16"/>
      <c r="E227" s="17"/>
    </row>
    <row r="228" spans="1:5">
      <c r="A228" s="534" t="str">
        <f>CONCATENATE("INDEC-CM - ",B228,C228,D228)</f>
        <v>INDEC-CM - 37370-0</v>
      </c>
      <c r="B228" s="16">
        <v>37370</v>
      </c>
      <c r="C228" s="16" t="s">
        <v>44</v>
      </c>
      <c r="D228" s="16">
        <v>0</v>
      </c>
      <c r="E228" s="17" t="s">
        <v>535</v>
      </c>
    </row>
    <row r="229" spans="1:5">
      <c r="A229" s="534" t="str">
        <f>CONCATENATE("INDEC-CM - ",B229,C229,D229)</f>
        <v>INDEC-CM - 31600-6</v>
      </c>
      <c r="B229" s="16">
        <v>31600</v>
      </c>
      <c r="C229" s="16" t="s">
        <v>44</v>
      </c>
      <c r="D229" s="16">
        <v>6</v>
      </c>
      <c r="E229" s="17" t="s">
        <v>536</v>
      </c>
    </row>
    <row r="230" spans="1:5">
      <c r="A230" s="534" t="str">
        <f>CONCATENATE("INDEC-CM - ",B230,C230,D230)</f>
        <v>INDEC-CM - 41278-0</v>
      </c>
      <c r="B230" s="16">
        <v>41278</v>
      </c>
      <c r="C230" s="16" t="s">
        <v>44</v>
      </c>
      <c r="D230" s="16">
        <v>0</v>
      </c>
      <c r="E230" s="17" t="s">
        <v>537</v>
      </c>
    </row>
    <row r="231" spans="1:5">
      <c r="A231" s="534" t="str">
        <f>CONCATENATE("INDEC-CM - ",B231,C231,D231)</f>
        <v>INDEC-CM - 31600-7</v>
      </c>
      <c r="B231" s="16">
        <v>31600</v>
      </c>
      <c r="C231" s="16" t="s">
        <v>44</v>
      </c>
      <c r="D231" s="16">
        <v>7</v>
      </c>
      <c r="E231" s="17" t="s">
        <v>538</v>
      </c>
    </row>
    <row r="232" spans="1:5">
      <c r="A232" s="534" t="str">
        <f>CONCATENATE("INDEC-CM - ",B232,C232,D232)</f>
        <v>INDEC-CM - 42120-41/42/51</v>
      </c>
      <c r="B232" s="16">
        <v>42120</v>
      </c>
      <c r="C232" s="16" t="s">
        <v>44</v>
      </c>
      <c r="D232" s="16" t="s">
        <v>539</v>
      </c>
      <c r="E232" s="17" t="s">
        <v>540</v>
      </c>
    </row>
    <row r="235" spans="1:5">
      <c r="A235" s="532"/>
      <c r="B235" s="532" t="s">
        <v>542</v>
      </c>
      <c r="C235" s="532"/>
      <c r="D235" s="532"/>
      <c r="E235" s="532"/>
    </row>
    <row r="236" spans="1:5">
      <c r="A236" s="538"/>
      <c r="D236" s="544"/>
    </row>
    <row r="237" spans="1:5">
      <c r="A237" s="689" t="s">
        <v>342</v>
      </c>
      <c r="B237" s="689" t="s">
        <v>41</v>
      </c>
      <c r="C237" s="689"/>
      <c r="D237" s="689"/>
      <c r="E237" s="689" t="s">
        <v>330</v>
      </c>
    </row>
    <row r="238" spans="1:5">
      <c r="A238" s="689"/>
      <c r="B238" s="689"/>
      <c r="C238" s="689"/>
      <c r="D238" s="689"/>
      <c r="E238" s="689"/>
    </row>
    <row r="239" spans="1:5">
      <c r="E239" s="545" t="s">
        <v>266</v>
      </c>
    </row>
    <row r="240" spans="1:5">
      <c r="E240" s="545"/>
    </row>
    <row r="241" spans="1:5">
      <c r="A241" s="538"/>
      <c r="D241" s="544"/>
      <c r="E241" s="531" t="s">
        <v>331</v>
      </c>
    </row>
    <row r="242" spans="1:5">
      <c r="A242" s="538"/>
      <c r="D242" s="544"/>
      <c r="E242" s="531"/>
    </row>
    <row r="243" spans="1:5">
      <c r="B243" s="544"/>
      <c r="E243" s="531" t="s">
        <v>332</v>
      </c>
    </row>
    <row r="244" spans="1:5">
      <c r="A244" s="534" t="str">
        <f>CONCATENATE("INDEC-MO - ",B244,C244,D244)</f>
        <v>INDEC-MO - 51560-11</v>
      </c>
      <c r="B244" s="534">
        <v>51560</v>
      </c>
      <c r="C244" s="534" t="s">
        <v>44</v>
      </c>
      <c r="D244" s="534">
        <v>11</v>
      </c>
      <c r="E244" s="537" t="s">
        <v>1866</v>
      </c>
    </row>
    <row r="245" spans="1:5">
      <c r="A245" s="534" t="str">
        <f>CONCATENATE("INDEC-MO - ",B245,C245,D245)</f>
        <v>INDEC-MO - 51560-12</v>
      </c>
      <c r="B245" s="534">
        <v>51560</v>
      </c>
      <c r="C245" s="534" t="s">
        <v>44</v>
      </c>
      <c r="D245" s="534">
        <v>12</v>
      </c>
      <c r="E245" s="537" t="s">
        <v>902</v>
      </c>
    </row>
    <row r="246" spans="1:5">
      <c r="A246" s="534" t="str">
        <f>CONCATENATE("INDEC-MO - ",B246,C246,D246)</f>
        <v>INDEC-MO - 51560-13</v>
      </c>
      <c r="B246" s="534">
        <v>51560</v>
      </c>
      <c r="C246" s="534" t="s">
        <v>44</v>
      </c>
      <c r="D246" s="534">
        <v>13</v>
      </c>
      <c r="E246" s="537" t="s">
        <v>1011</v>
      </c>
    </row>
    <row r="247" spans="1:5">
      <c r="A247" s="534" t="str">
        <f>CONCATENATE("INDEC-MO - ",B247,C247,D247)</f>
        <v>INDEC-MO - 51560-14</v>
      </c>
      <c r="B247" s="534">
        <v>51560</v>
      </c>
      <c r="C247" s="534" t="s">
        <v>44</v>
      </c>
      <c r="D247" s="534">
        <v>14</v>
      </c>
      <c r="E247" s="537" t="s">
        <v>716</v>
      </c>
    </row>
    <row r="248" spans="1:5">
      <c r="A248" s="534" t="str">
        <f>CONCATENATE(B248,C248,D248)</f>
        <v/>
      </c>
    </row>
    <row r="249" spans="1:5">
      <c r="A249" s="534" t="str">
        <f>CONCATENATE("INDEC-MO - ",B249,C249,D249)</f>
        <v>INDEC-MO - 51560-32</v>
      </c>
      <c r="B249" s="534">
        <v>51560</v>
      </c>
      <c r="C249" s="534" t="s">
        <v>44</v>
      </c>
      <c r="D249" s="534">
        <v>32</v>
      </c>
      <c r="E249" s="531" t="s">
        <v>333</v>
      </c>
    </row>
    <row r="250" spans="1:5">
      <c r="A250" s="534" t="str">
        <f>CONCATENATE(B250,C250,D250)</f>
        <v/>
      </c>
    </row>
    <row r="251" spans="1:5">
      <c r="A251" s="534" t="str">
        <f>CONCATENATE("INDEC-MO - ",B251,C251,D251)</f>
        <v>INDEC-MO - 81291-1</v>
      </c>
      <c r="B251" s="534">
        <v>81291</v>
      </c>
      <c r="C251" s="534" t="s">
        <v>44</v>
      </c>
      <c r="D251" s="534">
        <v>1</v>
      </c>
      <c r="E251" s="545" t="s">
        <v>334</v>
      </c>
    </row>
    <row r="252" spans="1:5">
      <c r="A252" s="534" t="str">
        <f>CONCATENATE(B252,C252,D252)</f>
        <v/>
      </c>
    </row>
    <row r="253" spans="1:5">
      <c r="A253" s="534" t="str">
        <f>CONCATENATE(B253,C253,D253)</f>
        <v/>
      </c>
      <c r="E253" s="545" t="s">
        <v>335</v>
      </c>
    </row>
    <row r="254" spans="1:5">
      <c r="A254" s="534" t="str">
        <f t="shared" ref="A254:A259" si="4">CONCATENATE("INDEC-MO - ",B254,C254,D254)</f>
        <v>INDEC-MO - 51641-1</v>
      </c>
      <c r="B254" s="534">
        <v>51641</v>
      </c>
      <c r="C254" s="534" t="s">
        <v>44</v>
      </c>
      <c r="D254" s="534">
        <v>1</v>
      </c>
      <c r="E254" s="537" t="s">
        <v>336</v>
      </c>
    </row>
    <row r="255" spans="1:5">
      <c r="A255" s="534" t="str">
        <f t="shared" si="4"/>
        <v>INDEC-MO - 51620-1</v>
      </c>
      <c r="B255" s="534">
        <v>51620</v>
      </c>
      <c r="C255" s="534" t="s">
        <v>44</v>
      </c>
      <c r="D255" s="534">
        <v>1</v>
      </c>
      <c r="E255" s="537" t="s">
        <v>337</v>
      </c>
    </row>
    <row r="256" spans="1:5">
      <c r="A256" s="534" t="str">
        <f t="shared" si="4"/>
        <v>INDEC-MO - 51690-1</v>
      </c>
      <c r="B256" s="534">
        <v>51690</v>
      </c>
      <c r="C256" s="534" t="s">
        <v>44</v>
      </c>
      <c r="D256" s="534">
        <v>1</v>
      </c>
      <c r="E256" s="537" t="s">
        <v>338</v>
      </c>
    </row>
    <row r="257" spans="1:7">
      <c r="A257" s="534" t="str">
        <f t="shared" si="4"/>
        <v>INDEC-MO - 51630-1</v>
      </c>
      <c r="B257" s="534">
        <v>51630</v>
      </c>
      <c r="C257" s="534" t="s">
        <v>44</v>
      </c>
      <c r="D257" s="534">
        <v>1</v>
      </c>
      <c r="E257" s="537" t="s">
        <v>339</v>
      </c>
    </row>
    <row r="258" spans="1:7">
      <c r="A258" s="539" t="str">
        <f t="shared" si="4"/>
        <v>INDEC-MO - 51720-1</v>
      </c>
      <c r="B258" s="539">
        <v>51720</v>
      </c>
      <c r="C258" s="539" t="s">
        <v>44</v>
      </c>
      <c r="D258" s="539">
        <v>1</v>
      </c>
      <c r="E258" s="546" t="s">
        <v>340</v>
      </c>
      <c r="F258" s="533" t="s">
        <v>2037</v>
      </c>
    </row>
    <row r="259" spans="1:7">
      <c r="A259" s="534" t="str">
        <f t="shared" si="4"/>
        <v>INDEC-MO - 51730-1</v>
      </c>
      <c r="B259" s="534">
        <v>51730</v>
      </c>
      <c r="C259" s="534" t="s">
        <v>44</v>
      </c>
      <c r="D259" s="534">
        <v>1</v>
      </c>
      <c r="E259" s="537" t="s">
        <v>341</v>
      </c>
    </row>
    <row r="262" spans="1:7">
      <c r="A262" s="542"/>
      <c r="B262" s="532" t="s">
        <v>543</v>
      </c>
      <c r="C262" s="16"/>
      <c r="D262" s="16"/>
      <c r="E262" s="16"/>
      <c r="F262" s="16"/>
      <c r="G262" s="542"/>
    </row>
    <row r="263" spans="1:7">
      <c r="A263" s="547"/>
      <c r="B263" s="16"/>
      <c r="C263" s="16"/>
      <c r="D263" s="548"/>
      <c r="E263" s="17"/>
      <c r="F263" s="17"/>
      <c r="G263" s="549"/>
    </row>
    <row r="264" spans="1:7">
      <c r="A264" s="689" t="s">
        <v>342</v>
      </c>
      <c r="B264" s="689" t="s">
        <v>41</v>
      </c>
      <c r="C264" s="689"/>
      <c r="D264" s="689"/>
      <c r="E264" s="689" t="s">
        <v>330</v>
      </c>
      <c r="F264" s="550"/>
      <c r="G264" s="550"/>
    </row>
    <row r="265" spans="1:7">
      <c r="A265" s="689"/>
      <c r="B265" s="689"/>
      <c r="C265" s="689"/>
      <c r="D265" s="689"/>
      <c r="E265" s="689"/>
      <c r="F265" s="550"/>
      <c r="G265" s="550"/>
    </row>
    <row r="266" spans="1:7">
      <c r="A266" s="17"/>
      <c r="B266" s="16"/>
      <c r="C266" s="16"/>
      <c r="D266" s="16"/>
      <c r="E266" s="17"/>
      <c r="F266" s="17"/>
      <c r="G266" s="17"/>
    </row>
    <row r="267" spans="1:7">
      <c r="A267" s="534" t="str">
        <f>CONCATENATE("INDEC-MO - ",B267,C267,D267)</f>
        <v>INDEC-MO - 51720-1</v>
      </c>
      <c r="B267" s="534">
        <v>51720</v>
      </c>
      <c r="C267" s="534" t="s">
        <v>44</v>
      </c>
      <c r="D267" s="534">
        <v>1</v>
      </c>
      <c r="E267" s="15" t="s">
        <v>544</v>
      </c>
      <c r="F267" s="17"/>
      <c r="G267" s="17"/>
    </row>
    <row r="268" spans="1:7">
      <c r="A268" s="17"/>
      <c r="B268" s="16"/>
      <c r="C268" s="16"/>
      <c r="D268" s="16"/>
      <c r="E268" s="17"/>
      <c r="F268" s="17"/>
      <c r="G268" s="17"/>
    </row>
    <row r="271" spans="1:7">
      <c r="A271" s="531"/>
      <c r="B271" s="532" t="s">
        <v>343</v>
      </c>
      <c r="C271" s="532"/>
      <c r="D271" s="532"/>
    </row>
    <row r="273" spans="1:6">
      <c r="A273" s="689" t="s">
        <v>342</v>
      </c>
      <c r="B273" s="689" t="s">
        <v>41</v>
      </c>
      <c r="C273" s="689"/>
      <c r="D273" s="689"/>
      <c r="E273" s="689" t="s">
        <v>344</v>
      </c>
    </row>
    <row r="274" spans="1:6">
      <c r="A274" s="689"/>
      <c r="B274" s="689" t="s">
        <v>43</v>
      </c>
      <c r="C274" s="689"/>
      <c r="D274" s="689"/>
      <c r="E274" s="689"/>
    </row>
    <row r="275" spans="1:6">
      <c r="E275" s="536"/>
    </row>
    <row r="276" spans="1:6">
      <c r="A276" s="534" t="str">
        <f t="shared" ref="A276:A283" si="5">CONCATENATE("INDEC-EC - ",B276,C276,D276)</f>
        <v>INDEC-EC - 43520-11</v>
      </c>
      <c r="B276" s="534">
        <v>43520</v>
      </c>
      <c r="C276" s="534" t="s">
        <v>44</v>
      </c>
      <c r="D276" s="534">
        <v>11</v>
      </c>
      <c r="E276" s="537" t="s">
        <v>345</v>
      </c>
    </row>
    <row r="277" spans="1:6">
      <c r="A277" s="534" t="str">
        <f t="shared" si="5"/>
        <v>INDEC-EC - 44440-2</v>
      </c>
      <c r="B277" s="534">
        <v>44440</v>
      </c>
      <c r="C277" s="534" t="s">
        <v>44</v>
      </c>
      <c r="D277" s="534">
        <v>2</v>
      </c>
      <c r="E277" s="537" t="s">
        <v>346</v>
      </c>
    </row>
    <row r="278" spans="1:6">
      <c r="A278" s="534" t="str">
        <f t="shared" si="5"/>
        <v>INDEC-EC - 44221-11</v>
      </c>
      <c r="B278" s="534">
        <v>44221</v>
      </c>
      <c r="C278" s="534" t="s">
        <v>44</v>
      </c>
      <c r="D278" s="534">
        <v>11</v>
      </c>
      <c r="E278" s="537" t="s">
        <v>347</v>
      </c>
    </row>
    <row r="279" spans="1:6">
      <c r="A279" s="534" t="str">
        <f t="shared" si="5"/>
        <v>INDEC-EC - 44221-12</v>
      </c>
      <c r="B279" s="534">
        <v>44221</v>
      </c>
      <c r="C279" s="534" t="s">
        <v>44</v>
      </c>
      <c r="D279" s="534">
        <v>12</v>
      </c>
      <c r="E279" s="537" t="s">
        <v>348</v>
      </c>
    </row>
    <row r="280" spans="1:6">
      <c r="A280" s="534" t="str">
        <f t="shared" si="5"/>
        <v>INDEC-EC - 43520-21</v>
      </c>
      <c r="B280" s="534">
        <v>43520</v>
      </c>
      <c r="C280" s="534" t="s">
        <v>44</v>
      </c>
      <c r="D280" s="534">
        <v>21</v>
      </c>
      <c r="E280" s="537" t="s">
        <v>349</v>
      </c>
    </row>
    <row r="281" spans="1:6">
      <c r="A281" s="534" t="str">
        <f t="shared" si="5"/>
        <v>INDEC-EC - 44231-21</v>
      </c>
      <c r="B281" s="534">
        <v>44231</v>
      </c>
      <c r="C281" s="534" t="s">
        <v>44</v>
      </c>
      <c r="D281" s="534">
        <v>21</v>
      </c>
      <c r="E281" s="537" t="s">
        <v>350</v>
      </c>
    </row>
    <row r="282" spans="1:6">
      <c r="A282" s="539" t="str">
        <f t="shared" si="5"/>
        <v>INDEC-EC - 44440-11</v>
      </c>
      <c r="B282" s="539">
        <v>44440</v>
      </c>
      <c r="C282" s="539" t="s">
        <v>44</v>
      </c>
      <c r="D282" s="539">
        <v>11</v>
      </c>
      <c r="E282" s="546" t="s">
        <v>351</v>
      </c>
      <c r="F282" s="533" t="s">
        <v>2037</v>
      </c>
    </row>
    <row r="283" spans="1:6">
      <c r="A283" s="534" t="str">
        <f t="shared" si="5"/>
        <v>INDEC-EC - 44231-11</v>
      </c>
      <c r="B283" s="534">
        <v>44231</v>
      </c>
      <c r="C283" s="534" t="s">
        <v>44</v>
      </c>
      <c r="D283" s="534">
        <v>11</v>
      </c>
      <c r="E283" s="537" t="s">
        <v>352</v>
      </c>
    </row>
    <row r="286" spans="1:6">
      <c r="A286" s="531"/>
      <c r="B286" s="532" t="s">
        <v>353</v>
      </c>
      <c r="C286" s="532"/>
      <c r="D286" s="532"/>
    </row>
    <row r="288" spans="1:6">
      <c r="A288" s="689" t="s">
        <v>342</v>
      </c>
      <c r="B288" s="689" t="s">
        <v>41</v>
      </c>
      <c r="C288" s="689"/>
      <c r="D288" s="689"/>
      <c r="E288" s="689" t="s">
        <v>354</v>
      </c>
    </row>
    <row r="289" spans="1:7">
      <c r="A289" s="689"/>
      <c r="B289" s="689" t="s">
        <v>43</v>
      </c>
      <c r="C289" s="689"/>
      <c r="D289" s="689"/>
      <c r="E289" s="689"/>
    </row>
    <row r="290" spans="1:7">
      <c r="E290" s="536"/>
    </row>
    <row r="291" spans="1:7">
      <c r="A291" s="534" t="str">
        <f t="shared" ref="A291:A298" si="6">CONCATENATE("INDEC-SA - ",B291,C291,D291)</f>
        <v>INDEC-SA - 83107-1</v>
      </c>
      <c r="B291" s="534">
        <v>83107</v>
      </c>
      <c r="C291" s="534" t="s">
        <v>44</v>
      </c>
      <c r="D291" s="534">
        <v>1</v>
      </c>
      <c r="E291" s="533" t="s">
        <v>355</v>
      </c>
    </row>
    <row r="292" spans="1:7">
      <c r="A292" s="534" t="str">
        <f t="shared" si="6"/>
        <v>INDEC-SA - 71240-21</v>
      </c>
      <c r="B292" s="534">
        <v>71240</v>
      </c>
      <c r="C292" s="534" t="s">
        <v>44</v>
      </c>
      <c r="D292" s="534">
        <v>21</v>
      </c>
      <c r="E292" s="533" t="s">
        <v>356</v>
      </c>
    </row>
    <row r="293" spans="1:7">
      <c r="A293" s="534" t="str">
        <f t="shared" si="6"/>
        <v>INDEC-SA - 71240-31</v>
      </c>
      <c r="B293" s="534">
        <v>71240</v>
      </c>
      <c r="C293" s="534" t="s">
        <v>44</v>
      </c>
      <c r="D293" s="534">
        <v>31</v>
      </c>
      <c r="E293" s="533" t="s">
        <v>357</v>
      </c>
    </row>
    <row r="294" spans="1:7">
      <c r="A294" s="534" t="str">
        <f t="shared" si="6"/>
        <v>INDEC-SA - 71240-11</v>
      </c>
      <c r="B294" s="534">
        <v>71240</v>
      </c>
      <c r="C294" s="534" t="s">
        <v>44</v>
      </c>
      <c r="D294" s="534">
        <v>11</v>
      </c>
      <c r="E294" s="533" t="s">
        <v>358</v>
      </c>
    </row>
    <row r="295" spans="1:7">
      <c r="A295" s="534" t="str">
        <f t="shared" si="6"/>
        <v>INDEC-SA - 74110-11</v>
      </c>
      <c r="B295" s="534">
        <v>74110</v>
      </c>
      <c r="C295" s="534" t="s">
        <v>44</v>
      </c>
      <c r="D295" s="534">
        <v>11</v>
      </c>
      <c r="E295" s="533" t="s">
        <v>359</v>
      </c>
    </row>
    <row r="296" spans="1:7">
      <c r="A296" s="534" t="str">
        <f t="shared" si="6"/>
        <v>INDEC-SA - 71233-11</v>
      </c>
      <c r="B296" s="534">
        <v>71233</v>
      </c>
      <c r="C296" s="534" t="s">
        <v>44</v>
      </c>
      <c r="D296" s="534">
        <v>11</v>
      </c>
      <c r="E296" s="533" t="s">
        <v>360</v>
      </c>
    </row>
    <row r="297" spans="1:7">
      <c r="A297" s="534" t="str">
        <f t="shared" si="6"/>
        <v>INDEC-SA - 51800-11</v>
      </c>
      <c r="B297" s="534">
        <v>51800</v>
      </c>
      <c r="C297" s="534" t="s">
        <v>44</v>
      </c>
      <c r="D297" s="534">
        <v>11</v>
      </c>
      <c r="E297" s="551" t="s">
        <v>361</v>
      </c>
    </row>
    <row r="298" spans="1:7">
      <c r="A298" s="534" t="str">
        <f t="shared" si="6"/>
        <v>INDEC-SA - 51800-21</v>
      </c>
      <c r="B298" s="534">
        <v>51800</v>
      </c>
      <c r="C298" s="534" t="s">
        <v>44</v>
      </c>
      <c r="D298" s="534">
        <v>21</v>
      </c>
      <c r="E298" s="533" t="s">
        <v>362</v>
      </c>
    </row>
    <row r="301" spans="1:7">
      <c r="A301" s="552"/>
      <c r="B301" s="532" t="s">
        <v>502</v>
      </c>
      <c r="C301" s="553"/>
      <c r="D301" s="553"/>
      <c r="E301" s="552"/>
      <c r="F301" s="552"/>
      <c r="G301" s="552"/>
    </row>
    <row r="303" spans="1:7">
      <c r="A303" s="689" t="s">
        <v>342</v>
      </c>
      <c r="B303" s="689" t="s">
        <v>41</v>
      </c>
      <c r="C303" s="689"/>
      <c r="D303" s="689"/>
      <c r="E303" s="689" t="s">
        <v>42</v>
      </c>
    </row>
    <row r="304" spans="1:7">
      <c r="A304" s="689"/>
      <c r="B304" s="689" t="s">
        <v>43</v>
      </c>
      <c r="C304" s="689"/>
      <c r="D304" s="689"/>
      <c r="E304" s="689"/>
    </row>
    <row r="305" spans="1:6">
      <c r="A305" s="536"/>
      <c r="B305" s="536"/>
      <c r="C305" s="536"/>
      <c r="D305" s="536"/>
      <c r="E305" s="536"/>
    </row>
    <row r="306" spans="1:6">
      <c r="A306" s="534" t="str">
        <f t="shared" ref="A306:A369" si="7">CONCATENATE("INDEC-PB - ",B306,C306,D306)</f>
        <v>INDEC-PB - 42120-1</v>
      </c>
      <c r="B306" s="534">
        <v>42120</v>
      </c>
      <c r="C306" s="534" t="s">
        <v>44</v>
      </c>
      <c r="D306" s="534">
        <v>1</v>
      </c>
      <c r="E306" s="554" t="s">
        <v>363</v>
      </c>
    </row>
    <row r="307" spans="1:6">
      <c r="A307" s="534" t="str">
        <f t="shared" si="7"/>
        <v>INDEC-PB - 42120-2</v>
      </c>
      <c r="B307" s="534">
        <v>42120</v>
      </c>
      <c r="C307" s="534" t="s">
        <v>44</v>
      </c>
      <c r="D307" s="534">
        <v>2</v>
      </c>
      <c r="E307" s="554" t="s">
        <v>364</v>
      </c>
    </row>
    <row r="308" spans="1:6">
      <c r="A308" s="534" t="str">
        <f t="shared" si="7"/>
        <v>INDEC-PB - 37910-1</v>
      </c>
      <c r="B308" s="534">
        <v>37910</v>
      </c>
      <c r="C308" s="534" t="s">
        <v>44</v>
      </c>
      <c r="D308" s="534">
        <v>1</v>
      </c>
      <c r="E308" s="554" t="s">
        <v>365</v>
      </c>
    </row>
    <row r="309" spans="1:6">
      <c r="A309" s="534" t="str">
        <f t="shared" si="7"/>
        <v>INDEC-PB - 42921-4</v>
      </c>
      <c r="B309" s="534">
        <v>42921</v>
      </c>
      <c r="C309" s="534" t="s">
        <v>44</v>
      </c>
      <c r="D309" s="534">
        <v>4</v>
      </c>
      <c r="E309" s="554" t="s">
        <v>366</v>
      </c>
    </row>
    <row r="310" spans="1:6">
      <c r="A310" s="534" t="str">
        <f t="shared" si="7"/>
        <v>INDEC-PB - 44251-1</v>
      </c>
      <c r="B310" s="534">
        <v>44251</v>
      </c>
      <c r="C310" s="534" t="s">
        <v>44</v>
      </c>
      <c r="D310" s="534">
        <v>1</v>
      </c>
      <c r="E310" s="554" t="s">
        <v>367</v>
      </c>
    </row>
    <row r="311" spans="1:6">
      <c r="A311" s="534" t="str">
        <f t="shared" si="7"/>
        <v>INDEC-PB - 42922-1</v>
      </c>
      <c r="B311" s="534">
        <v>42922</v>
      </c>
      <c r="C311" s="534" t="s">
        <v>44</v>
      </c>
      <c r="D311" s="534">
        <v>1</v>
      </c>
      <c r="E311" s="554" t="s">
        <v>368</v>
      </c>
    </row>
    <row r="312" spans="1:6">
      <c r="A312" s="534" t="str">
        <f t="shared" si="7"/>
        <v>INDEC-PB - 33380-1</v>
      </c>
      <c r="B312" s="534">
        <v>33380</v>
      </c>
      <c r="C312" s="534" t="s">
        <v>44</v>
      </c>
      <c r="D312" s="534">
        <v>1</v>
      </c>
      <c r="E312" s="554" t="s">
        <v>369</v>
      </c>
    </row>
    <row r="313" spans="1:6">
      <c r="A313" s="534" t="str">
        <f t="shared" si="7"/>
        <v>INDEC-PB - 49229-1</v>
      </c>
      <c r="B313" s="534">
        <v>49229</v>
      </c>
      <c r="C313" s="534" t="s">
        <v>44</v>
      </c>
      <c r="D313" s="534">
        <v>1</v>
      </c>
      <c r="E313" s="554" t="s">
        <v>370</v>
      </c>
    </row>
    <row r="314" spans="1:6">
      <c r="A314" s="534" t="str">
        <f t="shared" si="7"/>
        <v>INDEC-PB - 46420-1</v>
      </c>
      <c r="B314" s="534">
        <v>46420</v>
      </c>
      <c r="C314" s="534" t="s">
        <v>44</v>
      </c>
      <c r="D314" s="534">
        <v>1</v>
      </c>
      <c r="E314" s="554" t="s">
        <v>371</v>
      </c>
    </row>
    <row r="315" spans="1:6">
      <c r="A315" s="534" t="str">
        <f t="shared" si="7"/>
        <v>INDEC-PB - 41263-1</v>
      </c>
      <c r="B315" s="534">
        <v>41263</v>
      </c>
      <c r="C315" s="534" t="s">
        <v>44</v>
      </c>
      <c r="D315" s="534">
        <v>1</v>
      </c>
      <c r="E315" s="554" t="s">
        <v>372</v>
      </c>
    </row>
    <row r="316" spans="1:6">
      <c r="A316" s="539" t="str">
        <f t="shared" si="7"/>
        <v>INDEC-PB - 41241-1</v>
      </c>
      <c r="B316" s="539">
        <v>41241</v>
      </c>
      <c r="C316" s="539" t="s">
        <v>44</v>
      </c>
      <c r="D316" s="539">
        <v>1</v>
      </c>
      <c r="E316" s="555" t="s">
        <v>373</v>
      </c>
      <c r="F316" s="533" t="s">
        <v>2037</v>
      </c>
    </row>
    <row r="317" spans="1:6">
      <c r="A317" s="534" t="str">
        <f t="shared" si="7"/>
        <v>INDEC-PB - 44216-1</v>
      </c>
      <c r="B317" s="534">
        <v>44216</v>
      </c>
      <c r="C317" s="534" t="s">
        <v>44</v>
      </c>
      <c r="D317" s="534">
        <v>1</v>
      </c>
      <c r="E317" s="554" t="s">
        <v>374</v>
      </c>
    </row>
    <row r="318" spans="1:6">
      <c r="A318" s="534" t="str">
        <f t="shared" si="7"/>
        <v>INDEC-PB - 15400-1</v>
      </c>
      <c r="B318" s="534">
        <v>15400</v>
      </c>
      <c r="C318" s="534" t="s">
        <v>44</v>
      </c>
      <c r="D318" s="534">
        <v>1</v>
      </c>
      <c r="E318" s="554" t="s">
        <v>375</v>
      </c>
    </row>
    <row r="319" spans="1:6">
      <c r="A319" s="534" t="str">
        <f t="shared" si="7"/>
        <v>INDEC-PB - 15310-1</v>
      </c>
      <c r="B319" s="534">
        <v>15310</v>
      </c>
      <c r="C319" s="534" t="s">
        <v>44</v>
      </c>
      <c r="D319" s="534">
        <v>1</v>
      </c>
      <c r="E319" s="554" t="s">
        <v>376</v>
      </c>
    </row>
    <row r="320" spans="1:6">
      <c r="A320" s="539" t="str">
        <f t="shared" si="7"/>
        <v>INDEC-PB - 37210-1</v>
      </c>
      <c r="B320" s="539">
        <v>37210</v>
      </c>
      <c r="C320" s="539" t="s">
        <v>44</v>
      </c>
      <c r="D320" s="539">
        <v>1</v>
      </c>
      <c r="E320" s="555" t="s">
        <v>377</v>
      </c>
      <c r="F320" s="533" t="s">
        <v>2037</v>
      </c>
    </row>
    <row r="321" spans="1:6">
      <c r="A321" s="539" t="str">
        <f t="shared" si="7"/>
        <v>INDEC-PB - 37540-2</v>
      </c>
      <c r="B321" s="539">
        <v>37540</v>
      </c>
      <c r="C321" s="539" t="s">
        <v>44</v>
      </c>
      <c r="D321" s="539">
        <v>2</v>
      </c>
      <c r="E321" s="555" t="s">
        <v>378</v>
      </c>
      <c r="F321" s="533" t="s">
        <v>2037</v>
      </c>
    </row>
    <row r="322" spans="1:6">
      <c r="A322" s="534" t="str">
        <f t="shared" si="7"/>
        <v>INDEC-PB - 49113-1</v>
      </c>
      <c r="B322" s="534">
        <v>49113</v>
      </c>
      <c r="C322" s="534" t="s">
        <v>44</v>
      </c>
      <c r="D322" s="534">
        <v>1</v>
      </c>
      <c r="E322" s="554" t="s">
        <v>379</v>
      </c>
    </row>
    <row r="323" spans="1:6">
      <c r="A323" s="534" t="str">
        <f t="shared" si="7"/>
        <v>INDEC-PB - 36270-1</v>
      </c>
      <c r="B323" s="534">
        <v>36270</v>
      </c>
      <c r="C323" s="534" t="s">
        <v>44</v>
      </c>
      <c r="D323" s="534">
        <v>1</v>
      </c>
      <c r="E323" s="554" t="s">
        <v>380</v>
      </c>
    </row>
    <row r="324" spans="1:6">
      <c r="A324" s="534" t="str">
        <f t="shared" si="7"/>
        <v>INDEC-PB - 46539-1</v>
      </c>
      <c r="B324" s="534">
        <v>46539</v>
      </c>
      <c r="C324" s="534" t="s">
        <v>44</v>
      </c>
      <c r="D324" s="534">
        <v>1</v>
      </c>
      <c r="E324" s="554" t="s">
        <v>381</v>
      </c>
    </row>
    <row r="325" spans="1:6">
      <c r="A325" s="534" t="str">
        <f t="shared" si="7"/>
        <v>INDEC-PB - 37370-1</v>
      </c>
      <c r="B325" s="534">
        <v>37370</v>
      </c>
      <c r="C325" s="534" t="s">
        <v>44</v>
      </c>
      <c r="D325" s="534">
        <v>1</v>
      </c>
      <c r="E325" s="554" t="s">
        <v>382</v>
      </c>
    </row>
    <row r="326" spans="1:6">
      <c r="A326" s="534" t="str">
        <f t="shared" si="7"/>
        <v>INDEC-PB - 35110-4</v>
      </c>
      <c r="B326" s="534">
        <v>35110</v>
      </c>
      <c r="C326" s="534" t="s">
        <v>44</v>
      </c>
      <c r="D326" s="534">
        <v>4</v>
      </c>
      <c r="E326" s="554" t="s">
        <v>383</v>
      </c>
    </row>
    <row r="327" spans="1:6">
      <c r="A327" s="534" t="str">
        <f t="shared" si="7"/>
        <v>INDEC-PB - 41261-1</v>
      </c>
      <c r="B327" s="534">
        <v>41261</v>
      </c>
      <c r="C327" s="534" t="s">
        <v>44</v>
      </c>
      <c r="D327" s="534">
        <v>1</v>
      </c>
      <c r="E327" s="554" t="s">
        <v>384</v>
      </c>
    </row>
    <row r="328" spans="1:6">
      <c r="A328" s="534" t="str">
        <f t="shared" si="7"/>
        <v>INDEC-PB - 36490-6</v>
      </c>
      <c r="B328" s="534">
        <v>36490</v>
      </c>
      <c r="C328" s="534" t="s">
        <v>44</v>
      </c>
      <c r="D328" s="534">
        <v>6</v>
      </c>
      <c r="E328" s="554" t="s">
        <v>385</v>
      </c>
    </row>
    <row r="329" spans="1:6">
      <c r="A329" s="534" t="str">
        <f t="shared" si="7"/>
        <v>INDEC-PB - 42944-1</v>
      </c>
      <c r="B329" s="534">
        <v>42944</v>
      </c>
      <c r="C329" s="534" t="s">
        <v>44</v>
      </c>
      <c r="D329" s="534">
        <v>1</v>
      </c>
      <c r="E329" s="554" t="s">
        <v>386</v>
      </c>
    </row>
    <row r="330" spans="1:6">
      <c r="A330" s="534" t="str">
        <f t="shared" si="7"/>
        <v>INDEC-PB - 42320-1</v>
      </c>
      <c r="B330" s="534">
        <v>42320</v>
      </c>
      <c r="C330" s="534" t="s">
        <v>44</v>
      </c>
      <c r="D330" s="534">
        <v>1</v>
      </c>
      <c r="E330" s="554" t="s">
        <v>387</v>
      </c>
    </row>
    <row r="331" spans="1:6">
      <c r="A331" s="534" t="str">
        <f t="shared" si="7"/>
        <v>INDEC-PB - 37420-1</v>
      </c>
      <c r="B331" s="534">
        <v>37420</v>
      </c>
      <c r="C331" s="534" t="s">
        <v>44</v>
      </c>
      <c r="D331" s="534">
        <v>1</v>
      </c>
      <c r="E331" s="554" t="s">
        <v>388</v>
      </c>
    </row>
    <row r="332" spans="1:6">
      <c r="A332" s="539" t="str">
        <f t="shared" si="7"/>
        <v>INDEC-PB - 49115-2</v>
      </c>
      <c r="B332" s="539">
        <v>49115</v>
      </c>
      <c r="C332" s="539" t="s">
        <v>44</v>
      </c>
      <c r="D332" s="539">
        <v>2</v>
      </c>
      <c r="E332" s="555" t="s">
        <v>389</v>
      </c>
      <c r="F332" s="533" t="s">
        <v>2037</v>
      </c>
    </row>
    <row r="333" spans="1:6">
      <c r="A333" s="539" t="str">
        <f t="shared" si="7"/>
        <v>INDEC-PB - 36320-3</v>
      </c>
      <c r="B333" s="539">
        <v>36320</v>
      </c>
      <c r="C333" s="539" t="s">
        <v>44</v>
      </c>
      <c r="D333" s="539">
        <v>3</v>
      </c>
      <c r="E333" s="555" t="s">
        <v>390</v>
      </c>
      <c r="F333" s="533" t="s">
        <v>2037</v>
      </c>
    </row>
    <row r="334" spans="1:6">
      <c r="A334" s="539" t="str">
        <f t="shared" si="7"/>
        <v>INDEC-PB - 36320-2</v>
      </c>
      <c r="B334" s="539">
        <v>36320</v>
      </c>
      <c r="C334" s="539" t="s">
        <v>44</v>
      </c>
      <c r="D334" s="539">
        <v>2</v>
      </c>
      <c r="E334" s="555" t="s">
        <v>391</v>
      </c>
      <c r="F334" s="533" t="s">
        <v>2037</v>
      </c>
    </row>
    <row r="335" spans="1:6">
      <c r="A335" s="534" t="str">
        <f t="shared" si="7"/>
        <v>INDEC-PB - 36320-1</v>
      </c>
      <c r="B335" s="534">
        <v>36320</v>
      </c>
      <c r="C335" s="534" t="s">
        <v>44</v>
      </c>
      <c r="D335" s="534">
        <v>1</v>
      </c>
      <c r="E335" s="554" t="s">
        <v>392</v>
      </c>
    </row>
    <row r="336" spans="1:6">
      <c r="A336" s="534" t="str">
        <f t="shared" si="7"/>
        <v>INDEC-PB - 46220-1</v>
      </c>
      <c r="B336" s="534">
        <v>46220</v>
      </c>
      <c r="C336" s="534" t="s">
        <v>44</v>
      </c>
      <c r="D336" s="534">
        <v>1</v>
      </c>
      <c r="E336" s="554" t="s">
        <v>393</v>
      </c>
    </row>
    <row r="337" spans="1:6">
      <c r="A337" s="539" t="str">
        <f t="shared" si="7"/>
        <v>INDEC-PB - 34800-1</v>
      </c>
      <c r="B337" s="539">
        <v>34800</v>
      </c>
      <c r="C337" s="539" t="s">
        <v>44</v>
      </c>
      <c r="D337" s="539">
        <v>1</v>
      </c>
      <c r="E337" s="555" t="s">
        <v>394</v>
      </c>
      <c r="F337" s="533" t="s">
        <v>2037</v>
      </c>
    </row>
    <row r="338" spans="1:6">
      <c r="A338" s="534" t="str">
        <f t="shared" si="7"/>
        <v>INDEC-PB - 37440-1</v>
      </c>
      <c r="B338" s="534">
        <v>37440</v>
      </c>
      <c r="C338" s="534" t="s">
        <v>44</v>
      </c>
      <c r="D338" s="534">
        <v>1</v>
      </c>
      <c r="E338" s="554" t="s">
        <v>395</v>
      </c>
    </row>
    <row r="339" spans="1:6">
      <c r="A339" s="534" t="str">
        <f t="shared" si="7"/>
        <v>INDEC-PB - 42992-1</v>
      </c>
      <c r="B339" s="534">
        <v>42992</v>
      </c>
      <c r="C339" s="534" t="s">
        <v>44</v>
      </c>
      <c r="D339" s="534">
        <v>1</v>
      </c>
      <c r="E339" s="554" t="s">
        <v>396</v>
      </c>
    </row>
    <row r="340" spans="1:6">
      <c r="A340" s="534" t="str">
        <f t="shared" si="7"/>
        <v>INDEC-PB - 42999-2</v>
      </c>
      <c r="B340" s="534">
        <v>42999</v>
      </c>
      <c r="C340" s="534" t="s">
        <v>44</v>
      </c>
      <c r="D340" s="534">
        <v>2</v>
      </c>
      <c r="E340" s="554" t="s">
        <v>397</v>
      </c>
    </row>
    <row r="341" spans="1:6">
      <c r="A341" s="534" t="str">
        <f t="shared" si="7"/>
        <v>INDEC-PB - 42944-2</v>
      </c>
      <c r="B341" s="534">
        <v>42944</v>
      </c>
      <c r="C341" s="534" t="s">
        <v>44</v>
      </c>
      <c r="D341" s="534">
        <v>2</v>
      </c>
      <c r="E341" s="554" t="s">
        <v>398</v>
      </c>
    </row>
    <row r="342" spans="1:6">
      <c r="A342" s="534" t="str">
        <f t="shared" si="7"/>
        <v>INDEC-PB - 43230-1</v>
      </c>
      <c r="B342" s="534">
        <v>43230</v>
      </c>
      <c r="C342" s="534" t="s">
        <v>44</v>
      </c>
      <c r="D342" s="534">
        <v>1</v>
      </c>
      <c r="E342" s="554" t="s">
        <v>399</v>
      </c>
    </row>
    <row r="343" spans="1:6">
      <c r="A343" s="534" t="str">
        <f t="shared" si="7"/>
        <v>INDEC-PB - 46340-1</v>
      </c>
      <c r="B343" s="534">
        <v>46340</v>
      </c>
      <c r="C343" s="534" t="s">
        <v>44</v>
      </c>
      <c r="D343" s="534">
        <v>1</v>
      </c>
      <c r="E343" s="554" t="s">
        <v>400</v>
      </c>
    </row>
    <row r="344" spans="1:6">
      <c r="A344" s="539" t="str">
        <f t="shared" si="7"/>
        <v>INDEC-PB - 36270-2</v>
      </c>
      <c r="B344" s="539">
        <v>36270</v>
      </c>
      <c r="C344" s="539" t="s">
        <v>44</v>
      </c>
      <c r="D344" s="539">
        <v>2</v>
      </c>
      <c r="E344" s="555" t="s">
        <v>401</v>
      </c>
      <c r="F344" s="533" t="s">
        <v>2037</v>
      </c>
    </row>
    <row r="345" spans="1:6">
      <c r="A345" s="534" t="str">
        <f t="shared" si="7"/>
        <v>INDEC-PB - 42190-2</v>
      </c>
      <c r="B345" s="534">
        <v>42190</v>
      </c>
      <c r="C345" s="534" t="s">
        <v>44</v>
      </c>
      <c r="D345" s="534">
        <v>2</v>
      </c>
      <c r="E345" s="554" t="s">
        <v>402</v>
      </c>
    </row>
    <row r="346" spans="1:6">
      <c r="A346" s="534" t="str">
        <f t="shared" si="7"/>
        <v>INDEC-PB - 36990-2</v>
      </c>
      <c r="B346" s="534">
        <v>36990</v>
      </c>
      <c r="C346" s="534" t="s">
        <v>44</v>
      </c>
      <c r="D346" s="534">
        <v>2</v>
      </c>
      <c r="E346" s="554" t="s">
        <v>403</v>
      </c>
    </row>
    <row r="347" spans="1:6">
      <c r="A347" s="539" t="str">
        <f t="shared" si="7"/>
        <v>INDEC-PB - 31600-1</v>
      </c>
      <c r="B347" s="539">
        <v>31600</v>
      </c>
      <c r="C347" s="539" t="s">
        <v>44</v>
      </c>
      <c r="D347" s="539">
        <v>1</v>
      </c>
      <c r="E347" s="555" t="s">
        <v>404</v>
      </c>
      <c r="F347" s="533" t="s">
        <v>2037</v>
      </c>
    </row>
    <row r="348" spans="1:6">
      <c r="A348" s="534" t="str">
        <f t="shared" si="7"/>
        <v>INDEC-PB - 32600-1</v>
      </c>
      <c r="B348" s="534">
        <v>32600</v>
      </c>
      <c r="C348" s="534" t="s">
        <v>44</v>
      </c>
      <c r="D348" s="534">
        <v>1</v>
      </c>
      <c r="E348" s="554" t="s">
        <v>405</v>
      </c>
    </row>
    <row r="349" spans="1:6">
      <c r="A349" s="534" t="str">
        <f t="shared" si="7"/>
        <v>INDEC-PB - 36111-3</v>
      </c>
      <c r="B349" s="534">
        <v>36111</v>
      </c>
      <c r="C349" s="534" t="s">
        <v>44</v>
      </c>
      <c r="D349" s="534">
        <v>3</v>
      </c>
      <c r="E349" s="554" t="s">
        <v>406</v>
      </c>
    </row>
    <row r="350" spans="1:6">
      <c r="A350" s="534" t="str">
        <f t="shared" si="7"/>
        <v>INDEC-PB - 36111-2</v>
      </c>
      <c r="B350" s="534">
        <v>36111</v>
      </c>
      <c r="C350" s="534" t="s">
        <v>44</v>
      </c>
      <c r="D350" s="534">
        <v>2</v>
      </c>
      <c r="E350" s="554" t="s">
        <v>407</v>
      </c>
    </row>
    <row r="351" spans="1:6">
      <c r="A351" s="539" t="str">
        <f t="shared" si="7"/>
        <v>INDEC-PB - 36111-1</v>
      </c>
      <c r="B351" s="539">
        <v>36111</v>
      </c>
      <c r="C351" s="539" t="s">
        <v>44</v>
      </c>
      <c r="D351" s="539">
        <v>1</v>
      </c>
      <c r="E351" s="555" t="s">
        <v>408</v>
      </c>
      <c r="F351" s="533" t="s">
        <v>2037</v>
      </c>
    </row>
    <row r="352" spans="1:6">
      <c r="A352" s="534" t="str">
        <f t="shared" si="7"/>
        <v>INDEC-PB - 42921-1</v>
      </c>
      <c r="B352" s="534">
        <v>42921</v>
      </c>
      <c r="C352" s="534" t="s">
        <v>44</v>
      </c>
      <c r="D352" s="534">
        <v>1</v>
      </c>
      <c r="E352" s="554" t="s">
        <v>409</v>
      </c>
    </row>
    <row r="353" spans="1:6">
      <c r="A353" s="539" t="str">
        <f t="shared" si="7"/>
        <v>INDEC-PB - 34800-2</v>
      </c>
      <c r="B353" s="539">
        <v>34800</v>
      </c>
      <c r="C353" s="539" t="s">
        <v>44</v>
      </c>
      <c r="D353" s="539">
        <v>2</v>
      </c>
      <c r="E353" s="555" t="s">
        <v>410</v>
      </c>
      <c r="F353" s="533" t="s">
        <v>2037</v>
      </c>
    </row>
    <row r="354" spans="1:6">
      <c r="A354" s="534" t="str">
        <f t="shared" si="7"/>
        <v>INDEC-PB - 49129-1</v>
      </c>
      <c r="B354" s="534">
        <v>49129</v>
      </c>
      <c r="C354" s="534" t="s">
        <v>44</v>
      </c>
      <c r="D354" s="534">
        <v>1</v>
      </c>
      <c r="E354" s="554" t="s">
        <v>411</v>
      </c>
    </row>
    <row r="355" spans="1:6">
      <c r="A355" s="534" t="str">
        <f t="shared" si="7"/>
        <v>INDEC-PB - 43220-1</v>
      </c>
      <c r="B355" s="534">
        <v>43220</v>
      </c>
      <c r="C355" s="534" t="s">
        <v>44</v>
      </c>
      <c r="D355" s="534">
        <v>1</v>
      </c>
      <c r="E355" s="554" t="s">
        <v>412</v>
      </c>
    </row>
    <row r="356" spans="1:6">
      <c r="A356" s="534" t="str">
        <f t="shared" si="7"/>
        <v>INDEC-PB - 35110-1</v>
      </c>
      <c r="B356" s="534">
        <v>35110</v>
      </c>
      <c r="C356" s="534" t="s">
        <v>44</v>
      </c>
      <c r="D356" s="534">
        <v>1</v>
      </c>
      <c r="E356" s="554" t="s">
        <v>413</v>
      </c>
    </row>
    <row r="357" spans="1:6">
      <c r="A357" s="534" t="str">
        <f t="shared" si="7"/>
        <v>INDEC-PB - 17100-1</v>
      </c>
      <c r="B357" s="534">
        <v>17100</v>
      </c>
      <c r="C357" s="534" t="s">
        <v>44</v>
      </c>
      <c r="D357" s="534">
        <v>1</v>
      </c>
      <c r="E357" s="554" t="s">
        <v>414</v>
      </c>
    </row>
    <row r="358" spans="1:6">
      <c r="A358" s="534" t="str">
        <f t="shared" si="7"/>
        <v>INDEC-PB - 49129-3</v>
      </c>
      <c r="B358" s="534">
        <v>49129</v>
      </c>
      <c r="C358" s="534" t="s">
        <v>44</v>
      </c>
      <c r="D358" s="534">
        <v>3</v>
      </c>
      <c r="E358" s="554" t="s">
        <v>415</v>
      </c>
    </row>
    <row r="359" spans="1:6">
      <c r="A359" s="534" t="str">
        <f t="shared" si="7"/>
        <v>INDEC-PB - 35110-2</v>
      </c>
      <c r="B359" s="534">
        <v>35110</v>
      </c>
      <c r="C359" s="534" t="s">
        <v>44</v>
      </c>
      <c r="D359" s="534">
        <v>2</v>
      </c>
      <c r="E359" s="554" t="s">
        <v>416</v>
      </c>
    </row>
    <row r="360" spans="1:6">
      <c r="A360" s="534" t="str">
        <f t="shared" si="7"/>
        <v>INDEC-PB - 37129-1</v>
      </c>
      <c r="B360" s="534">
        <v>37129</v>
      </c>
      <c r="C360" s="534" t="s">
        <v>44</v>
      </c>
      <c r="D360" s="534">
        <v>1</v>
      </c>
      <c r="E360" s="554" t="s">
        <v>417</v>
      </c>
    </row>
    <row r="361" spans="1:6">
      <c r="A361" s="534" t="str">
        <f t="shared" si="7"/>
        <v>INDEC-PB - 36490-4</v>
      </c>
      <c r="B361" s="534">
        <v>36490</v>
      </c>
      <c r="C361" s="534" t="s">
        <v>44</v>
      </c>
      <c r="D361" s="534">
        <v>4</v>
      </c>
      <c r="E361" s="554" t="s">
        <v>418</v>
      </c>
    </row>
    <row r="362" spans="1:6">
      <c r="A362" s="534" t="str">
        <f t="shared" si="7"/>
        <v>INDEC-PB - 33370-1</v>
      </c>
      <c r="B362" s="534">
        <v>33370</v>
      </c>
      <c r="C362" s="534" t="s">
        <v>44</v>
      </c>
      <c r="D362" s="534">
        <v>1</v>
      </c>
      <c r="E362" s="554" t="s">
        <v>419</v>
      </c>
    </row>
    <row r="363" spans="1:6">
      <c r="A363" s="534" t="str">
        <f t="shared" si="7"/>
        <v>INDEC-PB - 12020-1</v>
      </c>
      <c r="B363" s="534">
        <v>12020</v>
      </c>
      <c r="C363" s="534" t="s">
        <v>44</v>
      </c>
      <c r="D363" s="534">
        <v>1</v>
      </c>
      <c r="E363" s="554" t="s">
        <v>420</v>
      </c>
    </row>
    <row r="364" spans="1:6">
      <c r="A364" s="534" t="str">
        <f t="shared" si="7"/>
        <v>INDEC-PB - 33360-1</v>
      </c>
      <c r="B364" s="534">
        <v>33360</v>
      </c>
      <c r="C364" s="534" t="s">
        <v>44</v>
      </c>
      <c r="D364" s="534">
        <v>1</v>
      </c>
      <c r="E364" s="554" t="s">
        <v>421</v>
      </c>
    </row>
    <row r="365" spans="1:6">
      <c r="A365" s="534" t="str">
        <f t="shared" si="7"/>
        <v>INDEC-PB - 33410-1</v>
      </c>
      <c r="B365" s="534">
        <v>33410</v>
      </c>
      <c r="C365" s="534" t="s">
        <v>44</v>
      </c>
      <c r="D365" s="534">
        <v>1</v>
      </c>
      <c r="E365" s="554" t="s">
        <v>422</v>
      </c>
    </row>
    <row r="366" spans="1:6">
      <c r="A366" s="534" t="str">
        <f t="shared" si="7"/>
        <v>INDEC-PB - 42911-1</v>
      </c>
      <c r="B366" s="534">
        <v>42911</v>
      </c>
      <c r="C366" s="534" t="s">
        <v>44</v>
      </c>
      <c r="D366" s="534">
        <v>1</v>
      </c>
      <c r="E366" s="554" t="s">
        <v>423</v>
      </c>
    </row>
    <row r="367" spans="1:6">
      <c r="A367" s="534" t="str">
        <f t="shared" si="7"/>
        <v>INDEC-PB - 46113-1</v>
      </c>
      <c r="B367" s="534">
        <v>46113</v>
      </c>
      <c r="C367" s="534" t="s">
        <v>44</v>
      </c>
      <c r="D367" s="534">
        <v>1</v>
      </c>
      <c r="E367" s="554" t="s">
        <v>424</v>
      </c>
    </row>
    <row r="368" spans="1:6">
      <c r="A368" s="534" t="str">
        <f t="shared" si="7"/>
        <v>INDEC-PB - 42921-2</v>
      </c>
      <c r="B368" s="534">
        <v>42921</v>
      </c>
      <c r="C368" s="534" t="s">
        <v>44</v>
      </c>
      <c r="D368" s="534">
        <v>2</v>
      </c>
      <c r="E368" s="554" t="s">
        <v>425</v>
      </c>
    </row>
    <row r="369" spans="1:6">
      <c r="A369" s="534" t="str">
        <f t="shared" si="7"/>
        <v>INDEC-PB - 37990-1</v>
      </c>
      <c r="B369" s="534">
        <v>37990</v>
      </c>
      <c r="C369" s="534" t="s">
        <v>44</v>
      </c>
      <c r="D369" s="534">
        <v>1</v>
      </c>
      <c r="E369" s="554" t="s">
        <v>426</v>
      </c>
    </row>
    <row r="370" spans="1:6">
      <c r="A370" s="534" t="str">
        <f t="shared" ref="A370:A425" si="8">CONCATENATE("INDEC-PB - ",B370,C370,D370)</f>
        <v>INDEC-PB - 41242-1</v>
      </c>
      <c r="B370" s="534">
        <v>41242</v>
      </c>
      <c r="C370" s="534" t="s">
        <v>44</v>
      </c>
      <c r="D370" s="534">
        <v>1</v>
      </c>
      <c r="E370" s="554" t="s">
        <v>427</v>
      </c>
    </row>
    <row r="371" spans="1:6">
      <c r="A371" s="534" t="str">
        <f t="shared" si="8"/>
        <v>INDEC-PB - 37510-1</v>
      </c>
      <c r="B371" s="534">
        <v>37510</v>
      </c>
      <c r="C371" s="534" t="s">
        <v>44</v>
      </c>
      <c r="D371" s="534">
        <v>1</v>
      </c>
      <c r="E371" s="554" t="s">
        <v>428</v>
      </c>
    </row>
    <row r="372" spans="1:6">
      <c r="A372" s="534" t="str">
        <f t="shared" si="8"/>
        <v>INDEC-PB - 44440-1</v>
      </c>
      <c r="B372" s="534">
        <v>44440</v>
      </c>
      <c r="C372" s="534" t="s">
        <v>44</v>
      </c>
      <c r="D372" s="534">
        <v>1</v>
      </c>
      <c r="E372" s="554" t="s">
        <v>429</v>
      </c>
    </row>
    <row r="373" spans="1:6">
      <c r="A373" s="534" t="str">
        <f t="shared" si="8"/>
        <v>INDEC-PB - 35110-5</v>
      </c>
      <c r="B373" s="534">
        <v>35110</v>
      </c>
      <c r="C373" s="534" t="s">
        <v>44</v>
      </c>
      <c r="D373" s="534">
        <v>5</v>
      </c>
      <c r="E373" s="554" t="s">
        <v>430</v>
      </c>
    </row>
    <row r="374" spans="1:6">
      <c r="A374" s="534" t="str">
        <f t="shared" si="8"/>
        <v>INDEC-PB - 46212-1</v>
      </c>
      <c r="B374" s="534">
        <v>46212</v>
      </c>
      <c r="C374" s="534" t="s">
        <v>44</v>
      </c>
      <c r="D374" s="534">
        <v>1</v>
      </c>
      <c r="E374" s="554" t="s">
        <v>431</v>
      </c>
    </row>
    <row r="375" spans="1:6">
      <c r="A375" s="539" t="str">
        <f t="shared" si="8"/>
        <v>INDEC-PB - 33340-1</v>
      </c>
      <c r="B375" s="539">
        <v>33340</v>
      </c>
      <c r="C375" s="539" t="s">
        <v>44</v>
      </c>
      <c r="D375" s="539">
        <v>1</v>
      </c>
      <c r="E375" s="555" t="s">
        <v>432</v>
      </c>
      <c r="F375" s="533" t="s">
        <v>2037</v>
      </c>
    </row>
    <row r="376" spans="1:6">
      <c r="A376" s="534" t="str">
        <f t="shared" si="8"/>
        <v>INDEC-PB - 37350-1</v>
      </c>
      <c r="B376" s="534">
        <v>37350</v>
      </c>
      <c r="C376" s="534" t="s">
        <v>44</v>
      </c>
      <c r="D376" s="534">
        <v>1</v>
      </c>
      <c r="E376" s="554" t="s">
        <v>433</v>
      </c>
    </row>
    <row r="377" spans="1:6">
      <c r="A377" s="534" t="str">
        <f t="shared" si="8"/>
        <v>INDEC-PB - 37320-1</v>
      </c>
      <c r="B377" s="534">
        <v>37320</v>
      </c>
      <c r="C377" s="534" t="s">
        <v>44</v>
      </c>
      <c r="D377" s="534">
        <v>1</v>
      </c>
      <c r="E377" s="554" t="s">
        <v>434</v>
      </c>
    </row>
    <row r="378" spans="1:6">
      <c r="A378" s="534" t="str">
        <f t="shared" si="8"/>
        <v>INDEC-PB - 41532-11</v>
      </c>
      <c r="B378" s="534">
        <v>41532</v>
      </c>
      <c r="C378" s="534" t="s">
        <v>44</v>
      </c>
      <c r="D378" s="534">
        <v>11</v>
      </c>
      <c r="E378" s="554" t="s">
        <v>435</v>
      </c>
    </row>
    <row r="379" spans="1:6">
      <c r="A379" s="534" t="str">
        <f t="shared" si="8"/>
        <v>INDEC-PB - 41532-1</v>
      </c>
      <c r="B379" s="534">
        <v>41532</v>
      </c>
      <c r="C379" s="534" t="s">
        <v>44</v>
      </c>
      <c r="D379" s="534">
        <v>1</v>
      </c>
      <c r="E379" s="554" t="s">
        <v>436</v>
      </c>
    </row>
    <row r="380" spans="1:6">
      <c r="A380" s="534" t="str">
        <f t="shared" si="8"/>
        <v>INDEC-PB - 31430-1</v>
      </c>
      <c r="B380" s="534">
        <v>31430</v>
      </c>
      <c r="C380" s="534" t="s">
        <v>44</v>
      </c>
      <c r="D380" s="534">
        <v>1</v>
      </c>
      <c r="E380" s="554" t="s">
        <v>437</v>
      </c>
    </row>
    <row r="381" spans="1:6">
      <c r="A381" s="534" t="str">
        <f t="shared" si="8"/>
        <v>INDEC-PB - 31100-1</v>
      </c>
      <c r="B381" s="534">
        <v>31100</v>
      </c>
      <c r="C381" s="534" t="s">
        <v>44</v>
      </c>
      <c r="D381" s="534">
        <v>1</v>
      </c>
      <c r="E381" s="554" t="s">
        <v>438</v>
      </c>
    </row>
    <row r="382" spans="1:6">
      <c r="A382" s="534" t="str">
        <f t="shared" si="8"/>
        <v>INDEC-PB - 31420-1</v>
      </c>
      <c r="B382" s="534">
        <v>31420</v>
      </c>
      <c r="C382" s="534" t="s">
        <v>44</v>
      </c>
      <c r="D382" s="534">
        <v>1</v>
      </c>
      <c r="E382" s="554" t="s">
        <v>439</v>
      </c>
    </row>
    <row r="383" spans="1:6">
      <c r="A383" s="534" t="str">
        <f t="shared" si="8"/>
        <v>INDEC-PB - 31420-2</v>
      </c>
      <c r="B383" s="534">
        <v>31420</v>
      </c>
      <c r="C383" s="534" t="s">
        <v>44</v>
      </c>
      <c r="D383" s="534">
        <v>2</v>
      </c>
      <c r="E383" s="554" t="s">
        <v>440</v>
      </c>
    </row>
    <row r="384" spans="1:6">
      <c r="A384" s="539" t="str">
        <f t="shared" si="8"/>
        <v>INDEC-PB - 44222-1</v>
      </c>
      <c r="B384" s="539">
        <v>44222</v>
      </c>
      <c r="C384" s="539" t="s">
        <v>44</v>
      </c>
      <c r="D384" s="539">
        <v>1</v>
      </c>
      <c r="E384" s="555" t="s">
        <v>441</v>
      </c>
      <c r="F384" s="533" t="s">
        <v>2037</v>
      </c>
    </row>
    <row r="385" spans="1:6">
      <c r="A385" s="539" t="str">
        <f t="shared" si="8"/>
        <v>INDEC-PB - 44427-1</v>
      </c>
      <c r="B385" s="539">
        <v>44427</v>
      </c>
      <c r="C385" s="539" t="s">
        <v>44</v>
      </c>
      <c r="D385" s="539">
        <v>1</v>
      </c>
      <c r="E385" s="555" t="s">
        <v>442</v>
      </c>
      <c r="F385" s="533" t="s">
        <v>2037</v>
      </c>
    </row>
    <row r="386" spans="1:6">
      <c r="A386" s="534" t="str">
        <f t="shared" si="8"/>
        <v>INDEC-PB - 44430-1</v>
      </c>
      <c r="B386" s="534">
        <v>44430</v>
      </c>
      <c r="C386" s="534" t="s">
        <v>44</v>
      </c>
      <c r="D386" s="534">
        <v>1</v>
      </c>
      <c r="E386" s="554" t="s">
        <v>443</v>
      </c>
    </row>
    <row r="387" spans="1:6">
      <c r="A387" s="534" t="str">
        <f t="shared" si="8"/>
        <v>INDEC-PB - 37930-1</v>
      </c>
      <c r="B387" s="534">
        <v>37930</v>
      </c>
      <c r="C387" s="534" t="s">
        <v>44</v>
      </c>
      <c r="D387" s="534">
        <v>1</v>
      </c>
      <c r="E387" s="554" t="s">
        <v>444</v>
      </c>
    </row>
    <row r="388" spans="1:6">
      <c r="A388" s="534" t="str">
        <f t="shared" si="8"/>
        <v>INDEC-PB - 37330-1</v>
      </c>
      <c r="B388" s="534">
        <v>37330</v>
      </c>
      <c r="C388" s="534" t="s">
        <v>44</v>
      </c>
      <c r="D388" s="534">
        <v>1</v>
      </c>
      <c r="E388" s="554" t="s">
        <v>445</v>
      </c>
    </row>
    <row r="389" spans="1:6">
      <c r="A389" s="534" t="str">
        <f t="shared" si="8"/>
        <v>INDEC-PB - 37540-1</v>
      </c>
      <c r="B389" s="534">
        <v>37540</v>
      </c>
      <c r="C389" s="534" t="s">
        <v>44</v>
      </c>
      <c r="D389" s="534">
        <v>1</v>
      </c>
      <c r="E389" s="554" t="s">
        <v>446</v>
      </c>
    </row>
    <row r="390" spans="1:6">
      <c r="A390" s="534" t="str">
        <f t="shared" si="8"/>
        <v>INDEC-PB - 43121-1</v>
      </c>
      <c r="B390" s="534">
        <v>43121</v>
      </c>
      <c r="C390" s="534" t="s">
        <v>44</v>
      </c>
      <c r="D390" s="534">
        <v>1</v>
      </c>
      <c r="E390" s="554" t="s">
        <v>447</v>
      </c>
    </row>
    <row r="391" spans="1:6">
      <c r="A391" s="534" t="str">
        <f t="shared" si="8"/>
        <v>INDEC-PB - 46112-1</v>
      </c>
      <c r="B391" s="534">
        <v>46112</v>
      </c>
      <c r="C391" s="534" t="s">
        <v>44</v>
      </c>
      <c r="D391" s="534">
        <v>1</v>
      </c>
      <c r="E391" s="554" t="s">
        <v>448</v>
      </c>
    </row>
    <row r="392" spans="1:6">
      <c r="A392" s="539" t="str">
        <f t="shared" si="8"/>
        <v>INDEC-PB - 43122-1</v>
      </c>
      <c r="B392" s="539">
        <v>43122</v>
      </c>
      <c r="C392" s="539" t="s">
        <v>44</v>
      </c>
      <c r="D392" s="539">
        <v>1</v>
      </c>
      <c r="E392" s="555" t="s">
        <v>449</v>
      </c>
      <c r="F392" s="533" t="s">
        <v>2037</v>
      </c>
    </row>
    <row r="393" spans="1:6">
      <c r="A393" s="534" t="str">
        <f t="shared" si="8"/>
        <v>INDEC-PB - 49911-1</v>
      </c>
      <c r="B393" s="534">
        <v>49911</v>
      </c>
      <c r="C393" s="534" t="s">
        <v>44</v>
      </c>
      <c r="D393" s="534">
        <v>1</v>
      </c>
      <c r="E393" s="554" t="s">
        <v>450</v>
      </c>
    </row>
    <row r="394" spans="1:6">
      <c r="A394" s="534" t="str">
        <f t="shared" si="8"/>
        <v>INDEC-PB - 33310-1</v>
      </c>
      <c r="B394" s="534">
        <v>33310</v>
      </c>
      <c r="C394" s="534" t="s">
        <v>44</v>
      </c>
      <c r="D394" s="534">
        <v>1</v>
      </c>
      <c r="E394" s="554" t="s">
        <v>451</v>
      </c>
    </row>
    <row r="395" spans="1:6">
      <c r="A395" s="534" t="str">
        <f t="shared" si="8"/>
        <v>INDEC-PB - 32129-1</v>
      </c>
      <c r="B395" s="534">
        <v>32129</v>
      </c>
      <c r="C395" s="534" t="s">
        <v>44</v>
      </c>
      <c r="D395" s="534">
        <v>1</v>
      </c>
      <c r="E395" s="554" t="s">
        <v>452</v>
      </c>
    </row>
    <row r="396" spans="1:6">
      <c r="A396" s="534" t="str">
        <f t="shared" si="8"/>
        <v>INDEC-PB - 37990-2</v>
      </c>
      <c r="B396" s="534">
        <v>37990</v>
      </c>
      <c r="C396" s="534" t="s">
        <v>44</v>
      </c>
      <c r="D396" s="534">
        <v>2</v>
      </c>
      <c r="E396" s="554" t="s">
        <v>453</v>
      </c>
    </row>
    <row r="397" spans="1:6">
      <c r="A397" s="534" t="str">
        <f t="shared" si="8"/>
        <v>INDEC-PB - 41251-1</v>
      </c>
      <c r="B397" s="534">
        <v>41251</v>
      </c>
      <c r="C397" s="534" t="s">
        <v>44</v>
      </c>
      <c r="D397" s="534">
        <v>1</v>
      </c>
      <c r="E397" s="554" t="s">
        <v>454</v>
      </c>
    </row>
    <row r="398" spans="1:6">
      <c r="A398" s="534" t="str">
        <f t="shared" si="8"/>
        <v>INDEC-PB - 12010-1</v>
      </c>
      <c r="B398" s="534">
        <v>12010</v>
      </c>
      <c r="C398" s="534" t="s">
        <v>44</v>
      </c>
      <c r="D398" s="534">
        <v>1</v>
      </c>
      <c r="E398" s="554" t="s">
        <v>455</v>
      </c>
    </row>
    <row r="399" spans="1:6">
      <c r="A399" s="534" t="str">
        <f t="shared" si="8"/>
        <v>INDEC-PB - 15320-1</v>
      </c>
      <c r="B399" s="534">
        <v>15320</v>
      </c>
      <c r="C399" s="534" t="s">
        <v>44</v>
      </c>
      <c r="D399" s="534">
        <v>1</v>
      </c>
      <c r="E399" s="554" t="s">
        <v>456</v>
      </c>
    </row>
    <row r="400" spans="1:6">
      <c r="A400" s="534" t="str">
        <f t="shared" si="8"/>
        <v>INDEC-PB - 41116-1</v>
      </c>
      <c r="B400" s="534">
        <v>41116</v>
      </c>
      <c r="C400" s="534" t="s">
        <v>44</v>
      </c>
      <c r="D400" s="534">
        <v>1</v>
      </c>
      <c r="E400" s="554" t="s">
        <v>457</v>
      </c>
    </row>
    <row r="401" spans="1:6">
      <c r="A401" s="534" t="str">
        <f t="shared" si="8"/>
        <v>INDEC-PB - 42999-1</v>
      </c>
      <c r="B401" s="534">
        <v>42999</v>
      </c>
      <c r="C401" s="534" t="s">
        <v>44</v>
      </c>
      <c r="D401" s="534">
        <v>1</v>
      </c>
      <c r="E401" s="554" t="s">
        <v>458</v>
      </c>
    </row>
    <row r="402" spans="1:6">
      <c r="A402" s="534" t="str">
        <f t="shared" si="8"/>
        <v>INDEC-PB - 35110-3</v>
      </c>
      <c r="B402" s="534">
        <v>35110</v>
      </c>
      <c r="C402" s="534" t="s">
        <v>44</v>
      </c>
      <c r="D402" s="534">
        <v>3</v>
      </c>
      <c r="E402" s="554" t="s">
        <v>459</v>
      </c>
    </row>
    <row r="403" spans="1:6">
      <c r="A403" s="534" t="str">
        <f t="shared" si="8"/>
        <v>INDEC-PB - 34740-6</v>
      </c>
      <c r="B403" s="534">
        <v>34740</v>
      </c>
      <c r="C403" s="534" t="s">
        <v>44</v>
      </c>
      <c r="D403" s="534">
        <v>6</v>
      </c>
      <c r="E403" s="554" t="s">
        <v>460</v>
      </c>
    </row>
    <row r="404" spans="1:6">
      <c r="A404" s="534" t="str">
        <f t="shared" si="8"/>
        <v>INDEC-PB - 34730-1</v>
      </c>
      <c r="B404" s="534">
        <v>34730</v>
      </c>
      <c r="C404" s="534" t="s">
        <v>44</v>
      </c>
      <c r="D404" s="534">
        <v>1</v>
      </c>
      <c r="E404" s="554" t="s">
        <v>461</v>
      </c>
    </row>
    <row r="405" spans="1:6">
      <c r="A405" s="539" t="str">
        <f t="shared" si="8"/>
        <v>INDEC-PB - 34720-1</v>
      </c>
      <c r="B405" s="539">
        <v>34720</v>
      </c>
      <c r="C405" s="539" t="s">
        <v>44</v>
      </c>
      <c r="D405" s="539">
        <v>1</v>
      </c>
      <c r="E405" s="555" t="s">
        <v>462</v>
      </c>
      <c r="F405" s="533" t="s">
        <v>2037</v>
      </c>
    </row>
    <row r="406" spans="1:6">
      <c r="A406" s="534" t="str">
        <f t="shared" si="8"/>
        <v>INDEC-PB - 34710-1</v>
      </c>
      <c r="B406" s="534">
        <v>34710</v>
      </c>
      <c r="C406" s="534" t="s">
        <v>44</v>
      </c>
      <c r="D406" s="534">
        <v>1</v>
      </c>
      <c r="E406" s="554" t="s">
        <v>463</v>
      </c>
    </row>
    <row r="407" spans="1:6">
      <c r="A407" s="534" t="str">
        <f t="shared" si="8"/>
        <v>INDEC-PB - 41530-1</v>
      </c>
      <c r="B407" s="534">
        <v>41530</v>
      </c>
      <c r="C407" s="534" t="s">
        <v>44</v>
      </c>
      <c r="D407" s="534">
        <v>1</v>
      </c>
      <c r="E407" s="554" t="s">
        <v>464</v>
      </c>
    </row>
    <row r="408" spans="1:6">
      <c r="A408" s="534" t="str">
        <f t="shared" si="8"/>
        <v>INDEC-PB - 41510-1</v>
      </c>
      <c r="B408" s="534">
        <v>41510</v>
      </c>
      <c r="C408" s="534" t="s">
        <v>44</v>
      </c>
      <c r="D408" s="534">
        <v>1</v>
      </c>
      <c r="E408" s="554" t="s">
        <v>465</v>
      </c>
    </row>
    <row r="409" spans="1:6">
      <c r="A409" s="534" t="str">
        <f t="shared" si="8"/>
        <v>INDEC-PB - 31600-2</v>
      </c>
      <c r="B409" s="534">
        <v>31600</v>
      </c>
      <c r="C409" s="534" t="s">
        <v>44</v>
      </c>
      <c r="D409" s="534">
        <v>2</v>
      </c>
      <c r="E409" s="554" t="s">
        <v>466</v>
      </c>
    </row>
    <row r="410" spans="1:6">
      <c r="A410" s="534" t="str">
        <f t="shared" si="8"/>
        <v>INDEC-PB - 49129-2</v>
      </c>
      <c r="B410" s="534">
        <v>49129</v>
      </c>
      <c r="C410" s="534" t="s">
        <v>44</v>
      </c>
      <c r="D410" s="534">
        <v>2</v>
      </c>
      <c r="E410" s="554" t="s">
        <v>467</v>
      </c>
    </row>
    <row r="411" spans="1:6">
      <c r="A411" s="534" t="str">
        <f t="shared" si="8"/>
        <v>INDEC-PB - 34740-1</v>
      </c>
      <c r="B411" s="534">
        <v>34740</v>
      </c>
      <c r="C411" s="534" t="s">
        <v>44</v>
      </c>
      <c r="D411" s="534">
        <v>1</v>
      </c>
      <c r="E411" s="554" t="s">
        <v>468</v>
      </c>
    </row>
    <row r="412" spans="1:6">
      <c r="A412" s="539" t="str">
        <f t="shared" si="8"/>
        <v>INDEC-PB - 43310-1</v>
      </c>
      <c r="B412" s="539">
        <v>43310</v>
      </c>
      <c r="C412" s="539" t="s">
        <v>44</v>
      </c>
      <c r="D412" s="539">
        <v>1</v>
      </c>
      <c r="E412" s="555" t="s">
        <v>469</v>
      </c>
      <c r="F412" s="533" t="s">
        <v>2037</v>
      </c>
    </row>
    <row r="413" spans="1:6">
      <c r="A413" s="534" t="str">
        <f t="shared" si="8"/>
        <v>INDEC-PB - 44240-1</v>
      </c>
      <c r="B413" s="534">
        <v>44240</v>
      </c>
      <c r="C413" s="534" t="s">
        <v>44</v>
      </c>
      <c r="D413" s="534">
        <v>1</v>
      </c>
      <c r="E413" s="554" t="s">
        <v>470</v>
      </c>
    </row>
    <row r="414" spans="1:6">
      <c r="A414" s="534" t="str">
        <f t="shared" si="8"/>
        <v>INDEC-PB - 33500-1</v>
      </c>
      <c r="B414" s="534">
        <v>33500</v>
      </c>
      <c r="C414" s="534" t="s">
        <v>44</v>
      </c>
      <c r="D414" s="534">
        <v>1</v>
      </c>
      <c r="E414" s="554" t="s">
        <v>471</v>
      </c>
    </row>
    <row r="415" spans="1:6">
      <c r="A415" s="534" t="str">
        <f t="shared" si="8"/>
        <v>INDEC-PB - 44214-1</v>
      </c>
      <c r="B415" s="534">
        <v>44214</v>
      </c>
      <c r="C415" s="534" t="s">
        <v>44</v>
      </c>
      <c r="D415" s="534">
        <v>1</v>
      </c>
      <c r="E415" s="554" t="s">
        <v>472</v>
      </c>
    </row>
    <row r="416" spans="1:6">
      <c r="A416" s="534" t="str">
        <f t="shared" si="8"/>
        <v>INDEC-PB - 37350-2</v>
      </c>
      <c r="B416" s="534">
        <v>37350</v>
      </c>
      <c r="C416" s="534" t="s">
        <v>44</v>
      </c>
      <c r="D416" s="534">
        <v>2</v>
      </c>
      <c r="E416" s="554" t="s">
        <v>473</v>
      </c>
    </row>
    <row r="417" spans="1:6">
      <c r="A417" s="534" t="str">
        <f t="shared" si="8"/>
        <v>INDEC-PB - 42943-1</v>
      </c>
      <c r="B417" s="534">
        <v>42943</v>
      </c>
      <c r="C417" s="534" t="s">
        <v>44</v>
      </c>
      <c r="D417" s="534">
        <v>1</v>
      </c>
      <c r="E417" s="554" t="s">
        <v>474</v>
      </c>
    </row>
    <row r="418" spans="1:6">
      <c r="A418" s="534" t="str">
        <f t="shared" si="8"/>
        <v>INDEC-PB - 36990-1</v>
      </c>
      <c r="B418" s="534">
        <v>36990</v>
      </c>
      <c r="C418" s="534" t="s">
        <v>44</v>
      </c>
      <c r="D418" s="534">
        <v>1</v>
      </c>
      <c r="E418" s="554" t="s">
        <v>475</v>
      </c>
    </row>
    <row r="419" spans="1:6">
      <c r="A419" s="534" t="str">
        <f t="shared" si="8"/>
        <v>INDEC-PB - 46121-1</v>
      </c>
      <c r="B419" s="534">
        <v>46121</v>
      </c>
      <c r="C419" s="534" t="s">
        <v>44</v>
      </c>
      <c r="D419" s="534">
        <v>1</v>
      </c>
      <c r="E419" s="554" t="s">
        <v>476</v>
      </c>
    </row>
    <row r="420" spans="1:6">
      <c r="A420" s="534" t="str">
        <f t="shared" si="8"/>
        <v>INDEC-PB - 49115-1</v>
      </c>
      <c r="B420" s="534">
        <v>49115</v>
      </c>
      <c r="C420" s="534" t="s">
        <v>44</v>
      </c>
      <c r="D420" s="534">
        <v>1</v>
      </c>
      <c r="E420" s="554" t="s">
        <v>477</v>
      </c>
    </row>
    <row r="421" spans="1:6">
      <c r="A421" s="539" t="str">
        <f t="shared" si="8"/>
        <v>INDEC-PB - 37113-1</v>
      </c>
      <c r="B421" s="539">
        <v>37113</v>
      </c>
      <c r="C421" s="539" t="s">
        <v>44</v>
      </c>
      <c r="D421" s="539">
        <v>1</v>
      </c>
      <c r="E421" s="555" t="s">
        <v>478</v>
      </c>
      <c r="F421" s="533" t="s">
        <v>2037</v>
      </c>
    </row>
    <row r="422" spans="1:6">
      <c r="A422" s="539" t="str">
        <f t="shared" si="8"/>
        <v>INDEC-PB - 37199-3</v>
      </c>
      <c r="B422" s="539">
        <v>37199</v>
      </c>
      <c r="C422" s="539" t="s">
        <v>44</v>
      </c>
      <c r="D422" s="539">
        <v>3</v>
      </c>
      <c r="E422" s="555" t="s">
        <v>479</v>
      </c>
      <c r="F422" s="533" t="s">
        <v>2037</v>
      </c>
    </row>
    <row r="423" spans="1:6">
      <c r="A423" s="539" t="str">
        <f t="shared" si="8"/>
        <v>INDEC-PB - 37199-1</v>
      </c>
      <c r="B423" s="539">
        <v>37199</v>
      </c>
      <c r="C423" s="539" t="s">
        <v>44</v>
      </c>
      <c r="D423" s="539">
        <v>1</v>
      </c>
      <c r="E423" s="555" t="s">
        <v>480</v>
      </c>
      <c r="F423" s="533" t="s">
        <v>2037</v>
      </c>
    </row>
    <row r="424" spans="1:6">
      <c r="A424" s="539" t="str">
        <f t="shared" si="8"/>
        <v>INDEC-PB - 37199-2</v>
      </c>
      <c r="B424" s="539">
        <v>37199</v>
      </c>
      <c r="C424" s="539" t="s">
        <v>44</v>
      </c>
      <c r="D424" s="539">
        <v>2</v>
      </c>
      <c r="E424" s="555" t="s">
        <v>481</v>
      </c>
      <c r="F424" s="533" t="s">
        <v>2037</v>
      </c>
    </row>
    <row r="425" spans="1:6">
      <c r="A425" s="534" t="str">
        <f t="shared" si="8"/>
        <v>INDEC-PB - 15200-1</v>
      </c>
      <c r="B425" s="534">
        <v>15200</v>
      </c>
      <c r="C425" s="534" t="s">
        <v>44</v>
      </c>
      <c r="D425" s="534">
        <v>1</v>
      </c>
      <c r="E425" s="554" t="s">
        <v>482</v>
      </c>
    </row>
    <row r="426" spans="1:6">
      <c r="A426" s="556"/>
      <c r="E426" s="557"/>
    </row>
    <row r="427" spans="1:6">
      <c r="A427" s="558"/>
      <c r="E427" s="557" t="s">
        <v>483</v>
      </c>
    </row>
    <row r="428" spans="1:6">
      <c r="A428" s="534" t="str">
        <f t="shared" ref="A428:A445" si="9">CONCATENATE("INDEC-PB - ",B428,C428,D428)</f>
        <v>INDEC-PB - 94920-1</v>
      </c>
      <c r="B428" s="534">
        <v>94920</v>
      </c>
      <c r="C428" s="534" t="s">
        <v>44</v>
      </c>
      <c r="D428" s="534">
        <v>1</v>
      </c>
      <c r="E428" s="554" t="s">
        <v>484</v>
      </c>
    </row>
    <row r="429" spans="1:6">
      <c r="A429" s="534" t="str">
        <f t="shared" si="9"/>
        <v>INDEC-PB - 91223-1</v>
      </c>
      <c r="B429" s="534">
        <v>91223</v>
      </c>
      <c r="C429" s="534" t="s">
        <v>44</v>
      </c>
      <c r="D429" s="534">
        <v>1</v>
      </c>
      <c r="E429" s="554" t="s">
        <v>485</v>
      </c>
    </row>
    <row r="430" spans="1:6">
      <c r="A430" s="534" t="str">
        <f t="shared" si="9"/>
        <v>INDEC-PB - 91211-11</v>
      </c>
      <c r="B430" s="534">
        <v>91211</v>
      </c>
      <c r="C430" s="534" t="s">
        <v>44</v>
      </c>
      <c r="D430" s="534">
        <v>11</v>
      </c>
      <c r="E430" s="554" t="s">
        <v>486</v>
      </c>
    </row>
    <row r="431" spans="1:6">
      <c r="A431" s="534" t="str">
        <f t="shared" si="9"/>
        <v>INDEC-PB - 91211-1</v>
      </c>
      <c r="B431" s="534">
        <v>91211</v>
      </c>
      <c r="C431" s="534" t="s">
        <v>44</v>
      </c>
      <c r="D431" s="534">
        <v>1</v>
      </c>
      <c r="E431" s="554" t="s">
        <v>487</v>
      </c>
    </row>
    <row r="432" spans="1:6">
      <c r="A432" s="539" t="str">
        <f t="shared" si="9"/>
        <v>INDEC-PB - 91511-1</v>
      </c>
      <c r="B432" s="539">
        <v>91511</v>
      </c>
      <c r="C432" s="539" t="s">
        <v>44</v>
      </c>
      <c r="D432" s="539">
        <v>1</v>
      </c>
      <c r="E432" s="555" t="s">
        <v>488</v>
      </c>
      <c r="F432" s="533" t="s">
        <v>2037</v>
      </c>
    </row>
    <row r="433" spans="1:6">
      <c r="A433" s="534" t="str">
        <f t="shared" si="9"/>
        <v>INDEC-PB - 91547-1</v>
      </c>
      <c r="B433" s="534">
        <v>91547</v>
      </c>
      <c r="C433" s="534" t="s">
        <v>44</v>
      </c>
      <c r="D433" s="534">
        <v>1</v>
      </c>
      <c r="E433" s="554" t="s">
        <v>489</v>
      </c>
    </row>
    <row r="434" spans="1:6">
      <c r="A434" s="534" t="str">
        <f t="shared" si="9"/>
        <v>INDEC-PB - 81100-1</v>
      </c>
      <c r="B434" s="534">
        <v>81100</v>
      </c>
      <c r="C434" s="534" t="s">
        <v>44</v>
      </c>
      <c r="D434" s="534">
        <v>1</v>
      </c>
      <c r="E434" s="554" t="s">
        <v>490</v>
      </c>
    </row>
    <row r="435" spans="1:6">
      <c r="A435" s="539" t="str">
        <f t="shared" si="9"/>
        <v>INDEC-PB - 91601-2</v>
      </c>
      <c r="B435" s="539">
        <v>91601</v>
      </c>
      <c r="C435" s="539" t="s">
        <v>44</v>
      </c>
      <c r="D435" s="539">
        <v>2</v>
      </c>
      <c r="E435" s="555" t="s">
        <v>491</v>
      </c>
      <c r="F435" s="533" t="s">
        <v>2037</v>
      </c>
    </row>
    <row r="436" spans="1:6">
      <c r="A436" s="534" t="str">
        <f t="shared" si="9"/>
        <v>INDEC-PB - 94214-1</v>
      </c>
      <c r="B436" s="534">
        <v>94214</v>
      </c>
      <c r="C436" s="534" t="s">
        <v>44</v>
      </c>
      <c r="D436" s="534">
        <v>1</v>
      </c>
      <c r="E436" s="554" t="s">
        <v>492</v>
      </c>
    </row>
    <row r="437" spans="1:6">
      <c r="A437" s="534" t="str">
        <f t="shared" si="9"/>
        <v>INDEC-PB - 94216-1</v>
      </c>
      <c r="B437" s="534">
        <v>94216</v>
      </c>
      <c r="C437" s="534" t="s">
        <v>44</v>
      </c>
      <c r="D437" s="534">
        <v>1</v>
      </c>
      <c r="E437" s="554" t="s">
        <v>493</v>
      </c>
    </row>
    <row r="438" spans="1:6">
      <c r="A438" s="539" t="str">
        <f t="shared" si="9"/>
        <v>INDEC-PB - 93310-2</v>
      </c>
      <c r="B438" s="539">
        <v>93310</v>
      </c>
      <c r="C438" s="539" t="s">
        <v>44</v>
      </c>
      <c r="D438" s="539">
        <v>2</v>
      </c>
      <c r="E438" s="555" t="s">
        <v>494</v>
      </c>
      <c r="F438" s="533" t="s">
        <v>2037</v>
      </c>
    </row>
    <row r="439" spans="1:6">
      <c r="A439" s="534" t="str">
        <f t="shared" si="9"/>
        <v>INDEC-PB - 82129-1</v>
      </c>
      <c r="B439" s="534">
        <v>82129</v>
      </c>
      <c r="C439" s="534" t="s">
        <v>44</v>
      </c>
      <c r="D439" s="534">
        <v>1</v>
      </c>
      <c r="E439" s="554" t="s">
        <v>495</v>
      </c>
    </row>
    <row r="440" spans="1:6">
      <c r="A440" s="539" t="str">
        <f t="shared" si="9"/>
        <v>INDEC-PB - 91251-1</v>
      </c>
      <c r="B440" s="539">
        <v>91251</v>
      </c>
      <c r="C440" s="539" t="s">
        <v>44</v>
      </c>
      <c r="D440" s="539">
        <v>1</v>
      </c>
      <c r="E440" s="555" t="s">
        <v>496</v>
      </c>
      <c r="F440" s="533" t="s">
        <v>2037</v>
      </c>
    </row>
    <row r="441" spans="1:6">
      <c r="A441" s="534" t="str">
        <f t="shared" si="9"/>
        <v>INDEC-PB - 93310-1</v>
      </c>
      <c r="B441" s="534">
        <v>93310</v>
      </c>
      <c r="C441" s="534" t="s">
        <v>44</v>
      </c>
      <c r="D441" s="534">
        <v>1</v>
      </c>
      <c r="E441" s="554" t="s">
        <v>497</v>
      </c>
    </row>
    <row r="442" spans="1:6">
      <c r="A442" s="539" t="str">
        <f t="shared" si="9"/>
        <v>INDEC-PB - 84710-1</v>
      </c>
      <c r="B442" s="539">
        <v>84710</v>
      </c>
      <c r="C442" s="539" t="s">
        <v>44</v>
      </c>
      <c r="D442" s="539">
        <v>1</v>
      </c>
      <c r="E442" s="555" t="s">
        <v>498</v>
      </c>
      <c r="F442" s="533" t="s">
        <v>2037</v>
      </c>
    </row>
    <row r="443" spans="1:6">
      <c r="A443" s="539" t="str">
        <f t="shared" si="9"/>
        <v>INDEC-PB - 84740-1</v>
      </c>
      <c r="B443" s="539">
        <v>84740</v>
      </c>
      <c r="C443" s="539" t="s">
        <v>44</v>
      </c>
      <c r="D443" s="539">
        <v>1</v>
      </c>
      <c r="E443" s="555" t="s">
        <v>499</v>
      </c>
      <c r="F443" s="533" t="s">
        <v>2037</v>
      </c>
    </row>
    <row r="444" spans="1:6">
      <c r="A444" s="539" t="str">
        <f t="shared" si="9"/>
        <v>INDEC-PB - 84230-1</v>
      </c>
      <c r="B444" s="539">
        <v>84230</v>
      </c>
      <c r="C444" s="539" t="s">
        <v>44</v>
      </c>
      <c r="D444" s="539">
        <v>1</v>
      </c>
      <c r="E444" s="555" t="s">
        <v>500</v>
      </c>
      <c r="F444" s="533" t="s">
        <v>2037</v>
      </c>
    </row>
    <row r="445" spans="1:6">
      <c r="A445" s="534" t="str">
        <f t="shared" si="9"/>
        <v>INDEC-PB - 85490-1</v>
      </c>
      <c r="B445" s="534">
        <v>85490</v>
      </c>
      <c r="C445" s="534" t="s">
        <v>44</v>
      </c>
      <c r="D445" s="534">
        <v>1</v>
      </c>
      <c r="E445" s="554" t="s">
        <v>501</v>
      </c>
    </row>
    <row r="448" spans="1:6">
      <c r="A448" s="554"/>
      <c r="B448" s="532" t="s">
        <v>503</v>
      </c>
      <c r="C448" s="18"/>
      <c r="D448" s="18"/>
    </row>
    <row r="449" spans="1:5">
      <c r="A449" s="554"/>
      <c r="B449" s="542"/>
      <c r="C449" s="18"/>
      <c r="D449" s="18"/>
    </row>
    <row r="450" spans="1:5">
      <c r="A450" s="689" t="s">
        <v>342</v>
      </c>
      <c r="B450" s="689" t="s">
        <v>504</v>
      </c>
      <c r="C450" s="689"/>
      <c r="D450" s="689"/>
      <c r="E450" s="689" t="s">
        <v>42</v>
      </c>
    </row>
    <row r="451" spans="1:5">
      <c r="A451" s="689"/>
      <c r="B451" s="689" t="s">
        <v>505</v>
      </c>
      <c r="C451" s="689"/>
      <c r="D451" s="689"/>
      <c r="E451" s="689"/>
    </row>
    <row r="452" spans="1:5">
      <c r="B452" s="16"/>
      <c r="C452" s="18"/>
      <c r="D452" s="18"/>
      <c r="E452" s="559"/>
    </row>
    <row r="453" spans="1:5">
      <c r="B453" s="16"/>
      <c r="C453" s="18"/>
      <c r="D453" s="18"/>
      <c r="E453" s="557" t="s">
        <v>506</v>
      </c>
    </row>
    <row r="454" spans="1:5">
      <c r="A454" s="534" t="str">
        <f t="shared" ref="A454:A474" si="10">CONCATENATE("INDEC-PB - ",B454,C454,D454)</f>
        <v>INDEC-PB - 2811-1</v>
      </c>
      <c r="B454" s="18">
        <v>2811</v>
      </c>
      <c r="C454" s="534" t="s">
        <v>44</v>
      </c>
      <c r="D454" s="534">
        <v>1</v>
      </c>
      <c r="E454" s="17" t="s">
        <v>507</v>
      </c>
    </row>
    <row r="455" spans="1:5">
      <c r="A455" s="534" t="str">
        <f t="shared" si="10"/>
        <v>INDEC-PB - 2710-1</v>
      </c>
      <c r="B455" s="18">
        <v>2710</v>
      </c>
      <c r="C455" s="534" t="s">
        <v>44</v>
      </c>
      <c r="D455" s="534">
        <v>1</v>
      </c>
      <c r="E455" s="17" t="s">
        <v>508</v>
      </c>
    </row>
    <row r="456" spans="1:5">
      <c r="A456" s="534" t="str">
        <f t="shared" si="10"/>
        <v>INDEC-PB - 2922-1</v>
      </c>
      <c r="B456" s="18">
        <v>2922</v>
      </c>
      <c r="C456" s="534" t="s">
        <v>44</v>
      </c>
      <c r="D456" s="534">
        <v>1</v>
      </c>
      <c r="E456" s="17" t="s">
        <v>509</v>
      </c>
    </row>
    <row r="457" spans="1:5">
      <c r="A457" s="534" t="str">
        <f t="shared" si="10"/>
        <v>INDEC-PB - 2691-</v>
      </c>
      <c r="B457" s="18">
        <v>2691</v>
      </c>
      <c r="C457" s="534" t="s">
        <v>44</v>
      </c>
      <c r="E457" s="17" t="s">
        <v>510</v>
      </c>
    </row>
    <row r="458" spans="1:5">
      <c r="A458" s="534" t="str">
        <f t="shared" si="10"/>
        <v>INDEC-PB - 2695-</v>
      </c>
      <c r="B458" s="18">
        <v>2695</v>
      </c>
      <c r="C458" s="534" t="s">
        <v>44</v>
      </c>
      <c r="E458" s="17" t="s">
        <v>511</v>
      </c>
    </row>
    <row r="459" spans="1:5">
      <c r="A459" s="534" t="str">
        <f t="shared" si="10"/>
        <v>INDEC-PB - 3410-2</v>
      </c>
      <c r="B459" s="18">
        <v>3410</v>
      </c>
      <c r="C459" s="534" t="s">
        <v>44</v>
      </c>
      <c r="D459" s="534">
        <v>2</v>
      </c>
      <c r="E459" s="17" t="s">
        <v>512</v>
      </c>
    </row>
    <row r="460" spans="1:5">
      <c r="A460" s="534" t="str">
        <f t="shared" si="10"/>
        <v>INDEC-PB - 2520-1</v>
      </c>
      <c r="B460" s="18">
        <v>2520</v>
      </c>
      <c r="C460" s="534" t="s">
        <v>44</v>
      </c>
      <c r="D460" s="534">
        <v>1</v>
      </c>
      <c r="E460" s="554" t="s">
        <v>513</v>
      </c>
    </row>
    <row r="461" spans="1:5">
      <c r="A461" s="534" t="str">
        <f t="shared" si="10"/>
        <v>INDEC-PB - 2413-3</v>
      </c>
      <c r="B461" s="18">
        <v>2413</v>
      </c>
      <c r="C461" s="534" t="s">
        <v>44</v>
      </c>
      <c r="D461" s="534">
        <v>3</v>
      </c>
      <c r="E461" s="554" t="s">
        <v>514</v>
      </c>
    </row>
    <row r="462" spans="1:5">
      <c r="A462" s="534" t="str">
        <f t="shared" si="10"/>
        <v>INDEC-PB - 2519-1</v>
      </c>
      <c r="B462" s="18">
        <v>2519</v>
      </c>
      <c r="C462" s="534" t="s">
        <v>44</v>
      </c>
      <c r="D462" s="534">
        <v>1</v>
      </c>
      <c r="E462" s="554" t="s">
        <v>515</v>
      </c>
    </row>
    <row r="463" spans="1:5">
      <c r="A463" s="534" t="str">
        <f t="shared" si="10"/>
        <v>INDEC-PB - 2520-3</v>
      </c>
      <c r="B463" s="18">
        <v>2520</v>
      </c>
      <c r="C463" s="534" t="s">
        <v>44</v>
      </c>
      <c r="D463" s="534">
        <v>3</v>
      </c>
      <c r="E463" s="554" t="s">
        <v>516</v>
      </c>
    </row>
    <row r="464" spans="1:5">
      <c r="A464" s="534" t="str">
        <f t="shared" si="10"/>
        <v>INDEC-PB - 2022-1</v>
      </c>
      <c r="B464" s="18">
        <v>2022</v>
      </c>
      <c r="C464" s="534" t="s">
        <v>44</v>
      </c>
      <c r="D464" s="534">
        <v>1</v>
      </c>
      <c r="E464" s="554" t="s">
        <v>517</v>
      </c>
    </row>
    <row r="465" spans="1:5">
      <c r="A465" s="534" t="str">
        <f t="shared" si="10"/>
        <v>INDEC-PB - 2511-1</v>
      </c>
      <c r="B465" s="18">
        <v>2511</v>
      </c>
      <c r="C465" s="534" t="s">
        <v>44</v>
      </c>
      <c r="D465" s="534">
        <v>1</v>
      </c>
      <c r="E465" s="554" t="s">
        <v>518</v>
      </c>
    </row>
    <row r="466" spans="1:5">
      <c r="A466" s="534" t="str">
        <f t="shared" si="10"/>
        <v>INDEC-PB - 2899-</v>
      </c>
      <c r="B466" s="18">
        <v>2899</v>
      </c>
      <c r="C466" s="534" t="s">
        <v>44</v>
      </c>
      <c r="E466" s="554" t="s">
        <v>519</v>
      </c>
    </row>
    <row r="467" spans="1:5">
      <c r="A467" s="534" t="str">
        <f t="shared" si="10"/>
        <v>INDEC-PB - 3110-1</v>
      </c>
      <c r="B467" s="18">
        <v>3110</v>
      </c>
      <c r="C467" s="534" t="s">
        <v>44</v>
      </c>
      <c r="D467" s="534">
        <v>1</v>
      </c>
      <c r="E467" s="554" t="s">
        <v>520</v>
      </c>
    </row>
    <row r="468" spans="1:5">
      <c r="A468" s="534" t="str">
        <f t="shared" si="10"/>
        <v>INDEC-PB - 2320-1</v>
      </c>
      <c r="B468" s="18">
        <v>2320</v>
      </c>
      <c r="C468" s="534" t="s">
        <v>44</v>
      </c>
      <c r="D468" s="534">
        <v>1</v>
      </c>
      <c r="E468" s="554" t="s">
        <v>521</v>
      </c>
    </row>
    <row r="469" spans="1:5">
      <c r="A469" s="534" t="str">
        <f t="shared" si="10"/>
        <v>INDEC-PB - 2924-1</v>
      </c>
      <c r="B469" s="18">
        <v>2924</v>
      </c>
      <c r="C469" s="534" t="s">
        <v>44</v>
      </c>
      <c r="D469" s="534">
        <v>1</v>
      </c>
      <c r="E469" s="554" t="s">
        <v>522</v>
      </c>
    </row>
    <row r="470" spans="1:5">
      <c r="A470" s="534" t="str">
        <f t="shared" si="10"/>
        <v>INDEC-PB - 2692-1</v>
      </c>
      <c r="B470" s="18">
        <v>2692</v>
      </c>
      <c r="C470" s="534" t="s">
        <v>44</v>
      </c>
      <c r="D470" s="534">
        <v>1</v>
      </c>
      <c r="E470" s="554" t="s">
        <v>523</v>
      </c>
    </row>
    <row r="471" spans="1:5">
      <c r="A471" s="534" t="str">
        <f t="shared" si="10"/>
        <v>INDEC-PB - 3410-</v>
      </c>
      <c r="B471" s="18">
        <v>3410</v>
      </c>
      <c r="C471" s="534" t="s">
        <v>44</v>
      </c>
      <c r="E471" s="554" t="s">
        <v>524</v>
      </c>
    </row>
    <row r="472" spans="1:5">
      <c r="A472" s="534" t="str">
        <f t="shared" si="10"/>
        <v>INDEC-PB - 2413-1</v>
      </c>
      <c r="B472" s="18">
        <v>2413</v>
      </c>
      <c r="C472" s="534" t="s">
        <v>44</v>
      </c>
      <c r="D472" s="534">
        <v>1</v>
      </c>
      <c r="E472" s="554" t="s">
        <v>525</v>
      </c>
    </row>
    <row r="473" spans="1:5">
      <c r="A473" s="534" t="str">
        <f t="shared" si="10"/>
        <v>INDEC-PB - 291-</v>
      </c>
      <c r="B473" s="18">
        <v>291</v>
      </c>
      <c r="C473" s="534" t="s">
        <v>44</v>
      </c>
      <c r="E473" s="17" t="s">
        <v>526</v>
      </c>
    </row>
    <row r="474" spans="1:5">
      <c r="A474" s="534" t="str">
        <f t="shared" si="10"/>
        <v>INDEC-PB - 2610-1</v>
      </c>
      <c r="B474" s="18">
        <v>2610</v>
      </c>
      <c r="C474" s="534" t="s">
        <v>44</v>
      </c>
      <c r="D474" s="534">
        <v>1</v>
      </c>
      <c r="E474" s="17" t="s">
        <v>527</v>
      </c>
    </row>
    <row r="475" spans="1:5">
      <c r="A475" s="18"/>
      <c r="B475" s="543"/>
      <c r="C475" s="18"/>
      <c r="E475" s="17"/>
    </row>
    <row r="476" spans="1:5">
      <c r="A476" s="18"/>
      <c r="B476" s="543"/>
      <c r="C476" s="18"/>
      <c r="E476" s="557" t="s">
        <v>483</v>
      </c>
    </row>
    <row r="477" spans="1:5">
      <c r="A477" s="534" t="str">
        <f t="shared" ref="A477:A482" si="11">CONCATENATE("INDEC-PB - ",B477,C477,D477)</f>
        <v>INDEC-PB - 2710-1</v>
      </c>
      <c r="B477" s="18">
        <v>2710</v>
      </c>
      <c r="C477" s="534" t="s">
        <v>44</v>
      </c>
      <c r="D477" s="18">
        <v>1</v>
      </c>
      <c r="E477" s="17" t="s">
        <v>528</v>
      </c>
    </row>
    <row r="478" spans="1:5">
      <c r="A478" s="534" t="str">
        <f t="shared" si="11"/>
        <v>INDEC-PB - 2720-1</v>
      </c>
      <c r="B478" s="18">
        <v>2720</v>
      </c>
      <c r="C478" s="534" t="s">
        <v>44</v>
      </c>
      <c r="D478" s="18">
        <v>1</v>
      </c>
      <c r="E478" s="17" t="s">
        <v>529</v>
      </c>
    </row>
    <row r="479" spans="1:5">
      <c r="A479" s="534" t="str">
        <f t="shared" si="11"/>
        <v>INDEC-PB - 2922-1</v>
      </c>
      <c r="B479" s="18">
        <v>2922</v>
      </c>
      <c r="C479" s="534" t="s">
        <v>44</v>
      </c>
      <c r="D479" s="18">
        <v>1</v>
      </c>
      <c r="E479" s="17" t="s">
        <v>530</v>
      </c>
    </row>
    <row r="480" spans="1:5">
      <c r="A480" s="534" t="str">
        <f t="shared" si="11"/>
        <v>INDEC-PB - 2913-1</v>
      </c>
      <c r="B480" s="18">
        <v>2913</v>
      </c>
      <c r="C480" s="534" t="s">
        <v>44</v>
      </c>
      <c r="D480" s="18">
        <v>1</v>
      </c>
      <c r="E480" s="17" t="s">
        <v>531</v>
      </c>
    </row>
    <row r="481" spans="1:7">
      <c r="A481" s="534" t="str">
        <f t="shared" si="11"/>
        <v>INDEC-PB - 2413-11</v>
      </c>
      <c r="B481" s="18">
        <v>2413</v>
      </c>
      <c r="C481" s="534" t="s">
        <v>44</v>
      </c>
      <c r="D481" s="18">
        <v>11</v>
      </c>
      <c r="E481" s="17" t="s">
        <v>532</v>
      </c>
    </row>
    <row r="482" spans="1:7">
      <c r="A482" s="534" t="str">
        <f t="shared" si="11"/>
        <v>INDEC-PB - 2411-1</v>
      </c>
      <c r="B482" s="18">
        <v>2411</v>
      </c>
      <c r="C482" s="534" t="s">
        <v>44</v>
      </c>
      <c r="D482" s="18">
        <v>1</v>
      </c>
      <c r="E482" s="17" t="s">
        <v>533</v>
      </c>
    </row>
    <row r="485" spans="1:7">
      <c r="A485" s="560"/>
      <c r="B485" s="532" t="s">
        <v>569</v>
      </c>
      <c r="C485" s="561"/>
      <c r="D485" s="561"/>
    </row>
    <row r="487" spans="1:7">
      <c r="A487" s="536"/>
      <c r="B487" s="689" t="s">
        <v>260</v>
      </c>
      <c r="C487" s="536"/>
      <c r="D487" s="536"/>
      <c r="E487" s="689" t="s">
        <v>261</v>
      </c>
      <c r="F487" s="689" t="s">
        <v>262</v>
      </c>
      <c r="G487" s="689" t="s">
        <v>263</v>
      </c>
    </row>
    <row r="488" spans="1:7">
      <c r="A488" s="536"/>
      <c r="B488" s="689"/>
      <c r="C488" s="536"/>
      <c r="D488" s="536"/>
      <c r="E488" s="689"/>
      <c r="F488" s="689" t="s">
        <v>264</v>
      </c>
      <c r="G488" s="689"/>
    </row>
    <row r="490" spans="1:7">
      <c r="A490" s="534" t="str">
        <f t="shared" ref="A490:A500" si="12">CONCATENATE("INDEC-DCTO - Inciso ",B490)</f>
        <v>INDEC-DCTO - Inciso a)</v>
      </c>
      <c r="B490" s="534" t="s">
        <v>265</v>
      </c>
      <c r="E490" s="533" t="s">
        <v>266</v>
      </c>
      <c r="F490" s="534" t="s">
        <v>267</v>
      </c>
      <c r="G490" s="533" t="s">
        <v>268</v>
      </c>
    </row>
    <row r="491" spans="1:7">
      <c r="A491" s="534" t="str">
        <f t="shared" si="12"/>
        <v>INDEC-DCTO - Inciso b)</v>
      </c>
      <c r="B491" s="534" t="s">
        <v>269</v>
      </c>
      <c r="E491" s="533" t="s">
        <v>270</v>
      </c>
      <c r="F491" s="534" t="s">
        <v>271</v>
      </c>
      <c r="G491" s="533" t="s">
        <v>272</v>
      </c>
    </row>
    <row r="492" spans="1:7">
      <c r="A492" s="534" t="str">
        <f t="shared" si="12"/>
        <v>INDEC-DCTO - Inciso d)</v>
      </c>
      <c r="B492" s="534" t="s">
        <v>273</v>
      </c>
      <c r="E492" s="533" t="s">
        <v>274</v>
      </c>
      <c r="F492" s="534" t="s">
        <v>271</v>
      </c>
      <c r="G492" s="533" t="s">
        <v>275</v>
      </c>
    </row>
    <row r="493" spans="1:7">
      <c r="A493" s="534" t="str">
        <f t="shared" si="12"/>
        <v>INDEC-DCTO - Inciso f)</v>
      </c>
      <c r="B493" s="534" t="s">
        <v>276</v>
      </c>
      <c r="E493" s="533" t="s">
        <v>277</v>
      </c>
      <c r="F493" s="534" t="s">
        <v>278</v>
      </c>
      <c r="G493" s="533" t="s">
        <v>279</v>
      </c>
    </row>
    <row r="494" spans="1:7">
      <c r="A494" s="534" t="str">
        <f t="shared" si="12"/>
        <v>INDEC-DCTO - Inciso g)</v>
      </c>
      <c r="B494" s="534" t="s">
        <v>280</v>
      </c>
      <c r="E494" s="533" t="s">
        <v>281</v>
      </c>
      <c r="F494" s="534" t="s">
        <v>271</v>
      </c>
      <c r="G494" s="533" t="s">
        <v>282</v>
      </c>
    </row>
    <row r="495" spans="1:7">
      <c r="A495" s="534" t="str">
        <f t="shared" si="12"/>
        <v>INDEC-DCTO - Inciso h)</v>
      </c>
      <c r="B495" s="534" t="s">
        <v>283</v>
      </c>
      <c r="E495" s="533" t="s">
        <v>284</v>
      </c>
      <c r="F495" s="534" t="s">
        <v>285</v>
      </c>
      <c r="G495" s="533" t="s">
        <v>286</v>
      </c>
    </row>
    <row r="496" spans="1:7">
      <c r="A496" s="534" t="str">
        <f t="shared" si="12"/>
        <v>INDEC-DCTO - Inciso p)</v>
      </c>
      <c r="B496" s="534" t="s">
        <v>287</v>
      </c>
      <c r="E496" s="533" t="s">
        <v>288</v>
      </c>
      <c r="F496" s="534" t="s">
        <v>267</v>
      </c>
      <c r="G496" s="533" t="s">
        <v>289</v>
      </c>
    </row>
    <row r="497" spans="1:7">
      <c r="A497" s="534" t="str">
        <f t="shared" si="12"/>
        <v>INDEC-DCTO - Inciso r)</v>
      </c>
      <c r="B497" s="534" t="s">
        <v>290</v>
      </c>
      <c r="E497" s="533" t="s">
        <v>291</v>
      </c>
      <c r="F497" s="534" t="s">
        <v>271</v>
      </c>
      <c r="G497" s="533" t="s">
        <v>292</v>
      </c>
    </row>
    <row r="498" spans="1:7">
      <c r="A498" s="534" t="str">
        <f t="shared" si="12"/>
        <v>INDEC-DCTO - Inciso s)</v>
      </c>
      <c r="B498" s="534" t="s">
        <v>293</v>
      </c>
      <c r="E498" s="533" t="s">
        <v>294</v>
      </c>
      <c r="F498" s="534" t="s">
        <v>285</v>
      </c>
      <c r="G498" s="533" t="s">
        <v>164</v>
      </c>
    </row>
    <row r="499" spans="1:7">
      <c r="A499" s="534" t="str">
        <f t="shared" si="12"/>
        <v>INDEC-DCTO - Inciso u)</v>
      </c>
      <c r="B499" s="534" t="s">
        <v>295</v>
      </c>
      <c r="E499" s="533" t="s">
        <v>296</v>
      </c>
      <c r="F499" s="534">
        <v>4324041</v>
      </c>
      <c r="G499" s="533" t="s">
        <v>187</v>
      </c>
    </row>
    <row r="500" spans="1:7">
      <c r="A500" s="534" t="str">
        <f t="shared" si="12"/>
        <v>INDEC-DCTO - Inciso v)</v>
      </c>
      <c r="B500" s="534" t="s">
        <v>297</v>
      </c>
      <c r="E500" s="533" t="s">
        <v>298</v>
      </c>
      <c r="F500" s="534">
        <v>4322032</v>
      </c>
      <c r="G500" s="533" t="s">
        <v>132</v>
      </c>
    </row>
    <row r="501" spans="1:7">
      <c r="A501" s="534"/>
      <c r="F501" s="534"/>
    </row>
    <row r="502" spans="1:7">
      <c r="A502" s="534" t="str">
        <f>CONCATENATE("INDEC-DCTO - Inciso ",B502)</f>
        <v>INDEC-DCTO - Inciso c)</v>
      </c>
      <c r="B502" s="534" t="s">
        <v>299</v>
      </c>
      <c r="E502" s="533" t="s">
        <v>300</v>
      </c>
      <c r="F502" s="534"/>
      <c r="G502" s="533" t="s">
        <v>570</v>
      </c>
    </row>
    <row r="503" spans="1:7">
      <c r="A503" s="534" t="str">
        <f>CONCATENATE("INDEC-DCTO - Inciso ",B503)</f>
        <v>INDEC-DCTO - Inciso m)</v>
      </c>
      <c r="B503" s="534" t="s">
        <v>301</v>
      </c>
      <c r="E503" s="533" t="s">
        <v>302</v>
      </c>
      <c r="F503" s="534"/>
      <c r="G503" s="533" t="s">
        <v>571</v>
      </c>
    </row>
    <row r="504" spans="1:7">
      <c r="A504" s="534" t="str">
        <f>CONCATENATE("INDEC-DCTO - Inciso ",B504)</f>
        <v>INDEC-DCTO - Inciso n)</v>
      </c>
      <c r="B504" s="534" t="s">
        <v>303</v>
      </c>
      <c r="E504" s="533" t="s">
        <v>304</v>
      </c>
      <c r="F504" s="534"/>
      <c r="G504" s="533" t="s">
        <v>572</v>
      </c>
    </row>
    <row r="505" spans="1:7">
      <c r="A505" s="534" t="str">
        <f>CONCATENATE("INDEC-DCTO - Inciso ",B505)</f>
        <v>INDEC-DCTO - Inciso q)</v>
      </c>
      <c r="B505" s="534" t="s">
        <v>305</v>
      </c>
      <c r="E505" s="533" t="s">
        <v>306</v>
      </c>
      <c r="F505" s="534"/>
      <c r="G505" s="533" t="s">
        <v>573</v>
      </c>
    </row>
    <row r="508" spans="1:7">
      <c r="B508" s="532" t="s">
        <v>574</v>
      </c>
    </row>
    <row r="511" spans="1:7">
      <c r="A511" s="536"/>
      <c r="B511" s="689" t="s">
        <v>260</v>
      </c>
      <c r="C511" s="536"/>
      <c r="D511" s="536"/>
      <c r="E511" s="689" t="s">
        <v>261</v>
      </c>
      <c r="F511" s="689" t="s">
        <v>262</v>
      </c>
      <c r="G511" s="689" t="s">
        <v>263</v>
      </c>
    </row>
    <row r="512" spans="1:7">
      <c r="A512" s="536"/>
      <c r="B512" s="689"/>
      <c r="C512" s="536"/>
      <c r="D512" s="536"/>
      <c r="E512" s="689"/>
      <c r="F512" s="689" t="s">
        <v>264</v>
      </c>
      <c r="G512" s="689"/>
    </row>
    <row r="513" spans="1:7">
      <c r="A513" s="17"/>
      <c r="B513" s="16"/>
      <c r="C513" s="16"/>
      <c r="D513" s="16"/>
      <c r="E513" s="17"/>
      <c r="F513" s="17"/>
      <c r="G513" s="17"/>
    </row>
    <row r="514" spans="1:7">
      <c r="A514" s="17"/>
      <c r="B514" s="16"/>
      <c r="C514" s="16"/>
      <c r="D514" s="16"/>
      <c r="E514" s="549" t="s">
        <v>506</v>
      </c>
      <c r="F514" s="17"/>
      <c r="G514" s="17"/>
    </row>
    <row r="515" spans="1:7">
      <c r="A515" s="534" t="str">
        <f>CONCATENATE("INDEC-DCTO - Inciso ",B515)</f>
        <v>INDEC-DCTO - Inciso e)</v>
      </c>
      <c r="B515" s="534" t="s">
        <v>563</v>
      </c>
      <c r="C515" s="16"/>
      <c r="D515" s="16"/>
      <c r="E515" s="17" t="s">
        <v>545</v>
      </c>
      <c r="F515" s="16" t="s">
        <v>546</v>
      </c>
      <c r="G515" s="17" t="s">
        <v>547</v>
      </c>
    </row>
    <row r="516" spans="1:7">
      <c r="A516" s="534" t="str">
        <f>CONCATENATE("INDEC-DCTO - Inciso ",B516)</f>
        <v>INDEC-DCTO - Inciso i)</v>
      </c>
      <c r="B516" s="534" t="s">
        <v>564</v>
      </c>
      <c r="C516" s="16"/>
      <c r="D516" s="16"/>
      <c r="E516" s="17" t="s">
        <v>548</v>
      </c>
      <c r="F516" s="16" t="s">
        <v>549</v>
      </c>
      <c r="G516" s="17" t="s">
        <v>550</v>
      </c>
    </row>
    <row r="517" spans="1:7">
      <c r="A517" s="534" t="str">
        <f>CONCATENATE("INDEC-DCTO - Inciso ",B517)</f>
        <v>INDEC-DCTO - Inciso k)</v>
      </c>
      <c r="B517" s="534" t="s">
        <v>565</v>
      </c>
      <c r="C517" s="16"/>
      <c r="D517" s="16"/>
      <c r="E517" s="17" t="s">
        <v>551</v>
      </c>
      <c r="F517" s="16" t="s">
        <v>552</v>
      </c>
      <c r="G517" s="17" t="s">
        <v>553</v>
      </c>
    </row>
    <row r="518" spans="1:7">
      <c r="A518" s="534" t="str">
        <f>CONCATENATE("INDEC-DCTO - Inciso ",B518)</f>
        <v>INDEC-DCTO - Inciso t)</v>
      </c>
      <c r="B518" s="534" t="s">
        <v>566</v>
      </c>
      <c r="C518" s="16"/>
      <c r="D518" s="16"/>
      <c r="E518" s="17" t="s">
        <v>554</v>
      </c>
      <c r="F518" s="16" t="s">
        <v>555</v>
      </c>
      <c r="G518" s="17" t="s">
        <v>556</v>
      </c>
    </row>
    <row r="519" spans="1:7">
      <c r="A519" s="534" t="str">
        <f>CONCATENATE("INDEC-DCTO - Inciso ",B519)</f>
        <v>INDEC-DCTO - Inciso w)</v>
      </c>
      <c r="B519" s="534" t="s">
        <v>567</v>
      </c>
      <c r="C519" s="16"/>
      <c r="D519" s="16"/>
      <c r="E519" s="17" t="s">
        <v>557</v>
      </c>
      <c r="F519" s="16" t="s">
        <v>558</v>
      </c>
      <c r="G519" s="17" t="s">
        <v>559</v>
      </c>
    </row>
    <row r="520" spans="1:7">
      <c r="A520" s="17"/>
      <c r="C520" s="16"/>
      <c r="D520" s="16"/>
      <c r="E520" s="17"/>
      <c r="F520" s="16"/>
      <c r="G520" s="17"/>
    </row>
    <row r="521" spans="1:7">
      <c r="A521" s="17"/>
      <c r="C521" s="16"/>
      <c r="D521" s="16"/>
      <c r="E521" s="549" t="s">
        <v>483</v>
      </c>
      <c r="F521" s="16"/>
      <c r="G521" s="17"/>
    </row>
    <row r="522" spans="1:7">
      <c r="A522" s="534" t="str">
        <f>CONCATENATE("INDEC-DCTO - Inciso ",B522)</f>
        <v>INDEC-DCTO - Inciso j)</v>
      </c>
      <c r="B522" s="534" t="s">
        <v>568</v>
      </c>
      <c r="C522" s="16"/>
      <c r="D522" s="16"/>
      <c r="E522" s="17" t="s">
        <v>560</v>
      </c>
      <c r="F522" s="16" t="s">
        <v>561</v>
      </c>
      <c r="G522" s="17" t="s">
        <v>562</v>
      </c>
    </row>
    <row r="523" spans="1:7">
      <c r="A523" s="16"/>
      <c r="B523" s="16"/>
      <c r="C523" s="16"/>
      <c r="D523" s="16"/>
      <c r="E523" s="17"/>
      <c r="F523" s="16"/>
      <c r="G523" s="17"/>
    </row>
    <row r="526" spans="1:7">
      <c r="A526" s="17"/>
      <c r="B526" s="543"/>
      <c r="C526" s="16"/>
      <c r="D526" s="16"/>
      <c r="E526" s="17"/>
    </row>
    <row r="528" spans="1:7">
      <c r="A528" s="531"/>
      <c r="B528" s="532" t="s">
        <v>307</v>
      </c>
      <c r="C528" s="532"/>
      <c r="D528" s="532"/>
    </row>
    <row r="530" spans="1:5">
      <c r="A530" s="689" t="s">
        <v>342</v>
      </c>
      <c r="B530" s="689" t="s">
        <v>41</v>
      </c>
      <c r="C530" s="689"/>
      <c r="D530" s="689"/>
      <c r="E530" s="689" t="s">
        <v>42</v>
      </c>
    </row>
    <row r="531" spans="1:5">
      <c r="A531" s="689"/>
      <c r="B531" s="689" t="s">
        <v>43</v>
      </c>
      <c r="C531" s="689"/>
      <c r="D531" s="689"/>
      <c r="E531" s="689"/>
    </row>
    <row r="532" spans="1:5">
      <c r="A532" s="534" t="str">
        <f t="shared" ref="A532:A553" si="13">CONCATENATE("INDEC-GG ",B532,C532,D532)</f>
        <v>INDEC-GG 18000-1</v>
      </c>
      <c r="B532" s="534">
        <v>18000</v>
      </c>
      <c r="C532" s="534" t="s">
        <v>44</v>
      </c>
      <c r="D532" s="534">
        <v>1</v>
      </c>
      <c r="E532" s="537" t="s">
        <v>308</v>
      </c>
    </row>
    <row r="533" spans="1:5">
      <c r="A533" s="534" t="str">
        <f t="shared" si="13"/>
        <v>INDEC-GG 83107-1</v>
      </c>
      <c r="B533" s="534">
        <v>83107</v>
      </c>
      <c r="C533" s="534" t="s">
        <v>44</v>
      </c>
      <c r="D533" s="534">
        <v>1</v>
      </c>
      <c r="E533" s="537" t="s">
        <v>309</v>
      </c>
    </row>
    <row r="534" spans="1:5">
      <c r="A534" s="534" t="str">
        <f t="shared" si="13"/>
        <v>INDEC-GG 71240-11</v>
      </c>
      <c r="B534" s="534">
        <v>71240</v>
      </c>
      <c r="C534" s="534" t="s">
        <v>44</v>
      </c>
      <c r="D534" s="534">
        <v>11</v>
      </c>
      <c r="E534" s="538" t="s">
        <v>310</v>
      </c>
    </row>
    <row r="535" spans="1:5">
      <c r="A535" s="534" t="str">
        <f t="shared" si="13"/>
        <v>INDEC-GG 71233-11</v>
      </c>
      <c r="B535" s="534">
        <v>71233</v>
      </c>
      <c r="C535" s="534" t="s">
        <v>44</v>
      </c>
      <c r="D535" s="534">
        <v>11</v>
      </c>
      <c r="E535" s="538" t="s">
        <v>311</v>
      </c>
    </row>
    <row r="536" spans="1:5">
      <c r="A536" s="534" t="str">
        <f t="shared" si="13"/>
        <v>INDEC-GG 51800-11</v>
      </c>
      <c r="B536" s="534">
        <v>51800</v>
      </c>
      <c r="C536" s="534" t="s">
        <v>44</v>
      </c>
      <c r="D536" s="534">
        <v>11</v>
      </c>
      <c r="E536" s="538" t="s">
        <v>312</v>
      </c>
    </row>
    <row r="537" spans="1:5">
      <c r="A537" s="534" t="str">
        <f t="shared" si="13"/>
        <v>INDEC-GG 51800-21</v>
      </c>
      <c r="B537" s="534">
        <v>51800</v>
      </c>
      <c r="C537" s="534" t="s">
        <v>44</v>
      </c>
      <c r="D537" s="534">
        <v>21</v>
      </c>
      <c r="E537" s="537" t="s">
        <v>313</v>
      </c>
    </row>
    <row r="538" spans="1:5">
      <c r="A538" s="534" t="str">
        <f t="shared" si="13"/>
        <v>INDEC-GG 74110-11</v>
      </c>
      <c r="B538" s="534">
        <v>74110</v>
      </c>
      <c r="C538" s="534" t="s">
        <v>44</v>
      </c>
      <c r="D538" s="534">
        <v>11</v>
      </c>
      <c r="E538" s="538" t="s">
        <v>314</v>
      </c>
    </row>
    <row r="539" spans="1:5">
      <c r="A539" s="534" t="str">
        <f t="shared" si="13"/>
        <v>INDEC-GG 51560-31</v>
      </c>
      <c r="B539" s="534">
        <v>51560</v>
      </c>
      <c r="C539" s="534" t="s">
        <v>44</v>
      </c>
      <c r="D539" s="534">
        <v>31</v>
      </c>
      <c r="E539" s="537" t="s">
        <v>315</v>
      </c>
    </row>
    <row r="540" spans="1:5">
      <c r="A540" s="534" t="str">
        <f t="shared" si="13"/>
        <v>INDEC-GG 53111-1</v>
      </c>
      <c r="B540" s="534">
        <v>53111</v>
      </c>
      <c r="C540" s="534" t="s">
        <v>44</v>
      </c>
      <c r="D540" s="534">
        <v>1</v>
      </c>
      <c r="E540" s="538" t="s">
        <v>316</v>
      </c>
    </row>
    <row r="541" spans="1:5">
      <c r="A541" s="534" t="str">
        <f t="shared" si="13"/>
        <v>INDEC-GG 54400-1</v>
      </c>
      <c r="B541" s="534">
        <v>54400</v>
      </c>
      <c r="C541" s="534" t="s">
        <v>44</v>
      </c>
      <c r="D541" s="534">
        <v>1</v>
      </c>
      <c r="E541" s="538" t="s">
        <v>317</v>
      </c>
    </row>
    <row r="542" spans="1:5">
      <c r="A542" s="534" t="str">
        <f t="shared" si="13"/>
        <v>INDEC-GG 18000-21</v>
      </c>
      <c r="B542" s="534">
        <v>18000</v>
      </c>
      <c r="C542" s="534" t="s">
        <v>44</v>
      </c>
      <c r="D542" s="534">
        <v>21</v>
      </c>
      <c r="E542" s="538" t="s">
        <v>318</v>
      </c>
    </row>
    <row r="543" spans="1:5">
      <c r="A543" s="534" t="str">
        <f t="shared" si="13"/>
        <v>INDEC-GG 18000-22</v>
      </c>
      <c r="B543" s="534">
        <v>18000</v>
      </c>
      <c r="C543" s="534" t="s">
        <v>44</v>
      </c>
      <c r="D543" s="534">
        <v>22</v>
      </c>
      <c r="E543" s="538" t="s">
        <v>319</v>
      </c>
    </row>
    <row r="544" spans="1:5">
      <c r="A544" s="534" t="str">
        <f t="shared" si="13"/>
        <v>INDEC-GG 88700-2</v>
      </c>
      <c r="B544" s="534">
        <v>88700</v>
      </c>
      <c r="C544" s="534" t="s">
        <v>44</v>
      </c>
      <c r="D544" s="534">
        <v>2</v>
      </c>
      <c r="E544" s="538" t="s">
        <v>320</v>
      </c>
    </row>
    <row r="545" spans="1:5">
      <c r="A545" s="534" t="str">
        <f t="shared" si="13"/>
        <v>INDEC-GG 88700-31</v>
      </c>
      <c r="B545" s="534">
        <v>88700</v>
      </c>
      <c r="C545" s="534" t="s">
        <v>44</v>
      </c>
      <c r="D545" s="534">
        <v>31</v>
      </c>
      <c r="E545" s="537" t="s">
        <v>321</v>
      </c>
    </row>
    <row r="546" spans="1:5">
      <c r="A546" s="534" t="str">
        <f t="shared" si="13"/>
        <v>INDEC-GG DEP-EQ</v>
      </c>
      <c r="B546" s="534" t="s">
        <v>933</v>
      </c>
      <c r="E546" s="537" t="s">
        <v>322</v>
      </c>
    </row>
    <row r="547" spans="1:5">
      <c r="A547" s="534" t="str">
        <f t="shared" si="13"/>
        <v>INDEC-GG 88700-1</v>
      </c>
      <c r="B547" s="534">
        <v>88700</v>
      </c>
      <c r="C547" s="534" t="s">
        <v>44</v>
      </c>
      <c r="D547" s="534">
        <v>1</v>
      </c>
      <c r="E547" s="537" t="s">
        <v>323</v>
      </c>
    </row>
    <row r="548" spans="1:5">
      <c r="A548" s="534" t="str">
        <f t="shared" si="13"/>
        <v>INDEC-GG 31210-11</v>
      </c>
      <c r="B548" s="534">
        <v>31210</v>
      </c>
      <c r="C548" s="534" t="s">
        <v>44</v>
      </c>
      <c r="D548" s="534">
        <v>11</v>
      </c>
      <c r="E548" s="537" t="s">
        <v>324</v>
      </c>
    </row>
    <row r="549" spans="1:5">
      <c r="A549" s="534" t="str">
        <f t="shared" si="13"/>
        <v>INDEC-GG 81295-1</v>
      </c>
      <c r="B549" s="534">
        <v>81295</v>
      </c>
      <c r="C549" s="534" t="s">
        <v>44</v>
      </c>
      <c r="D549" s="534">
        <v>1</v>
      </c>
      <c r="E549" s="537" t="s">
        <v>325</v>
      </c>
    </row>
    <row r="550" spans="1:5">
      <c r="A550" s="534" t="str">
        <f t="shared" si="13"/>
        <v>INDEC-GG 81297-1</v>
      </c>
      <c r="B550" s="534">
        <v>81297</v>
      </c>
      <c r="C550" s="534" t="s">
        <v>44</v>
      </c>
      <c r="D550" s="534">
        <v>1</v>
      </c>
      <c r="E550" s="538" t="s">
        <v>326</v>
      </c>
    </row>
    <row r="551" spans="1:5">
      <c r="A551" s="534" t="str">
        <f t="shared" si="13"/>
        <v>INDEC-GG 51560-21</v>
      </c>
      <c r="B551" s="534">
        <v>51560</v>
      </c>
      <c r="C551" s="534" t="s">
        <v>44</v>
      </c>
      <c r="D551" s="534">
        <v>21</v>
      </c>
      <c r="E551" s="537" t="s">
        <v>327</v>
      </c>
    </row>
    <row r="552" spans="1:5">
      <c r="A552" s="534" t="str">
        <f t="shared" si="13"/>
        <v>INDEC-GG 31100-11</v>
      </c>
      <c r="B552" s="534">
        <v>31100</v>
      </c>
      <c r="C552" s="534" t="s">
        <v>44</v>
      </c>
      <c r="D552" s="534">
        <v>11</v>
      </c>
      <c r="E552" s="537" t="s">
        <v>328</v>
      </c>
    </row>
    <row r="553" spans="1:5">
      <c r="A553" s="534" t="str">
        <f t="shared" si="13"/>
        <v>INDEC-GG 53211-11</v>
      </c>
      <c r="B553" s="534">
        <v>53211</v>
      </c>
      <c r="C553" s="534" t="s">
        <v>44</v>
      </c>
      <c r="D553" s="534">
        <v>11</v>
      </c>
      <c r="E553" s="538" t="s">
        <v>329</v>
      </c>
    </row>
    <row r="556" spans="1:5">
      <c r="B556" s="532" t="s">
        <v>717</v>
      </c>
    </row>
    <row r="557" spans="1:5">
      <c r="B557" s="532" t="s">
        <v>718</v>
      </c>
    </row>
    <row r="559" spans="1:5">
      <c r="A559" s="534" t="str">
        <f t="shared" ref="A559:A622" si="14">CONCATENATE("DNV-T I - ",B559)</f>
        <v>DNV-T I - 1</v>
      </c>
      <c r="B559" s="534">
        <v>1</v>
      </c>
      <c r="E559" s="533" t="s">
        <v>266</v>
      </c>
    </row>
    <row r="560" spans="1:5">
      <c r="A560" s="534" t="str">
        <f t="shared" si="14"/>
        <v>DNV-T I - 2</v>
      </c>
      <c r="B560" s="534">
        <v>2</v>
      </c>
      <c r="E560" s="533" t="s">
        <v>719</v>
      </c>
    </row>
    <row r="561" spans="1:5">
      <c r="A561" s="534" t="str">
        <f t="shared" si="14"/>
        <v>DNV-T I - 3</v>
      </c>
      <c r="B561" s="534">
        <v>3</v>
      </c>
      <c r="E561" s="533" t="s">
        <v>720</v>
      </c>
    </row>
    <row r="562" spans="1:5">
      <c r="A562" s="534" t="str">
        <f t="shared" si="14"/>
        <v>DNV-T I - 4</v>
      </c>
      <c r="B562" s="534">
        <v>4</v>
      </c>
      <c r="E562" s="533" t="s">
        <v>721</v>
      </c>
    </row>
    <row r="563" spans="1:5">
      <c r="A563" s="534" t="str">
        <f t="shared" si="14"/>
        <v>DNV-T I - 5</v>
      </c>
      <c r="B563" s="534">
        <v>5</v>
      </c>
      <c r="E563" s="533" t="s">
        <v>722</v>
      </c>
    </row>
    <row r="564" spans="1:5">
      <c r="A564" s="534" t="str">
        <f t="shared" si="14"/>
        <v>DNV-T I - 6</v>
      </c>
      <c r="B564" s="534">
        <v>6</v>
      </c>
      <c r="E564" s="533" t="s">
        <v>723</v>
      </c>
    </row>
    <row r="565" spans="1:5">
      <c r="A565" s="534" t="str">
        <f t="shared" si="14"/>
        <v>DNV-T I - 7</v>
      </c>
      <c r="B565" s="534">
        <v>7</v>
      </c>
      <c r="E565" s="533" t="s">
        <v>724</v>
      </c>
    </row>
    <row r="566" spans="1:5">
      <c r="A566" s="534" t="str">
        <f t="shared" si="14"/>
        <v>DNV-T I - 8</v>
      </c>
      <c r="B566" s="534">
        <v>8</v>
      </c>
      <c r="E566" s="533" t="s">
        <v>725</v>
      </c>
    </row>
    <row r="567" spans="1:5">
      <c r="A567" s="534" t="str">
        <f t="shared" si="14"/>
        <v>DNV-T I - 9</v>
      </c>
      <c r="B567" s="534">
        <v>9</v>
      </c>
      <c r="E567" s="533" t="s">
        <v>726</v>
      </c>
    </row>
    <row r="568" spans="1:5">
      <c r="A568" s="534" t="str">
        <f t="shared" si="14"/>
        <v>DNV-T I - 10</v>
      </c>
      <c r="B568" s="534">
        <v>10</v>
      </c>
      <c r="E568" s="533" t="s">
        <v>727</v>
      </c>
    </row>
    <row r="569" spans="1:5">
      <c r="A569" s="534" t="str">
        <f t="shared" si="14"/>
        <v>DNV-T I - 11</v>
      </c>
      <c r="B569" s="534">
        <v>11</v>
      </c>
      <c r="E569" s="533" t="s">
        <v>728</v>
      </c>
    </row>
    <row r="570" spans="1:5">
      <c r="A570" s="534" t="str">
        <f t="shared" si="14"/>
        <v>DNV-T I - 12</v>
      </c>
      <c r="B570" s="534">
        <v>12</v>
      </c>
      <c r="E570" s="533" t="s">
        <v>729</v>
      </c>
    </row>
    <row r="571" spans="1:5">
      <c r="A571" s="534" t="str">
        <f t="shared" si="14"/>
        <v>DNV-T I - 13</v>
      </c>
      <c r="B571" s="534">
        <v>13</v>
      </c>
      <c r="E571" s="533" t="s">
        <v>730</v>
      </c>
    </row>
    <row r="572" spans="1:5">
      <c r="A572" s="534" t="str">
        <f t="shared" si="14"/>
        <v>DNV-T I - 14</v>
      </c>
      <c r="B572" s="534">
        <v>14</v>
      </c>
      <c r="E572" s="533" t="s">
        <v>731</v>
      </c>
    </row>
    <row r="573" spans="1:5">
      <c r="A573" s="534" t="str">
        <f t="shared" si="14"/>
        <v>DNV-T I - 15</v>
      </c>
      <c r="B573" s="534">
        <v>15</v>
      </c>
      <c r="E573" s="533" t="s">
        <v>732</v>
      </c>
    </row>
    <row r="574" spans="1:5">
      <c r="A574" s="534" t="str">
        <f t="shared" si="14"/>
        <v>DNV-T I - 16</v>
      </c>
      <c r="B574" s="534">
        <v>16</v>
      </c>
      <c r="E574" s="533" t="s">
        <v>733</v>
      </c>
    </row>
    <row r="575" spans="1:5">
      <c r="A575" s="534" t="str">
        <f t="shared" si="14"/>
        <v>DNV-T I - 17</v>
      </c>
      <c r="B575" s="534">
        <v>17</v>
      </c>
      <c r="E575" s="533" t="s">
        <v>734</v>
      </c>
    </row>
    <row r="576" spans="1:5">
      <c r="A576" s="534" t="str">
        <f t="shared" si="14"/>
        <v>DNV-T I - 18</v>
      </c>
      <c r="B576" s="534">
        <v>18</v>
      </c>
      <c r="E576" s="533" t="s">
        <v>735</v>
      </c>
    </row>
    <row r="577" spans="1:5">
      <c r="A577" s="534" t="str">
        <f t="shared" si="14"/>
        <v>DNV-T I - 19</v>
      </c>
      <c r="B577" s="534">
        <v>19</v>
      </c>
      <c r="E577" s="533" t="s">
        <v>736</v>
      </c>
    </row>
    <row r="578" spans="1:5">
      <c r="A578" s="534" t="str">
        <f t="shared" si="14"/>
        <v>DNV-T I - 20</v>
      </c>
      <c r="B578" s="534">
        <v>20</v>
      </c>
      <c r="E578" s="533" t="s">
        <v>737</v>
      </c>
    </row>
    <row r="579" spans="1:5">
      <c r="A579" s="534" t="str">
        <f t="shared" si="14"/>
        <v>DNV-T I - 21</v>
      </c>
      <c r="B579" s="534">
        <v>21</v>
      </c>
      <c r="E579" s="533" t="s">
        <v>738</v>
      </c>
    </row>
    <row r="580" spans="1:5">
      <c r="A580" s="534" t="str">
        <f t="shared" si="14"/>
        <v>DNV-T I - 22</v>
      </c>
      <c r="B580" s="534">
        <v>22</v>
      </c>
      <c r="E580" s="533" t="s">
        <v>739</v>
      </c>
    </row>
    <row r="581" spans="1:5">
      <c r="A581" s="534" t="str">
        <f t="shared" si="14"/>
        <v>DNV-T I - 23</v>
      </c>
      <c r="B581" s="534">
        <v>23</v>
      </c>
      <c r="E581" s="533" t="s">
        <v>740</v>
      </c>
    </row>
    <row r="582" spans="1:5">
      <c r="A582" s="534" t="str">
        <f t="shared" si="14"/>
        <v>DNV-T I - 24</v>
      </c>
      <c r="B582" s="534">
        <v>24</v>
      </c>
      <c r="E582" s="533" t="s">
        <v>741</v>
      </c>
    </row>
    <row r="583" spans="1:5">
      <c r="A583" s="534" t="str">
        <f t="shared" si="14"/>
        <v>DNV-T I - 25</v>
      </c>
      <c r="B583" s="534">
        <v>25</v>
      </c>
      <c r="E583" s="533" t="s">
        <v>742</v>
      </c>
    </row>
    <row r="584" spans="1:5">
      <c r="A584" s="534" t="str">
        <f t="shared" si="14"/>
        <v>DNV-T I - 26</v>
      </c>
      <c r="B584" s="534">
        <v>26</v>
      </c>
      <c r="E584" s="533" t="s">
        <v>743</v>
      </c>
    </row>
    <row r="585" spans="1:5">
      <c r="A585" s="534" t="str">
        <f t="shared" si="14"/>
        <v>DNV-T I - 27</v>
      </c>
      <c r="B585" s="534">
        <v>27</v>
      </c>
      <c r="E585" s="533" t="s">
        <v>744</v>
      </c>
    </row>
    <row r="586" spans="1:5">
      <c r="A586" s="534" t="str">
        <f t="shared" si="14"/>
        <v>DNV-T I - 28</v>
      </c>
      <c r="B586" s="534">
        <v>28</v>
      </c>
      <c r="E586" s="533" t="s">
        <v>745</v>
      </c>
    </row>
    <row r="587" spans="1:5">
      <c r="A587" s="534" t="str">
        <f t="shared" si="14"/>
        <v>DNV-T I - 29</v>
      </c>
      <c r="B587" s="534">
        <v>29</v>
      </c>
      <c r="E587" s="533" t="s">
        <v>746</v>
      </c>
    </row>
    <row r="588" spans="1:5">
      <c r="A588" s="534" t="str">
        <f t="shared" si="14"/>
        <v>DNV-T I - 30</v>
      </c>
      <c r="B588" s="534">
        <v>30</v>
      </c>
      <c r="E588" s="533" t="s">
        <v>747</v>
      </c>
    </row>
    <row r="589" spans="1:5">
      <c r="A589" s="534" t="str">
        <f t="shared" si="14"/>
        <v>DNV-T I - 31</v>
      </c>
      <c r="B589" s="534">
        <v>31</v>
      </c>
      <c r="E589" s="533" t="s">
        <v>748</v>
      </c>
    </row>
    <row r="590" spans="1:5">
      <c r="A590" s="534" t="str">
        <f t="shared" si="14"/>
        <v>DNV-T I - 32</v>
      </c>
      <c r="B590" s="534">
        <v>32</v>
      </c>
      <c r="E590" s="533" t="s">
        <v>749</v>
      </c>
    </row>
    <row r="591" spans="1:5">
      <c r="A591" s="534" t="str">
        <f t="shared" si="14"/>
        <v>DNV-T I - 33</v>
      </c>
      <c r="B591" s="534">
        <v>33</v>
      </c>
      <c r="E591" s="533" t="s">
        <v>750</v>
      </c>
    </row>
    <row r="592" spans="1:5">
      <c r="A592" s="534" t="str">
        <f t="shared" si="14"/>
        <v>DNV-T I - 34</v>
      </c>
      <c r="B592" s="534">
        <v>34</v>
      </c>
      <c r="E592" s="533" t="s">
        <v>751</v>
      </c>
    </row>
    <row r="593" spans="1:5">
      <c r="A593" s="534" t="str">
        <f t="shared" si="14"/>
        <v>DNV-T I - 35</v>
      </c>
      <c r="B593" s="534">
        <v>35</v>
      </c>
      <c r="E593" s="533" t="s">
        <v>752</v>
      </c>
    </row>
    <row r="594" spans="1:5">
      <c r="A594" s="534" t="str">
        <f t="shared" si="14"/>
        <v>DNV-T I - 36</v>
      </c>
      <c r="B594" s="534">
        <v>36</v>
      </c>
      <c r="E594" s="533" t="s">
        <v>753</v>
      </c>
    </row>
    <row r="595" spans="1:5">
      <c r="A595" s="534" t="str">
        <f t="shared" si="14"/>
        <v>DNV-T I - 37</v>
      </c>
      <c r="B595" s="534">
        <v>37</v>
      </c>
      <c r="E595" s="533" t="s">
        <v>754</v>
      </c>
    </row>
    <row r="596" spans="1:5">
      <c r="A596" s="534" t="str">
        <f t="shared" si="14"/>
        <v>DNV-T I - 38</v>
      </c>
      <c r="B596" s="534">
        <v>38</v>
      </c>
      <c r="E596" s="533" t="s">
        <v>755</v>
      </c>
    </row>
    <row r="597" spans="1:5">
      <c r="A597" s="534" t="str">
        <f t="shared" si="14"/>
        <v>DNV-T I - 39</v>
      </c>
      <c r="B597" s="534">
        <v>39</v>
      </c>
      <c r="E597" s="533" t="s">
        <v>756</v>
      </c>
    </row>
    <row r="598" spans="1:5">
      <c r="A598" s="534" t="str">
        <f t="shared" si="14"/>
        <v>DNV-T I - 40</v>
      </c>
      <c r="B598" s="534">
        <v>40</v>
      </c>
      <c r="E598" s="533" t="s">
        <v>757</v>
      </c>
    </row>
    <row r="599" spans="1:5">
      <c r="A599" s="534" t="str">
        <f t="shared" si="14"/>
        <v>DNV-T I - 41</v>
      </c>
      <c r="B599" s="534">
        <v>41</v>
      </c>
      <c r="E599" s="533" t="s">
        <v>758</v>
      </c>
    </row>
    <row r="600" spans="1:5">
      <c r="A600" s="534" t="str">
        <f t="shared" si="14"/>
        <v>DNV-T I - 42</v>
      </c>
      <c r="B600" s="534">
        <v>42</v>
      </c>
      <c r="E600" s="533" t="s">
        <v>759</v>
      </c>
    </row>
    <row r="601" spans="1:5">
      <c r="A601" s="534" t="str">
        <f t="shared" si="14"/>
        <v>DNV-T I - 43</v>
      </c>
      <c r="B601" s="534">
        <v>43</v>
      </c>
      <c r="E601" s="533" t="s">
        <v>760</v>
      </c>
    </row>
    <row r="602" spans="1:5">
      <c r="A602" s="534" t="str">
        <f t="shared" si="14"/>
        <v>DNV-T I - 44</v>
      </c>
      <c r="B602" s="534">
        <v>44</v>
      </c>
      <c r="E602" s="533" t="s">
        <v>761</v>
      </c>
    </row>
    <row r="603" spans="1:5">
      <c r="A603" s="534" t="str">
        <f t="shared" si="14"/>
        <v>DNV-T I - 45</v>
      </c>
      <c r="B603" s="534">
        <v>45</v>
      </c>
      <c r="E603" s="533" t="s">
        <v>762</v>
      </c>
    </row>
    <row r="604" spans="1:5">
      <c r="A604" s="534" t="str">
        <f t="shared" si="14"/>
        <v>DNV-T I - 46</v>
      </c>
      <c r="B604" s="534">
        <v>46</v>
      </c>
      <c r="E604" s="533" t="s">
        <v>763</v>
      </c>
    </row>
    <row r="605" spans="1:5">
      <c r="A605" s="534" t="str">
        <f t="shared" si="14"/>
        <v>DNV-T I - 47</v>
      </c>
      <c r="B605" s="534">
        <v>47</v>
      </c>
      <c r="E605" s="533" t="s">
        <v>764</v>
      </c>
    </row>
    <row r="606" spans="1:5">
      <c r="A606" s="534" t="str">
        <f t="shared" si="14"/>
        <v>DNV-T I - 48</v>
      </c>
      <c r="B606" s="534">
        <v>48</v>
      </c>
      <c r="E606" s="533" t="s">
        <v>765</v>
      </c>
    </row>
    <row r="607" spans="1:5">
      <c r="A607" s="534" t="str">
        <f t="shared" si="14"/>
        <v>DNV-T I - 49</v>
      </c>
      <c r="B607" s="534">
        <v>49</v>
      </c>
      <c r="E607" s="533" t="s">
        <v>766</v>
      </c>
    </row>
    <row r="608" spans="1:5">
      <c r="A608" s="534" t="str">
        <f t="shared" si="14"/>
        <v>DNV-T I - 50</v>
      </c>
      <c r="B608" s="534">
        <v>50</v>
      </c>
      <c r="E608" s="533" t="s">
        <v>767</v>
      </c>
    </row>
    <row r="609" spans="1:5">
      <c r="A609" s="534" t="str">
        <f t="shared" si="14"/>
        <v>DNV-T I - 51</v>
      </c>
      <c r="B609" s="534">
        <v>51</v>
      </c>
      <c r="E609" s="533" t="s">
        <v>768</v>
      </c>
    </row>
    <row r="610" spans="1:5">
      <c r="A610" s="534" t="str">
        <f t="shared" si="14"/>
        <v>DNV-T I - 52</v>
      </c>
      <c r="B610" s="534">
        <v>52</v>
      </c>
      <c r="E610" s="533" t="s">
        <v>769</v>
      </c>
    </row>
    <row r="611" spans="1:5">
      <c r="A611" s="534" t="str">
        <f t="shared" si="14"/>
        <v>DNV-T I - 53</v>
      </c>
      <c r="B611" s="534">
        <v>53</v>
      </c>
      <c r="E611" s="533" t="s">
        <v>770</v>
      </c>
    </row>
    <row r="612" spans="1:5">
      <c r="A612" s="534" t="str">
        <f t="shared" si="14"/>
        <v>DNV-T I - 54</v>
      </c>
      <c r="B612" s="534">
        <v>54</v>
      </c>
      <c r="E612" s="533" t="s">
        <v>771</v>
      </c>
    </row>
    <row r="613" spans="1:5">
      <c r="A613" s="534" t="str">
        <f t="shared" si="14"/>
        <v>DNV-T I - 55</v>
      </c>
      <c r="B613" s="534">
        <v>55</v>
      </c>
      <c r="E613" s="533" t="s">
        <v>772</v>
      </c>
    </row>
    <row r="614" spans="1:5">
      <c r="A614" s="534" t="str">
        <f t="shared" si="14"/>
        <v>DNV-T I - 56</v>
      </c>
      <c r="B614" s="534">
        <v>56</v>
      </c>
      <c r="E614" s="533" t="s">
        <v>773</v>
      </c>
    </row>
    <row r="615" spans="1:5">
      <c r="A615" s="534" t="str">
        <f t="shared" si="14"/>
        <v>DNV-T I - 57</v>
      </c>
      <c r="B615" s="534">
        <v>57</v>
      </c>
      <c r="E615" s="533" t="s">
        <v>774</v>
      </c>
    </row>
    <row r="616" spans="1:5">
      <c r="A616" s="534" t="str">
        <f t="shared" si="14"/>
        <v>DNV-T I - 58</v>
      </c>
      <c r="B616" s="534">
        <v>58</v>
      </c>
      <c r="E616" s="533" t="s">
        <v>775</v>
      </c>
    </row>
    <row r="617" spans="1:5">
      <c r="A617" s="534" t="str">
        <f t="shared" si="14"/>
        <v>DNV-T I - 59</v>
      </c>
      <c r="B617" s="534">
        <v>59</v>
      </c>
      <c r="E617" s="533" t="s">
        <v>776</v>
      </c>
    </row>
    <row r="618" spans="1:5">
      <c r="A618" s="534" t="str">
        <f t="shared" si="14"/>
        <v>DNV-T I - 60</v>
      </c>
      <c r="B618" s="534">
        <v>60</v>
      </c>
      <c r="E618" s="533" t="s">
        <v>777</v>
      </c>
    </row>
    <row r="619" spans="1:5">
      <c r="A619" s="534" t="str">
        <f t="shared" si="14"/>
        <v>DNV-T I - 61</v>
      </c>
      <c r="B619" s="534">
        <v>61</v>
      </c>
      <c r="E619" s="533" t="s">
        <v>778</v>
      </c>
    </row>
    <row r="620" spans="1:5">
      <c r="A620" s="534" t="str">
        <f t="shared" si="14"/>
        <v>DNV-T I - 62</v>
      </c>
      <c r="B620" s="534">
        <v>62</v>
      </c>
      <c r="E620" s="533" t="s">
        <v>779</v>
      </c>
    </row>
    <row r="621" spans="1:5">
      <c r="A621" s="534" t="str">
        <f t="shared" si="14"/>
        <v>DNV-T I - 63</v>
      </c>
      <c r="B621" s="534">
        <v>63</v>
      </c>
      <c r="E621" s="533" t="s">
        <v>780</v>
      </c>
    </row>
    <row r="622" spans="1:5">
      <c r="A622" s="534" t="str">
        <f t="shared" si="14"/>
        <v>DNV-T I - 64</v>
      </c>
      <c r="B622" s="534">
        <v>64</v>
      </c>
      <c r="E622" s="533" t="s">
        <v>781</v>
      </c>
    </row>
    <row r="623" spans="1:5">
      <c r="A623" s="534" t="str">
        <f t="shared" ref="A623:A676" si="15">CONCATENATE("DNV-T I - ",B623)</f>
        <v>DNV-T I - 65</v>
      </c>
      <c r="B623" s="534">
        <v>65</v>
      </c>
      <c r="E623" s="533" t="s">
        <v>782</v>
      </c>
    </row>
    <row r="624" spans="1:5">
      <c r="A624" s="534" t="str">
        <f t="shared" si="15"/>
        <v>DNV-T I - 66</v>
      </c>
      <c r="B624" s="534">
        <v>66</v>
      </c>
      <c r="E624" s="533" t="s">
        <v>783</v>
      </c>
    </row>
    <row r="625" spans="1:5">
      <c r="A625" s="534" t="str">
        <f t="shared" si="15"/>
        <v>DNV-T I - 67</v>
      </c>
      <c r="B625" s="534">
        <v>67</v>
      </c>
      <c r="E625" s="533" t="s">
        <v>784</v>
      </c>
    </row>
    <row r="626" spans="1:5">
      <c r="A626" s="534" t="str">
        <f t="shared" si="15"/>
        <v>DNV-T I - 68</v>
      </c>
      <c r="B626" s="534">
        <v>68</v>
      </c>
      <c r="E626" s="533" t="s">
        <v>785</v>
      </c>
    </row>
    <row r="627" spans="1:5">
      <c r="A627" s="534" t="str">
        <f t="shared" si="15"/>
        <v>DNV-T I - 69</v>
      </c>
      <c r="B627" s="534">
        <v>69</v>
      </c>
      <c r="E627" s="533" t="s">
        <v>786</v>
      </c>
    </row>
    <row r="628" spans="1:5">
      <c r="A628" s="534" t="str">
        <f t="shared" si="15"/>
        <v>DNV-T I - 70</v>
      </c>
      <c r="B628" s="534">
        <v>70</v>
      </c>
      <c r="E628" s="533" t="s">
        <v>787</v>
      </c>
    </row>
    <row r="629" spans="1:5">
      <c r="A629" s="534" t="str">
        <f t="shared" si="15"/>
        <v>DNV-T I - 71</v>
      </c>
      <c r="B629" s="534">
        <v>71</v>
      </c>
      <c r="E629" s="533" t="s">
        <v>788</v>
      </c>
    </row>
    <row r="630" spans="1:5">
      <c r="A630" s="534" t="str">
        <f t="shared" si="15"/>
        <v>DNV-T I - 72</v>
      </c>
      <c r="B630" s="534">
        <v>72</v>
      </c>
      <c r="E630" s="533" t="s">
        <v>789</v>
      </c>
    </row>
    <row r="631" spans="1:5">
      <c r="A631" s="534" t="str">
        <f t="shared" si="15"/>
        <v>DNV-T I - 73</v>
      </c>
      <c r="B631" s="534">
        <v>73</v>
      </c>
      <c r="E631" s="533" t="s">
        <v>790</v>
      </c>
    </row>
    <row r="632" spans="1:5">
      <c r="A632" s="534" t="str">
        <f t="shared" si="15"/>
        <v>DNV-T I - 74</v>
      </c>
      <c r="B632" s="534">
        <v>74</v>
      </c>
      <c r="E632" s="533" t="s">
        <v>791</v>
      </c>
    </row>
    <row r="633" spans="1:5">
      <c r="A633" s="534" t="str">
        <f t="shared" si="15"/>
        <v>DNV-T I - 75</v>
      </c>
      <c r="B633" s="534">
        <v>75</v>
      </c>
      <c r="E633" s="533" t="s">
        <v>792</v>
      </c>
    </row>
    <row r="634" spans="1:5">
      <c r="A634" s="534" t="str">
        <f t="shared" si="15"/>
        <v>DNV-T I - 76</v>
      </c>
      <c r="B634" s="534">
        <v>76</v>
      </c>
      <c r="E634" s="533" t="s">
        <v>793</v>
      </c>
    </row>
    <row r="635" spans="1:5">
      <c r="A635" s="534" t="str">
        <f t="shared" si="15"/>
        <v>DNV-T I - 77</v>
      </c>
      <c r="B635" s="534">
        <v>77</v>
      </c>
      <c r="E635" s="533" t="s">
        <v>794</v>
      </c>
    </row>
    <row r="636" spans="1:5">
      <c r="A636" s="534" t="str">
        <f t="shared" si="15"/>
        <v>DNV-T I - 78</v>
      </c>
      <c r="B636" s="534">
        <v>78</v>
      </c>
      <c r="E636" s="533" t="s">
        <v>795</v>
      </c>
    </row>
    <row r="637" spans="1:5">
      <c r="A637" s="534" t="str">
        <f t="shared" si="15"/>
        <v>DNV-T I - 79</v>
      </c>
      <c r="B637" s="534">
        <v>79</v>
      </c>
      <c r="E637" s="533" t="s">
        <v>796</v>
      </c>
    </row>
    <row r="638" spans="1:5">
      <c r="A638" s="534" t="str">
        <f t="shared" si="15"/>
        <v>DNV-T I - 80</v>
      </c>
      <c r="B638" s="534">
        <v>80</v>
      </c>
      <c r="E638" s="533" t="s">
        <v>797</v>
      </c>
    </row>
    <row r="639" spans="1:5">
      <c r="A639" s="534" t="str">
        <f t="shared" si="15"/>
        <v>DNV-T I - 81</v>
      </c>
      <c r="B639" s="534">
        <v>81</v>
      </c>
      <c r="E639" s="533" t="s">
        <v>798</v>
      </c>
    </row>
    <row r="640" spans="1:5">
      <c r="A640" s="534" t="str">
        <f t="shared" si="15"/>
        <v>DNV-T I - 82</v>
      </c>
      <c r="B640" s="534">
        <v>82</v>
      </c>
      <c r="E640" s="533" t="s">
        <v>799</v>
      </c>
    </row>
    <row r="641" spans="1:5">
      <c r="A641" s="534" t="str">
        <f t="shared" si="15"/>
        <v>DNV-T I - 83</v>
      </c>
      <c r="B641" s="534">
        <v>83</v>
      </c>
      <c r="E641" s="533" t="s">
        <v>800</v>
      </c>
    </row>
    <row r="642" spans="1:5">
      <c r="A642" s="534" t="str">
        <f t="shared" si="15"/>
        <v>DNV-T I - 84</v>
      </c>
      <c r="B642" s="534">
        <v>84</v>
      </c>
      <c r="E642" s="533" t="s">
        <v>801</v>
      </c>
    </row>
    <row r="643" spans="1:5">
      <c r="A643" s="534" t="str">
        <f t="shared" si="15"/>
        <v>DNV-T I - 85</v>
      </c>
      <c r="B643" s="534">
        <v>85</v>
      </c>
      <c r="E643" s="533" t="s">
        <v>802</v>
      </c>
    </row>
    <row r="644" spans="1:5">
      <c r="A644" s="534" t="str">
        <f t="shared" si="15"/>
        <v>DNV-T I - 86</v>
      </c>
      <c r="B644" s="534">
        <v>86</v>
      </c>
      <c r="E644" s="533" t="s">
        <v>803</v>
      </c>
    </row>
    <row r="645" spans="1:5">
      <c r="A645" s="534" t="str">
        <f t="shared" si="15"/>
        <v>DNV-T I - 86.1</v>
      </c>
      <c r="B645" s="534" t="s">
        <v>804</v>
      </c>
      <c r="E645" s="533" t="s">
        <v>805</v>
      </c>
    </row>
    <row r="646" spans="1:5">
      <c r="A646" s="534" t="str">
        <f t="shared" si="15"/>
        <v>DNV-T I - 86.1.1</v>
      </c>
      <c r="B646" s="534" t="s">
        <v>806</v>
      </c>
      <c r="E646" s="533" t="s">
        <v>807</v>
      </c>
    </row>
    <row r="647" spans="1:5">
      <c r="A647" s="534" t="str">
        <f t="shared" si="15"/>
        <v>DNV-T I - 86.1.2</v>
      </c>
      <c r="B647" s="534" t="s">
        <v>808</v>
      </c>
      <c r="E647" s="533" t="s">
        <v>809</v>
      </c>
    </row>
    <row r="648" spans="1:5">
      <c r="A648" s="534" t="str">
        <f t="shared" si="15"/>
        <v>DNV-T I - 86.1.3</v>
      </c>
      <c r="B648" s="534" t="s">
        <v>810</v>
      </c>
      <c r="E648" s="533" t="s">
        <v>811</v>
      </c>
    </row>
    <row r="649" spans="1:5">
      <c r="A649" s="534" t="str">
        <f t="shared" si="15"/>
        <v>DNV-T I - 86.1.4</v>
      </c>
      <c r="B649" s="534" t="s">
        <v>812</v>
      </c>
      <c r="E649" s="533" t="s">
        <v>813</v>
      </c>
    </row>
    <row r="650" spans="1:5">
      <c r="A650" s="534" t="str">
        <f t="shared" si="15"/>
        <v>DNV-T I - 86.1.5</v>
      </c>
      <c r="B650" s="534" t="s">
        <v>814</v>
      </c>
      <c r="E650" s="533" t="s">
        <v>815</v>
      </c>
    </row>
    <row r="651" spans="1:5">
      <c r="A651" s="534" t="str">
        <f t="shared" si="15"/>
        <v>DNV-T I - 86.2</v>
      </c>
      <c r="B651" s="534" t="s">
        <v>816</v>
      </c>
      <c r="E651" s="533" t="s">
        <v>817</v>
      </c>
    </row>
    <row r="652" spans="1:5">
      <c r="A652" s="534" t="str">
        <f t="shared" si="15"/>
        <v>DNV-T I - 86.2.1</v>
      </c>
      <c r="B652" s="534" t="s">
        <v>818</v>
      </c>
      <c r="E652" s="533" t="s">
        <v>807</v>
      </c>
    </row>
    <row r="653" spans="1:5">
      <c r="A653" s="534" t="str">
        <f t="shared" si="15"/>
        <v>DNV-T I - 86.2.2</v>
      </c>
      <c r="B653" s="534" t="s">
        <v>819</v>
      </c>
      <c r="E653" s="533" t="s">
        <v>820</v>
      </c>
    </row>
    <row r="654" spans="1:5">
      <c r="A654" s="534" t="str">
        <f t="shared" si="15"/>
        <v>DNV-T I - 86.2.3</v>
      </c>
      <c r="B654" s="534" t="s">
        <v>821</v>
      </c>
      <c r="E654" s="533" t="s">
        <v>809</v>
      </c>
    </row>
    <row r="655" spans="1:5">
      <c r="A655" s="534" t="str">
        <f t="shared" si="15"/>
        <v>DNV-T I - 86.2.4</v>
      </c>
      <c r="B655" s="534" t="s">
        <v>822</v>
      </c>
      <c r="E655" s="533" t="s">
        <v>811</v>
      </c>
    </row>
    <row r="656" spans="1:5">
      <c r="A656" s="534" t="str">
        <f t="shared" si="15"/>
        <v>DNV-T I - 86.2.5</v>
      </c>
      <c r="B656" s="534" t="s">
        <v>823</v>
      </c>
      <c r="E656" s="533" t="s">
        <v>813</v>
      </c>
    </row>
    <row r="657" spans="1:5">
      <c r="A657" s="534" t="str">
        <f t="shared" si="15"/>
        <v>DNV-T I - 86.2.6</v>
      </c>
      <c r="B657" s="534" t="s">
        <v>824</v>
      </c>
      <c r="E657" s="533" t="s">
        <v>815</v>
      </c>
    </row>
    <row r="658" spans="1:5">
      <c r="A658" s="534" t="str">
        <f t="shared" si="15"/>
        <v>DNV-T I - 87</v>
      </c>
      <c r="B658" s="534">
        <v>87</v>
      </c>
      <c r="E658" s="533" t="s">
        <v>825</v>
      </c>
    </row>
    <row r="659" spans="1:5">
      <c r="A659" s="534" t="str">
        <f t="shared" si="15"/>
        <v>DNV-T I - 88</v>
      </c>
      <c r="B659" s="534">
        <v>88</v>
      </c>
      <c r="E659" s="533" t="s">
        <v>826</v>
      </c>
    </row>
    <row r="660" spans="1:5">
      <c r="A660" s="534" t="str">
        <f t="shared" si="15"/>
        <v>DNV-T I - 89</v>
      </c>
      <c r="B660" s="534">
        <v>89</v>
      </c>
      <c r="E660" s="533" t="s">
        <v>827</v>
      </c>
    </row>
    <row r="661" spans="1:5">
      <c r="A661" s="534" t="str">
        <f t="shared" si="15"/>
        <v>DNV-T I - 90</v>
      </c>
      <c r="B661" s="534">
        <v>90</v>
      </c>
      <c r="E661" s="533" t="s">
        <v>828</v>
      </c>
    </row>
    <row r="662" spans="1:5">
      <c r="A662" s="534" t="str">
        <f t="shared" si="15"/>
        <v>DNV-T I - 91</v>
      </c>
      <c r="B662" s="534">
        <v>91</v>
      </c>
      <c r="E662" s="533" t="s">
        <v>829</v>
      </c>
    </row>
    <row r="663" spans="1:5">
      <c r="A663" s="534" t="str">
        <f t="shared" si="15"/>
        <v>DNV-T I - 92</v>
      </c>
      <c r="B663" s="534">
        <v>92</v>
      </c>
      <c r="E663" s="533" t="s">
        <v>830</v>
      </c>
    </row>
    <row r="664" spans="1:5">
      <c r="A664" s="534" t="str">
        <f t="shared" si="15"/>
        <v>DNV-T I - 93</v>
      </c>
      <c r="B664" s="534">
        <v>93</v>
      </c>
      <c r="E664" s="533" t="s">
        <v>831</v>
      </c>
    </row>
    <row r="665" spans="1:5">
      <c r="A665" s="534" t="str">
        <f t="shared" si="15"/>
        <v>DNV-T I - 94</v>
      </c>
      <c r="B665" s="534">
        <v>94</v>
      </c>
      <c r="E665" s="533" t="s">
        <v>832</v>
      </c>
    </row>
    <row r="666" spans="1:5">
      <c r="A666" s="534" t="str">
        <f t="shared" si="15"/>
        <v>DNV-T I - 95</v>
      </c>
      <c r="B666" s="534">
        <v>95</v>
      </c>
      <c r="E666" s="533" t="s">
        <v>833</v>
      </c>
    </row>
    <row r="667" spans="1:5">
      <c r="A667" s="534" t="str">
        <f t="shared" si="15"/>
        <v>DNV-T I - 96</v>
      </c>
      <c r="B667" s="534">
        <v>96</v>
      </c>
      <c r="E667" s="533" t="s">
        <v>834</v>
      </c>
    </row>
    <row r="668" spans="1:5">
      <c r="A668" s="534" t="str">
        <f t="shared" si="15"/>
        <v>DNV-T I - 97</v>
      </c>
      <c r="B668" s="534">
        <v>97</v>
      </c>
      <c r="E668" s="533" t="s">
        <v>835</v>
      </c>
    </row>
    <row r="669" spans="1:5">
      <c r="A669" s="534" t="str">
        <f t="shared" si="15"/>
        <v>DNV-T I - 98</v>
      </c>
      <c r="B669" s="534">
        <v>98</v>
      </c>
      <c r="E669" s="533" t="s">
        <v>836</v>
      </c>
    </row>
    <row r="670" spans="1:5">
      <c r="A670" s="534" t="str">
        <f t="shared" si="15"/>
        <v>DNV-T I - 99</v>
      </c>
      <c r="B670" s="534">
        <v>99</v>
      </c>
      <c r="E670" s="533" t="s">
        <v>837</v>
      </c>
    </row>
    <row r="671" spans="1:5">
      <c r="A671" s="534" t="str">
        <f t="shared" si="15"/>
        <v>DNV-T I - 100</v>
      </c>
      <c r="B671" s="534">
        <v>100</v>
      </c>
      <c r="E671" s="533" t="s">
        <v>838</v>
      </c>
    </row>
    <row r="672" spans="1:5">
      <c r="A672" s="534" t="str">
        <f t="shared" si="15"/>
        <v>DNV-T I - 101</v>
      </c>
      <c r="B672" s="534">
        <v>101</v>
      </c>
      <c r="E672" s="533" t="s">
        <v>839</v>
      </c>
    </row>
    <row r="673" spans="1:7">
      <c r="A673" s="534" t="str">
        <f t="shared" si="15"/>
        <v>DNV-T I - 102</v>
      </c>
      <c r="B673" s="534">
        <v>102</v>
      </c>
      <c r="E673" s="533" t="s">
        <v>840</v>
      </c>
    </row>
    <row r="674" spans="1:7">
      <c r="A674" s="534" t="str">
        <f t="shared" si="15"/>
        <v>DNV-T I - 103</v>
      </c>
      <c r="B674" s="534">
        <v>103</v>
      </c>
      <c r="E674" s="533" t="s">
        <v>841</v>
      </c>
    </row>
    <row r="675" spans="1:7">
      <c r="A675" s="534" t="str">
        <f t="shared" si="15"/>
        <v>DNV-T I - 104</v>
      </c>
      <c r="B675" s="534">
        <v>104</v>
      </c>
      <c r="E675" s="533" t="s">
        <v>842</v>
      </c>
    </row>
    <row r="676" spans="1:7">
      <c r="A676" s="534" t="str">
        <f t="shared" si="15"/>
        <v>DNV-T I - 105</v>
      </c>
      <c r="B676" s="534">
        <v>105</v>
      </c>
      <c r="E676" s="533" t="s">
        <v>843</v>
      </c>
    </row>
    <row r="678" spans="1:7">
      <c r="A678" s="562"/>
      <c r="B678" s="532" t="s">
        <v>844</v>
      </c>
      <c r="C678" s="532"/>
      <c r="D678" s="563"/>
      <c r="E678" s="562"/>
      <c r="F678" s="564"/>
      <c r="G678" s="564"/>
    </row>
    <row r="679" spans="1:7">
      <c r="A679" s="534" t="str">
        <f t="shared" ref="A679:A713" si="16">CONCATENATE("DNV-TRC - ",E679)</f>
        <v>DNV-TRC - 1</v>
      </c>
      <c r="E679" s="565">
        <v>1</v>
      </c>
    </row>
    <row r="680" spans="1:7">
      <c r="A680" s="534" t="str">
        <f t="shared" si="16"/>
        <v>DNV-TRC - 1.5</v>
      </c>
      <c r="E680" s="565">
        <v>1.5</v>
      </c>
    </row>
    <row r="681" spans="1:7">
      <c r="A681" s="534" t="str">
        <f t="shared" si="16"/>
        <v>DNV-TRC - 2</v>
      </c>
      <c r="E681" s="565">
        <v>2</v>
      </c>
    </row>
    <row r="682" spans="1:7">
      <c r="A682" s="534" t="str">
        <f t="shared" si="16"/>
        <v>DNV-TRC - 2.5</v>
      </c>
      <c r="E682" s="565">
        <v>2.5</v>
      </c>
    </row>
    <row r="683" spans="1:7">
      <c r="A683" s="534" t="str">
        <f t="shared" si="16"/>
        <v>DNV-TRC - 3</v>
      </c>
      <c r="E683" s="565">
        <v>3</v>
      </c>
    </row>
    <row r="684" spans="1:7">
      <c r="A684" s="534" t="str">
        <f t="shared" si="16"/>
        <v>DNV-TRC - 3.5</v>
      </c>
      <c r="E684" s="565">
        <v>3.5</v>
      </c>
    </row>
    <row r="685" spans="1:7">
      <c r="A685" s="534" t="str">
        <f t="shared" si="16"/>
        <v>DNV-TRC - 4</v>
      </c>
      <c r="E685" s="565">
        <v>4</v>
      </c>
    </row>
    <row r="686" spans="1:7">
      <c r="A686" s="534" t="str">
        <f t="shared" si="16"/>
        <v>DNV-TRC - 4.5</v>
      </c>
      <c r="E686" s="565">
        <v>4.5</v>
      </c>
    </row>
    <row r="687" spans="1:7">
      <c r="A687" s="534" t="str">
        <f t="shared" si="16"/>
        <v>DNV-TRC - 5</v>
      </c>
      <c r="E687" s="565">
        <v>5</v>
      </c>
    </row>
    <row r="688" spans="1:7">
      <c r="A688" s="534" t="str">
        <f t="shared" si="16"/>
        <v>DNV-TRC - 6</v>
      </c>
      <c r="E688" s="565">
        <v>6</v>
      </c>
    </row>
    <row r="689" spans="1:5">
      <c r="A689" s="534" t="str">
        <f t="shared" si="16"/>
        <v>DNV-TRC - 7</v>
      </c>
      <c r="E689" s="565">
        <v>7</v>
      </c>
    </row>
    <row r="690" spans="1:5">
      <c r="A690" s="534" t="str">
        <f t="shared" si="16"/>
        <v>DNV-TRC - 8</v>
      </c>
      <c r="E690" s="565">
        <v>8</v>
      </c>
    </row>
    <row r="691" spans="1:5">
      <c r="A691" s="534" t="str">
        <f t="shared" si="16"/>
        <v>DNV-TRC - 9</v>
      </c>
      <c r="E691" s="565">
        <v>9</v>
      </c>
    </row>
    <row r="692" spans="1:5">
      <c r="A692" s="534" t="str">
        <f t="shared" si="16"/>
        <v>DNV-TRC - 10</v>
      </c>
      <c r="E692" s="565">
        <v>10</v>
      </c>
    </row>
    <row r="693" spans="1:5">
      <c r="A693" s="534" t="str">
        <f t="shared" si="16"/>
        <v>DNV-TRC - 12</v>
      </c>
      <c r="E693" s="565">
        <v>12</v>
      </c>
    </row>
    <row r="694" spans="1:5">
      <c r="A694" s="534" t="str">
        <f t="shared" si="16"/>
        <v>DNV-TRC - 15</v>
      </c>
      <c r="E694" s="565">
        <v>15</v>
      </c>
    </row>
    <row r="695" spans="1:5">
      <c r="A695" s="534" t="str">
        <f t="shared" si="16"/>
        <v>DNV-TRC - 17</v>
      </c>
      <c r="E695" s="565">
        <v>17</v>
      </c>
    </row>
    <row r="696" spans="1:5">
      <c r="A696" s="534" t="str">
        <f t="shared" si="16"/>
        <v>DNV-TRC - 19</v>
      </c>
      <c r="E696" s="565">
        <v>19</v>
      </c>
    </row>
    <row r="697" spans="1:5">
      <c r="A697" s="534" t="str">
        <f t="shared" si="16"/>
        <v>DNV-TRC - 20</v>
      </c>
      <c r="E697" s="565">
        <v>20</v>
      </c>
    </row>
    <row r="698" spans="1:5">
      <c r="A698" s="534" t="str">
        <f t="shared" si="16"/>
        <v>DNV-TRC - 25</v>
      </c>
      <c r="E698" s="565">
        <v>25</v>
      </c>
    </row>
    <row r="699" spans="1:5">
      <c r="A699" s="534" t="str">
        <f t="shared" si="16"/>
        <v>DNV-TRC - 30</v>
      </c>
      <c r="E699" s="565">
        <v>30</v>
      </c>
    </row>
    <row r="700" spans="1:5">
      <c r="A700" s="534" t="str">
        <f t="shared" si="16"/>
        <v>DNV-TRC - 35</v>
      </c>
      <c r="E700" s="565">
        <v>35</v>
      </c>
    </row>
    <row r="701" spans="1:5">
      <c r="A701" s="534" t="str">
        <f t="shared" si="16"/>
        <v>DNV-TRC - 40</v>
      </c>
      <c r="E701" s="565">
        <v>40</v>
      </c>
    </row>
    <row r="702" spans="1:5">
      <c r="A702" s="534" t="str">
        <f t="shared" si="16"/>
        <v>DNV-TRC - 45</v>
      </c>
      <c r="E702" s="565">
        <v>45</v>
      </c>
    </row>
    <row r="703" spans="1:5">
      <c r="A703" s="534" t="str">
        <f t="shared" si="16"/>
        <v>DNV-TRC - 50</v>
      </c>
      <c r="E703" s="565">
        <v>50</v>
      </c>
    </row>
    <row r="704" spans="1:5">
      <c r="A704" s="534" t="str">
        <f t="shared" si="16"/>
        <v>DNV-TRC - 55</v>
      </c>
      <c r="E704" s="565">
        <v>55</v>
      </c>
    </row>
    <row r="705" spans="1:7">
      <c r="A705" s="534" t="str">
        <f t="shared" si="16"/>
        <v>DNV-TRC - 60</v>
      </c>
      <c r="E705" s="565">
        <v>60</v>
      </c>
    </row>
    <row r="706" spans="1:7">
      <c r="A706" s="534" t="str">
        <f t="shared" si="16"/>
        <v>DNV-TRC - 65</v>
      </c>
      <c r="E706" s="565">
        <v>65</v>
      </c>
    </row>
    <row r="707" spans="1:7">
      <c r="A707" s="534" t="str">
        <f t="shared" si="16"/>
        <v>DNV-TRC - 70</v>
      </c>
      <c r="E707" s="565">
        <v>70</v>
      </c>
    </row>
    <row r="708" spans="1:7">
      <c r="A708" s="534" t="str">
        <f t="shared" si="16"/>
        <v>DNV-TRC - 75</v>
      </c>
      <c r="E708" s="565">
        <v>75</v>
      </c>
    </row>
    <row r="709" spans="1:7">
      <c r="A709" s="534" t="str">
        <f t="shared" si="16"/>
        <v>DNV-TRC - 80</v>
      </c>
      <c r="E709" s="565">
        <v>80</v>
      </c>
    </row>
    <row r="710" spans="1:7">
      <c r="A710" s="534" t="str">
        <f t="shared" si="16"/>
        <v>DNV-TRC - 85</v>
      </c>
      <c r="E710" s="565">
        <v>85</v>
      </c>
    </row>
    <row r="711" spans="1:7">
      <c r="A711" s="534" t="str">
        <f t="shared" si="16"/>
        <v>DNV-TRC - 90</v>
      </c>
      <c r="E711" s="565">
        <v>90</v>
      </c>
    </row>
    <row r="712" spans="1:7">
      <c r="A712" s="534" t="str">
        <f t="shared" si="16"/>
        <v>DNV-TRC - 95</v>
      </c>
      <c r="E712" s="565">
        <v>95</v>
      </c>
    </row>
    <row r="713" spans="1:7">
      <c r="A713" s="534" t="str">
        <f t="shared" si="16"/>
        <v>DNV-TRC - 100</v>
      </c>
      <c r="E713" s="565">
        <v>100</v>
      </c>
    </row>
    <row r="714" spans="1:7">
      <c r="A714" s="534"/>
      <c r="E714" s="565"/>
    </row>
    <row r="716" spans="1:7">
      <c r="A716" s="532"/>
      <c r="B716" s="532" t="s">
        <v>845</v>
      </c>
      <c r="C716" s="532"/>
      <c r="D716" s="532"/>
      <c r="E716" s="531"/>
      <c r="F716" s="531"/>
      <c r="G716" s="531"/>
    </row>
    <row r="717" spans="1:7">
      <c r="A717" s="534" t="str">
        <f t="shared" ref="A717:A751" si="17">CONCATENATE("DNV-TRCA - ",E717)</f>
        <v>DNV-TRCA - 55</v>
      </c>
      <c r="E717" s="565">
        <v>55</v>
      </c>
    </row>
    <row r="718" spans="1:7">
      <c r="A718" s="534" t="str">
        <f t="shared" si="17"/>
        <v>DNV-TRCA - 60</v>
      </c>
      <c r="E718" s="565">
        <v>60</v>
      </c>
    </row>
    <row r="719" spans="1:7">
      <c r="A719" s="534" t="str">
        <f t="shared" si="17"/>
        <v>DNV-TRCA - 65</v>
      </c>
      <c r="E719" s="565">
        <v>65</v>
      </c>
    </row>
    <row r="720" spans="1:7">
      <c r="A720" s="534" t="str">
        <f t="shared" si="17"/>
        <v>DNV-TRCA - 70</v>
      </c>
      <c r="E720" s="565">
        <v>70</v>
      </c>
    </row>
    <row r="721" spans="1:5">
      <c r="A721" s="534" t="str">
        <f t="shared" si="17"/>
        <v>DNV-TRCA - 75</v>
      </c>
      <c r="E721" s="565">
        <v>75</v>
      </c>
    </row>
    <row r="722" spans="1:5">
      <c r="A722" s="534" t="str">
        <f t="shared" si="17"/>
        <v>DNV-TRCA - 80</v>
      </c>
      <c r="E722" s="565">
        <v>80</v>
      </c>
    </row>
    <row r="723" spans="1:5">
      <c r="A723" s="534" t="str">
        <f t="shared" si="17"/>
        <v>DNV-TRCA - 85</v>
      </c>
      <c r="E723" s="565">
        <v>85</v>
      </c>
    </row>
    <row r="724" spans="1:5">
      <c r="A724" s="534" t="str">
        <f t="shared" si="17"/>
        <v>DNV-TRCA - 90</v>
      </c>
      <c r="E724" s="565">
        <v>90</v>
      </c>
    </row>
    <row r="725" spans="1:5">
      <c r="A725" s="534" t="str">
        <f t="shared" si="17"/>
        <v>DNV-TRCA - 95</v>
      </c>
      <c r="E725" s="565">
        <v>95</v>
      </c>
    </row>
    <row r="726" spans="1:5">
      <c r="A726" s="534" t="str">
        <f t="shared" si="17"/>
        <v>DNV-TRCA - 100</v>
      </c>
      <c r="E726" s="565">
        <v>100</v>
      </c>
    </row>
    <row r="727" spans="1:5">
      <c r="A727" s="534" t="str">
        <f t="shared" si="17"/>
        <v>DNV-TRCA - 105</v>
      </c>
      <c r="E727" s="565">
        <v>105</v>
      </c>
    </row>
    <row r="728" spans="1:5">
      <c r="A728" s="534" t="str">
        <f t="shared" si="17"/>
        <v>DNV-TRCA - 110</v>
      </c>
      <c r="E728" s="565">
        <v>110</v>
      </c>
    </row>
    <row r="729" spans="1:5">
      <c r="A729" s="534" t="str">
        <f t="shared" si="17"/>
        <v>DNV-TRCA - 120</v>
      </c>
      <c r="E729" s="565">
        <v>120</v>
      </c>
    </row>
    <row r="730" spans="1:5">
      <c r="A730" s="534" t="str">
        <f t="shared" si="17"/>
        <v>DNV-TRCA - 130</v>
      </c>
      <c r="E730" s="565">
        <v>130</v>
      </c>
    </row>
    <row r="731" spans="1:5">
      <c r="A731" s="534" t="str">
        <f t="shared" si="17"/>
        <v>DNV-TRCA - 140</v>
      </c>
      <c r="E731" s="565">
        <v>140</v>
      </c>
    </row>
    <row r="732" spans="1:5">
      <c r="A732" s="534" t="str">
        <f t="shared" si="17"/>
        <v>DNV-TRCA - 150</v>
      </c>
      <c r="E732" s="565">
        <v>150</v>
      </c>
    </row>
    <row r="733" spans="1:5">
      <c r="A733" s="534" t="str">
        <f t="shared" si="17"/>
        <v>DNV-TRCA - 160</v>
      </c>
      <c r="E733" s="565">
        <v>160</v>
      </c>
    </row>
    <row r="734" spans="1:5">
      <c r="A734" s="534" t="str">
        <f t="shared" si="17"/>
        <v>DNV-TRCA - 170</v>
      </c>
      <c r="E734" s="565">
        <v>170</v>
      </c>
    </row>
    <row r="735" spans="1:5">
      <c r="A735" s="534" t="str">
        <f t="shared" si="17"/>
        <v>DNV-TRCA - 180</v>
      </c>
      <c r="E735" s="565">
        <v>180</v>
      </c>
    </row>
    <row r="736" spans="1:5">
      <c r="A736" s="534" t="str">
        <f t="shared" si="17"/>
        <v>DNV-TRCA - 200</v>
      </c>
      <c r="E736" s="565">
        <v>200</v>
      </c>
    </row>
    <row r="737" spans="1:5">
      <c r="A737" s="534" t="str">
        <f t="shared" si="17"/>
        <v>DNV-TRCA - 225</v>
      </c>
      <c r="E737" s="565">
        <v>225</v>
      </c>
    </row>
    <row r="738" spans="1:5">
      <c r="A738" s="534" t="str">
        <f t="shared" si="17"/>
        <v>DNV-TRCA - 250</v>
      </c>
      <c r="E738" s="565">
        <v>250</v>
      </c>
    </row>
    <row r="739" spans="1:5">
      <c r="A739" s="534" t="str">
        <f t="shared" si="17"/>
        <v>DNV-TRCA - 275</v>
      </c>
      <c r="E739" s="565">
        <v>275</v>
      </c>
    </row>
    <row r="740" spans="1:5">
      <c r="A740" s="534" t="str">
        <f t="shared" si="17"/>
        <v>DNV-TRCA - 300</v>
      </c>
      <c r="E740" s="565">
        <v>300</v>
      </c>
    </row>
    <row r="741" spans="1:5">
      <c r="A741" s="534" t="str">
        <f t="shared" si="17"/>
        <v>DNV-TRCA - 325</v>
      </c>
      <c r="E741" s="565">
        <v>325</v>
      </c>
    </row>
    <row r="742" spans="1:5">
      <c r="A742" s="534" t="str">
        <f t="shared" si="17"/>
        <v>DNV-TRCA - 350</v>
      </c>
      <c r="E742" s="565">
        <v>350</v>
      </c>
    </row>
    <row r="743" spans="1:5">
      <c r="A743" s="534" t="str">
        <f t="shared" si="17"/>
        <v>DNV-TRCA - 375</v>
      </c>
      <c r="E743" s="565">
        <v>375</v>
      </c>
    </row>
    <row r="744" spans="1:5">
      <c r="A744" s="534" t="str">
        <f t="shared" si="17"/>
        <v>DNV-TRCA - 400</v>
      </c>
      <c r="E744" s="565">
        <v>400</v>
      </c>
    </row>
    <row r="745" spans="1:5">
      <c r="A745" s="534" t="str">
        <f t="shared" si="17"/>
        <v>DNV-TRCA - 425</v>
      </c>
      <c r="E745" s="565">
        <v>425</v>
      </c>
    </row>
    <row r="746" spans="1:5">
      <c r="A746" s="534" t="str">
        <f t="shared" si="17"/>
        <v>DNV-TRCA - 450</v>
      </c>
      <c r="E746" s="565">
        <v>450</v>
      </c>
    </row>
    <row r="747" spans="1:5">
      <c r="A747" s="534" t="str">
        <f t="shared" si="17"/>
        <v>DNV-TRCA - 475</v>
      </c>
      <c r="E747" s="565">
        <v>475</v>
      </c>
    </row>
    <row r="748" spans="1:5">
      <c r="A748" s="534" t="str">
        <f t="shared" si="17"/>
        <v>DNV-TRCA - 500</v>
      </c>
      <c r="E748" s="565">
        <v>500</v>
      </c>
    </row>
    <row r="749" spans="1:5">
      <c r="A749" s="534" t="str">
        <f t="shared" si="17"/>
        <v>DNV-TRCA - 600</v>
      </c>
      <c r="E749" s="565">
        <v>600</v>
      </c>
    </row>
    <row r="750" spans="1:5">
      <c r="A750" s="534" t="str">
        <f t="shared" si="17"/>
        <v>DNV-TRCA - 800</v>
      </c>
      <c r="E750" s="565">
        <v>800</v>
      </c>
    </row>
    <row r="751" spans="1:5">
      <c r="A751" s="534" t="str">
        <f t="shared" si="17"/>
        <v>DNV-TRCA - 1000</v>
      </c>
      <c r="E751" s="565">
        <v>1000</v>
      </c>
    </row>
    <row r="756" spans="1:7">
      <c r="A756" s="537"/>
      <c r="B756" s="532" t="s">
        <v>1867</v>
      </c>
    </row>
    <row r="758" spans="1:7">
      <c r="B758" s="534" t="s">
        <v>41</v>
      </c>
      <c r="C758" s="534" t="s">
        <v>846</v>
      </c>
    </row>
    <row r="759" spans="1:7">
      <c r="A759" s="534" t="str">
        <f>CONCATENATE("IIEE-SJ - ",B759)</f>
        <v>IIEE-SJ - 1</v>
      </c>
      <c r="B759" s="534">
        <v>1</v>
      </c>
      <c r="E759" s="533" t="s">
        <v>847</v>
      </c>
      <c r="F759" s="533" t="s">
        <v>2038</v>
      </c>
    </row>
    <row r="760" spans="1:7">
      <c r="A760" s="534" t="s">
        <v>904</v>
      </c>
      <c r="B760" s="534">
        <v>101000</v>
      </c>
      <c r="E760" s="533" t="s">
        <v>714</v>
      </c>
      <c r="G760" s="566"/>
    </row>
    <row r="761" spans="1:7">
      <c r="A761" s="534" t="s">
        <v>903</v>
      </c>
      <c r="B761" s="534">
        <v>102000</v>
      </c>
      <c r="E761" s="533" t="s">
        <v>715</v>
      </c>
      <c r="G761" s="566"/>
    </row>
    <row r="762" spans="1:7">
      <c r="A762" s="534" t="s">
        <v>901</v>
      </c>
      <c r="B762" s="534">
        <v>103000</v>
      </c>
      <c r="E762" s="533" t="s">
        <v>716</v>
      </c>
      <c r="G762" s="566"/>
    </row>
    <row r="763" spans="1:7">
      <c r="A763" s="534"/>
    </row>
    <row r="764" spans="1:7">
      <c r="A764" s="534" t="s">
        <v>1868</v>
      </c>
      <c r="B764" s="534">
        <v>2</v>
      </c>
      <c r="E764" s="533" t="s">
        <v>848</v>
      </c>
    </row>
    <row r="765" spans="1:7">
      <c r="A765" s="534"/>
    </row>
    <row r="766" spans="1:7">
      <c r="A766" s="534" t="s">
        <v>1869</v>
      </c>
      <c r="B766" s="534">
        <v>201</v>
      </c>
      <c r="E766" s="533" t="s">
        <v>849</v>
      </c>
      <c r="F766" s="533" t="s">
        <v>2039</v>
      </c>
    </row>
    <row r="767" spans="1:7">
      <c r="A767" s="534" t="s">
        <v>1870</v>
      </c>
      <c r="B767" s="534">
        <v>201001</v>
      </c>
      <c r="E767" s="533" t="s">
        <v>578</v>
      </c>
    </row>
    <row r="768" spans="1:7">
      <c r="A768" s="534" t="s">
        <v>1871</v>
      </c>
      <c r="B768" s="534">
        <v>201002</v>
      </c>
      <c r="E768" s="533" t="s">
        <v>579</v>
      </c>
    </row>
    <row r="769" spans="1:6">
      <c r="A769" s="534" t="s">
        <v>1872</v>
      </c>
      <c r="B769" s="534">
        <v>201003</v>
      </c>
      <c r="E769" s="533" t="s">
        <v>580</v>
      </c>
    </row>
    <row r="770" spans="1:6">
      <c r="A770" s="539" t="s">
        <v>1873</v>
      </c>
      <c r="B770" s="539">
        <v>201004</v>
      </c>
      <c r="C770" s="539"/>
      <c r="D770" s="539"/>
      <c r="E770" s="540" t="s">
        <v>703</v>
      </c>
      <c r="F770" s="533" t="s">
        <v>2037</v>
      </c>
    </row>
    <row r="771" spans="1:6">
      <c r="A771" s="534"/>
    </row>
    <row r="772" spans="1:6">
      <c r="A772" s="534" t="s">
        <v>1874</v>
      </c>
      <c r="B772" s="534">
        <v>202</v>
      </c>
      <c r="E772" s="533" t="s">
        <v>850</v>
      </c>
      <c r="F772" s="533" t="s">
        <v>2039</v>
      </c>
    </row>
    <row r="773" spans="1:6">
      <c r="A773" s="534" t="s">
        <v>1875</v>
      </c>
      <c r="B773" s="534">
        <v>202001</v>
      </c>
      <c r="E773" s="533" t="s">
        <v>581</v>
      </c>
    </row>
    <row r="774" spans="1:6">
      <c r="A774" s="534" t="s">
        <v>1876</v>
      </c>
      <c r="B774" s="534">
        <v>202002</v>
      </c>
      <c r="E774" s="533" t="s">
        <v>582</v>
      </c>
    </row>
    <row r="775" spans="1:6">
      <c r="A775" s="534" t="s">
        <v>1877</v>
      </c>
      <c r="B775" s="534">
        <v>202003</v>
      </c>
      <c r="E775" s="533" t="s">
        <v>583</v>
      </c>
    </row>
    <row r="776" spans="1:6">
      <c r="A776" s="539" t="s">
        <v>1878</v>
      </c>
      <c r="B776" s="539">
        <v>202004</v>
      </c>
      <c r="C776" s="539"/>
      <c r="D776" s="539"/>
      <c r="E776" s="540" t="s">
        <v>676</v>
      </c>
      <c r="F776" s="533" t="s">
        <v>2037</v>
      </c>
    </row>
    <row r="777" spans="1:6">
      <c r="A777" s="534"/>
    </row>
    <row r="778" spans="1:6">
      <c r="A778" s="534" t="s">
        <v>1879</v>
      </c>
      <c r="B778" s="534">
        <v>203</v>
      </c>
      <c r="E778" s="533" t="s">
        <v>851</v>
      </c>
      <c r="F778" s="533" t="s">
        <v>2039</v>
      </c>
    </row>
    <row r="779" spans="1:6">
      <c r="A779" s="534" t="s">
        <v>926</v>
      </c>
      <c r="B779" s="534">
        <v>203001</v>
      </c>
      <c r="E779" s="533" t="s">
        <v>852</v>
      </c>
    </row>
    <row r="780" spans="1:6">
      <c r="A780" s="534" t="s">
        <v>925</v>
      </c>
      <c r="B780" s="534">
        <v>203002</v>
      </c>
      <c r="E780" s="533" t="s">
        <v>706</v>
      </c>
    </row>
    <row r="781" spans="1:6">
      <c r="A781" s="534"/>
    </row>
    <row r="782" spans="1:6">
      <c r="A782" s="534" t="s">
        <v>1880</v>
      </c>
      <c r="B782" s="534">
        <v>204</v>
      </c>
      <c r="E782" s="533" t="s">
        <v>853</v>
      </c>
      <c r="F782" s="533" t="s">
        <v>2039</v>
      </c>
    </row>
    <row r="783" spans="1:6">
      <c r="A783" s="534" t="s">
        <v>1881</v>
      </c>
      <c r="B783" s="534">
        <v>204001</v>
      </c>
      <c r="E783" s="17" t="s">
        <v>854</v>
      </c>
    </row>
    <row r="784" spans="1:6">
      <c r="A784" s="534" t="s">
        <v>1882</v>
      </c>
      <c r="B784" s="534">
        <v>204002</v>
      </c>
      <c r="E784" s="17" t="s">
        <v>855</v>
      </c>
    </row>
    <row r="785" spans="1:6">
      <c r="A785" s="534" t="s">
        <v>1883</v>
      </c>
      <c r="B785" s="534">
        <v>204003</v>
      </c>
      <c r="E785" s="17" t="s">
        <v>856</v>
      </c>
    </row>
    <row r="786" spans="1:6">
      <c r="A786" s="539" t="s">
        <v>1884</v>
      </c>
      <c r="B786" s="539">
        <v>204004</v>
      </c>
      <c r="C786" s="539"/>
      <c r="D786" s="539"/>
      <c r="E786" s="540" t="s">
        <v>686</v>
      </c>
      <c r="F786" s="533" t="s">
        <v>2037</v>
      </c>
    </row>
    <row r="787" spans="1:6">
      <c r="A787" s="539" t="s">
        <v>1885</v>
      </c>
      <c r="B787" s="539">
        <v>204005</v>
      </c>
      <c r="C787" s="539"/>
      <c r="D787" s="539"/>
      <c r="E787" s="540" t="s">
        <v>687</v>
      </c>
      <c r="F787" s="533" t="s">
        <v>2037</v>
      </c>
    </row>
    <row r="788" spans="1:6">
      <c r="A788" s="534"/>
    </row>
    <row r="789" spans="1:6">
      <c r="A789" s="534" t="s">
        <v>1886</v>
      </c>
      <c r="B789" s="534">
        <v>205</v>
      </c>
      <c r="E789" s="533" t="s">
        <v>857</v>
      </c>
      <c r="F789" s="533" t="s">
        <v>2039</v>
      </c>
    </row>
    <row r="790" spans="1:6">
      <c r="A790" s="534" t="s">
        <v>1887</v>
      </c>
      <c r="B790" s="534">
        <v>205001</v>
      </c>
      <c r="E790" s="533" t="s">
        <v>1888</v>
      </c>
    </row>
    <row r="791" spans="1:6">
      <c r="A791" s="534" t="s">
        <v>924</v>
      </c>
      <c r="B791" s="534">
        <v>205002</v>
      </c>
      <c r="E791" s="533" t="s">
        <v>1889</v>
      </c>
    </row>
    <row r="792" spans="1:6">
      <c r="A792" s="539" t="s">
        <v>1890</v>
      </c>
      <c r="B792" s="539">
        <v>205003</v>
      </c>
      <c r="C792" s="539"/>
      <c r="D792" s="539"/>
      <c r="E792" s="540" t="s">
        <v>684</v>
      </c>
      <c r="F792" s="533" t="s">
        <v>2037</v>
      </c>
    </row>
    <row r="793" spans="1:6">
      <c r="A793" s="539" t="s">
        <v>1891</v>
      </c>
      <c r="B793" s="539">
        <v>205004</v>
      </c>
      <c r="C793" s="539"/>
      <c r="D793" s="539"/>
      <c r="E793" s="540" t="s">
        <v>685</v>
      </c>
      <c r="F793" s="533" t="s">
        <v>2037</v>
      </c>
    </row>
    <row r="794" spans="1:6">
      <c r="A794" s="539" t="s">
        <v>1892</v>
      </c>
      <c r="B794" s="539">
        <v>205005</v>
      </c>
      <c r="C794" s="539"/>
      <c r="D794" s="539"/>
      <c r="E794" s="540" t="s">
        <v>683</v>
      </c>
      <c r="F794" s="533" t="s">
        <v>2037</v>
      </c>
    </row>
    <row r="795" spans="1:6">
      <c r="A795" s="534"/>
    </row>
    <row r="796" spans="1:6">
      <c r="A796" s="534" t="s">
        <v>1893</v>
      </c>
      <c r="B796" s="534">
        <v>206</v>
      </c>
      <c r="E796" s="533" t="s">
        <v>858</v>
      </c>
      <c r="F796" s="533" t="s">
        <v>2039</v>
      </c>
    </row>
    <row r="797" spans="1:6">
      <c r="A797" s="534" t="s">
        <v>1894</v>
      </c>
      <c r="B797" s="534">
        <v>206001</v>
      </c>
      <c r="E797" s="533" t="s">
        <v>859</v>
      </c>
    </row>
    <row r="798" spans="1:6">
      <c r="A798" s="534" t="s">
        <v>1895</v>
      </c>
      <c r="B798" s="534">
        <v>206002</v>
      </c>
      <c r="E798" s="533" t="s">
        <v>584</v>
      </c>
    </row>
    <row r="799" spans="1:6">
      <c r="A799" s="539" t="s">
        <v>1896</v>
      </c>
      <c r="B799" s="539">
        <v>206003</v>
      </c>
      <c r="C799" s="539"/>
      <c r="D799" s="539"/>
      <c r="E799" s="540" t="s">
        <v>677</v>
      </c>
      <c r="F799" s="533" t="s">
        <v>2037</v>
      </c>
    </row>
    <row r="800" spans="1:6">
      <c r="A800" s="539" t="s">
        <v>1897</v>
      </c>
      <c r="B800" s="539">
        <v>206004</v>
      </c>
      <c r="C800" s="539"/>
      <c r="D800" s="539"/>
      <c r="E800" s="540" t="s">
        <v>678</v>
      </c>
      <c r="F800" s="533" t="s">
        <v>2037</v>
      </c>
    </row>
    <row r="801" spans="1:6">
      <c r="A801" s="534"/>
    </row>
    <row r="802" spans="1:6">
      <c r="A802" s="534" t="s">
        <v>1898</v>
      </c>
      <c r="B802" s="534">
        <v>207</v>
      </c>
      <c r="E802" s="533" t="s">
        <v>860</v>
      </c>
      <c r="F802" s="533" t="s">
        <v>2039</v>
      </c>
    </row>
    <row r="803" spans="1:6">
      <c r="A803" s="534" t="s">
        <v>1899</v>
      </c>
      <c r="B803" s="534">
        <v>207001</v>
      </c>
      <c r="E803" s="533" t="s">
        <v>585</v>
      </c>
    </row>
    <row r="804" spans="1:6">
      <c r="A804" s="539" t="s">
        <v>1900</v>
      </c>
      <c r="B804" s="539">
        <v>207002</v>
      </c>
      <c r="C804" s="539"/>
      <c r="D804" s="539"/>
      <c r="E804" s="540" t="s">
        <v>861</v>
      </c>
      <c r="F804" s="533" t="s">
        <v>2037</v>
      </c>
    </row>
    <row r="805" spans="1:6">
      <c r="A805" s="539" t="s">
        <v>1901</v>
      </c>
      <c r="B805" s="539">
        <v>207003</v>
      </c>
      <c r="C805" s="539"/>
      <c r="D805" s="539"/>
      <c r="E805" s="540" t="s">
        <v>679</v>
      </c>
      <c r="F805" s="533" t="s">
        <v>2037</v>
      </c>
    </row>
    <row r="806" spans="1:6">
      <c r="A806" s="539" t="s">
        <v>1902</v>
      </c>
      <c r="B806" s="539">
        <v>207004</v>
      </c>
      <c r="C806" s="539"/>
      <c r="D806" s="539"/>
      <c r="E806" s="540" t="s">
        <v>682</v>
      </c>
      <c r="F806" s="533" t="s">
        <v>2037</v>
      </c>
    </row>
    <row r="807" spans="1:6">
      <c r="A807" s="534"/>
    </row>
    <row r="808" spans="1:6">
      <c r="A808" s="534" t="s">
        <v>1903</v>
      </c>
      <c r="B808" s="534">
        <v>208</v>
      </c>
      <c r="E808" s="533" t="s">
        <v>862</v>
      </c>
      <c r="F808" s="533" t="s">
        <v>2039</v>
      </c>
    </row>
    <row r="809" spans="1:6">
      <c r="A809" s="534" t="s">
        <v>1904</v>
      </c>
      <c r="B809" s="534">
        <v>208001</v>
      </c>
      <c r="E809" s="533" t="s">
        <v>586</v>
      </c>
    </row>
    <row r="810" spans="1:6">
      <c r="A810" s="539" t="s">
        <v>1905</v>
      </c>
      <c r="B810" s="539">
        <v>208002</v>
      </c>
      <c r="C810" s="539"/>
      <c r="D810" s="539"/>
      <c r="E810" s="540" t="s">
        <v>863</v>
      </c>
      <c r="F810" s="533" t="s">
        <v>2037</v>
      </c>
    </row>
    <row r="811" spans="1:6">
      <c r="A811" s="534"/>
    </row>
    <row r="812" spans="1:6">
      <c r="A812" s="534" t="s">
        <v>1906</v>
      </c>
      <c r="B812" s="534">
        <v>209</v>
      </c>
      <c r="E812" s="533" t="s">
        <v>864</v>
      </c>
      <c r="F812" s="533" t="s">
        <v>2039</v>
      </c>
    </row>
    <row r="813" spans="1:6">
      <c r="A813" s="534" t="s">
        <v>1907</v>
      </c>
      <c r="B813" s="534">
        <v>209001</v>
      </c>
      <c r="E813" s="533" t="s">
        <v>587</v>
      </c>
    </row>
    <row r="814" spans="1:6">
      <c r="A814" s="534" t="s">
        <v>1908</v>
      </c>
      <c r="B814" s="534">
        <v>209002</v>
      </c>
      <c r="E814" s="533" t="s">
        <v>588</v>
      </c>
    </row>
    <row r="815" spans="1:6">
      <c r="A815" s="534" t="s">
        <v>1909</v>
      </c>
      <c r="B815" s="534">
        <v>209003</v>
      </c>
      <c r="E815" s="533" t="s">
        <v>589</v>
      </c>
    </row>
    <row r="816" spans="1:6">
      <c r="A816" s="534" t="s">
        <v>1910</v>
      </c>
      <c r="B816" s="534">
        <v>209004</v>
      </c>
      <c r="E816" s="533" t="s">
        <v>590</v>
      </c>
    </row>
    <row r="817" spans="1:6">
      <c r="A817" s="539" t="s">
        <v>1911</v>
      </c>
      <c r="B817" s="539">
        <v>209005</v>
      </c>
      <c r="C817" s="539"/>
      <c r="D817" s="539"/>
      <c r="E817" s="540" t="s">
        <v>689</v>
      </c>
      <c r="F817" s="533" t="s">
        <v>2037</v>
      </c>
    </row>
    <row r="818" spans="1:6">
      <c r="A818" s="539" t="s">
        <v>1912</v>
      </c>
      <c r="B818" s="539">
        <v>209006</v>
      </c>
      <c r="C818" s="539"/>
      <c r="D818" s="539"/>
      <c r="E818" s="540" t="s">
        <v>690</v>
      </c>
      <c r="F818" s="533" t="s">
        <v>2037</v>
      </c>
    </row>
    <row r="819" spans="1:6">
      <c r="A819" s="539" t="s">
        <v>1913</v>
      </c>
      <c r="B819" s="539">
        <v>209007</v>
      </c>
      <c r="C819" s="539"/>
      <c r="D819" s="539"/>
      <c r="E819" s="540" t="s">
        <v>691</v>
      </c>
      <c r="F819" s="533" t="s">
        <v>2037</v>
      </c>
    </row>
    <row r="820" spans="1:6">
      <c r="A820" s="534"/>
    </row>
    <row r="821" spans="1:6">
      <c r="A821" s="534" t="s">
        <v>1914</v>
      </c>
      <c r="B821" s="534">
        <v>210</v>
      </c>
      <c r="E821" s="533" t="s">
        <v>865</v>
      </c>
      <c r="F821" s="533" t="s">
        <v>2039</v>
      </c>
    </row>
    <row r="822" spans="1:6">
      <c r="A822" s="534" t="s">
        <v>1915</v>
      </c>
      <c r="B822" s="534">
        <v>210001</v>
      </c>
      <c r="E822" s="533" t="s">
        <v>591</v>
      </c>
    </row>
    <row r="823" spans="1:6">
      <c r="A823" s="534" t="s">
        <v>1916</v>
      </c>
      <c r="B823" s="534">
        <v>210002</v>
      </c>
      <c r="E823" s="533" t="s">
        <v>592</v>
      </c>
    </row>
    <row r="824" spans="1:6">
      <c r="A824" s="534" t="s">
        <v>1917</v>
      </c>
      <c r="B824" s="534">
        <v>210003</v>
      </c>
      <c r="E824" s="533" t="s">
        <v>593</v>
      </c>
    </row>
    <row r="825" spans="1:6">
      <c r="A825" s="534" t="s">
        <v>1918</v>
      </c>
      <c r="B825" s="534">
        <v>210004</v>
      </c>
      <c r="E825" s="533" t="s">
        <v>594</v>
      </c>
    </row>
    <row r="826" spans="1:6">
      <c r="A826" s="534" t="s">
        <v>1919</v>
      </c>
      <c r="B826" s="534">
        <v>210005</v>
      </c>
      <c r="E826" s="533" t="s">
        <v>595</v>
      </c>
    </row>
    <row r="827" spans="1:6">
      <c r="A827" s="534" t="s">
        <v>1920</v>
      </c>
      <c r="B827" s="534">
        <v>210006</v>
      </c>
      <c r="E827" s="533" t="s">
        <v>596</v>
      </c>
    </row>
    <row r="828" spans="1:6">
      <c r="A828" s="534" t="s">
        <v>1921</v>
      </c>
      <c r="B828" s="534">
        <v>210007</v>
      </c>
      <c r="E828" s="533" t="s">
        <v>597</v>
      </c>
    </row>
    <row r="829" spans="1:6">
      <c r="A829" s="534" t="s">
        <v>1922</v>
      </c>
      <c r="B829" s="534">
        <v>210008</v>
      </c>
      <c r="E829" s="533" t="s">
        <v>598</v>
      </c>
    </row>
    <row r="830" spans="1:6">
      <c r="A830" s="534"/>
    </row>
    <row r="831" spans="1:6">
      <c r="A831" s="534" t="s">
        <v>1923</v>
      </c>
      <c r="B831" s="534">
        <v>211</v>
      </c>
      <c r="E831" s="533" t="s">
        <v>866</v>
      </c>
      <c r="F831" s="533" t="s">
        <v>2039</v>
      </c>
    </row>
    <row r="832" spans="1:6">
      <c r="A832" s="534" t="s">
        <v>1924</v>
      </c>
      <c r="B832" s="534">
        <v>211001</v>
      </c>
      <c r="E832" s="533" t="s">
        <v>599</v>
      </c>
    </row>
    <row r="833" spans="1:6">
      <c r="A833" s="534" t="s">
        <v>1925</v>
      </c>
      <c r="B833" s="534">
        <v>211002</v>
      </c>
      <c r="E833" s="533" t="s">
        <v>600</v>
      </c>
    </row>
    <row r="834" spans="1:6">
      <c r="A834" s="534" t="s">
        <v>1926</v>
      </c>
      <c r="B834" s="534">
        <v>211003</v>
      </c>
      <c r="E834" s="533" t="s">
        <v>601</v>
      </c>
    </row>
    <row r="835" spans="1:6">
      <c r="A835" s="534" t="s">
        <v>1927</v>
      </c>
      <c r="B835" s="534">
        <v>211004</v>
      </c>
      <c r="E835" s="533" t="s">
        <v>602</v>
      </c>
    </row>
    <row r="836" spans="1:6">
      <c r="A836" s="534" t="s">
        <v>1928</v>
      </c>
      <c r="B836" s="534">
        <v>211005</v>
      </c>
      <c r="E836" s="533" t="s">
        <v>603</v>
      </c>
    </row>
    <row r="837" spans="1:6">
      <c r="A837" s="539" t="s">
        <v>1929</v>
      </c>
      <c r="B837" s="539">
        <v>211006</v>
      </c>
      <c r="C837" s="539"/>
      <c r="D837" s="539"/>
      <c r="E837" s="540" t="s">
        <v>704</v>
      </c>
      <c r="F837" s="533" t="s">
        <v>2037</v>
      </c>
    </row>
    <row r="838" spans="1:6">
      <c r="A838" s="539" t="s">
        <v>1930</v>
      </c>
      <c r="B838" s="539">
        <v>211007</v>
      </c>
      <c r="C838" s="539"/>
      <c r="D838" s="539"/>
      <c r="E838" s="540" t="s">
        <v>705</v>
      </c>
      <c r="F838" s="533" t="s">
        <v>2037</v>
      </c>
    </row>
    <row r="839" spans="1:6">
      <c r="A839" s="539" t="s">
        <v>1931</v>
      </c>
      <c r="B839" s="539">
        <v>211008</v>
      </c>
      <c r="C839" s="539"/>
      <c r="D839" s="539"/>
      <c r="E839" s="540" t="s">
        <v>867</v>
      </c>
      <c r="F839" s="533" t="s">
        <v>2037</v>
      </c>
    </row>
    <row r="840" spans="1:6">
      <c r="A840" s="539" t="s">
        <v>1932</v>
      </c>
      <c r="B840" s="539">
        <v>211009</v>
      </c>
      <c r="C840" s="539"/>
      <c r="D840" s="539"/>
      <c r="E840" s="540" t="s">
        <v>868</v>
      </c>
      <c r="F840" s="533" t="s">
        <v>2037</v>
      </c>
    </row>
    <row r="841" spans="1:6">
      <c r="A841" s="534"/>
    </row>
    <row r="842" spans="1:6">
      <c r="A842" s="534" t="s">
        <v>1933</v>
      </c>
      <c r="B842" s="534">
        <v>212</v>
      </c>
      <c r="E842" s="533" t="s">
        <v>869</v>
      </c>
      <c r="F842" s="533" t="s">
        <v>2039</v>
      </c>
    </row>
    <row r="843" spans="1:6">
      <c r="A843" s="534" t="s">
        <v>1934</v>
      </c>
      <c r="B843" s="534">
        <v>212001</v>
      </c>
      <c r="E843" s="533" t="s">
        <v>604</v>
      </c>
    </row>
    <row r="844" spans="1:6">
      <c r="A844" s="534" t="s">
        <v>1935</v>
      </c>
      <c r="B844" s="534">
        <v>212002</v>
      </c>
      <c r="E844" s="533" t="s">
        <v>605</v>
      </c>
    </row>
    <row r="845" spans="1:6">
      <c r="A845" s="539" t="s">
        <v>1936</v>
      </c>
      <c r="B845" s="539">
        <v>212003</v>
      </c>
      <c r="C845" s="539"/>
      <c r="D845" s="539"/>
      <c r="E845" s="540" t="s">
        <v>606</v>
      </c>
      <c r="F845" s="533" t="s">
        <v>2037</v>
      </c>
    </row>
    <row r="846" spans="1:6">
      <c r="A846" s="534" t="s">
        <v>1937</v>
      </c>
      <c r="B846" s="534">
        <v>212004</v>
      </c>
      <c r="E846" s="533" t="s">
        <v>607</v>
      </c>
    </row>
    <row r="847" spans="1:6">
      <c r="A847" s="534"/>
    </row>
    <row r="848" spans="1:6">
      <c r="A848" s="534" t="s">
        <v>1938</v>
      </c>
      <c r="B848" s="534">
        <v>213</v>
      </c>
      <c r="E848" s="533" t="s">
        <v>870</v>
      </c>
      <c r="F848" s="533" t="s">
        <v>2039</v>
      </c>
    </row>
    <row r="849" spans="1:6">
      <c r="A849" s="534" t="s">
        <v>1939</v>
      </c>
      <c r="B849" s="534">
        <v>213001</v>
      </c>
      <c r="E849" s="533" t="s">
        <v>608</v>
      </c>
    </row>
    <row r="850" spans="1:6">
      <c r="A850" s="534" t="s">
        <v>1940</v>
      </c>
      <c r="B850" s="534">
        <v>213002</v>
      </c>
      <c r="E850" s="533" t="s">
        <v>609</v>
      </c>
    </row>
    <row r="851" spans="1:6">
      <c r="A851" s="534" t="s">
        <v>1941</v>
      </c>
      <c r="B851" s="534">
        <v>213003</v>
      </c>
      <c r="E851" s="533" t="s">
        <v>610</v>
      </c>
    </row>
    <row r="852" spans="1:6">
      <c r="A852" s="534" t="s">
        <v>1942</v>
      </c>
      <c r="B852" s="534">
        <v>213004</v>
      </c>
      <c r="E852" s="533" t="s">
        <v>611</v>
      </c>
    </row>
    <row r="853" spans="1:6">
      <c r="A853" s="534" t="s">
        <v>1943</v>
      </c>
      <c r="B853" s="534">
        <v>213005</v>
      </c>
      <c r="E853" s="533" t="s">
        <v>612</v>
      </c>
    </row>
    <row r="854" spans="1:6">
      <c r="A854" s="534" t="s">
        <v>1944</v>
      </c>
      <c r="B854" s="534">
        <v>213006</v>
      </c>
      <c r="E854" s="533" t="s">
        <v>613</v>
      </c>
    </row>
    <row r="855" spans="1:6">
      <c r="A855" s="534" t="s">
        <v>1945</v>
      </c>
      <c r="B855" s="534">
        <v>213007</v>
      </c>
      <c r="E855" s="533" t="s">
        <v>614</v>
      </c>
    </row>
    <row r="856" spans="1:6">
      <c r="A856" s="534" t="s">
        <v>1946</v>
      </c>
      <c r="B856" s="534">
        <v>213008</v>
      </c>
      <c r="E856" s="533" t="s">
        <v>615</v>
      </c>
    </row>
    <row r="857" spans="1:6">
      <c r="A857" s="534"/>
    </row>
    <row r="858" spans="1:6">
      <c r="A858" s="534" t="s">
        <v>1947</v>
      </c>
      <c r="B858" s="534">
        <v>214</v>
      </c>
      <c r="E858" s="533" t="s">
        <v>871</v>
      </c>
      <c r="F858" s="533" t="s">
        <v>2039</v>
      </c>
    </row>
    <row r="859" spans="1:6">
      <c r="A859" s="534" t="s">
        <v>1948</v>
      </c>
      <c r="B859" s="534">
        <v>214001</v>
      </c>
      <c r="E859" s="533" t="s">
        <v>616</v>
      </c>
    </row>
    <row r="860" spans="1:6">
      <c r="A860" s="534" t="s">
        <v>1628</v>
      </c>
      <c r="B860" s="534">
        <v>214002</v>
      </c>
      <c r="E860" s="533" t="s">
        <v>617</v>
      </c>
    </row>
    <row r="861" spans="1:6">
      <c r="A861" s="534" t="s">
        <v>1949</v>
      </c>
      <c r="B861" s="534">
        <v>214003</v>
      </c>
      <c r="E861" s="533" t="s">
        <v>618</v>
      </c>
    </row>
    <row r="862" spans="1:6">
      <c r="A862" s="534" t="s">
        <v>1642</v>
      </c>
      <c r="B862" s="534">
        <v>214004</v>
      </c>
      <c r="E862" s="533" t="s">
        <v>619</v>
      </c>
    </row>
    <row r="863" spans="1:6">
      <c r="A863" s="534" t="s">
        <v>1950</v>
      </c>
      <c r="B863" s="534">
        <v>214005</v>
      </c>
      <c r="E863" s="533" t="s">
        <v>620</v>
      </c>
    </row>
    <row r="864" spans="1:6">
      <c r="A864" s="534" t="s">
        <v>1659</v>
      </c>
      <c r="B864" s="534">
        <v>214006</v>
      </c>
      <c r="E864" s="533" t="s">
        <v>621</v>
      </c>
    </row>
    <row r="865" spans="1:6">
      <c r="A865" s="534"/>
    </row>
    <row r="866" spans="1:6">
      <c r="A866" s="534" t="s">
        <v>1951</v>
      </c>
      <c r="B866" s="534">
        <v>215</v>
      </c>
      <c r="E866" s="533" t="s">
        <v>872</v>
      </c>
      <c r="F866" s="533" t="s">
        <v>2039</v>
      </c>
    </row>
    <row r="867" spans="1:6">
      <c r="A867" s="539" t="s">
        <v>1952</v>
      </c>
      <c r="B867" s="539">
        <v>215001</v>
      </c>
      <c r="C867" s="539"/>
      <c r="D867" s="539"/>
      <c r="E867" s="540" t="s">
        <v>622</v>
      </c>
      <c r="F867" s="533" t="s">
        <v>2037</v>
      </c>
    </row>
    <row r="868" spans="1:6">
      <c r="A868" s="539" t="s">
        <v>1953</v>
      </c>
      <c r="B868" s="539">
        <v>215002</v>
      </c>
      <c r="C868" s="539"/>
      <c r="D868" s="539"/>
      <c r="E868" s="540" t="s">
        <v>623</v>
      </c>
      <c r="F868" s="533" t="s">
        <v>2037</v>
      </c>
    </row>
    <row r="869" spans="1:6">
      <c r="A869" s="539" t="s">
        <v>1954</v>
      </c>
      <c r="B869" s="539">
        <v>215003</v>
      </c>
      <c r="C869" s="539"/>
      <c r="D869" s="539"/>
      <c r="E869" s="540" t="s">
        <v>624</v>
      </c>
      <c r="F869" s="533" t="s">
        <v>2037</v>
      </c>
    </row>
    <row r="870" spans="1:6">
      <c r="A870" s="534" t="s">
        <v>1955</v>
      </c>
      <c r="B870" s="534">
        <v>215004</v>
      </c>
      <c r="E870" s="533" t="s">
        <v>625</v>
      </c>
    </row>
    <row r="871" spans="1:6">
      <c r="A871" s="534" t="s">
        <v>1956</v>
      </c>
      <c r="B871" s="534">
        <v>215005</v>
      </c>
      <c r="E871" s="533" t="s">
        <v>626</v>
      </c>
    </row>
    <row r="872" spans="1:6">
      <c r="A872" s="534" t="s">
        <v>1957</v>
      </c>
      <c r="B872" s="534">
        <v>215006</v>
      </c>
      <c r="E872" s="533" t="s">
        <v>627</v>
      </c>
    </row>
    <row r="873" spans="1:6">
      <c r="A873" s="534"/>
    </row>
    <row r="874" spans="1:6">
      <c r="A874" s="534" t="s">
        <v>1958</v>
      </c>
      <c r="B874" s="534">
        <v>216</v>
      </c>
      <c r="E874" s="533" t="s">
        <v>873</v>
      </c>
      <c r="F874" s="533" t="s">
        <v>2039</v>
      </c>
    </row>
    <row r="875" spans="1:6">
      <c r="A875" s="534" t="s">
        <v>1959</v>
      </c>
      <c r="B875" s="534">
        <v>216001</v>
      </c>
      <c r="E875" s="533" t="s">
        <v>628</v>
      </c>
    </row>
    <row r="876" spans="1:6">
      <c r="A876" s="534" t="s">
        <v>1960</v>
      </c>
      <c r="B876" s="534">
        <v>216002</v>
      </c>
      <c r="E876" s="533" t="s">
        <v>629</v>
      </c>
    </row>
    <row r="877" spans="1:6">
      <c r="A877" s="534" t="s">
        <v>1961</v>
      </c>
      <c r="B877" s="534">
        <v>216003</v>
      </c>
      <c r="E877" s="533" t="s">
        <v>630</v>
      </c>
    </row>
    <row r="878" spans="1:6">
      <c r="A878" s="534" t="s">
        <v>1962</v>
      </c>
      <c r="B878" s="534">
        <v>216004</v>
      </c>
      <c r="E878" s="533" t="s">
        <v>631</v>
      </c>
    </row>
    <row r="879" spans="1:6">
      <c r="A879" s="534" t="s">
        <v>1963</v>
      </c>
      <c r="B879" s="534">
        <v>216005</v>
      </c>
      <c r="E879" s="533" t="s">
        <v>632</v>
      </c>
    </row>
    <row r="880" spans="1:6">
      <c r="A880" s="534"/>
    </row>
    <row r="881" spans="1:6">
      <c r="A881" s="534" t="s">
        <v>1964</v>
      </c>
      <c r="B881" s="534">
        <v>217</v>
      </c>
      <c r="E881" s="533" t="s">
        <v>874</v>
      </c>
      <c r="F881" s="533" t="s">
        <v>2039</v>
      </c>
    </row>
    <row r="882" spans="1:6">
      <c r="A882" s="534" t="s">
        <v>1965</v>
      </c>
      <c r="B882" s="534">
        <v>217001</v>
      </c>
      <c r="E882" s="533" t="s">
        <v>633</v>
      </c>
    </row>
    <row r="883" spans="1:6">
      <c r="A883" s="534" t="s">
        <v>1966</v>
      </c>
      <c r="B883" s="534">
        <v>217002</v>
      </c>
      <c r="E883" s="533" t="s">
        <v>634</v>
      </c>
    </row>
    <row r="884" spans="1:6">
      <c r="A884" s="534"/>
    </row>
    <row r="885" spans="1:6">
      <c r="A885" s="534" t="s">
        <v>1967</v>
      </c>
      <c r="B885" s="534">
        <v>218</v>
      </c>
      <c r="E885" s="533" t="s">
        <v>825</v>
      </c>
      <c r="F885" s="533" t="s">
        <v>2039</v>
      </c>
    </row>
    <row r="886" spans="1:6">
      <c r="A886" s="534" t="s">
        <v>1968</v>
      </c>
      <c r="B886" s="534">
        <v>218001</v>
      </c>
      <c r="E886" s="533" t="s">
        <v>635</v>
      </c>
    </row>
    <row r="887" spans="1:6">
      <c r="A887" s="534" t="s">
        <v>1969</v>
      </c>
      <c r="B887" s="534">
        <v>218002</v>
      </c>
      <c r="E887" s="533" t="s">
        <v>636</v>
      </c>
    </row>
    <row r="888" spans="1:6">
      <c r="A888" s="534" t="s">
        <v>1970</v>
      </c>
      <c r="B888" s="534">
        <v>218003</v>
      </c>
      <c r="E888" s="533" t="s">
        <v>637</v>
      </c>
    </row>
    <row r="889" spans="1:6">
      <c r="A889" s="534"/>
    </row>
    <row r="890" spans="1:6">
      <c r="A890" s="534" t="s">
        <v>1971</v>
      </c>
      <c r="B890" s="534">
        <v>219</v>
      </c>
      <c r="E890" s="533" t="s">
        <v>875</v>
      </c>
      <c r="F890" s="533" t="s">
        <v>2039</v>
      </c>
    </row>
    <row r="891" spans="1:6">
      <c r="A891" s="534" t="s">
        <v>1972</v>
      </c>
      <c r="B891" s="534">
        <v>219001</v>
      </c>
      <c r="E891" s="533" t="s">
        <v>876</v>
      </c>
    </row>
    <row r="892" spans="1:6">
      <c r="A892" s="534" t="s">
        <v>1973</v>
      </c>
      <c r="B892" s="534">
        <v>219002</v>
      </c>
      <c r="E892" s="533" t="s">
        <v>877</v>
      </c>
    </row>
    <row r="893" spans="1:6">
      <c r="A893" s="534" t="s">
        <v>1974</v>
      </c>
      <c r="B893" s="534">
        <v>219003</v>
      </c>
      <c r="E893" s="533" t="s">
        <v>878</v>
      </c>
    </row>
    <row r="894" spans="1:6">
      <c r="A894" s="534" t="s">
        <v>1975</v>
      </c>
      <c r="B894" s="534">
        <v>219004</v>
      </c>
      <c r="E894" s="533" t="s">
        <v>879</v>
      </c>
    </row>
    <row r="895" spans="1:6">
      <c r="A895" s="534" t="s">
        <v>1976</v>
      </c>
      <c r="B895" s="534">
        <v>219005</v>
      </c>
      <c r="E895" s="533" t="s">
        <v>880</v>
      </c>
    </row>
    <row r="896" spans="1:6">
      <c r="A896" s="534"/>
    </row>
    <row r="897" spans="1:6">
      <c r="A897" s="534" t="s">
        <v>1977</v>
      </c>
      <c r="B897" s="534">
        <v>220</v>
      </c>
      <c r="E897" s="533" t="s">
        <v>881</v>
      </c>
      <c r="F897" s="533" t="s">
        <v>2039</v>
      </c>
    </row>
    <row r="898" spans="1:6">
      <c r="A898" s="539" t="s">
        <v>1978</v>
      </c>
      <c r="B898" s="539">
        <v>220001</v>
      </c>
      <c r="C898" s="539"/>
      <c r="D898" s="539"/>
      <c r="E898" s="540" t="s">
        <v>638</v>
      </c>
      <c r="F898" s="533" t="s">
        <v>2037</v>
      </c>
    </row>
    <row r="899" spans="1:6">
      <c r="A899" s="539" t="s">
        <v>1979</v>
      </c>
      <c r="B899" s="539">
        <v>220002</v>
      </c>
      <c r="C899" s="539"/>
      <c r="D899" s="539"/>
      <c r="E899" s="540" t="s">
        <v>639</v>
      </c>
      <c r="F899" s="533" t="s">
        <v>2037</v>
      </c>
    </row>
    <row r="900" spans="1:6">
      <c r="A900" s="539" t="s">
        <v>1980</v>
      </c>
      <c r="B900" s="539">
        <v>220003</v>
      </c>
      <c r="C900" s="539"/>
      <c r="D900" s="539"/>
      <c r="E900" s="540" t="s">
        <v>640</v>
      </c>
      <c r="F900" s="533" t="s">
        <v>2037</v>
      </c>
    </row>
    <row r="901" spans="1:6">
      <c r="A901" s="534" t="s">
        <v>1981</v>
      </c>
      <c r="B901" s="534">
        <v>220004</v>
      </c>
      <c r="E901" s="533" t="s">
        <v>641</v>
      </c>
    </row>
    <row r="902" spans="1:6">
      <c r="A902" s="534" t="s">
        <v>1982</v>
      </c>
      <c r="B902" s="534">
        <v>220005</v>
      </c>
      <c r="E902" s="533" t="s">
        <v>642</v>
      </c>
    </row>
    <row r="903" spans="1:6">
      <c r="A903" s="534" t="s">
        <v>1983</v>
      </c>
      <c r="B903" s="534">
        <v>220006</v>
      </c>
      <c r="E903" s="533" t="s">
        <v>643</v>
      </c>
    </row>
    <row r="904" spans="1:6">
      <c r="A904" s="534"/>
    </row>
    <row r="905" spans="1:6">
      <c r="A905" s="534" t="s">
        <v>1984</v>
      </c>
      <c r="B905" s="534">
        <v>221</v>
      </c>
      <c r="E905" s="533" t="s">
        <v>882</v>
      </c>
      <c r="F905" s="533" t="s">
        <v>2039</v>
      </c>
    </row>
    <row r="906" spans="1:6">
      <c r="A906" s="534" t="s">
        <v>1985</v>
      </c>
      <c r="B906" s="534">
        <v>221001</v>
      </c>
      <c r="E906" s="533" t="s">
        <v>644</v>
      </c>
    </row>
    <row r="907" spans="1:6">
      <c r="A907" s="534" t="s">
        <v>1986</v>
      </c>
      <c r="B907" s="534">
        <v>221002</v>
      </c>
      <c r="E907" s="533" t="s">
        <v>645</v>
      </c>
    </row>
    <row r="908" spans="1:6">
      <c r="A908" s="534" t="s">
        <v>1987</v>
      </c>
      <c r="B908" s="534">
        <v>221003</v>
      </c>
      <c r="E908" s="533" t="s">
        <v>646</v>
      </c>
    </row>
    <row r="909" spans="1:6">
      <c r="A909" s="539" t="s">
        <v>1988</v>
      </c>
      <c r="B909" s="539">
        <v>221004</v>
      </c>
      <c r="C909" s="539"/>
      <c r="D909" s="539"/>
      <c r="E909" s="540" t="s">
        <v>647</v>
      </c>
      <c r="F909" s="533" t="s">
        <v>2037</v>
      </c>
    </row>
    <row r="910" spans="1:6">
      <c r="A910" s="539" t="s">
        <v>1989</v>
      </c>
      <c r="B910" s="539">
        <v>221005</v>
      </c>
      <c r="C910" s="539"/>
      <c r="D910" s="539"/>
      <c r="E910" s="540" t="s">
        <v>648</v>
      </c>
      <c r="F910" s="533" t="s">
        <v>2037</v>
      </c>
    </row>
    <row r="911" spans="1:6">
      <c r="A911" s="534" t="s">
        <v>1990</v>
      </c>
      <c r="B911" s="534">
        <v>221006</v>
      </c>
      <c r="E911" s="533" t="s">
        <v>649</v>
      </c>
    </row>
    <row r="912" spans="1:6">
      <c r="A912" s="534"/>
    </row>
    <row r="913" spans="1:6">
      <c r="A913" s="534" t="s">
        <v>1991</v>
      </c>
      <c r="B913" s="534">
        <v>222</v>
      </c>
      <c r="E913" s="533" t="s">
        <v>883</v>
      </c>
      <c r="F913" s="533" t="s">
        <v>2039</v>
      </c>
    </row>
    <row r="914" spans="1:6">
      <c r="A914" s="534" t="s">
        <v>1992</v>
      </c>
      <c r="B914" s="534">
        <v>222001</v>
      </c>
      <c r="E914" s="533" t="s">
        <v>650</v>
      </c>
    </row>
    <row r="915" spans="1:6">
      <c r="A915" s="534" t="s">
        <v>1993</v>
      </c>
      <c r="B915" s="534">
        <v>222002</v>
      </c>
      <c r="E915" s="533" t="s">
        <v>651</v>
      </c>
    </row>
    <row r="916" spans="1:6">
      <c r="A916" s="534" t="s">
        <v>1994</v>
      </c>
      <c r="B916" s="534">
        <v>222003</v>
      </c>
      <c r="E916" s="533" t="s">
        <v>652</v>
      </c>
    </row>
    <row r="917" spans="1:6">
      <c r="A917" s="534" t="s">
        <v>1995</v>
      </c>
      <c r="B917" s="534">
        <v>222004</v>
      </c>
      <c r="E917" s="533" t="s">
        <v>653</v>
      </c>
    </row>
    <row r="918" spans="1:6">
      <c r="A918" s="534" t="s">
        <v>1996</v>
      </c>
      <c r="B918" s="534">
        <v>222005</v>
      </c>
      <c r="E918" s="533" t="s">
        <v>654</v>
      </c>
    </row>
    <row r="919" spans="1:6">
      <c r="A919" s="534" t="s">
        <v>1997</v>
      </c>
      <c r="B919" s="534">
        <v>222006</v>
      </c>
      <c r="E919" s="533" t="s">
        <v>655</v>
      </c>
    </row>
    <row r="920" spans="1:6">
      <c r="A920" s="534" t="s">
        <v>1998</v>
      </c>
      <c r="B920" s="534">
        <v>222007</v>
      </c>
      <c r="E920" s="533" t="s">
        <v>656</v>
      </c>
    </row>
    <row r="921" spans="1:6">
      <c r="A921" s="534" t="s">
        <v>1999</v>
      </c>
      <c r="B921" s="534">
        <v>222008</v>
      </c>
      <c r="E921" s="533" t="s">
        <v>657</v>
      </c>
    </row>
    <row r="922" spans="1:6">
      <c r="A922" s="534" t="s">
        <v>2000</v>
      </c>
      <c r="B922" s="534">
        <v>222009</v>
      </c>
      <c r="E922" s="533" t="s">
        <v>658</v>
      </c>
    </row>
    <row r="923" spans="1:6">
      <c r="A923" s="534" t="s">
        <v>2001</v>
      </c>
      <c r="B923" s="534">
        <v>222010</v>
      </c>
      <c r="E923" s="533" t="s">
        <v>659</v>
      </c>
    </row>
    <row r="924" spans="1:6">
      <c r="A924" s="534" t="s">
        <v>2002</v>
      </c>
      <c r="B924" s="534">
        <v>222011</v>
      </c>
      <c r="E924" s="533" t="s">
        <v>660</v>
      </c>
    </row>
    <row r="925" spans="1:6">
      <c r="A925" s="534" t="s">
        <v>2003</v>
      </c>
      <c r="B925" s="534">
        <v>222012</v>
      </c>
      <c r="E925" s="533" t="s">
        <v>661</v>
      </c>
    </row>
    <row r="926" spans="1:6">
      <c r="A926" s="534" t="s">
        <v>2004</v>
      </c>
      <c r="B926" s="534">
        <v>222013</v>
      </c>
      <c r="E926" s="533" t="s">
        <v>662</v>
      </c>
    </row>
    <row r="927" spans="1:6">
      <c r="A927" s="534" t="s">
        <v>2005</v>
      </c>
      <c r="B927" s="534">
        <v>222014</v>
      </c>
      <c r="E927" s="533" t="s">
        <v>663</v>
      </c>
    </row>
    <row r="928" spans="1:6">
      <c r="A928" s="534" t="s">
        <v>2006</v>
      </c>
      <c r="B928" s="534">
        <v>222015</v>
      </c>
      <c r="E928" s="533" t="s">
        <v>664</v>
      </c>
    </row>
    <row r="929" spans="1:6">
      <c r="A929" s="534" t="s">
        <v>2007</v>
      </c>
      <c r="B929" s="534">
        <v>222016</v>
      </c>
      <c r="E929" s="533" t="s">
        <v>665</v>
      </c>
    </row>
    <row r="930" spans="1:6">
      <c r="A930" s="534"/>
    </row>
    <row r="931" spans="1:6">
      <c r="A931" s="534" t="s">
        <v>2008</v>
      </c>
      <c r="B931" s="534">
        <v>223</v>
      </c>
      <c r="E931" s="533" t="s">
        <v>884</v>
      </c>
      <c r="F931" s="533" t="s">
        <v>2039</v>
      </c>
    </row>
    <row r="932" spans="1:6">
      <c r="A932" s="534" t="s">
        <v>2009</v>
      </c>
      <c r="B932" s="534">
        <v>223001</v>
      </c>
      <c r="E932" s="533" t="s">
        <v>666</v>
      </c>
    </row>
    <row r="933" spans="1:6">
      <c r="A933" s="534" t="s">
        <v>2010</v>
      </c>
      <c r="B933" s="534">
        <v>223002</v>
      </c>
      <c r="E933" s="533" t="s">
        <v>667</v>
      </c>
    </row>
    <row r="934" spans="1:6">
      <c r="A934" s="539" t="s">
        <v>2011</v>
      </c>
      <c r="B934" s="539">
        <v>223003</v>
      </c>
      <c r="C934" s="539"/>
      <c r="D934" s="539"/>
      <c r="E934" s="540" t="s">
        <v>668</v>
      </c>
      <c r="F934" s="533" t="s">
        <v>2037</v>
      </c>
    </row>
    <row r="935" spans="1:6">
      <c r="A935" s="534" t="s">
        <v>2012</v>
      </c>
      <c r="B935" s="534">
        <v>223004</v>
      </c>
      <c r="E935" s="533" t="s">
        <v>669</v>
      </c>
    </row>
    <row r="936" spans="1:6">
      <c r="A936" s="534" t="s">
        <v>2013</v>
      </c>
      <c r="B936" s="534">
        <v>223005</v>
      </c>
      <c r="E936" s="533" t="s">
        <v>670</v>
      </c>
    </row>
    <row r="937" spans="1:6">
      <c r="A937" s="534" t="s">
        <v>2014</v>
      </c>
      <c r="B937" s="534">
        <v>223006</v>
      </c>
      <c r="E937" s="533" t="s">
        <v>671</v>
      </c>
    </row>
    <row r="938" spans="1:6">
      <c r="A938" s="534" t="s">
        <v>2015</v>
      </c>
      <c r="B938" s="534">
        <v>223007</v>
      </c>
      <c r="E938" s="533" t="s">
        <v>672</v>
      </c>
    </row>
    <row r="939" spans="1:6">
      <c r="A939" s="534" t="s">
        <v>2016</v>
      </c>
      <c r="B939" s="534">
        <v>223008</v>
      </c>
      <c r="E939" s="533" t="s">
        <v>673</v>
      </c>
    </row>
    <row r="940" spans="1:6">
      <c r="A940" s="534" t="s">
        <v>2017</v>
      </c>
      <c r="B940" s="534">
        <v>223009</v>
      </c>
      <c r="E940" s="533" t="s">
        <v>674</v>
      </c>
    </row>
    <row r="941" spans="1:6">
      <c r="A941" s="534" t="s">
        <v>2018</v>
      </c>
      <c r="B941" s="534">
        <v>223010</v>
      </c>
      <c r="E941" s="533" t="s">
        <v>675</v>
      </c>
    </row>
    <row r="942" spans="1:6">
      <c r="A942" s="534"/>
    </row>
    <row r="943" spans="1:6">
      <c r="A943" s="534" t="s">
        <v>2019</v>
      </c>
      <c r="B943" s="534">
        <v>224</v>
      </c>
      <c r="E943" s="533" t="s">
        <v>300</v>
      </c>
      <c r="F943" s="533" t="s">
        <v>2039</v>
      </c>
    </row>
    <row r="944" spans="1:6">
      <c r="A944" s="539" t="s">
        <v>2020</v>
      </c>
      <c r="B944" s="539">
        <v>224001</v>
      </c>
      <c r="C944" s="539"/>
      <c r="D944" s="539"/>
      <c r="E944" s="540" t="s">
        <v>680</v>
      </c>
      <c r="F944" s="533" t="s">
        <v>2037</v>
      </c>
    </row>
    <row r="945" spans="1:6">
      <c r="A945" s="539" t="s">
        <v>2021</v>
      </c>
      <c r="B945" s="539">
        <v>224002</v>
      </c>
      <c r="C945" s="539"/>
      <c r="D945" s="539"/>
      <c r="E945" s="540" t="s">
        <v>681</v>
      </c>
      <c r="F945" s="533" t="s">
        <v>2037</v>
      </c>
    </row>
    <row r="946" spans="1:6">
      <c r="A946" s="534"/>
    </row>
    <row r="947" spans="1:6">
      <c r="A947" s="534" t="s">
        <v>2022</v>
      </c>
      <c r="B947" s="534">
        <v>225</v>
      </c>
      <c r="E947" s="533" t="s">
        <v>885</v>
      </c>
      <c r="F947" s="533" t="s">
        <v>2039</v>
      </c>
    </row>
    <row r="948" spans="1:6">
      <c r="A948" s="539" t="s">
        <v>2023</v>
      </c>
      <c r="B948" s="539">
        <v>225001</v>
      </c>
      <c r="C948" s="539"/>
      <c r="D948" s="539"/>
      <c r="E948" s="540" t="s">
        <v>699</v>
      </c>
      <c r="F948" s="533" t="s">
        <v>2037</v>
      </c>
    </row>
    <row r="949" spans="1:6">
      <c r="A949" s="539" t="s">
        <v>2024</v>
      </c>
      <c r="B949" s="539">
        <v>225002</v>
      </c>
      <c r="C949" s="539"/>
      <c r="D949" s="539"/>
      <c r="E949" s="540" t="s">
        <v>700</v>
      </c>
      <c r="F949" s="533" t="s">
        <v>2037</v>
      </c>
    </row>
    <row r="950" spans="1:6">
      <c r="A950" s="534"/>
    </row>
    <row r="951" spans="1:6">
      <c r="A951" s="534" t="s">
        <v>2025</v>
      </c>
      <c r="B951" s="534">
        <v>226</v>
      </c>
      <c r="E951" s="533" t="s">
        <v>886</v>
      </c>
      <c r="F951" s="533" t="s">
        <v>2039</v>
      </c>
    </row>
    <row r="952" spans="1:6">
      <c r="A952" s="539" t="s">
        <v>2026</v>
      </c>
      <c r="B952" s="539">
        <v>226003</v>
      </c>
      <c r="C952" s="539"/>
      <c r="D952" s="539"/>
      <c r="E952" s="540" t="s">
        <v>688</v>
      </c>
      <c r="F952" s="533" t="s">
        <v>2037</v>
      </c>
    </row>
    <row r="953" spans="1:6">
      <c r="A953" s="539" t="s">
        <v>2027</v>
      </c>
      <c r="B953" s="539">
        <v>226004</v>
      </c>
      <c r="C953" s="539"/>
      <c r="D953" s="539"/>
      <c r="E953" s="540" t="s">
        <v>701</v>
      </c>
      <c r="F953" s="533" t="s">
        <v>2037</v>
      </c>
    </row>
    <row r="954" spans="1:6">
      <c r="A954" s="539" t="s">
        <v>2028</v>
      </c>
      <c r="B954" s="539">
        <v>226005</v>
      </c>
      <c r="C954" s="539"/>
      <c r="D954" s="539"/>
      <c r="E954" s="540" t="s">
        <v>702</v>
      </c>
      <c r="F954" s="533" t="s">
        <v>2037</v>
      </c>
    </row>
    <row r="955" spans="1:6">
      <c r="A955" s="534"/>
    </row>
    <row r="956" spans="1:6">
      <c r="A956" s="534" t="s">
        <v>2029</v>
      </c>
      <c r="B956" s="534">
        <v>227</v>
      </c>
      <c r="E956" s="533" t="s">
        <v>887</v>
      </c>
      <c r="F956" s="533" t="s">
        <v>2039</v>
      </c>
    </row>
    <row r="957" spans="1:6">
      <c r="A957" s="539" t="s">
        <v>2030</v>
      </c>
      <c r="B957" s="539">
        <v>227001</v>
      </c>
      <c r="C957" s="539"/>
      <c r="D957" s="539"/>
      <c r="E957" s="540" t="s">
        <v>693</v>
      </c>
      <c r="F957" s="533" t="s">
        <v>2037</v>
      </c>
    </row>
    <row r="958" spans="1:6">
      <c r="A958" s="539" t="s">
        <v>2031</v>
      </c>
      <c r="B958" s="539">
        <v>227002</v>
      </c>
      <c r="C958" s="539"/>
      <c r="D958" s="539"/>
      <c r="E958" s="540" t="s">
        <v>694</v>
      </c>
      <c r="F958" s="533" t="s">
        <v>2037</v>
      </c>
    </row>
    <row r="959" spans="1:6">
      <c r="A959" s="539" t="s">
        <v>2032</v>
      </c>
      <c r="B959" s="539">
        <v>227003</v>
      </c>
      <c r="C959" s="539"/>
      <c r="D959" s="539"/>
      <c r="E959" s="540" t="s">
        <v>695</v>
      </c>
      <c r="F959" s="533" t="s">
        <v>2037</v>
      </c>
    </row>
    <row r="960" spans="1:6">
      <c r="A960" s="539" t="s">
        <v>2033</v>
      </c>
      <c r="B960" s="539">
        <v>227004</v>
      </c>
      <c r="C960" s="539"/>
      <c r="D960" s="539"/>
      <c r="E960" s="540" t="s">
        <v>696</v>
      </c>
      <c r="F960" s="533" t="s">
        <v>2037</v>
      </c>
    </row>
    <row r="961" spans="1:7">
      <c r="A961" s="539" t="s">
        <v>2034</v>
      </c>
      <c r="B961" s="539">
        <v>227005</v>
      </c>
      <c r="C961" s="539"/>
      <c r="D961" s="539"/>
      <c r="E961" s="540" t="s">
        <v>697</v>
      </c>
      <c r="F961" s="533" t="s">
        <v>2037</v>
      </c>
    </row>
    <row r="962" spans="1:7">
      <c r="A962" s="539" t="s">
        <v>2035</v>
      </c>
      <c r="B962" s="539">
        <v>227006</v>
      </c>
      <c r="C962" s="539"/>
      <c r="D962" s="539"/>
      <c r="E962" s="540" t="s">
        <v>698</v>
      </c>
      <c r="F962" s="533" t="s">
        <v>2037</v>
      </c>
    </row>
    <row r="963" spans="1:7">
      <c r="A963" s="539" t="s">
        <v>2036</v>
      </c>
      <c r="B963" s="539">
        <v>227007</v>
      </c>
      <c r="C963" s="539"/>
      <c r="D963" s="539"/>
      <c r="E963" s="540" t="s">
        <v>692</v>
      </c>
      <c r="F963" s="533" t="s">
        <v>2037</v>
      </c>
    </row>
    <row r="964" spans="1:7">
      <c r="A964" s="534"/>
    </row>
    <row r="965" spans="1:7">
      <c r="E965" s="534"/>
      <c r="G965" s="534"/>
    </row>
    <row r="966" spans="1:7">
      <c r="E966" s="534"/>
      <c r="G966" s="534"/>
    </row>
    <row r="967" spans="1:7">
      <c r="E967" s="534"/>
      <c r="G967" s="534"/>
    </row>
    <row r="968" spans="1:7">
      <c r="E968" s="534"/>
      <c r="G968" s="534"/>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workbookViewId="0">
      <selection activeCell="F29" sqref="F29"/>
    </sheetView>
  </sheetViews>
  <sheetFormatPr baseColWidth="10" defaultColWidth="11.42578125" defaultRowHeight="15"/>
  <cols>
    <col min="1" max="1" width="11.42578125" style="305"/>
    <col min="2" max="2" width="23" style="305" bestFit="1" customWidth="1"/>
    <col min="3" max="3" width="61.7109375" style="305" customWidth="1"/>
    <col min="4" max="4" width="17.28515625" style="305" bestFit="1" customWidth="1"/>
    <col min="5" max="16384" width="11.42578125" style="37"/>
  </cols>
  <sheetData>
    <row r="1" spans="1:19">
      <c r="A1" s="163"/>
      <c r="B1" s="164" t="s">
        <v>1015</v>
      </c>
      <c r="C1" s="165" t="s">
        <v>1016</v>
      </c>
      <c r="D1" s="166"/>
      <c r="G1" s="167"/>
      <c r="H1" s="168" t="s">
        <v>1015</v>
      </c>
      <c r="I1" s="169" t="s">
        <v>1016</v>
      </c>
      <c r="J1" s="167"/>
      <c r="K1" s="167"/>
      <c r="L1" s="167"/>
      <c r="M1" s="167"/>
      <c r="N1" s="167"/>
      <c r="O1" s="170"/>
      <c r="P1" s="167"/>
      <c r="Q1" s="167"/>
      <c r="R1" s="167"/>
      <c r="S1" s="167"/>
    </row>
    <row r="2" spans="1:19" ht="15.75" thickBot="1">
      <c r="A2" s="163"/>
      <c r="B2" s="164"/>
      <c r="C2" s="165"/>
      <c r="D2" s="166"/>
      <c r="G2" s="167"/>
      <c r="H2" s="171"/>
      <c r="I2" s="172"/>
      <c r="J2" s="167"/>
      <c r="K2" s="167"/>
      <c r="L2" s="167"/>
      <c r="M2" s="167"/>
      <c r="N2" s="167"/>
      <c r="O2" s="170"/>
      <c r="P2" s="167"/>
      <c r="Q2" s="167"/>
      <c r="R2" s="167"/>
      <c r="S2" s="167"/>
    </row>
    <row r="3" spans="1:19">
      <c r="A3" s="173">
        <v>1</v>
      </c>
      <c r="B3" s="174" t="s">
        <v>1017</v>
      </c>
      <c r="C3" s="75" t="s">
        <v>1018</v>
      </c>
      <c r="D3" s="166"/>
      <c r="G3" s="167"/>
      <c r="H3" s="175">
        <v>1</v>
      </c>
      <c r="I3" s="176"/>
      <c r="J3" s="177"/>
      <c r="K3" s="178" t="s">
        <v>1018</v>
      </c>
      <c r="L3" s="179"/>
      <c r="M3" s="179"/>
      <c r="N3" s="179"/>
      <c r="O3" s="180"/>
      <c r="P3" s="167"/>
      <c r="Q3" s="181">
        <f>H3</f>
        <v>1</v>
      </c>
      <c r="R3" s="172" t="str">
        <f>CONCATENATE("II-",TEXT(Q3,"0000"))</f>
        <v>II-0001</v>
      </c>
      <c r="S3" s="182" t="str">
        <f>K3</f>
        <v xml:space="preserve"> ACERO EN BARRA COLOCADO</v>
      </c>
    </row>
    <row r="4" spans="1:19">
      <c r="A4" s="173"/>
      <c r="B4" s="174"/>
      <c r="C4" s="75"/>
      <c r="D4" s="166"/>
      <c r="G4" s="167"/>
      <c r="H4" s="183"/>
      <c r="I4" s="184" t="s">
        <v>1019</v>
      </c>
      <c r="J4" s="185"/>
      <c r="K4" s="186" t="s">
        <v>1020</v>
      </c>
      <c r="L4" s="187"/>
      <c r="M4" s="187"/>
      <c r="N4" s="187"/>
      <c r="O4" s="188"/>
      <c r="P4" s="167"/>
      <c r="Q4" s="167"/>
      <c r="R4" s="167"/>
      <c r="S4" s="167"/>
    </row>
    <row r="5" spans="1:19">
      <c r="A5" s="173">
        <v>1</v>
      </c>
      <c r="B5" s="174" t="s">
        <v>1021</v>
      </c>
      <c r="C5" s="75" t="s">
        <v>1022</v>
      </c>
      <c r="D5" s="172" t="s">
        <v>1023</v>
      </c>
      <c r="G5" s="167"/>
      <c r="H5" s="183"/>
      <c r="I5" s="172"/>
      <c r="J5" s="189">
        <v>1</v>
      </c>
      <c r="K5" s="167"/>
      <c r="L5" s="182" t="s">
        <v>1024</v>
      </c>
      <c r="M5" s="167"/>
      <c r="N5" s="167"/>
      <c r="O5" s="190" t="s">
        <v>1023</v>
      </c>
      <c r="P5" s="167"/>
      <c r="Q5" s="181">
        <v>1</v>
      </c>
      <c r="R5" s="174" t="str">
        <f>CONCATENATE($R$3,".",TEXT(Q5,"0000"))</f>
        <v>II-0001.0001</v>
      </c>
      <c r="S5" s="167" t="str">
        <f t="shared" ref="S5:S12" si="0">CONCATENATE($E$4," ",L5)</f>
        <v xml:space="preserve"> Ø4</v>
      </c>
    </row>
    <row r="6" spans="1:19">
      <c r="A6" s="173">
        <v>2</v>
      </c>
      <c r="B6" s="166" t="s">
        <v>1025</v>
      </c>
      <c r="C6" s="75" t="s">
        <v>1026</v>
      </c>
      <c r="D6" s="172" t="s">
        <v>1023</v>
      </c>
      <c r="G6" s="167"/>
      <c r="H6" s="183"/>
      <c r="I6" s="172"/>
      <c r="J6" s="189">
        <v>2</v>
      </c>
      <c r="K6" s="167"/>
      <c r="L6" s="182" t="s">
        <v>1027</v>
      </c>
      <c r="M6" s="167"/>
      <c r="N6" s="167"/>
      <c r="O6" s="190" t="s">
        <v>1023</v>
      </c>
      <c r="P6" s="167"/>
      <c r="Q6" s="181">
        <v>2</v>
      </c>
      <c r="R6" s="174" t="str">
        <f t="shared" ref="R6:R30" si="1">CONCATENATE($R$3,".",TEXT(Q6,"0000"))</f>
        <v>II-0001.0002</v>
      </c>
      <c r="S6" s="167" t="str">
        <f t="shared" si="0"/>
        <v xml:space="preserve"> Ø6</v>
      </c>
    </row>
    <row r="7" spans="1:19">
      <c r="A7" s="173">
        <v>3</v>
      </c>
      <c r="B7" s="166" t="s">
        <v>1028</v>
      </c>
      <c r="C7" s="75" t="s">
        <v>1029</v>
      </c>
      <c r="D7" s="172" t="s">
        <v>1023</v>
      </c>
      <c r="G7" s="167"/>
      <c r="H7" s="183"/>
      <c r="I7" s="172"/>
      <c r="J7" s="189">
        <v>3</v>
      </c>
      <c r="K7" s="167"/>
      <c r="L7" s="182" t="s">
        <v>1030</v>
      </c>
      <c r="M7" s="167"/>
      <c r="N7" s="167"/>
      <c r="O7" s="190" t="s">
        <v>1023</v>
      </c>
      <c r="P7" s="167"/>
      <c r="Q7" s="181">
        <v>3</v>
      </c>
      <c r="R7" s="174" t="str">
        <f t="shared" si="1"/>
        <v>II-0001.0003</v>
      </c>
      <c r="S7" s="167" t="str">
        <f t="shared" si="0"/>
        <v xml:space="preserve"> Ø8</v>
      </c>
    </row>
    <row r="8" spans="1:19">
      <c r="A8" s="173">
        <v>4</v>
      </c>
      <c r="B8" s="166" t="s">
        <v>1031</v>
      </c>
      <c r="C8" s="191" t="s">
        <v>1032</v>
      </c>
      <c r="D8" s="172" t="s">
        <v>1023</v>
      </c>
      <c r="G8" s="167"/>
      <c r="H8" s="183"/>
      <c r="I8" s="172"/>
      <c r="J8" s="189">
        <v>4</v>
      </c>
      <c r="K8" s="167"/>
      <c r="L8" s="182" t="s">
        <v>1033</v>
      </c>
      <c r="M8" s="167"/>
      <c r="N8" s="167"/>
      <c r="O8" s="190" t="s">
        <v>1023</v>
      </c>
      <c r="P8" s="167"/>
      <c r="Q8" s="181">
        <v>4</v>
      </c>
      <c r="R8" s="174" t="str">
        <f t="shared" si="1"/>
        <v>II-0001.0004</v>
      </c>
      <c r="S8" s="167" t="str">
        <f t="shared" si="0"/>
        <v xml:space="preserve"> Ø10</v>
      </c>
    </row>
    <row r="9" spans="1:19">
      <c r="A9" s="173">
        <v>5</v>
      </c>
      <c r="B9" s="174" t="s">
        <v>1034</v>
      </c>
      <c r="C9" s="75" t="s">
        <v>1035</v>
      </c>
      <c r="D9" s="172" t="s">
        <v>1023</v>
      </c>
      <c r="G9" s="167"/>
      <c r="H9" s="183"/>
      <c r="I9" s="172"/>
      <c r="J9" s="189">
        <v>5</v>
      </c>
      <c r="K9" s="167"/>
      <c r="L9" s="182" t="s">
        <v>1036</v>
      </c>
      <c r="M9" s="167"/>
      <c r="N9" s="167"/>
      <c r="O9" s="190" t="s">
        <v>1023</v>
      </c>
      <c r="P9" s="167"/>
      <c r="Q9" s="181">
        <v>5</v>
      </c>
      <c r="R9" s="174" t="str">
        <f t="shared" si="1"/>
        <v>II-0001.0005</v>
      </c>
      <c r="S9" s="167" t="str">
        <f t="shared" si="0"/>
        <v xml:space="preserve"> Ø12</v>
      </c>
    </row>
    <row r="10" spans="1:19">
      <c r="A10" s="173">
        <v>6</v>
      </c>
      <c r="B10" s="174" t="s">
        <v>1037</v>
      </c>
      <c r="C10" s="75" t="s">
        <v>1038</v>
      </c>
      <c r="D10" s="172" t="s">
        <v>1023</v>
      </c>
      <c r="G10" s="167"/>
      <c r="H10" s="183"/>
      <c r="I10" s="172"/>
      <c r="J10" s="189">
        <v>6</v>
      </c>
      <c r="K10" s="167"/>
      <c r="L10" s="182" t="s">
        <v>1039</v>
      </c>
      <c r="M10" s="167"/>
      <c r="N10" s="167"/>
      <c r="O10" s="190" t="s">
        <v>1023</v>
      </c>
      <c r="P10" s="167"/>
      <c r="Q10" s="181">
        <v>6</v>
      </c>
      <c r="R10" s="174" t="str">
        <f t="shared" si="1"/>
        <v>II-0001.0006</v>
      </c>
      <c r="S10" s="167" t="str">
        <f t="shared" si="0"/>
        <v xml:space="preserve"> Ø16</v>
      </c>
    </row>
    <row r="11" spans="1:19">
      <c r="A11" s="173">
        <v>7</v>
      </c>
      <c r="B11" s="174" t="s">
        <v>1040</v>
      </c>
      <c r="C11" s="75" t="s">
        <v>1041</v>
      </c>
      <c r="D11" s="172" t="s">
        <v>1023</v>
      </c>
      <c r="G11" s="167"/>
      <c r="H11" s="183"/>
      <c r="I11" s="172"/>
      <c r="J11" s="189">
        <v>7</v>
      </c>
      <c r="K11" s="167"/>
      <c r="L11" s="182" t="s">
        <v>1042</v>
      </c>
      <c r="M11" s="167"/>
      <c r="N11" s="167"/>
      <c r="O11" s="190" t="s">
        <v>1023</v>
      </c>
      <c r="P11" s="167"/>
      <c r="Q11" s="181">
        <v>7</v>
      </c>
      <c r="R11" s="174" t="str">
        <f t="shared" si="1"/>
        <v>II-0001.0007</v>
      </c>
      <c r="S11" s="167" t="str">
        <f t="shared" si="0"/>
        <v xml:space="preserve"> Ø18</v>
      </c>
    </row>
    <row r="12" spans="1:19">
      <c r="A12" s="173">
        <v>8</v>
      </c>
      <c r="B12" s="166" t="s">
        <v>1043</v>
      </c>
      <c r="C12" s="75" t="s">
        <v>1044</v>
      </c>
      <c r="D12" s="172" t="s">
        <v>1023</v>
      </c>
      <c r="G12" s="167"/>
      <c r="H12" s="183"/>
      <c r="I12" s="172"/>
      <c r="J12" s="192">
        <v>8</v>
      </c>
      <c r="K12" s="193"/>
      <c r="L12" s="194" t="s">
        <v>1045</v>
      </c>
      <c r="M12" s="193"/>
      <c r="N12" s="193"/>
      <c r="O12" s="195" t="s">
        <v>1023</v>
      </c>
      <c r="P12" s="167"/>
      <c r="Q12" s="181">
        <v>8</v>
      </c>
      <c r="R12" s="174" t="str">
        <f t="shared" si="1"/>
        <v>II-0001.0008</v>
      </c>
      <c r="S12" s="167" t="str">
        <f t="shared" si="0"/>
        <v xml:space="preserve"> Ø20</v>
      </c>
    </row>
    <row r="13" spans="1:19">
      <c r="A13" s="173"/>
      <c r="B13" s="166"/>
      <c r="C13" s="75"/>
      <c r="D13" s="172"/>
      <c r="G13" s="167"/>
      <c r="H13" s="183"/>
      <c r="I13" s="184" t="s">
        <v>1046</v>
      </c>
      <c r="J13" s="172"/>
      <c r="K13" s="196" t="s">
        <v>1047</v>
      </c>
      <c r="L13" s="187"/>
      <c r="M13" s="187"/>
      <c r="N13" s="187"/>
      <c r="O13" s="188"/>
      <c r="P13" s="167"/>
      <c r="Q13" s="167"/>
      <c r="R13" s="167"/>
      <c r="S13" s="167"/>
    </row>
    <row r="14" spans="1:19">
      <c r="A14" s="173">
        <v>20</v>
      </c>
      <c r="B14" s="166" t="s">
        <v>1048</v>
      </c>
      <c r="C14" s="191" t="s">
        <v>1022</v>
      </c>
      <c r="D14" s="172" t="s">
        <v>1023</v>
      </c>
      <c r="G14" s="167"/>
      <c r="H14" s="183"/>
      <c r="I14" s="172"/>
      <c r="J14" s="189">
        <v>1</v>
      </c>
      <c r="K14" s="167"/>
      <c r="L14" s="182" t="s">
        <v>1024</v>
      </c>
      <c r="M14" s="167"/>
      <c r="N14" s="167"/>
      <c r="O14" s="190" t="s">
        <v>1023</v>
      </c>
      <c r="P14" s="167"/>
      <c r="Q14" s="181">
        <v>20</v>
      </c>
      <c r="R14" s="174" t="str">
        <f t="shared" si="1"/>
        <v>II-0001.0020</v>
      </c>
      <c r="S14" s="167" t="str">
        <f t="shared" ref="S14:S21" si="2">CONCATENATE($E$13," ",L14)</f>
        <v xml:space="preserve"> Ø4</v>
      </c>
    </row>
    <row r="15" spans="1:19">
      <c r="A15" s="173">
        <v>21</v>
      </c>
      <c r="B15" s="174" t="s">
        <v>1049</v>
      </c>
      <c r="C15" s="75" t="s">
        <v>1026</v>
      </c>
      <c r="D15" s="172" t="s">
        <v>1023</v>
      </c>
      <c r="G15" s="167"/>
      <c r="H15" s="183"/>
      <c r="I15" s="172"/>
      <c r="J15" s="189">
        <v>2</v>
      </c>
      <c r="K15" s="167"/>
      <c r="L15" s="182" t="s">
        <v>1027</v>
      </c>
      <c r="M15" s="167"/>
      <c r="N15" s="167"/>
      <c r="O15" s="190" t="s">
        <v>1023</v>
      </c>
      <c r="P15" s="167"/>
      <c r="Q15" s="181">
        <v>21</v>
      </c>
      <c r="R15" s="174" t="str">
        <f t="shared" si="1"/>
        <v>II-0001.0021</v>
      </c>
      <c r="S15" s="167" t="str">
        <f t="shared" si="2"/>
        <v xml:space="preserve"> Ø6</v>
      </c>
    </row>
    <row r="16" spans="1:19">
      <c r="A16" s="173">
        <v>22</v>
      </c>
      <c r="B16" s="174" t="s">
        <v>1050</v>
      </c>
      <c r="C16" s="75" t="s">
        <v>1029</v>
      </c>
      <c r="D16" s="172" t="s">
        <v>1023</v>
      </c>
      <c r="G16" s="167"/>
      <c r="H16" s="183"/>
      <c r="I16" s="172"/>
      <c r="J16" s="189">
        <v>3</v>
      </c>
      <c r="K16" s="167"/>
      <c r="L16" s="182" t="s">
        <v>1030</v>
      </c>
      <c r="M16" s="167"/>
      <c r="N16" s="167"/>
      <c r="O16" s="190" t="s">
        <v>1023</v>
      </c>
      <c r="P16" s="167"/>
      <c r="Q16" s="181">
        <v>22</v>
      </c>
      <c r="R16" s="174" t="str">
        <f t="shared" si="1"/>
        <v>II-0001.0022</v>
      </c>
      <c r="S16" s="167" t="str">
        <f t="shared" si="2"/>
        <v xml:space="preserve"> Ø8</v>
      </c>
    </row>
    <row r="17" spans="1:19">
      <c r="A17" s="173">
        <v>23</v>
      </c>
      <c r="B17" s="174" t="s">
        <v>1051</v>
      </c>
      <c r="C17" s="75" t="s">
        <v>1032</v>
      </c>
      <c r="D17" s="172" t="s">
        <v>1023</v>
      </c>
      <c r="G17" s="167"/>
      <c r="H17" s="183"/>
      <c r="I17" s="172"/>
      <c r="J17" s="189">
        <v>4</v>
      </c>
      <c r="K17" s="167"/>
      <c r="L17" s="182" t="s">
        <v>1033</v>
      </c>
      <c r="M17" s="167"/>
      <c r="N17" s="167"/>
      <c r="O17" s="190" t="s">
        <v>1023</v>
      </c>
      <c r="P17" s="167"/>
      <c r="Q17" s="181">
        <v>23</v>
      </c>
      <c r="R17" s="174" t="str">
        <f t="shared" si="1"/>
        <v>II-0001.0023</v>
      </c>
      <c r="S17" s="167" t="str">
        <f t="shared" si="2"/>
        <v xml:space="preserve"> Ø10</v>
      </c>
    </row>
    <row r="18" spans="1:19">
      <c r="A18" s="173">
        <v>24</v>
      </c>
      <c r="B18" s="174" t="s">
        <v>1052</v>
      </c>
      <c r="C18" s="75" t="s">
        <v>1035</v>
      </c>
      <c r="D18" s="172" t="s">
        <v>1023</v>
      </c>
      <c r="G18" s="167"/>
      <c r="H18" s="183"/>
      <c r="I18" s="172"/>
      <c r="J18" s="189">
        <v>5</v>
      </c>
      <c r="K18" s="167"/>
      <c r="L18" s="182" t="s">
        <v>1036</v>
      </c>
      <c r="M18" s="167"/>
      <c r="N18" s="167"/>
      <c r="O18" s="190" t="s">
        <v>1023</v>
      </c>
      <c r="P18" s="167"/>
      <c r="Q18" s="181">
        <v>24</v>
      </c>
      <c r="R18" s="174" t="str">
        <f t="shared" si="1"/>
        <v>II-0001.0024</v>
      </c>
      <c r="S18" s="167" t="str">
        <f t="shared" si="2"/>
        <v xml:space="preserve"> Ø12</v>
      </c>
    </row>
    <row r="19" spans="1:19">
      <c r="A19" s="173">
        <v>25</v>
      </c>
      <c r="B19" s="166" t="s">
        <v>1053</v>
      </c>
      <c r="C19" s="75" t="s">
        <v>1038</v>
      </c>
      <c r="D19" s="172" t="s">
        <v>1023</v>
      </c>
      <c r="G19" s="167"/>
      <c r="H19" s="183"/>
      <c r="I19" s="172"/>
      <c r="J19" s="189">
        <v>6</v>
      </c>
      <c r="K19" s="167"/>
      <c r="L19" s="182" t="s">
        <v>1039</v>
      </c>
      <c r="M19" s="167"/>
      <c r="N19" s="167"/>
      <c r="O19" s="190" t="s">
        <v>1023</v>
      </c>
      <c r="P19" s="167"/>
      <c r="Q19" s="181">
        <v>25</v>
      </c>
      <c r="R19" s="174" t="str">
        <f t="shared" si="1"/>
        <v>II-0001.0025</v>
      </c>
      <c r="S19" s="167" t="str">
        <f t="shared" si="2"/>
        <v xml:space="preserve"> Ø16</v>
      </c>
    </row>
    <row r="20" spans="1:19">
      <c r="A20" s="173">
        <v>26</v>
      </c>
      <c r="B20" s="166" t="s">
        <v>1054</v>
      </c>
      <c r="C20" s="75" t="s">
        <v>1041</v>
      </c>
      <c r="D20" s="172" t="s">
        <v>1023</v>
      </c>
      <c r="G20" s="167"/>
      <c r="H20" s="183"/>
      <c r="I20" s="172"/>
      <c r="J20" s="189">
        <v>7</v>
      </c>
      <c r="K20" s="167"/>
      <c r="L20" s="182" t="s">
        <v>1042</v>
      </c>
      <c r="M20" s="167"/>
      <c r="N20" s="167"/>
      <c r="O20" s="190" t="s">
        <v>1023</v>
      </c>
      <c r="P20" s="167"/>
      <c r="Q20" s="181">
        <v>26</v>
      </c>
      <c r="R20" s="174" t="str">
        <f t="shared" si="1"/>
        <v>II-0001.0026</v>
      </c>
      <c r="S20" s="167" t="str">
        <f t="shared" si="2"/>
        <v xml:space="preserve"> Ø18</v>
      </c>
    </row>
    <row r="21" spans="1:19">
      <c r="A21" s="173">
        <v>27</v>
      </c>
      <c r="B21" s="166" t="s">
        <v>1055</v>
      </c>
      <c r="C21" s="191" t="s">
        <v>1044</v>
      </c>
      <c r="D21" s="172" t="s">
        <v>1023</v>
      </c>
      <c r="G21" s="167"/>
      <c r="H21" s="183"/>
      <c r="I21" s="197"/>
      <c r="J21" s="192">
        <v>8</v>
      </c>
      <c r="K21" s="193"/>
      <c r="L21" s="194" t="s">
        <v>1045</v>
      </c>
      <c r="M21" s="193"/>
      <c r="N21" s="193"/>
      <c r="O21" s="195" t="s">
        <v>1023</v>
      </c>
      <c r="P21" s="167"/>
      <c r="Q21" s="181">
        <v>27</v>
      </c>
      <c r="R21" s="174" t="str">
        <f t="shared" si="1"/>
        <v>II-0001.0027</v>
      </c>
      <c r="S21" s="167" t="str">
        <f t="shared" si="2"/>
        <v xml:space="preserve"> Ø20</v>
      </c>
    </row>
    <row r="22" spans="1:19">
      <c r="A22" s="173"/>
      <c r="B22" s="174"/>
      <c r="C22" s="75"/>
      <c r="D22" s="172"/>
      <c r="G22" s="167"/>
      <c r="H22" s="183"/>
      <c r="I22" s="184" t="s">
        <v>1056</v>
      </c>
      <c r="J22" s="172"/>
      <c r="K22" s="196" t="s">
        <v>1057</v>
      </c>
      <c r="L22" s="187"/>
      <c r="M22" s="187"/>
      <c r="N22" s="187"/>
      <c r="O22" s="188"/>
      <c r="P22" s="167"/>
      <c r="Q22" s="167"/>
      <c r="R22" s="167"/>
      <c r="S22" s="167"/>
    </row>
    <row r="23" spans="1:19">
      <c r="A23" s="173">
        <v>30</v>
      </c>
      <c r="B23" s="174" t="s">
        <v>1058</v>
      </c>
      <c r="C23" s="75" t="s">
        <v>1022</v>
      </c>
      <c r="D23" s="172" t="s">
        <v>1023</v>
      </c>
      <c r="G23" s="167"/>
      <c r="H23" s="183"/>
      <c r="I23" s="172"/>
      <c r="J23" s="189">
        <v>1</v>
      </c>
      <c r="K23" s="167"/>
      <c r="L23" s="182" t="s">
        <v>1024</v>
      </c>
      <c r="M23" s="167"/>
      <c r="N23" s="167"/>
      <c r="O23" s="190" t="s">
        <v>1023</v>
      </c>
      <c r="P23" s="167"/>
      <c r="Q23" s="181">
        <v>30</v>
      </c>
      <c r="R23" s="174" t="str">
        <f t="shared" si="1"/>
        <v>II-0001.0030</v>
      </c>
      <c r="S23" s="167" t="str">
        <f>CONCATENATE($E$22," ",L23)</f>
        <v xml:space="preserve"> Ø4</v>
      </c>
    </row>
    <row r="24" spans="1:19">
      <c r="A24" s="173">
        <v>31</v>
      </c>
      <c r="B24" s="174" t="s">
        <v>1059</v>
      </c>
      <c r="C24" s="75" t="s">
        <v>1026</v>
      </c>
      <c r="D24" s="172" t="s">
        <v>1023</v>
      </c>
      <c r="G24" s="167"/>
      <c r="H24" s="183"/>
      <c r="I24" s="172"/>
      <c r="J24" s="189">
        <v>2</v>
      </c>
      <c r="K24" s="167"/>
      <c r="L24" s="182" t="s">
        <v>1027</v>
      </c>
      <c r="M24" s="167"/>
      <c r="N24" s="167"/>
      <c r="O24" s="190" t="s">
        <v>1023</v>
      </c>
      <c r="P24" s="167"/>
      <c r="Q24" s="181">
        <v>31</v>
      </c>
      <c r="R24" s="174" t="str">
        <f t="shared" si="1"/>
        <v>II-0001.0031</v>
      </c>
      <c r="S24" s="167" t="str">
        <f t="shared" ref="S24:S30" si="3">CONCATENATE($E$22," ",L24)</f>
        <v xml:space="preserve"> Ø6</v>
      </c>
    </row>
    <row r="25" spans="1:19">
      <c r="A25" s="173">
        <v>32</v>
      </c>
      <c r="B25" s="174" t="s">
        <v>1060</v>
      </c>
      <c r="C25" s="75" t="s">
        <v>1029</v>
      </c>
      <c r="D25" s="172" t="s">
        <v>1023</v>
      </c>
      <c r="G25" s="167"/>
      <c r="H25" s="183"/>
      <c r="I25" s="172"/>
      <c r="J25" s="189">
        <v>3</v>
      </c>
      <c r="K25" s="167"/>
      <c r="L25" s="182" t="s">
        <v>1030</v>
      </c>
      <c r="M25" s="167"/>
      <c r="N25" s="167"/>
      <c r="O25" s="190" t="s">
        <v>1023</v>
      </c>
      <c r="P25" s="167"/>
      <c r="Q25" s="181">
        <v>32</v>
      </c>
      <c r="R25" s="174" t="str">
        <f t="shared" si="1"/>
        <v>II-0001.0032</v>
      </c>
      <c r="S25" s="167" t="str">
        <f t="shared" si="3"/>
        <v xml:space="preserve"> Ø8</v>
      </c>
    </row>
    <row r="26" spans="1:19">
      <c r="A26" s="173">
        <v>33</v>
      </c>
      <c r="B26" s="174" t="s">
        <v>1061</v>
      </c>
      <c r="C26" s="75" t="s">
        <v>1032</v>
      </c>
      <c r="D26" s="172" t="s">
        <v>1023</v>
      </c>
      <c r="G26" s="167"/>
      <c r="H26" s="183"/>
      <c r="I26" s="172"/>
      <c r="J26" s="189">
        <v>4</v>
      </c>
      <c r="K26" s="167"/>
      <c r="L26" s="182" t="s">
        <v>1033</v>
      </c>
      <c r="M26" s="167"/>
      <c r="N26" s="167"/>
      <c r="O26" s="190" t="s">
        <v>1023</v>
      </c>
      <c r="P26" s="167"/>
      <c r="Q26" s="181">
        <v>33</v>
      </c>
      <c r="R26" s="174" t="str">
        <f t="shared" si="1"/>
        <v>II-0001.0033</v>
      </c>
      <c r="S26" s="167" t="str">
        <f t="shared" si="3"/>
        <v xml:space="preserve"> Ø10</v>
      </c>
    </row>
    <row r="27" spans="1:19">
      <c r="A27" s="173">
        <v>34</v>
      </c>
      <c r="B27" s="174" t="s">
        <v>1062</v>
      </c>
      <c r="C27" s="75" t="s">
        <v>1035</v>
      </c>
      <c r="D27" s="172" t="s">
        <v>1023</v>
      </c>
      <c r="G27" s="167"/>
      <c r="H27" s="183"/>
      <c r="I27" s="172"/>
      <c r="J27" s="189">
        <v>5</v>
      </c>
      <c r="K27" s="167"/>
      <c r="L27" s="182" t="s">
        <v>1036</v>
      </c>
      <c r="M27" s="167"/>
      <c r="N27" s="167"/>
      <c r="O27" s="190" t="s">
        <v>1023</v>
      </c>
      <c r="P27" s="167"/>
      <c r="Q27" s="181">
        <v>34</v>
      </c>
      <c r="R27" s="174" t="str">
        <f t="shared" si="1"/>
        <v>II-0001.0034</v>
      </c>
      <c r="S27" s="167" t="str">
        <f t="shared" si="3"/>
        <v xml:space="preserve"> Ø12</v>
      </c>
    </row>
    <row r="28" spans="1:19">
      <c r="A28" s="173">
        <v>35</v>
      </c>
      <c r="B28" s="174" t="s">
        <v>1063</v>
      </c>
      <c r="C28" s="75" t="s">
        <v>1038</v>
      </c>
      <c r="D28" s="172" t="s">
        <v>1023</v>
      </c>
      <c r="G28" s="167"/>
      <c r="H28" s="183"/>
      <c r="I28" s="172"/>
      <c r="J28" s="189">
        <v>6</v>
      </c>
      <c r="K28" s="167"/>
      <c r="L28" s="182" t="s">
        <v>1039</v>
      </c>
      <c r="M28" s="167"/>
      <c r="N28" s="167"/>
      <c r="O28" s="190" t="s">
        <v>1023</v>
      </c>
      <c r="P28" s="167"/>
      <c r="Q28" s="181">
        <v>35</v>
      </c>
      <c r="R28" s="174" t="str">
        <f t="shared" si="1"/>
        <v>II-0001.0035</v>
      </c>
      <c r="S28" s="167" t="str">
        <f t="shared" si="3"/>
        <v xml:space="preserve"> Ø16</v>
      </c>
    </row>
    <row r="29" spans="1:19">
      <c r="A29" s="173">
        <v>36</v>
      </c>
      <c r="B29" s="174" t="s">
        <v>1064</v>
      </c>
      <c r="C29" s="75" t="s">
        <v>1041</v>
      </c>
      <c r="D29" s="172" t="s">
        <v>1023</v>
      </c>
      <c r="G29" s="167"/>
      <c r="H29" s="183"/>
      <c r="I29" s="172"/>
      <c r="J29" s="189">
        <v>7</v>
      </c>
      <c r="K29" s="167"/>
      <c r="L29" s="182" t="s">
        <v>1042</v>
      </c>
      <c r="M29" s="167"/>
      <c r="N29" s="167"/>
      <c r="O29" s="190" t="s">
        <v>1023</v>
      </c>
      <c r="P29" s="167"/>
      <c r="Q29" s="181">
        <v>36</v>
      </c>
      <c r="R29" s="174" t="str">
        <f t="shared" si="1"/>
        <v>II-0001.0036</v>
      </c>
      <c r="S29" s="167" t="str">
        <f t="shared" si="3"/>
        <v xml:space="preserve"> Ø18</v>
      </c>
    </row>
    <row r="30" spans="1:19" ht="15.75" thickBot="1">
      <c r="A30" s="173">
        <v>37</v>
      </c>
      <c r="B30" s="174" t="s">
        <v>1065</v>
      </c>
      <c r="C30" s="75" t="s">
        <v>1044</v>
      </c>
      <c r="D30" s="172" t="s">
        <v>1023</v>
      </c>
      <c r="G30" s="167"/>
      <c r="H30" s="198"/>
      <c r="I30" s="199"/>
      <c r="J30" s="200">
        <v>8</v>
      </c>
      <c r="K30" s="201"/>
      <c r="L30" s="202" t="s">
        <v>1045</v>
      </c>
      <c r="M30" s="201"/>
      <c r="N30" s="201"/>
      <c r="O30" s="203" t="s">
        <v>1023</v>
      </c>
      <c r="P30" s="167"/>
      <c r="Q30" s="181">
        <v>37</v>
      </c>
      <c r="R30" s="174" t="str">
        <f t="shared" si="1"/>
        <v>II-0001.0037</v>
      </c>
      <c r="S30" s="167" t="str">
        <f t="shared" si="3"/>
        <v xml:space="preserve"> Ø20</v>
      </c>
    </row>
    <row r="31" spans="1:19" ht="16.5" thickTop="1" thickBot="1">
      <c r="A31" s="173"/>
      <c r="B31" s="174"/>
      <c r="C31" s="75"/>
      <c r="D31" s="172"/>
      <c r="G31" s="167"/>
      <c r="H31" s="183"/>
      <c r="I31" s="172"/>
      <c r="J31" s="172"/>
      <c r="K31" s="167"/>
      <c r="L31" s="182"/>
      <c r="M31" s="167"/>
      <c r="N31" s="167"/>
      <c r="O31" s="204"/>
      <c r="P31" s="167"/>
      <c r="Q31" s="181"/>
      <c r="R31" s="174"/>
      <c r="S31" s="167"/>
    </row>
    <row r="32" spans="1:19" ht="15.75" thickTop="1">
      <c r="A32" s="173">
        <v>2</v>
      </c>
      <c r="B32" s="174" t="s">
        <v>1066</v>
      </c>
      <c r="C32" s="75" t="s">
        <v>1067</v>
      </c>
      <c r="D32" s="172"/>
      <c r="G32" s="167"/>
      <c r="H32" s="205">
        <v>2</v>
      </c>
      <c r="I32" s="206"/>
      <c r="J32" s="207"/>
      <c r="K32" s="690" t="s">
        <v>1067</v>
      </c>
      <c r="L32" s="690"/>
      <c r="M32" s="690"/>
      <c r="N32" s="690"/>
      <c r="O32" s="208"/>
      <c r="P32" s="167"/>
      <c r="Q32" s="181">
        <f>H32</f>
        <v>2</v>
      </c>
      <c r="R32" s="172" t="str">
        <f>CONCATENATE("II-",TEXT(Q32,"0000"))</f>
        <v>II-0002</v>
      </c>
      <c r="S32" s="182" t="str">
        <f>K32</f>
        <v>ABOVEDAMIENTO  REACONDICIONAMIENTO</v>
      </c>
    </row>
    <row r="33" spans="1:19" ht="15.75" thickBot="1">
      <c r="A33" s="173">
        <v>1</v>
      </c>
      <c r="B33" s="174" t="s">
        <v>1068</v>
      </c>
      <c r="C33" s="75" t="s">
        <v>1069</v>
      </c>
      <c r="D33" s="172" t="s">
        <v>5</v>
      </c>
      <c r="G33" s="167"/>
      <c r="H33" s="209"/>
      <c r="I33" s="210" t="s">
        <v>1019</v>
      </c>
      <c r="J33" s="211"/>
      <c r="K33" s="212" t="s">
        <v>1070</v>
      </c>
      <c r="L33" s="213"/>
      <c r="M33" s="213"/>
      <c r="N33" s="213"/>
      <c r="O33" s="214" t="s">
        <v>5</v>
      </c>
      <c r="P33" s="167"/>
      <c r="Q33" s="181">
        <v>1</v>
      </c>
      <c r="R33" s="174" t="str">
        <f>CONCATENATE($R$32,".",TEXT(Q33,"0000"))</f>
        <v>II-0002.0001</v>
      </c>
      <c r="S33" s="167" t="str">
        <f>CONCATENATE($K$33," ",L33)</f>
        <v xml:space="preserve">V-384 </v>
      </c>
    </row>
    <row r="34" spans="1:19" ht="16.5" thickTop="1" thickBot="1">
      <c r="A34" s="173"/>
      <c r="B34" s="166"/>
      <c r="C34" s="75"/>
      <c r="D34" s="172"/>
      <c r="G34" s="167"/>
      <c r="H34" s="183"/>
      <c r="I34" s="172"/>
      <c r="J34" s="172"/>
      <c r="K34" s="215"/>
      <c r="L34" s="167"/>
      <c r="M34" s="167"/>
      <c r="N34" s="167"/>
      <c r="O34" s="204"/>
      <c r="P34" s="167"/>
      <c r="Q34" s="167"/>
      <c r="R34" s="167"/>
      <c r="S34" s="167"/>
    </row>
    <row r="35" spans="1:19" ht="15.75" thickTop="1">
      <c r="A35" s="173">
        <v>3</v>
      </c>
      <c r="B35" s="166" t="s">
        <v>1071</v>
      </c>
      <c r="C35" s="75" t="s">
        <v>1072</v>
      </c>
      <c r="D35" s="172"/>
      <c r="G35" s="167"/>
      <c r="H35" s="205">
        <v>3</v>
      </c>
      <c r="I35" s="207"/>
      <c r="J35" s="207"/>
      <c r="K35" s="216" t="s">
        <v>1072</v>
      </c>
      <c r="L35" s="217"/>
      <c r="M35" s="217"/>
      <c r="N35" s="217"/>
      <c r="O35" s="208"/>
      <c r="P35" s="167"/>
      <c r="Q35" s="181">
        <f>H35</f>
        <v>3</v>
      </c>
      <c r="R35" s="172" t="str">
        <f>CONCATENATE("II-",TEXT(Q35,"0000"))</f>
        <v>II-0003</v>
      </c>
      <c r="S35" s="182" t="str">
        <f>K35</f>
        <v>ALAMBRADO</v>
      </c>
    </row>
    <row r="36" spans="1:19">
      <c r="A36" s="173"/>
      <c r="B36" s="166"/>
      <c r="C36" s="191"/>
      <c r="D36" s="172"/>
      <c r="G36" s="167"/>
      <c r="H36" s="218"/>
      <c r="I36" s="184" t="s">
        <v>1019</v>
      </c>
      <c r="J36" s="185"/>
      <c r="K36" s="215" t="s">
        <v>1073</v>
      </c>
      <c r="L36" s="167"/>
      <c r="M36" s="167"/>
      <c r="N36" s="167"/>
      <c r="O36" s="219"/>
      <c r="P36" s="167"/>
      <c r="Q36" s="167"/>
      <c r="R36" s="167"/>
      <c r="S36" s="167"/>
    </row>
    <row r="37" spans="1:19">
      <c r="A37" s="173">
        <v>1</v>
      </c>
      <c r="B37" s="174" t="s">
        <v>1074</v>
      </c>
      <c r="C37" s="75" t="s">
        <v>1075</v>
      </c>
      <c r="D37" s="172" t="s">
        <v>995</v>
      </c>
      <c r="G37" s="167"/>
      <c r="H37" s="183"/>
      <c r="I37" s="172"/>
      <c r="J37" s="189">
        <v>1</v>
      </c>
      <c r="K37" s="167"/>
      <c r="L37" s="215" t="s">
        <v>1019</v>
      </c>
      <c r="M37" s="220"/>
      <c r="N37" s="167"/>
      <c r="O37" s="204" t="s">
        <v>995</v>
      </c>
      <c r="P37" s="167"/>
      <c r="Q37" s="181">
        <v>1</v>
      </c>
      <c r="R37" s="174" t="str">
        <f>CONCATENATE($R$35,".",TEXT(Q37,"0000"))</f>
        <v>II-0003.0001</v>
      </c>
      <c r="S37" s="167" t="str">
        <f>CONCATENATE($K$36," - TIPO ",L37)</f>
        <v>H-2840-I - TIPO A</v>
      </c>
    </row>
    <row r="38" spans="1:19">
      <c r="A38" s="173">
        <v>2</v>
      </c>
      <c r="B38" s="174" t="s">
        <v>1076</v>
      </c>
      <c r="C38" s="75" t="s">
        <v>1077</v>
      </c>
      <c r="D38" s="172" t="s">
        <v>995</v>
      </c>
      <c r="G38" s="167"/>
      <c r="H38" s="183"/>
      <c r="I38" s="172"/>
      <c r="J38" s="189">
        <v>2</v>
      </c>
      <c r="K38" s="167"/>
      <c r="L38" s="215" t="s">
        <v>1046</v>
      </c>
      <c r="M38" s="220"/>
      <c r="N38" s="167"/>
      <c r="O38" s="204" t="s">
        <v>995</v>
      </c>
      <c r="P38" s="167"/>
      <c r="Q38" s="181">
        <v>2</v>
      </c>
      <c r="R38" s="174" t="str">
        <f t="shared" ref="R38:R42" si="4">CONCATENATE($R$35,".",TEXT(Q38,"0000"))</f>
        <v>II-0003.0002</v>
      </c>
      <c r="S38" s="167" t="str">
        <f t="shared" ref="S38:S40" si="5">CONCATENATE($K$36," - TIPO ",L38)</f>
        <v>H-2840-I - TIPO B</v>
      </c>
    </row>
    <row r="39" spans="1:19">
      <c r="A39" s="173">
        <v>3</v>
      </c>
      <c r="B39" s="174" t="s">
        <v>1078</v>
      </c>
      <c r="C39" s="75" t="s">
        <v>1079</v>
      </c>
      <c r="D39" s="172" t="s">
        <v>995</v>
      </c>
      <c r="G39" s="167"/>
      <c r="H39" s="183"/>
      <c r="I39" s="172"/>
      <c r="J39" s="189">
        <v>3</v>
      </c>
      <c r="K39" s="167"/>
      <c r="L39" s="215" t="s">
        <v>1056</v>
      </c>
      <c r="M39" s="220"/>
      <c r="N39" s="167"/>
      <c r="O39" s="204" t="s">
        <v>995</v>
      </c>
      <c r="P39" s="167"/>
      <c r="Q39" s="181">
        <v>3</v>
      </c>
      <c r="R39" s="174" t="str">
        <f t="shared" si="4"/>
        <v>II-0003.0003</v>
      </c>
      <c r="S39" s="167" t="str">
        <f t="shared" si="5"/>
        <v>H-2840-I - TIPO C</v>
      </c>
    </row>
    <row r="40" spans="1:19">
      <c r="A40" s="173">
        <v>4</v>
      </c>
      <c r="B40" s="166" t="s">
        <v>1080</v>
      </c>
      <c r="C40" s="75" t="s">
        <v>1081</v>
      </c>
      <c r="D40" s="172" t="s">
        <v>995</v>
      </c>
      <c r="G40" s="167"/>
      <c r="H40" s="183"/>
      <c r="I40" s="197"/>
      <c r="J40" s="192">
        <v>4</v>
      </c>
      <c r="K40" s="193"/>
      <c r="L40" s="221" t="s">
        <v>1082</v>
      </c>
      <c r="M40" s="222"/>
      <c r="N40" s="193"/>
      <c r="O40" s="223" t="s">
        <v>995</v>
      </c>
      <c r="P40" s="167"/>
      <c r="Q40" s="181">
        <v>4</v>
      </c>
      <c r="R40" s="174" t="str">
        <f t="shared" si="4"/>
        <v>II-0003.0004</v>
      </c>
      <c r="S40" s="167" t="str">
        <f t="shared" si="5"/>
        <v>H-2840-I - TIPO D</v>
      </c>
    </row>
    <row r="41" spans="1:19">
      <c r="A41" s="173">
        <v>5</v>
      </c>
      <c r="B41" s="174" t="s">
        <v>1083</v>
      </c>
      <c r="C41" s="75" t="s">
        <v>1084</v>
      </c>
      <c r="D41" s="172" t="s">
        <v>995</v>
      </c>
      <c r="G41" s="167"/>
      <c r="H41" s="183"/>
      <c r="I41" s="192" t="s">
        <v>1046</v>
      </c>
      <c r="J41" s="197"/>
      <c r="K41" s="224" t="s">
        <v>1084</v>
      </c>
      <c r="L41" s="225"/>
      <c r="M41" s="225"/>
      <c r="N41" s="225"/>
      <c r="O41" s="226" t="s">
        <v>995</v>
      </c>
      <c r="P41" s="167"/>
      <c r="Q41" s="181">
        <v>5</v>
      </c>
      <c r="R41" s="174" t="str">
        <f t="shared" si="4"/>
        <v>II-0003.0005</v>
      </c>
      <c r="S41" s="167" t="str">
        <f>CONCATENATE($E$36,K41)</f>
        <v>OLIMPICO H-9830</v>
      </c>
    </row>
    <row r="42" spans="1:19" ht="15.75" thickBot="1">
      <c r="A42" s="173">
        <v>6</v>
      </c>
      <c r="B42" s="174" t="s">
        <v>1085</v>
      </c>
      <c r="C42" s="75" t="s">
        <v>1086</v>
      </c>
      <c r="D42" s="172" t="s">
        <v>995</v>
      </c>
      <c r="G42" s="167"/>
      <c r="H42" s="198"/>
      <c r="I42" s="200" t="s">
        <v>1056</v>
      </c>
      <c r="J42" s="211"/>
      <c r="K42" s="212" t="s">
        <v>1086</v>
      </c>
      <c r="L42" s="213"/>
      <c r="M42" s="213"/>
      <c r="N42" s="213"/>
      <c r="O42" s="214" t="s">
        <v>995</v>
      </c>
      <c r="P42" s="167"/>
      <c r="Q42" s="181">
        <v>6</v>
      </c>
      <c r="R42" s="174" t="str">
        <f t="shared" si="4"/>
        <v>II-0003.0006</v>
      </c>
      <c r="S42" s="167" t="str">
        <f>CONCATENATE($E$36,K42)</f>
        <v>TRAZADO C/ REPOSICION  (%)</v>
      </c>
    </row>
    <row r="43" spans="1:19" ht="15.75" thickTop="1">
      <c r="A43" s="173">
        <v>7</v>
      </c>
      <c r="B43" s="174" t="s">
        <v>1087</v>
      </c>
      <c r="C43" s="75" t="s">
        <v>1088</v>
      </c>
      <c r="D43" s="172" t="s">
        <v>995</v>
      </c>
      <c r="G43" s="167"/>
      <c r="H43" s="183"/>
      <c r="I43" s="172"/>
      <c r="J43" s="172"/>
      <c r="K43" s="215"/>
      <c r="L43" s="167"/>
      <c r="M43" s="167"/>
      <c r="N43" s="167"/>
      <c r="O43" s="204"/>
      <c r="P43" s="167"/>
      <c r="Q43" s="181"/>
      <c r="R43" s="174"/>
      <c r="S43" s="167"/>
    </row>
    <row r="44" spans="1:19">
      <c r="A44" s="173"/>
      <c r="B44" s="174"/>
      <c r="C44" s="75"/>
      <c r="D44" s="172"/>
      <c r="G44" s="167"/>
      <c r="H44" s="183"/>
      <c r="I44" s="172"/>
      <c r="J44" s="172"/>
      <c r="K44" s="215"/>
      <c r="L44" s="167"/>
      <c r="M44" s="167"/>
      <c r="N44" s="167"/>
      <c r="O44" s="204"/>
      <c r="P44" s="167"/>
      <c r="Q44" s="181"/>
      <c r="R44" s="174"/>
      <c r="S44" s="167"/>
    </row>
    <row r="45" spans="1:19">
      <c r="A45" s="173">
        <v>4</v>
      </c>
      <c r="B45" s="166" t="s">
        <v>1089</v>
      </c>
      <c r="C45" s="75" t="s">
        <v>1090</v>
      </c>
      <c r="D45" s="172"/>
      <c r="G45" s="167"/>
      <c r="H45" s="205">
        <v>4</v>
      </c>
      <c r="I45" s="207"/>
      <c r="J45" s="207"/>
      <c r="K45" s="691" t="s">
        <v>1090</v>
      </c>
      <c r="L45" s="691"/>
      <c r="M45" s="691"/>
      <c r="N45" s="691"/>
      <c r="O45" s="227"/>
      <c r="P45" s="167"/>
      <c r="Q45" s="181">
        <f>H45</f>
        <v>4</v>
      </c>
      <c r="R45" s="172" t="str">
        <f>CONCATENATE("II-",TEXT(Q45,"0000"))</f>
        <v>II-0004</v>
      </c>
      <c r="S45" s="182" t="str">
        <f>K45</f>
        <v>ALCANTARILLAS METALICAS ACERO CORRUGADO</v>
      </c>
    </row>
    <row r="46" spans="1:19">
      <c r="A46" s="173"/>
      <c r="B46" s="174"/>
      <c r="C46" s="75"/>
      <c r="D46" s="172"/>
      <c r="G46" s="167"/>
      <c r="H46" s="218"/>
      <c r="I46" s="184" t="s">
        <v>1019</v>
      </c>
      <c r="J46" s="185"/>
      <c r="K46" s="186" t="s">
        <v>1091</v>
      </c>
      <c r="L46" s="187"/>
      <c r="M46" s="187"/>
      <c r="N46" s="187"/>
      <c r="O46" s="228"/>
      <c r="P46" s="167"/>
      <c r="Q46" s="167"/>
      <c r="R46" s="167"/>
      <c r="S46" s="167"/>
    </row>
    <row r="47" spans="1:19">
      <c r="A47" s="173">
        <v>1</v>
      </c>
      <c r="B47" s="174" t="s">
        <v>1092</v>
      </c>
      <c r="C47" s="75" t="s">
        <v>1093</v>
      </c>
      <c r="D47" s="172" t="s">
        <v>995</v>
      </c>
      <c r="G47" s="167"/>
      <c r="H47" s="183"/>
      <c r="I47" s="172"/>
      <c r="J47" s="189">
        <v>1</v>
      </c>
      <c r="K47" s="167"/>
      <c r="L47" s="182" t="s">
        <v>1094</v>
      </c>
      <c r="M47" s="167"/>
      <c r="N47" s="167"/>
      <c r="O47" s="204" t="s">
        <v>995</v>
      </c>
      <c r="P47" s="167"/>
      <c r="Q47" s="181">
        <v>1</v>
      </c>
      <c r="R47" s="174" t="str">
        <f>CONCATENATE($R$45,".",TEXT(Q47,"0000"))</f>
        <v>II-0004.0001</v>
      </c>
      <c r="S47" s="167" t="str">
        <f>CONCATENATE($K$46," - TIPO ",L47)</f>
        <v>H-10209 - TIPO H-9987</v>
      </c>
    </row>
    <row r="48" spans="1:19">
      <c r="A48" s="173">
        <v>2</v>
      </c>
      <c r="B48" s="166" t="s">
        <v>1095</v>
      </c>
      <c r="C48" s="75" t="s">
        <v>1096</v>
      </c>
      <c r="D48" s="172" t="s">
        <v>995</v>
      </c>
      <c r="G48" s="167"/>
      <c r="H48" s="183"/>
      <c r="I48" s="172"/>
      <c r="J48" s="192">
        <v>2</v>
      </c>
      <c r="K48" s="167"/>
      <c r="L48" s="182" t="s">
        <v>1097</v>
      </c>
      <c r="M48" s="167"/>
      <c r="N48" s="167"/>
      <c r="O48" s="204" t="s">
        <v>995</v>
      </c>
      <c r="P48" s="167"/>
      <c r="Q48" s="181">
        <v>2</v>
      </c>
      <c r="R48" s="174" t="str">
        <f>CONCATENATE($R$45,".",TEXT(Q48,"0000"))</f>
        <v>II-0004.0002</v>
      </c>
      <c r="S48" s="167" t="str">
        <f>CONCATENATE($K$46," - TIPO ",L48)</f>
        <v>H-10209 - TIPO H-2993</v>
      </c>
    </row>
    <row r="49" spans="1:19">
      <c r="A49" s="173"/>
      <c r="B49" s="166"/>
      <c r="C49" s="75"/>
      <c r="D49" s="172"/>
      <c r="G49" s="167"/>
      <c r="H49" s="183"/>
      <c r="I49" s="184" t="s">
        <v>1046</v>
      </c>
      <c r="J49" s="185"/>
      <c r="K49" s="186" t="s">
        <v>1098</v>
      </c>
      <c r="L49" s="187"/>
      <c r="M49" s="187"/>
      <c r="N49" s="187"/>
      <c r="O49" s="228"/>
      <c r="P49" s="167"/>
      <c r="Q49" s="167"/>
      <c r="R49" s="167"/>
      <c r="S49" s="167"/>
    </row>
    <row r="50" spans="1:19">
      <c r="A50" s="173">
        <v>3</v>
      </c>
      <c r="B50" s="166" t="s">
        <v>1099</v>
      </c>
      <c r="C50" s="191" t="s">
        <v>1100</v>
      </c>
      <c r="D50" s="172" t="s">
        <v>995</v>
      </c>
      <c r="G50" s="167"/>
      <c r="H50" s="183"/>
      <c r="I50" s="172"/>
      <c r="J50" s="189">
        <v>1</v>
      </c>
      <c r="K50" s="167"/>
      <c r="L50" s="182" t="s">
        <v>1094</v>
      </c>
      <c r="M50" s="167"/>
      <c r="N50" s="167"/>
      <c r="O50" s="204" t="s">
        <v>995</v>
      </c>
      <c r="P50" s="167"/>
      <c r="Q50" s="181">
        <v>3</v>
      </c>
      <c r="R50" s="174" t="str">
        <f>CONCATENATE($R$45,".",TEXT(Q50,"0000"))</f>
        <v>II-0004.0003</v>
      </c>
      <c r="S50" s="167" t="str">
        <f>CONCATENATE($K$49," - TIPO ",L50)</f>
        <v>H-10235 - TIPO H-9987</v>
      </c>
    </row>
    <row r="51" spans="1:19">
      <c r="A51" s="173">
        <v>4</v>
      </c>
      <c r="B51" s="174" t="s">
        <v>1101</v>
      </c>
      <c r="C51" s="75" t="s">
        <v>1102</v>
      </c>
      <c r="D51" s="172" t="s">
        <v>995</v>
      </c>
      <c r="G51" s="167"/>
      <c r="H51" s="183"/>
      <c r="I51" s="172"/>
      <c r="J51" s="192">
        <v>2</v>
      </c>
      <c r="K51" s="167"/>
      <c r="L51" s="182" t="s">
        <v>1097</v>
      </c>
      <c r="M51" s="167"/>
      <c r="N51" s="167"/>
      <c r="O51" s="204" t="s">
        <v>995</v>
      </c>
      <c r="P51" s="167"/>
      <c r="Q51" s="181">
        <v>4</v>
      </c>
      <c r="R51" s="174" t="str">
        <f>CONCATENATE($R$45,".",TEXT(Q51,"0000"))</f>
        <v>II-0004.0004</v>
      </c>
      <c r="S51" s="167" t="str">
        <f>CONCATENATE($K$49," - TIPO ",L51)</f>
        <v>H-10235 - TIPO H-2993</v>
      </c>
    </row>
    <row r="52" spans="1:19">
      <c r="A52" s="173"/>
      <c r="B52" s="174"/>
      <c r="C52" s="75"/>
      <c r="D52" s="172"/>
      <c r="G52" s="167"/>
      <c r="H52" s="183"/>
      <c r="I52" s="184" t="s">
        <v>1056</v>
      </c>
      <c r="J52" s="185"/>
      <c r="K52" s="186" t="s">
        <v>1103</v>
      </c>
      <c r="L52" s="187"/>
      <c r="M52" s="187"/>
      <c r="N52" s="187"/>
      <c r="O52" s="228"/>
      <c r="P52" s="167"/>
      <c r="Q52" s="167"/>
      <c r="R52" s="167"/>
      <c r="S52" s="167"/>
    </row>
    <row r="53" spans="1:19" ht="15.75" thickBot="1">
      <c r="A53" s="173">
        <v>5</v>
      </c>
      <c r="B53" s="174" t="s">
        <v>1104</v>
      </c>
      <c r="C53" s="75" t="s">
        <v>1105</v>
      </c>
      <c r="D53" s="172" t="s">
        <v>995</v>
      </c>
      <c r="G53" s="167"/>
      <c r="H53" s="229"/>
      <c r="I53" s="230"/>
      <c r="J53" s="231">
        <v>1</v>
      </c>
      <c r="K53" s="232"/>
      <c r="L53" s="233" t="s">
        <v>1106</v>
      </c>
      <c r="M53" s="232"/>
      <c r="N53" s="232"/>
      <c r="O53" s="234" t="s">
        <v>995</v>
      </c>
      <c r="P53" s="167"/>
      <c r="Q53" s="181">
        <v>5</v>
      </c>
      <c r="R53" s="174" t="str">
        <f>CONCATENATE($R$45,".",TEXT(Q53,"0000"))</f>
        <v>II-0004.0005</v>
      </c>
      <c r="S53" s="167" t="str">
        <f>CONCATENATE($K$52," - TIPO ",L53)</f>
        <v>H-10236 - TIPO H-2553</v>
      </c>
    </row>
    <row r="54" spans="1:19">
      <c r="A54" s="173"/>
      <c r="B54" s="174"/>
      <c r="C54" s="75"/>
      <c r="D54" s="172"/>
      <c r="G54" s="167"/>
      <c r="H54" s="235"/>
      <c r="I54" s="172"/>
      <c r="J54" s="172"/>
      <c r="K54" s="167"/>
      <c r="L54" s="182"/>
      <c r="M54" s="167"/>
      <c r="N54" s="167"/>
      <c r="O54" s="220"/>
      <c r="P54" s="167"/>
      <c r="Q54" s="167"/>
      <c r="R54" s="167"/>
      <c r="S54" s="167"/>
    </row>
    <row r="55" spans="1:19">
      <c r="A55" s="173">
        <v>4</v>
      </c>
      <c r="B55" s="174" t="s">
        <v>1089</v>
      </c>
      <c r="C55" s="75" t="s">
        <v>1090</v>
      </c>
      <c r="D55" s="172"/>
      <c r="G55" s="167"/>
      <c r="H55" s="205">
        <v>4</v>
      </c>
      <c r="I55" s="207"/>
      <c r="J55" s="207"/>
      <c r="K55" s="691" t="s">
        <v>1090</v>
      </c>
      <c r="L55" s="691"/>
      <c r="M55" s="691"/>
      <c r="N55" s="691"/>
      <c r="O55" s="227"/>
      <c r="P55" s="167"/>
      <c r="Q55" s="181">
        <f>H55</f>
        <v>4</v>
      </c>
      <c r="R55" s="172" t="str">
        <f>CONCATENATE("II-",TEXT(Q55,"0000"))</f>
        <v>II-0004</v>
      </c>
      <c r="S55" s="182" t="str">
        <f>K55</f>
        <v>ALCANTARILLAS METALICAS ACERO CORRUGADO</v>
      </c>
    </row>
    <row r="56" spans="1:19">
      <c r="A56" s="173"/>
      <c r="B56" s="174"/>
      <c r="C56" s="75"/>
      <c r="D56" s="172"/>
      <c r="G56" s="167"/>
      <c r="H56" s="183"/>
      <c r="I56" s="184" t="s">
        <v>1082</v>
      </c>
      <c r="J56" s="185"/>
      <c r="K56" s="182" t="s">
        <v>1047</v>
      </c>
      <c r="L56" s="167"/>
      <c r="M56" s="167"/>
      <c r="N56" s="167"/>
      <c r="O56" s="219"/>
      <c r="P56" s="167"/>
      <c r="Q56" s="167"/>
      <c r="R56" s="167"/>
      <c r="S56" s="167"/>
    </row>
    <row r="57" spans="1:19">
      <c r="A57" s="173">
        <v>10</v>
      </c>
      <c r="B57" s="174" t="s">
        <v>1107</v>
      </c>
      <c r="C57" s="75" t="s">
        <v>1108</v>
      </c>
      <c r="D57" s="172" t="s">
        <v>995</v>
      </c>
      <c r="G57" s="167"/>
      <c r="H57" s="183"/>
      <c r="I57" s="172"/>
      <c r="J57" s="189">
        <v>1</v>
      </c>
      <c r="K57" s="167"/>
      <c r="L57" s="182" t="s">
        <v>1109</v>
      </c>
      <c r="M57" s="167"/>
      <c r="N57" s="167"/>
      <c r="O57" s="219" t="s">
        <v>995</v>
      </c>
      <c r="P57" s="167"/>
      <c r="Q57" s="181">
        <v>10</v>
      </c>
      <c r="R57" s="174" t="str">
        <f>CONCATENATE($R$45,".",TEXT(Q57,"0000"))</f>
        <v>II-0004.0010</v>
      </c>
      <c r="S57" s="167" t="str">
        <f>CONCATENATE($K$56," - TIPO ",L57)</f>
        <v>ESPECIAL - TIPO BOVEDA PERFIL ALTO Z-6584</v>
      </c>
    </row>
    <row r="58" spans="1:19">
      <c r="A58" s="173">
        <v>11</v>
      </c>
      <c r="B58" s="174" t="s">
        <v>1110</v>
      </c>
      <c r="C58" s="75" t="s">
        <v>1111</v>
      </c>
      <c r="D58" s="172" t="s">
        <v>995</v>
      </c>
      <c r="G58" s="167"/>
      <c r="H58" s="183"/>
      <c r="I58" s="172"/>
      <c r="J58" s="189">
        <v>2</v>
      </c>
      <c r="K58" s="167"/>
      <c r="L58" s="182" t="s">
        <v>1112</v>
      </c>
      <c r="M58" s="167"/>
      <c r="N58" s="167"/>
      <c r="O58" s="219" t="s">
        <v>995</v>
      </c>
      <c r="P58" s="167"/>
      <c r="Q58" s="181">
        <v>11</v>
      </c>
      <c r="R58" s="174" t="str">
        <f t="shared" ref="R58:R67" si="6">CONCATENATE($R$45,".",TEXT(Q58,"0000"))</f>
        <v>II-0004.0011</v>
      </c>
      <c r="S58" s="167" t="str">
        <f t="shared" ref="S58:S61" si="7">CONCATENATE($K$56," - TIPO ",L58)</f>
        <v>ESPECIAL - TIPO BOVEDA PERFIL BAJO Z-6584</v>
      </c>
    </row>
    <row r="59" spans="1:19">
      <c r="A59" s="173">
        <v>12</v>
      </c>
      <c r="B59" s="166" t="s">
        <v>1113</v>
      </c>
      <c r="C59" s="75" t="s">
        <v>1114</v>
      </c>
      <c r="D59" s="172" t="s">
        <v>995</v>
      </c>
      <c r="G59" s="167"/>
      <c r="H59" s="183"/>
      <c r="I59" s="172"/>
      <c r="J59" s="189">
        <v>3</v>
      </c>
      <c r="K59" s="167"/>
      <c r="L59" s="182" t="s">
        <v>1115</v>
      </c>
      <c r="M59" s="167"/>
      <c r="N59" s="167"/>
      <c r="O59" s="219" t="s">
        <v>995</v>
      </c>
      <c r="P59" s="167"/>
      <c r="Q59" s="181">
        <v>12</v>
      </c>
      <c r="R59" s="174" t="str">
        <f t="shared" si="6"/>
        <v>II-0004.0012</v>
      </c>
      <c r="S59" s="167" t="str">
        <f t="shared" si="7"/>
        <v>ESPECIAL - TIPO CIRCULAR</v>
      </c>
    </row>
    <row r="60" spans="1:19">
      <c r="A60" s="173">
        <v>13</v>
      </c>
      <c r="B60" s="166" t="s">
        <v>1116</v>
      </c>
      <c r="C60" s="75" t="s">
        <v>1117</v>
      </c>
      <c r="D60" s="172" t="s">
        <v>995</v>
      </c>
      <c r="G60" s="167"/>
      <c r="H60" s="183"/>
      <c r="I60" s="172"/>
      <c r="J60" s="189">
        <v>4</v>
      </c>
      <c r="K60" s="167"/>
      <c r="L60" s="182" t="s">
        <v>1118</v>
      </c>
      <c r="M60" s="167"/>
      <c r="N60" s="167"/>
      <c r="O60" s="219" t="s">
        <v>995</v>
      </c>
      <c r="P60" s="167"/>
      <c r="Q60" s="181">
        <v>13</v>
      </c>
      <c r="R60" s="174" t="str">
        <f t="shared" si="6"/>
        <v>II-0004.0013</v>
      </c>
      <c r="S60" s="167" t="str">
        <f t="shared" si="7"/>
        <v>ESPECIAL - TIPO ELIPTICA</v>
      </c>
    </row>
    <row r="61" spans="1:19">
      <c r="A61" s="173">
        <v>14</v>
      </c>
      <c r="B61" s="174" t="s">
        <v>1119</v>
      </c>
      <c r="C61" s="75" t="s">
        <v>1120</v>
      </c>
      <c r="D61" s="172" t="s">
        <v>995</v>
      </c>
      <c r="G61" s="167"/>
      <c r="H61" s="183"/>
      <c r="I61" s="236"/>
      <c r="J61" s="192">
        <v>5</v>
      </c>
      <c r="K61" s="193"/>
      <c r="L61" s="194" t="s">
        <v>1121</v>
      </c>
      <c r="M61" s="193"/>
      <c r="N61" s="193"/>
      <c r="O61" s="237" t="s">
        <v>995</v>
      </c>
      <c r="P61" s="167"/>
      <c r="Q61" s="181">
        <v>14</v>
      </c>
      <c r="R61" s="174" t="str">
        <f t="shared" si="6"/>
        <v>II-0004.0014</v>
      </c>
      <c r="S61" s="167" t="str">
        <f t="shared" si="7"/>
        <v>ESPECIAL - TIPO ELIPTICA P/ FERROCARRIL Z-6584</v>
      </c>
    </row>
    <row r="62" spans="1:19">
      <c r="A62" s="173">
        <v>20</v>
      </c>
      <c r="B62" s="174" t="s">
        <v>1122</v>
      </c>
      <c r="C62" s="75" t="s">
        <v>1123</v>
      </c>
      <c r="D62" s="172" t="s">
        <v>995</v>
      </c>
      <c r="G62" s="167"/>
      <c r="H62" s="238"/>
      <c r="I62" s="197" t="s">
        <v>1124</v>
      </c>
      <c r="J62" s="197"/>
      <c r="K62" s="239" t="s">
        <v>1123</v>
      </c>
      <c r="L62" s="240"/>
      <c r="M62" s="240"/>
      <c r="N62" s="240"/>
      <c r="O62" s="237" t="s">
        <v>995</v>
      </c>
      <c r="P62" s="167"/>
      <c r="Q62" s="181">
        <v>20</v>
      </c>
      <c r="R62" s="174" t="str">
        <f t="shared" si="6"/>
        <v>II-0004.0020</v>
      </c>
      <c r="S62" s="167" t="str">
        <f>CONCATENATE(K62)</f>
        <v>PINTURA</v>
      </c>
    </row>
    <row r="63" spans="1:19">
      <c r="A63" s="173">
        <v>21</v>
      </c>
      <c r="B63" s="166" t="s">
        <v>1125</v>
      </c>
      <c r="C63" s="75" t="s">
        <v>1126</v>
      </c>
      <c r="D63" s="172" t="s">
        <v>995</v>
      </c>
      <c r="G63" s="167"/>
      <c r="H63" s="238"/>
      <c r="I63" s="197" t="s">
        <v>1127</v>
      </c>
      <c r="J63" s="197"/>
      <c r="K63" s="692" t="s">
        <v>1126</v>
      </c>
      <c r="L63" s="692"/>
      <c r="M63" s="240"/>
      <c r="N63" s="240"/>
      <c r="O63" s="241" t="s">
        <v>995</v>
      </c>
      <c r="P63" s="167"/>
      <c r="Q63" s="181">
        <v>21</v>
      </c>
      <c r="R63" s="174" t="str">
        <f t="shared" si="6"/>
        <v>II-0004.0021</v>
      </c>
      <c r="S63" s="167" t="str">
        <f t="shared" ref="S63:S67" si="8">CONCATENATE(K63)</f>
        <v>COLOCACION</v>
      </c>
    </row>
    <row r="64" spans="1:19">
      <c r="A64" s="173">
        <v>22</v>
      </c>
      <c r="B64" s="174" t="s">
        <v>1128</v>
      </c>
      <c r="C64" s="75" t="s">
        <v>1129</v>
      </c>
      <c r="D64" s="172" t="s">
        <v>1130</v>
      </c>
      <c r="G64" s="167"/>
      <c r="H64" s="238"/>
      <c r="I64" s="197" t="s">
        <v>1131</v>
      </c>
      <c r="J64" s="197"/>
      <c r="K64" s="692" t="s">
        <v>1129</v>
      </c>
      <c r="L64" s="692"/>
      <c r="M64" s="240"/>
      <c r="N64" s="240"/>
      <c r="O64" s="241" t="s">
        <v>1130</v>
      </c>
      <c r="P64" s="167"/>
      <c r="Q64" s="181">
        <v>22</v>
      </c>
      <c r="R64" s="174" t="str">
        <f t="shared" si="6"/>
        <v>II-0004.0022</v>
      </c>
      <c r="S64" s="167" t="str">
        <f t="shared" si="8"/>
        <v>RELLENO DE SOCAVACION</v>
      </c>
    </row>
    <row r="65" spans="1:19">
      <c r="A65" s="173">
        <v>23</v>
      </c>
      <c r="B65" s="174" t="s">
        <v>1132</v>
      </c>
      <c r="C65" s="75" t="s">
        <v>1133</v>
      </c>
      <c r="D65" s="172" t="s">
        <v>995</v>
      </c>
      <c r="G65" s="167"/>
      <c r="H65" s="238"/>
      <c r="I65" s="184" t="s">
        <v>1134</v>
      </c>
      <c r="J65" s="225"/>
      <c r="K65" s="242" t="s">
        <v>1133</v>
      </c>
      <c r="L65" s="225"/>
      <c r="M65" s="225"/>
      <c r="N65" s="225"/>
      <c r="O65" s="241" t="s">
        <v>995</v>
      </c>
      <c r="P65" s="167"/>
      <c r="Q65" s="181">
        <v>23</v>
      </c>
      <c r="R65" s="174" t="str">
        <f t="shared" si="6"/>
        <v>II-0004.0023</v>
      </c>
      <c r="S65" s="167" t="str">
        <f t="shared" si="8"/>
        <v>REPARACION</v>
      </c>
    </row>
    <row r="66" spans="1:19">
      <c r="A66" s="173">
        <v>24</v>
      </c>
      <c r="B66" s="166" t="s">
        <v>1135</v>
      </c>
      <c r="C66" s="75" t="s">
        <v>1136</v>
      </c>
      <c r="D66" s="172" t="s">
        <v>995</v>
      </c>
      <c r="G66" s="167"/>
      <c r="H66" s="238"/>
      <c r="I66" s="184" t="s">
        <v>888</v>
      </c>
      <c r="J66" s="225"/>
      <c r="K66" s="242" t="s">
        <v>1136</v>
      </c>
      <c r="L66" s="225"/>
      <c r="M66" s="225"/>
      <c r="N66" s="225"/>
      <c r="O66" s="241" t="s">
        <v>995</v>
      </c>
      <c r="P66" s="167"/>
      <c r="Q66" s="181">
        <v>24</v>
      </c>
      <c r="R66" s="174" t="str">
        <f t="shared" si="6"/>
        <v>II-0004.0024</v>
      </c>
      <c r="S66" s="167" t="str">
        <f t="shared" si="8"/>
        <v>RETIRO Y RECOLOCACION</v>
      </c>
    </row>
    <row r="67" spans="1:19" ht="15.75" thickBot="1">
      <c r="A67" s="173">
        <v>25</v>
      </c>
      <c r="B67" s="166" t="s">
        <v>1137</v>
      </c>
      <c r="C67" s="75" t="s">
        <v>1138</v>
      </c>
      <c r="D67" s="172" t="s">
        <v>995</v>
      </c>
      <c r="G67" s="167"/>
      <c r="H67" s="243"/>
      <c r="I67" s="210" t="s">
        <v>1139</v>
      </c>
      <c r="J67" s="213"/>
      <c r="K67" s="244" t="s">
        <v>1138</v>
      </c>
      <c r="L67" s="213"/>
      <c r="M67" s="213"/>
      <c r="N67" s="213"/>
      <c r="O67" s="245" t="s">
        <v>995</v>
      </c>
      <c r="P67" s="167"/>
      <c r="Q67" s="181">
        <v>25</v>
      </c>
      <c r="R67" s="174" t="str">
        <f t="shared" si="6"/>
        <v>II-0004.0025</v>
      </c>
      <c r="S67" s="167" t="str">
        <f t="shared" si="8"/>
        <v xml:space="preserve">RETIRO </v>
      </c>
    </row>
    <row r="68" spans="1:19" ht="16.5" thickTop="1" thickBot="1">
      <c r="A68" s="173"/>
      <c r="B68" s="166"/>
      <c r="C68" s="191"/>
      <c r="D68" s="172"/>
      <c r="G68" s="167"/>
      <c r="H68" s="183"/>
      <c r="I68" s="172"/>
      <c r="J68" s="167"/>
      <c r="K68" s="182"/>
      <c r="L68" s="167"/>
      <c r="M68" s="167"/>
      <c r="N68" s="167"/>
      <c r="O68" s="219"/>
      <c r="P68" s="167"/>
      <c r="Q68" s="181"/>
      <c r="R68" s="174"/>
      <c r="S68" s="167"/>
    </row>
    <row r="69" spans="1:19" ht="15.75" thickTop="1">
      <c r="A69" s="173">
        <v>5</v>
      </c>
      <c r="B69" s="174" t="s">
        <v>1140</v>
      </c>
      <c r="C69" s="75" t="s">
        <v>1141</v>
      </c>
      <c r="D69" s="172"/>
      <c r="G69" s="167"/>
      <c r="H69" s="205">
        <v>5</v>
      </c>
      <c r="I69" s="207"/>
      <c r="J69" s="217"/>
      <c r="K69" s="246" t="s">
        <v>1141</v>
      </c>
      <c r="L69" s="217"/>
      <c r="M69" s="217"/>
      <c r="N69" s="217"/>
      <c r="O69" s="227"/>
      <c r="P69" s="167"/>
      <c r="Q69" s="181">
        <f>H69</f>
        <v>5</v>
      </c>
      <c r="R69" s="172" t="str">
        <f>CONCATENATE("II-",TEXT(Q69,"0000"))</f>
        <v>II-0005</v>
      </c>
      <c r="S69" s="182" t="str">
        <f>K69</f>
        <v>ALCANTARILLAS HORMIGON</v>
      </c>
    </row>
    <row r="70" spans="1:19">
      <c r="A70" s="173"/>
      <c r="B70" s="174"/>
      <c r="C70" s="75"/>
      <c r="D70" s="172"/>
      <c r="G70" s="167"/>
      <c r="H70" s="183"/>
      <c r="I70" s="184" t="s">
        <v>1019</v>
      </c>
      <c r="J70" s="187"/>
      <c r="K70" s="182" t="s">
        <v>1115</v>
      </c>
      <c r="L70" s="167"/>
      <c r="M70" s="167"/>
      <c r="N70" s="167"/>
      <c r="O70" s="219"/>
      <c r="P70" s="167"/>
      <c r="Q70" s="167"/>
      <c r="R70" s="167"/>
      <c r="S70" s="167"/>
    </row>
    <row r="71" spans="1:19">
      <c r="A71" s="173">
        <v>1</v>
      </c>
      <c r="B71" s="174" t="s">
        <v>1142</v>
      </c>
      <c r="C71" s="75" t="s">
        <v>1143</v>
      </c>
      <c r="D71" s="172" t="s">
        <v>995</v>
      </c>
      <c r="G71" s="167"/>
      <c r="H71" s="183"/>
      <c r="I71" s="172"/>
      <c r="J71" s="189">
        <v>1</v>
      </c>
      <c r="K71" s="167"/>
      <c r="L71" s="182" t="s">
        <v>1144</v>
      </c>
      <c r="M71" s="167"/>
      <c r="N71" s="167"/>
      <c r="O71" s="219" t="s">
        <v>995</v>
      </c>
      <c r="P71" s="167"/>
      <c r="Q71" s="181">
        <v>1</v>
      </c>
      <c r="R71" s="174" t="str">
        <f>CONCATENATE($R$69,".",TEXT(Q71,"0000"))</f>
        <v>II-0005.0001</v>
      </c>
      <c r="S71" s="167" t="str">
        <f>CONCATENATE($K$70," - TIPO ",L71)</f>
        <v>CIRCULAR - TIPO A-82</v>
      </c>
    </row>
    <row r="72" spans="1:19">
      <c r="A72" s="173">
        <v>2</v>
      </c>
      <c r="B72" s="174" t="s">
        <v>1145</v>
      </c>
      <c r="C72" s="75" t="s">
        <v>1146</v>
      </c>
      <c r="D72" s="172" t="s">
        <v>995</v>
      </c>
      <c r="G72" s="167"/>
      <c r="H72" s="183"/>
      <c r="I72" s="197"/>
      <c r="J72" s="192">
        <v>2</v>
      </c>
      <c r="K72" s="193"/>
      <c r="L72" s="194" t="s">
        <v>1097</v>
      </c>
      <c r="M72" s="193"/>
      <c r="N72" s="193"/>
      <c r="O72" s="237" t="s">
        <v>995</v>
      </c>
      <c r="P72" s="167"/>
      <c r="Q72" s="181">
        <v>2</v>
      </c>
      <c r="R72" s="174" t="str">
        <f>CONCATENATE($R$69,".",TEXT(Q72,"0000"))</f>
        <v>II-0005.0002</v>
      </c>
      <c r="S72" s="167" t="str">
        <f>CONCATENATE($K$70," - TIPO ",L72)</f>
        <v>CIRCULAR - TIPO H-2993</v>
      </c>
    </row>
    <row r="73" spans="1:19">
      <c r="A73" s="173"/>
      <c r="B73" s="166"/>
      <c r="C73" s="75"/>
      <c r="D73" s="172" t="s">
        <v>995</v>
      </c>
      <c r="G73" s="167"/>
      <c r="H73" s="183"/>
      <c r="I73" s="192" t="s">
        <v>1046</v>
      </c>
      <c r="J73" s="172"/>
      <c r="K73" s="182" t="s">
        <v>1147</v>
      </c>
      <c r="L73" s="182"/>
      <c r="M73" s="167"/>
      <c r="N73" s="167"/>
      <c r="O73" s="219" t="s">
        <v>995</v>
      </c>
      <c r="P73" s="167"/>
      <c r="Q73" s="167"/>
      <c r="R73" s="167"/>
      <c r="S73" s="167"/>
    </row>
    <row r="74" spans="1:19">
      <c r="A74" s="173">
        <v>10</v>
      </c>
      <c r="B74" s="166" t="s">
        <v>1148</v>
      </c>
      <c r="C74" s="75" t="s">
        <v>1149</v>
      </c>
      <c r="D74" s="172" t="s">
        <v>995</v>
      </c>
      <c r="G74" s="167"/>
      <c r="H74" s="183"/>
      <c r="I74" s="172"/>
      <c r="J74" s="189">
        <v>1</v>
      </c>
      <c r="K74" s="167"/>
      <c r="L74" s="182" t="s">
        <v>1150</v>
      </c>
      <c r="M74" s="167"/>
      <c r="N74" s="167"/>
      <c r="O74" s="204" t="s">
        <v>995</v>
      </c>
      <c r="P74" s="167"/>
      <c r="Q74" s="181">
        <v>10</v>
      </c>
      <c r="R74" s="174" t="str">
        <f>CONCATENATE($R$69,".",TEXT(Q74,"0000"))</f>
        <v>II-0005.0010</v>
      </c>
      <c r="S74" s="167" t="str">
        <f>CONCATENATE($K$73," - TIPO ",L74)</f>
        <v>RECTANGULAR - TIPO H-1900-BIS-1</v>
      </c>
    </row>
    <row r="75" spans="1:19">
      <c r="A75" s="173">
        <v>11</v>
      </c>
      <c r="B75" s="166" t="s">
        <v>1151</v>
      </c>
      <c r="C75" s="191" t="s">
        <v>1152</v>
      </c>
      <c r="D75" s="172" t="s">
        <v>995</v>
      </c>
      <c r="G75" s="167"/>
      <c r="H75" s="183"/>
      <c r="I75" s="172"/>
      <c r="J75" s="189">
        <v>2</v>
      </c>
      <c r="K75" s="167"/>
      <c r="L75" s="182" t="s">
        <v>1153</v>
      </c>
      <c r="M75" s="167"/>
      <c r="N75" s="167"/>
      <c r="O75" s="204" t="s">
        <v>995</v>
      </c>
      <c r="P75" s="167"/>
      <c r="Q75" s="181">
        <v>11</v>
      </c>
      <c r="R75" s="174" t="str">
        <f t="shared" ref="R75:R90" si="9">CONCATENATE($R$69,".",TEXT(Q75,"0000"))</f>
        <v>II-0005.0011</v>
      </c>
      <c r="S75" s="167" t="str">
        <f t="shared" ref="S75:S85" si="10">CONCATENATE($K$73," - TIPO ",L75)</f>
        <v>RECTANGULAR - TIPO O-41211-I</v>
      </c>
    </row>
    <row r="76" spans="1:19">
      <c r="A76" s="173">
        <v>12</v>
      </c>
      <c r="B76" s="174" t="s">
        <v>1154</v>
      </c>
      <c r="C76" s="75" t="s">
        <v>1155</v>
      </c>
      <c r="D76" s="172" t="s">
        <v>995</v>
      </c>
      <c r="G76" s="167"/>
      <c r="H76" s="183"/>
      <c r="I76" s="172"/>
      <c r="J76" s="189">
        <v>3</v>
      </c>
      <c r="K76" s="167"/>
      <c r="L76" s="182" t="s">
        <v>1156</v>
      </c>
      <c r="M76" s="167"/>
      <c r="N76" s="167"/>
      <c r="O76" s="204" t="s">
        <v>995</v>
      </c>
      <c r="P76" s="167"/>
      <c r="Q76" s="181">
        <v>12</v>
      </c>
      <c r="R76" s="174" t="str">
        <f t="shared" si="9"/>
        <v>II-0005.0012</v>
      </c>
      <c r="S76" s="167" t="str">
        <f t="shared" si="10"/>
        <v>RECTANGULAR - TIPO Z-959</v>
      </c>
    </row>
    <row r="77" spans="1:19">
      <c r="A77" s="173">
        <v>13</v>
      </c>
      <c r="B77" s="174" t="s">
        <v>1157</v>
      </c>
      <c r="C77" s="75" t="s">
        <v>1158</v>
      </c>
      <c r="D77" s="172" t="s">
        <v>995</v>
      </c>
      <c r="G77" s="167"/>
      <c r="H77" s="183"/>
      <c r="I77" s="172"/>
      <c r="J77" s="189">
        <v>4</v>
      </c>
      <c r="K77" s="167"/>
      <c r="L77" s="182" t="s">
        <v>1159</v>
      </c>
      <c r="M77" s="167"/>
      <c r="N77" s="167"/>
      <c r="O77" s="204" t="s">
        <v>995</v>
      </c>
      <c r="P77" s="167"/>
      <c r="Q77" s="181">
        <v>13</v>
      </c>
      <c r="R77" s="174" t="str">
        <f t="shared" si="9"/>
        <v>II-0005.0013</v>
      </c>
      <c r="S77" s="167" t="str">
        <f t="shared" si="10"/>
        <v>RECTANGULAR - TIPO Z-2915-I</v>
      </c>
    </row>
    <row r="78" spans="1:19">
      <c r="A78" s="173">
        <v>14</v>
      </c>
      <c r="B78" s="174" t="s">
        <v>1160</v>
      </c>
      <c r="C78" s="75" t="s">
        <v>1161</v>
      </c>
      <c r="D78" s="172" t="s">
        <v>995</v>
      </c>
      <c r="G78" s="167"/>
      <c r="H78" s="183"/>
      <c r="I78" s="172"/>
      <c r="J78" s="189">
        <v>5</v>
      </c>
      <c r="K78" s="167"/>
      <c r="L78" s="182" t="s">
        <v>1162</v>
      </c>
      <c r="M78" s="167"/>
      <c r="N78" s="167"/>
      <c r="O78" s="204" t="s">
        <v>995</v>
      </c>
      <c r="P78" s="167"/>
      <c r="Q78" s="181">
        <v>14</v>
      </c>
      <c r="R78" s="174" t="str">
        <f t="shared" si="9"/>
        <v>II-0005.0014</v>
      </c>
      <c r="S78" s="167" t="str">
        <f t="shared" si="10"/>
        <v>RECTANGULAR - TIPO Z-2916-I</v>
      </c>
    </row>
    <row r="79" spans="1:19">
      <c r="A79" s="173">
        <v>15</v>
      </c>
      <c r="B79" s="174" t="s">
        <v>1163</v>
      </c>
      <c r="C79" s="75" t="s">
        <v>1164</v>
      </c>
      <c r="D79" s="172" t="s">
        <v>995</v>
      </c>
      <c r="G79" s="167"/>
      <c r="H79" s="183"/>
      <c r="I79" s="172"/>
      <c r="J79" s="189">
        <v>6</v>
      </c>
      <c r="K79" s="167"/>
      <c r="L79" s="182" t="s">
        <v>1165</v>
      </c>
      <c r="M79" s="167"/>
      <c r="N79" s="167"/>
      <c r="O79" s="204" t="s">
        <v>995</v>
      </c>
      <c r="P79" s="167"/>
      <c r="Q79" s="181">
        <v>15</v>
      </c>
      <c r="R79" s="174" t="str">
        <f t="shared" si="9"/>
        <v>II-0005.0015</v>
      </c>
      <c r="S79" s="167" t="str">
        <f t="shared" si="10"/>
        <v>RECTANGULAR - TIPO A-505</v>
      </c>
    </row>
    <row r="80" spans="1:19">
      <c r="A80" s="173">
        <v>16</v>
      </c>
      <c r="B80" s="166" t="s">
        <v>1166</v>
      </c>
      <c r="C80" s="75" t="s">
        <v>1167</v>
      </c>
      <c r="D80" s="172" t="s">
        <v>995</v>
      </c>
      <c r="G80" s="167"/>
      <c r="H80" s="183"/>
      <c r="I80" s="172"/>
      <c r="J80" s="189">
        <v>7</v>
      </c>
      <c r="K80" s="167"/>
      <c r="L80" s="182" t="s">
        <v>1168</v>
      </c>
      <c r="M80" s="167"/>
      <c r="N80" s="167"/>
      <c r="O80" s="204" t="s">
        <v>995</v>
      </c>
      <c r="P80" s="167"/>
      <c r="Q80" s="181">
        <v>16</v>
      </c>
      <c r="R80" s="174" t="str">
        <f t="shared" si="9"/>
        <v>II-0005.0016</v>
      </c>
      <c r="S80" s="167" t="str">
        <f t="shared" si="10"/>
        <v>RECTANGULAR - TIPO A-660</v>
      </c>
    </row>
    <row r="81" spans="1:19">
      <c r="A81" s="173">
        <v>17</v>
      </c>
      <c r="B81" s="166" t="s">
        <v>1169</v>
      </c>
      <c r="C81" s="75" t="s">
        <v>1170</v>
      </c>
      <c r="D81" s="172" t="s">
        <v>995</v>
      </c>
      <c r="G81" s="167"/>
      <c r="H81" s="183"/>
      <c r="I81" s="172"/>
      <c r="J81" s="189">
        <v>8</v>
      </c>
      <c r="K81" s="167"/>
      <c r="L81" s="182" t="s">
        <v>1171</v>
      </c>
      <c r="M81" s="167"/>
      <c r="N81" s="167"/>
      <c r="O81" s="204" t="s">
        <v>995</v>
      </c>
      <c r="P81" s="167"/>
      <c r="Q81" s="181">
        <v>17</v>
      </c>
      <c r="R81" s="174" t="str">
        <f t="shared" si="9"/>
        <v>II-0005.0017</v>
      </c>
      <c r="S81" s="167" t="str">
        <f t="shared" si="10"/>
        <v>RECTANGULAR - TIPO O-41211-MODIFICADA</v>
      </c>
    </row>
    <row r="82" spans="1:19">
      <c r="A82" s="173">
        <v>18</v>
      </c>
      <c r="B82" s="166" t="s">
        <v>1172</v>
      </c>
      <c r="C82" s="191" t="s">
        <v>1173</v>
      </c>
      <c r="D82" s="172" t="s">
        <v>995</v>
      </c>
      <c r="G82" s="167"/>
      <c r="H82" s="183"/>
      <c r="I82" s="172"/>
      <c r="J82" s="189">
        <v>9</v>
      </c>
      <c r="K82" s="167"/>
      <c r="L82" s="182" t="s">
        <v>1174</v>
      </c>
      <c r="M82" s="167"/>
      <c r="N82" s="167"/>
      <c r="O82" s="204" t="s">
        <v>995</v>
      </c>
      <c r="P82" s="167"/>
      <c r="Q82" s="181">
        <v>18</v>
      </c>
      <c r="R82" s="174" t="str">
        <f t="shared" si="9"/>
        <v>II-0005.0018</v>
      </c>
      <c r="S82" s="167" t="str">
        <f t="shared" si="10"/>
        <v>RECTANGULAR - TIPO X-1113</v>
      </c>
    </row>
    <row r="83" spans="1:19">
      <c r="A83" s="173">
        <v>19</v>
      </c>
      <c r="B83" s="174" t="s">
        <v>1175</v>
      </c>
      <c r="C83" s="75" t="s">
        <v>1176</v>
      </c>
      <c r="D83" s="172" t="s">
        <v>995</v>
      </c>
      <c r="G83" s="167"/>
      <c r="H83" s="183"/>
      <c r="I83" s="172"/>
      <c r="J83" s="189">
        <v>10</v>
      </c>
      <c r="K83" s="167"/>
      <c r="L83" s="182" t="s">
        <v>1177</v>
      </c>
      <c r="M83" s="167"/>
      <c r="N83" s="167"/>
      <c r="O83" s="204" t="s">
        <v>995</v>
      </c>
      <c r="P83" s="167"/>
      <c r="Q83" s="181">
        <v>19</v>
      </c>
      <c r="R83" s="174" t="str">
        <f t="shared" si="9"/>
        <v>II-0005.0019</v>
      </c>
      <c r="S83" s="167" t="str">
        <f t="shared" si="10"/>
        <v>RECTANGULAR - TIPO 0-52229</v>
      </c>
    </row>
    <row r="84" spans="1:19">
      <c r="A84" s="173">
        <v>20</v>
      </c>
      <c r="B84" s="174" t="s">
        <v>1178</v>
      </c>
      <c r="C84" s="75" t="s">
        <v>1179</v>
      </c>
      <c r="D84" s="172" t="s">
        <v>995</v>
      </c>
      <c r="G84" s="167"/>
      <c r="H84" s="183"/>
      <c r="I84" s="172"/>
      <c r="J84" s="189">
        <v>11</v>
      </c>
      <c r="K84" s="167"/>
      <c r="L84" s="182" t="s">
        <v>1180</v>
      </c>
      <c r="M84" s="167"/>
      <c r="N84" s="167"/>
      <c r="O84" s="204" t="s">
        <v>995</v>
      </c>
      <c r="P84" s="167"/>
      <c r="Q84" s="181">
        <v>20</v>
      </c>
      <c r="R84" s="174" t="str">
        <f t="shared" si="9"/>
        <v>II-0005.0020</v>
      </c>
      <c r="S84" s="167" t="str">
        <f t="shared" si="10"/>
        <v>RECTANGULAR - TIPO 0-52233</v>
      </c>
    </row>
    <row r="85" spans="1:19">
      <c r="A85" s="173">
        <v>21</v>
      </c>
      <c r="B85" s="166" t="s">
        <v>1181</v>
      </c>
      <c r="C85" s="75" t="s">
        <v>1182</v>
      </c>
      <c r="D85" s="172" t="s">
        <v>995</v>
      </c>
      <c r="G85" s="167"/>
      <c r="H85" s="183"/>
      <c r="I85" s="197"/>
      <c r="J85" s="192">
        <v>12</v>
      </c>
      <c r="K85" s="167"/>
      <c r="L85" s="194" t="s">
        <v>1183</v>
      </c>
      <c r="M85" s="193"/>
      <c r="N85" s="193"/>
      <c r="O85" s="223" t="s">
        <v>995</v>
      </c>
      <c r="P85" s="167"/>
      <c r="Q85" s="181">
        <v>21</v>
      </c>
      <c r="R85" s="174" t="str">
        <f t="shared" si="9"/>
        <v>II-0005.0021</v>
      </c>
      <c r="S85" s="167" t="str">
        <f t="shared" si="10"/>
        <v>RECTANGULAR - TIPO 0-52241</v>
      </c>
    </row>
    <row r="86" spans="1:19">
      <c r="A86" s="173">
        <v>30</v>
      </c>
      <c r="B86" s="166" t="s">
        <v>1184</v>
      </c>
      <c r="C86" s="75" t="s">
        <v>1126</v>
      </c>
      <c r="D86" s="172" t="s">
        <v>995</v>
      </c>
      <c r="G86" s="167"/>
      <c r="H86" s="183"/>
      <c r="I86" s="184" t="s">
        <v>1056</v>
      </c>
      <c r="J86" s="197"/>
      <c r="K86" s="242" t="s">
        <v>1126</v>
      </c>
      <c r="L86" s="194"/>
      <c r="M86" s="193"/>
      <c r="N86" s="193"/>
      <c r="O86" s="223" t="s">
        <v>995</v>
      </c>
      <c r="P86" s="167"/>
      <c r="Q86" s="181">
        <v>30</v>
      </c>
      <c r="R86" s="174" t="str">
        <f t="shared" si="9"/>
        <v>II-0005.0030</v>
      </c>
      <c r="S86" s="167" t="str">
        <f>CONCATENATE(K86)</f>
        <v>COLOCACION</v>
      </c>
    </row>
    <row r="87" spans="1:19">
      <c r="A87" s="173">
        <v>31</v>
      </c>
      <c r="B87" s="166" t="s">
        <v>1185</v>
      </c>
      <c r="C87" s="191" t="s">
        <v>1123</v>
      </c>
      <c r="D87" s="172" t="s">
        <v>995</v>
      </c>
      <c r="G87" s="167"/>
      <c r="H87" s="183"/>
      <c r="I87" s="192" t="s">
        <v>1082</v>
      </c>
      <c r="J87" s="197"/>
      <c r="K87" s="182" t="s">
        <v>1123</v>
      </c>
      <c r="L87" s="194"/>
      <c r="M87" s="193"/>
      <c r="N87" s="193"/>
      <c r="O87" s="223" t="s">
        <v>995</v>
      </c>
      <c r="P87" s="167"/>
      <c r="Q87" s="181">
        <v>31</v>
      </c>
      <c r="R87" s="174" t="str">
        <f t="shared" si="9"/>
        <v>II-0005.0031</v>
      </c>
      <c r="S87" s="167" t="str">
        <f t="shared" ref="S87:S90" si="11">CONCATENATE(K87)</f>
        <v>PINTURA</v>
      </c>
    </row>
    <row r="88" spans="1:19">
      <c r="A88" s="173">
        <v>32</v>
      </c>
      <c r="B88" s="174" t="s">
        <v>1186</v>
      </c>
      <c r="C88" s="75" t="s">
        <v>1187</v>
      </c>
      <c r="D88" s="247" t="s">
        <v>1130</v>
      </c>
      <c r="G88" s="167"/>
      <c r="H88" s="183"/>
      <c r="I88" s="192" t="s">
        <v>1124</v>
      </c>
      <c r="J88" s="197"/>
      <c r="K88" s="242" t="s">
        <v>1187</v>
      </c>
      <c r="L88" s="194"/>
      <c r="M88" s="193"/>
      <c r="N88" s="193"/>
      <c r="O88" s="248" t="s">
        <v>1130</v>
      </c>
      <c r="P88" s="167"/>
      <c r="Q88" s="181">
        <v>32</v>
      </c>
      <c r="R88" s="174" t="str">
        <f t="shared" si="9"/>
        <v>II-0005.0032</v>
      </c>
      <c r="S88" s="167" t="str">
        <f t="shared" si="11"/>
        <v>RELLENO SOCAVACION</v>
      </c>
    </row>
    <row r="89" spans="1:19">
      <c r="A89" s="173">
        <v>33</v>
      </c>
      <c r="B89" s="174" t="s">
        <v>1188</v>
      </c>
      <c r="C89" s="75" t="s">
        <v>1133</v>
      </c>
      <c r="D89" s="172" t="s">
        <v>995</v>
      </c>
      <c r="G89" s="167"/>
      <c r="H89" s="183"/>
      <c r="I89" s="184" t="s">
        <v>1127</v>
      </c>
      <c r="J89" s="225"/>
      <c r="K89" s="242" t="s">
        <v>1133</v>
      </c>
      <c r="L89" s="225"/>
      <c r="M89" s="225"/>
      <c r="N89" s="225"/>
      <c r="O89" s="226" t="s">
        <v>995</v>
      </c>
      <c r="P89" s="167"/>
      <c r="Q89" s="181">
        <v>33</v>
      </c>
      <c r="R89" s="174" t="str">
        <f t="shared" si="9"/>
        <v>II-0005.0033</v>
      </c>
      <c r="S89" s="167" t="str">
        <f t="shared" si="11"/>
        <v>REPARACION</v>
      </c>
    </row>
    <row r="90" spans="1:19" ht="15.75" thickBot="1">
      <c r="A90" s="173">
        <v>34</v>
      </c>
      <c r="B90" s="174" t="s">
        <v>1189</v>
      </c>
      <c r="C90" s="75" t="s">
        <v>1138</v>
      </c>
      <c r="D90" s="172" t="s">
        <v>995</v>
      </c>
      <c r="G90" s="167"/>
      <c r="H90" s="198"/>
      <c r="I90" s="210" t="s">
        <v>1131</v>
      </c>
      <c r="J90" s="201"/>
      <c r="K90" s="202" t="s">
        <v>1138</v>
      </c>
      <c r="L90" s="201"/>
      <c r="M90" s="201"/>
      <c r="N90" s="201"/>
      <c r="O90" s="249" t="s">
        <v>995</v>
      </c>
      <c r="P90" s="167"/>
      <c r="Q90" s="181">
        <v>34</v>
      </c>
      <c r="R90" s="174" t="str">
        <f t="shared" si="9"/>
        <v>II-0005.0034</v>
      </c>
      <c r="S90" s="167" t="str">
        <f t="shared" si="11"/>
        <v xml:space="preserve">RETIRO </v>
      </c>
    </row>
    <row r="91" spans="1:19" ht="16.5" thickTop="1" thickBot="1">
      <c r="A91" s="173"/>
      <c r="B91" s="174"/>
      <c r="C91" s="75"/>
      <c r="D91" s="172"/>
      <c r="G91" s="167"/>
      <c r="H91" s="183"/>
      <c r="I91" s="172"/>
      <c r="J91" s="167"/>
      <c r="K91" s="182"/>
      <c r="L91" s="167"/>
      <c r="M91" s="167"/>
      <c r="N91" s="167"/>
      <c r="O91" s="204"/>
      <c r="P91" s="167"/>
      <c r="Q91" s="181"/>
      <c r="R91" s="174"/>
      <c r="S91" s="167"/>
    </row>
    <row r="92" spans="1:19" ht="15.75" thickTop="1">
      <c r="A92" s="173">
        <v>6</v>
      </c>
      <c r="B92" s="174" t="s">
        <v>1190</v>
      </c>
      <c r="C92" s="75" t="s">
        <v>1191</v>
      </c>
      <c r="D92" s="172"/>
      <c r="G92" s="167"/>
      <c r="H92" s="250">
        <v>6</v>
      </c>
      <c r="I92" s="251"/>
      <c r="J92" s="252"/>
      <c r="K92" s="253" t="s">
        <v>1191</v>
      </c>
      <c r="L92" s="252"/>
      <c r="M92" s="252"/>
      <c r="N92" s="252"/>
      <c r="O92" s="254"/>
      <c r="P92" s="167"/>
      <c r="Q92" s="181">
        <f>H92</f>
        <v>6</v>
      </c>
      <c r="R92" s="172" t="str">
        <f>CONCATENATE("II-",TEXT(Q92,"0000"))</f>
        <v>II-0006</v>
      </c>
      <c r="S92" s="182" t="str">
        <f>K92</f>
        <v>APERTURA DE CAJA P/ ENSANCHE</v>
      </c>
    </row>
    <row r="93" spans="1:19">
      <c r="A93" s="173">
        <v>1</v>
      </c>
      <c r="B93" s="174" t="s">
        <v>1192</v>
      </c>
      <c r="C93" s="75" t="s">
        <v>1088</v>
      </c>
      <c r="D93" s="172" t="s">
        <v>1130</v>
      </c>
      <c r="G93" s="167"/>
      <c r="H93" s="183"/>
      <c r="I93" s="184" t="s">
        <v>1019</v>
      </c>
      <c r="J93" s="225"/>
      <c r="K93" s="242" t="s">
        <v>1088</v>
      </c>
      <c r="L93" s="225"/>
      <c r="M93" s="225"/>
      <c r="N93" s="225"/>
      <c r="O93" s="241" t="s">
        <v>1130</v>
      </c>
      <c r="P93" s="167"/>
      <c r="Q93" s="181">
        <v>1</v>
      </c>
      <c r="R93" s="174" t="str">
        <f>CONCATENATE($R$92,".",TEXT(Q93,"0000"))</f>
        <v>II-0006.0001</v>
      </c>
      <c r="S93" s="167" t="str">
        <f>CONCATENATE(K93)</f>
        <v>RETIRO</v>
      </c>
    </row>
    <row r="94" spans="1:19" ht="15.75" thickBot="1">
      <c r="A94" s="173">
        <v>2</v>
      </c>
      <c r="B94" s="174" t="s">
        <v>1193</v>
      </c>
      <c r="C94" s="75" t="s">
        <v>1194</v>
      </c>
      <c r="D94" s="172" t="s">
        <v>1130</v>
      </c>
      <c r="G94" s="167"/>
      <c r="H94" s="183"/>
      <c r="I94" s="210" t="s">
        <v>1046</v>
      </c>
      <c r="J94" s="167"/>
      <c r="K94" s="182" t="s">
        <v>1194</v>
      </c>
      <c r="L94" s="167"/>
      <c r="M94" s="167"/>
      <c r="N94" s="167"/>
      <c r="O94" s="219" t="s">
        <v>1130</v>
      </c>
      <c r="P94" s="167"/>
      <c r="Q94" s="181">
        <v>2</v>
      </c>
      <c r="R94" s="174" t="str">
        <f>CONCATENATE($R$92,".",TEXT(Q94,"0000"))</f>
        <v>II-0006.0002</v>
      </c>
      <c r="S94" s="167" t="str">
        <f>CONCATENATE(K94)</f>
        <v>RETIRO Y COLOCACION</v>
      </c>
    </row>
    <row r="95" spans="1:19" ht="16.5" thickTop="1" thickBot="1">
      <c r="A95" s="173"/>
      <c r="B95" s="166"/>
      <c r="C95" s="75"/>
      <c r="D95" s="172"/>
      <c r="G95" s="167"/>
      <c r="H95" s="183"/>
      <c r="I95" s="172"/>
      <c r="J95" s="167"/>
      <c r="K95" s="182"/>
      <c r="L95" s="167"/>
      <c r="M95" s="167"/>
      <c r="N95" s="167"/>
      <c r="O95" s="219"/>
      <c r="P95" s="167"/>
      <c r="Q95" s="181"/>
      <c r="R95" s="174"/>
      <c r="S95" s="167"/>
    </row>
    <row r="96" spans="1:19" ht="15.75" thickTop="1">
      <c r="A96" s="173">
        <v>7</v>
      </c>
      <c r="B96" s="166" t="s">
        <v>1195</v>
      </c>
      <c r="C96" s="75" t="s">
        <v>1196</v>
      </c>
      <c r="D96" s="172"/>
      <c r="G96" s="167"/>
      <c r="H96" s="250">
        <v>7</v>
      </c>
      <c r="I96" s="206"/>
      <c r="J96" s="255"/>
      <c r="K96" s="256" t="s">
        <v>1196</v>
      </c>
      <c r="L96" s="255"/>
      <c r="M96" s="255"/>
      <c r="N96" s="255"/>
      <c r="O96" s="208"/>
      <c r="P96" s="167"/>
      <c r="Q96" s="181">
        <f>H96</f>
        <v>7</v>
      </c>
      <c r="R96" s="172" t="str">
        <f>CONCATENATE("II-",TEXT(Q96,"0000"))</f>
        <v>II-0007</v>
      </c>
      <c r="S96" s="182" t="str">
        <f>K96</f>
        <v>APOYO DE POLICLOROPENO SHARE 60</v>
      </c>
    </row>
    <row r="97" spans="1:19">
      <c r="A97" s="173">
        <v>1</v>
      </c>
      <c r="B97" s="166" t="s">
        <v>1197</v>
      </c>
      <c r="C97" s="191" t="s">
        <v>1136</v>
      </c>
      <c r="D97" s="172" t="s">
        <v>1198</v>
      </c>
      <c r="G97" s="167"/>
      <c r="H97" s="183"/>
      <c r="I97" s="184" t="s">
        <v>1019</v>
      </c>
      <c r="J97" s="225"/>
      <c r="K97" s="242" t="s">
        <v>1136</v>
      </c>
      <c r="L97" s="225"/>
      <c r="M97" s="225"/>
      <c r="N97" s="225"/>
      <c r="O97" s="226" t="s">
        <v>1198</v>
      </c>
      <c r="P97" s="167"/>
      <c r="Q97" s="181">
        <v>1</v>
      </c>
      <c r="R97" s="174" t="str">
        <f>CONCATENATE($R$96,".",TEXT(Q97,"0000"))</f>
        <v>II-0007.0001</v>
      </c>
      <c r="S97" s="167" t="str">
        <f>CONCATENATE(K97)</f>
        <v>RETIRO Y RECOLOCACION</v>
      </c>
    </row>
    <row r="98" spans="1:19" ht="15.75" thickBot="1">
      <c r="A98" s="173">
        <v>2</v>
      </c>
      <c r="B98" s="174" t="s">
        <v>1199</v>
      </c>
      <c r="C98" s="75" t="s">
        <v>1133</v>
      </c>
      <c r="D98" s="172" t="s">
        <v>1198</v>
      </c>
      <c r="G98" s="167"/>
      <c r="H98" s="183"/>
      <c r="I98" s="200" t="s">
        <v>1046</v>
      </c>
      <c r="J98" s="167"/>
      <c r="K98" s="182" t="s">
        <v>1133</v>
      </c>
      <c r="L98" s="167"/>
      <c r="M98" s="167"/>
      <c r="N98" s="167"/>
      <c r="O98" s="249" t="s">
        <v>1198</v>
      </c>
      <c r="P98" s="167"/>
      <c r="Q98" s="181">
        <v>2</v>
      </c>
      <c r="R98" s="174" t="str">
        <f>CONCATENATE($R$96,".",TEXT(Q98,"0000"))</f>
        <v>II-0007.0002</v>
      </c>
      <c r="S98" s="167" t="str">
        <f>CONCATENATE(K98)</f>
        <v>REPARACION</v>
      </c>
    </row>
    <row r="99" spans="1:19" ht="16.5" thickTop="1" thickBot="1">
      <c r="A99" s="173"/>
      <c r="B99" s="174"/>
      <c r="C99" s="75"/>
      <c r="D99" s="172"/>
      <c r="G99" s="167"/>
      <c r="H99" s="183"/>
      <c r="I99" s="172"/>
      <c r="J99" s="167"/>
      <c r="K99" s="182"/>
      <c r="L99" s="167"/>
      <c r="M99" s="167"/>
      <c r="N99" s="167"/>
      <c r="O99" s="204"/>
      <c r="P99" s="167"/>
      <c r="Q99" s="181"/>
      <c r="R99" s="174"/>
      <c r="S99" s="167"/>
    </row>
    <row r="100" spans="1:19" ht="16.5" thickTop="1" thickBot="1">
      <c r="A100" s="173">
        <v>8</v>
      </c>
      <c r="B100" s="174" t="s">
        <v>1200</v>
      </c>
      <c r="C100" s="75" t="s">
        <v>1201</v>
      </c>
      <c r="D100" s="172" t="s">
        <v>1130</v>
      </c>
      <c r="G100" s="167"/>
      <c r="H100" s="257">
        <v>8</v>
      </c>
      <c r="I100" s="258"/>
      <c r="J100" s="259"/>
      <c r="K100" s="260" t="s">
        <v>1201</v>
      </c>
      <c r="L100" s="259"/>
      <c r="M100" s="259"/>
      <c r="N100" s="259"/>
      <c r="O100" s="261" t="s">
        <v>1130</v>
      </c>
      <c r="P100" s="167"/>
      <c r="Q100" s="181">
        <f>H100</f>
        <v>8</v>
      </c>
      <c r="R100" s="172" t="str">
        <f>CONCATENATE("II-",TEXT(Q100,"0000"))</f>
        <v>II-0008</v>
      </c>
      <c r="S100" s="182" t="str">
        <f>K100</f>
        <v>ARIDOS</v>
      </c>
    </row>
    <row r="101" spans="1:19">
      <c r="A101" s="173"/>
      <c r="B101" s="174"/>
      <c r="C101" s="75"/>
      <c r="D101" s="172"/>
      <c r="G101" s="167"/>
      <c r="H101" s="235"/>
      <c r="I101" s="172"/>
      <c r="J101" s="167"/>
      <c r="K101" s="182"/>
      <c r="L101" s="167"/>
      <c r="M101" s="167"/>
      <c r="N101" s="167"/>
      <c r="O101" s="170"/>
      <c r="P101" s="167"/>
      <c r="Q101" s="167"/>
      <c r="R101" s="167"/>
      <c r="S101" s="167"/>
    </row>
    <row r="102" spans="1:19">
      <c r="A102" s="173"/>
      <c r="B102" s="174"/>
      <c r="C102" s="75"/>
      <c r="D102" s="172"/>
      <c r="G102" s="167"/>
      <c r="H102" s="235"/>
      <c r="I102" s="172"/>
      <c r="J102" s="167"/>
      <c r="K102" s="182"/>
      <c r="L102" s="167"/>
      <c r="M102" s="167"/>
      <c r="N102" s="167"/>
      <c r="O102" s="170"/>
      <c r="P102" s="167"/>
      <c r="Q102" s="167"/>
      <c r="R102" s="167"/>
      <c r="S102" s="167"/>
    </row>
    <row r="103" spans="1:19">
      <c r="A103" s="173"/>
      <c r="B103" s="166"/>
      <c r="C103" s="75"/>
      <c r="D103" s="172"/>
      <c r="G103" s="167"/>
      <c r="H103" s="235"/>
      <c r="I103" s="172"/>
      <c r="J103" s="167"/>
      <c r="K103" s="182"/>
      <c r="L103" s="167"/>
      <c r="M103" s="167"/>
      <c r="N103" s="167"/>
      <c r="O103" s="170"/>
      <c r="P103" s="167"/>
      <c r="Q103" s="167"/>
      <c r="R103" s="167"/>
      <c r="S103" s="167"/>
    </row>
    <row r="104" spans="1:19">
      <c r="A104" s="173">
        <v>9</v>
      </c>
      <c r="B104" s="166" t="s">
        <v>1202</v>
      </c>
      <c r="C104" s="75" t="s">
        <v>1203</v>
      </c>
      <c r="D104" s="172"/>
      <c r="G104" s="167"/>
      <c r="H104" s="205">
        <v>9</v>
      </c>
      <c r="I104" s="207"/>
      <c r="J104" s="217"/>
      <c r="K104" s="262" t="s">
        <v>1203</v>
      </c>
      <c r="L104" s="217"/>
      <c r="M104" s="217"/>
      <c r="N104" s="217"/>
      <c r="O104" s="227"/>
      <c r="P104" s="167"/>
      <c r="Q104" s="181">
        <f>H104</f>
        <v>9</v>
      </c>
      <c r="R104" s="172" t="str">
        <f>CONCATENATE("II-",TEXT(Q104,"0000"))</f>
        <v>II-0009</v>
      </c>
      <c r="S104" s="182" t="str">
        <f>K104</f>
        <v>BACHEO DE PAVIMENTO ASFALTICO</v>
      </c>
    </row>
    <row r="105" spans="1:19">
      <c r="A105" s="173"/>
      <c r="B105" s="166"/>
      <c r="C105" s="191"/>
      <c r="D105" s="172"/>
      <c r="G105" s="167"/>
      <c r="H105" s="183"/>
      <c r="I105" s="184" t="s">
        <v>1019</v>
      </c>
      <c r="J105" s="167"/>
      <c r="K105" s="182" t="s">
        <v>1204</v>
      </c>
      <c r="L105" s="167"/>
      <c r="M105" s="167"/>
      <c r="N105" s="167"/>
      <c r="O105" s="219"/>
      <c r="P105" s="167"/>
      <c r="Q105" s="167"/>
      <c r="R105" s="167"/>
      <c r="S105" s="167"/>
    </row>
    <row r="106" spans="1:19">
      <c r="A106" s="173">
        <v>1</v>
      </c>
      <c r="B106" s="174" t="s">
        <v>1205</v>
      </c>
      <c r="C106" s="75" t="s">
        <v>1206</v>
      </c>
      <c r="D106" s="172" t="s">
        <v>1130</v>
      </c>
      <c r="G106" s="167"/>
      <c r="H106" s="183"/>
      <c r="I106" s="172"/>
      <c r="J106" s="189">
        <v>1</v>
      </c>
      <c r="K106" s="182"/>
      <c r="L106" s="182" t="s">
        <v>1207</v>
      </c>
      <c r="M106" s="167"/>
      <c r="N106" s="167"/>
      <c r="O106" s="219" t="s">
        <v>1130</v>
      </c>
      <c r="P106" s="167"/>
      <c r="Q106" s="181">
        <v>1</v>
      </c>
      <c r="R106" s="174" t="str">
        <f>CONCATENATE($R$104,".",TEXT(Q106,"0000"))</f>
        <v>II-0009.0001</v>
      </c>
      <c r="S106" s="167" t="str">
        <f>CONCATENATE($K$105," CON ",L106)</f>
        <v>PROFUNDO CON MATERIAL PETREO Y SUELO</v>
      </c>
    </row>
    <row r="107" spans="1:19">
      <c r="A107" s="173">
        <v>2</v>
      </c>
      <c r="B107" s="174" t="s">
        <v>1208</v>
      </c>
      <c r="C107" s="75" t="s">
        <v>1209</v>
      </c>
      <c r="D107" s="172" t="s">
        <v>1130</v>
      </c>
      <c r="G107" s="167"/>
      <c r="H107" s="183"/>
      <c r="I107" s="172"/>
      <c r="J107" s="189">
        <v>2</v>
      </c>
      <c r="K107" s="182"/>
      <c r="L107" s="182" t="s">
        <v>1210</v>
      </c>
      <c r="M107" s="167"/>
      <c r="N107" s="167"/>
      <c r="O107" s="219" t="s">
        <v>1130</v>
      </c>
      <c r="P107" s="167"/>
      <c r="Q107" s="181">
        <v>2</v>
      </c>
      <c r="R107" s="174" t="str">
        <f t="shared" ref="R107:R111" si="12">CONCATENATE($R$104,".",TEXT(Q107,"0000"))</f>
        <v>II-0009.0002</v>
      </c>
      <c r="S107" s="167" t="str">
        <f t="shared" ref="S107:S111" si="13">CONCATENATE($K$105," CON ",L107)</f>
        <v>PROFUNDO CON MEZCLA ASFALTICA</v>
      </c>
    </row>
    <row r="108" spans="1:19">
      <c r="A108" s="173">
        <v>3</v>
      </c>
      <c r="B108" s="174" t="s">
        <v>1211</v>
      </c>
      <c r="C108" s="75" t="s">
        <v>1212</v>
      </c>
      <c r="D108" s="172" t="s">
        <v>1213</v>
      </c>
      <c r="G108" s="167"/>
      <c r="H108" s="183"/>
      <c r="I108" s="172"/>
      <c r="J108" s="189">
        <v>3</v>
      </c>
      <c r="K108" s="182"/>
      <c r="L108" s="182" t="s">
        <v>1214</v>
      </c>
      <c r="M108" s="167"/>
      <c r="N108" s="167"/>
      <c r="O108" s="219" t="s">
        <v>1213</v>
      </c>
      <c r="P108" s="167"/>
      <c r="Q108" s="181">
        <v>3</v>
      </c>
      <c r="R108" s="174" t="str">
        <f t="shared" si="12"/>
        <v>II-0009.0003</v>
      </c>
      <c r="S108" s="167" t="str">
        <f t="shared" si="13"/>
        <v>PROFUNDO CON SUELO CAL</v>
      </c>
    </row>
    <row r="109" spans="1:19">
      <c r="A109" s="173">
        <v>4</v>
      </c>
      <c r="B109" s="174" t="s">
        <v>1215</v>
      </c>
      <c r="C109" s="75" t="s">
        <v>1216</v>
      </c>
      <c r="D109" s="172" t="s">
        <v>1213</v>
      </c>
      <c r="G109" s="167"/>
      <c r="H109" s="183"/>
      <c r="I109" s="172"/>
      <c r="J109" s="189">
        <v>4</v>
      </c>
      <c r="K109" s="182"/>
      <c r="L109" s="182" t="s">
        <v>1217</v>
      </c>
      <c r="M109" s="167"/>
      <c r="N109" s="167"/>
      <c r="O109" s="219" t="s">
        <v>1213</v>
      </c>
      <c r="P109" s="167"/>
      <c r="Q109" s="181">
        <v>4</v>
      </c>
      <c r="R109" s="174" t="str">
        <f t="shared" si="12"/>
        <v>II-0009.0004</v>
      </c>
      <c r="S109" s="167" t="str">
        <f t="shared" si="13"/>
        <v>PROFUNDO CON SUELO CEMENTO</v>
      </c>
    </row>
    <row r="110" spans="1:19">
      <c r="A110" s="173">
        <v>5</v>
      </c>
      <c r="B110" s="174" t="s">
        <v>1218</v>
      </c>
      <c r="C110" s="75" t="s">
        <v>1219</v>
      </c>
      <c r="D110" s="172" t="s">
        <v>1213</v>
      </c>
      <c r="G110" s="167"/>
      <c r="H110" s="183"/>
      <c r="I110" s="172"/>
      <c r="J110" s="189">
        <v>5</v>
      </c>
      <c r="K110" s="182"/>
      <c r="L110" s="182" t="s">
        <v>1220</v>
      </c>
      <c r="M110" s="167"/>
      <c r="N110" s="167"/>
      <c r="O110" s="219" t="s">
        <v>1213</v>
      </c>
      <c r="P110" s="167"/>
      <c r="Q110" s="181">
        <v>5</v>
      </c>
      <c r="R110" s="174" t="str">
        <f t="shared" si="12"/>
        <v>II-0009.0005</v>
      </c>
      <c r="S110" s="167" t="str">
        <f t="shared" si="13"/>
        <v>PROFUNDO CON SUELO SELECCIONADO</v>
      </c>
    </row>
    <row r="111" spans="1:19">
      <c r="A111" s="173">
        <v>6</v>
      </c>
      <c r="B111" s="174" t="s">
        <v>1221</v>
      </c>
      <c r="C111" s="75" t="s">
        <v>1222</v>
      </c>
      <c r="D111" s="172" t="s">
        <v>1213</v>
      </c>
      <c r="G111" s="167"/>
      <c r="H111" s="183"/>
      <c r="I111" s="197"/>
      <c r="J111" s="192">
        <v>6</v>
      </c>
      <c r="K111" s="194"/>
      <c r="L111" s="194" t="s">
        <v>1223</v>
      </c>
      <c r="M111" s="193"/>
      <c r="N111" s="193"/>
      <c r="O111" s="237" t="s">
        <v>1213</v>
      </c>
      <c r="P111" s="167"/>
      <c r="Q111" s="181">
        <v>6</v>
      </c>
      <c r="R111" s="174" t="str">
        <f t="shared" si="12"/>
        <v>II-0009.0006</v>
      </c>
      <c r="S111" s="167" t="str">
        <f t="shared" si="13"/>
        <v>PROFUNDO CON SUELO TRATADO C / CAL</v>
      </c>
    </row>
    <row r="112" spans="1:19">
      <c r="A112" s="173"/>
      <c r="B112" s="75"/>
      <c r="C112" s="75"/>
      <c r="D112" s="172"/>
      <c r="G112" s="167"/>
      <c r="H112" s="183"/>
      <c r="I112" s="184" t="s">
        <v>1046</v>
      </c>
      <c r="J112" s="167"/>
      <c r="K112" s="182" t="s">
        <v>1224</v>
      </c>
      <c r="L112" s="167"/>
      <c r="M112" s="167"/>
      <c r="N112" s="167"/>
      <c r="O112" s="219"/>
      <c r="P112" s="167"/>
      <c r="Q112" s="167"/>
      <c r="R112" s="167"/>
      <c r="S112" s="167"/>
    </row>
    <row r="113" spans="1:19" ht="15.75" thickBot="1">
      <c r="A113" s="173">
        <v>10</v>
      </c>
      <c r="B113" s="166" t="s">
        <v>1225</v>
      </c>
      <c r="C113" s="75" t="s">
        <v>1226</v>
      </c>
      <c r="D113" s="172" t="s">
        <v>1130</v>
      </c>
      <c r="G113" s="167"/>
      <c r="H113" s="198"/>
      <c r="I113" s="199"/>
      <c r="J113" s="200">
        <v>2</v>
      </c>
      <c r="K113" s="202"/>
      <c r="L113" s="202" t="s">
        <v>1210</v>
      </c>
      <c r="M113" s="201"/>
      <c r="N113" s="201"/>
      <c r="O113" s="263" t="s">
        <v>1130</v>
      </c>
      <c r="P113" s="167"/>
      <c r="Q113" s="181">
        <v>10</v>
      </c>
      <c r="R113" s="174" t="str">
        <f>CONCATENATE($R$104,".",TEXT(Q113,"0000"))</f>
        <v>II-0009.0010</v>
      </c>
      <c r="S113" s="167" t="str">
        <f>CONCATENATE($K$112," CON ",L113)</f>
        <v>SUPERFICIAL CON MEZCLA ASFALTICA</v>
      </c>
    </row>
    <row r="114" spans="1:19" ht="15.75" thickTop="1">
      <c r="A114" s="173"/>
      <c r="B114" s="166"/>
      <c r="C114" s="191"/>
      <c r="D114" s="172"/>
      <c r="G114" s="167"/>
      <c r="H114" s="183"/>
      <c r="I114" s="172"/>
      <c r="J114" s="172"/>
      <c r="K114" s="182"/>
      <c r="L114" s="182"/>
      <c r="M114" s="167"/>
      <c r="N114" s="167"/>
      <c r="O114" s="219"/>
      <c r="P114" s="167"/>
      <c r="Q114" s="181"/>
      <c r="R114" s="174"/>
      <c r="S114" s="167"/>
    </row>
    <row r="115" spans="1:19">
      <c r="A115" s="173">
        <v>10</v>
      </c>
      <c r="B115" s="174" t="s">
        <v>1227</v>
      </c>
      <c r="C115" s="75" t="s">
        <v>1228</v>
      </c>
      <c r="D115" s="172"/>
      <c r="G115" s="167"/>
      <c r="H115" s="205">
        <v>10</v>
      </c>
      <c r="I115" s="207"/>
      <c r="J115" s="217"/>
      <c r="K115" s="262" t="s">
        <v>1228</v>
      </c>
      <c r="L115" s="217"/>
      <c r="M115" s="217"/>
      <c r="N115" s="217"/>
      <c r="O115" s="227"/>
      <c r="P115" s="167"/>
      <c r="Q115" s="181">
        <f>H115</f>
        <v>10</v>
      </c>
      <c r="R115" s="172" t="str">
        <f>CONCATENATE("II-",TEXT(Q115,"0000"))</f>
        <v>II-0010</v>
      </c>
      <c r="S115" s="182" t="str">
        <f>K115</f>
        <v>BADEN</v>
      </c>
    </row>
    <row r="116" spans="1:19">
      <c r="A116" s="173"/>
      <c r="B116" s="174"/>
      <c r="C116" s="75"/>
      <c r="D116" s="172"/>
      <c r="G116" s="167"/>
      <c r="H116" s="183"/>
      <c r="I116" s="184" t="s">
        <v>1019</v>
      </c>
      <c r="J116" s="167"/>
      <c r="K116" s="182" t="s">
        <v>1229</v>
      </c>
      <c r="L116" s="167"/>
      <c r="M116" s="167"/>
      <c r="N116" s="167"/>
      <c r="O116" s="219"/>
      <c r="P116" s="167"/>
      <c r="Q116" s="167"/>
      <c r="R116" s="167"/>
      <c r="S116" s="167"/>
    </row>
    <row r="117" spans="1:19">
      <c r="A117" s="173">
        <v>1</v>
      </c>
      <c r="B117" s="174" t="s">
        <v>1230</v>
      </c>
      <c r="C117" s="75" t="s">
        <v>1231</v>
      </c>
      <c r="D117" s="172" t="s">
        <v>1130</v>
      </c>
      <c r="G117" s="167"/>
      <c r="H117" s="183"/>
      <c r="I117" s="172"/>
      <c r="J117" s="189">
        <v>1</v>
      </c>
      <c r="K117" s="167"/>
      <c r="L117" s="182" t="s">
        <v>1232</v>
      </c>
      <c r="M117" s="167"/>
      <c r="N117" s="167"/>
      <c r="O117" s="219" t="s">
        <v>1130</v>
      </c>
      <c r="P117" s="167"/>
      <c r="Q117" s="181">
        <v>1</v>
      </c>
      <c r="R117" s="174" t="str">
        <f>CONCATENATE($R$115,".",TEXT(Q117,"0000"))</f>
        <v>II-0010.0001</v>
      </c>
      <c r="S117" s="167" t="str">
        <f>CONCATENATE($K$116," - TIPO ",L117)</f>
        <v>Hº  SIMPLE - TIPO A-2862</v>
      </c>
    </row>
    <row r="118" spans="1:19">
      <c r="A118" s="173">
        <v>2</v>
      </c>
      <c r="B118" s="174" t="s">
        <v>1233</v>
      </c>
      <c r="C118" s="75" t="s">
        <v>1234</v>
      </c>
      <c r="D118" s="172" t="s">
        <v>1130</v>
      </c>
      <c r="G118" s="167"/>
      <c r="H118" s="183"/>
      <c r="I118" s="172"/>
      <c r="J118" s="192">
        <v>2</v>
      </c>
      <c r="K118" s="193"/>
      <c r="L118" s="194" t="s">
        <v>1235</v>
      </c>
      <c r="M118" s="193"/>
      <c r="N118" s="193"/>
      <c r="O118" s="237" t="s">
        <v>1130</v>
      </c>
      <c r="P118" s="167"/>
      <c r="Q118" s="181">
        <v>2</v>
      </c>
      <c r="R118" s="174" t="str">
        <f>CONCATENATE($R$115,".",TEXT(Q118,"0000"))</f>
        <v>II-0010.0002</v>
      </c>
      <c r="S118" s="167" t="str">
        <f>CONCATENATE($K$116," - TIPO ",L118)</f>
        <v>Hº  SIMPLE - TIPO H-8621</v>
      </c>
    </row>
    <row r="119" spans="1:19">
      <c r="A119" s="173"/>
      <c r="B119" s="174"/>
      <c r="C119" s="75"/>
      <c r="D119" s="172"/>
      <c r="G119" s="167"/>
      <c r="H119" s="183"/>
      <c r="I119" s="184" t="s">
        <v>1046</v>
      </c>
      <c r="J119" s="167"/>
      <c r="K119" s="182" t="s">
        <v>1236</v>
      </c>
      <c r="L119" s="167"/>
      <c r="M119" s="167"/>
      <c r="N119" s="167"/>
      <c r="O119" s="219"/>
      <c r="P119" s="167"/>
      <c r="Q119" s="167"/>
      <c r="R119" s="167"/>
      <c r="S119" s="167"/>
    </row>
    <row r="120" spans="1:19">
      <c r="A120" s="173">
        <v>10</v>
      </c>
      <c r="B120" s="174" t="s">
        <v>1237</v>
      </c>
      <c r="C120" s="75" t="s">
        <v>1238</v>
      </c>
      <c r="D120" s="172" t="s">
        <v>1130</v>
      </c>
      <c r="G120" s="167"/>
      <c r="H120" s="183"/>
      <c r="I120" s="197"/>
      <c r="J120" s="192">
        <v>1</v>
      </c>
      <c r="K120" s="193"/>
      <c r="L120" s="194" t="s">
        <v>1239</v>
      </c>
      <c r="M120" s="193"/>
      <c r="N120" s="193"/>
      <c r="O120" s="237" t="s">
        <v>1130</v>
      </c>
      <c r="P120" s="167"/>
      <c r="Q120" s="181">
        <v>10</v>
      </c>
      <c r="R120" s="174" t="str">
        <f>CONCATENATE($R$115,".",TEXT(Q120,"0000"))</f>
        <v>II-0010.0010</v>
      </c>
      <c r="S120" s="167" t="str">
        <f>CONCATENATE($K$119," - TIPO ",L120)</f>
        <v>Hº ARMADO - TIPO V-331</v>
      </c>
    </row>
    <row r="121" spans="1:19" ht="15.75" thickBot="1">
      <c r="A121" s="173"/>
      <c r="B121" s="174"/>
      <c r="C121" s="75"/>
      <c r="D121" s="172" t="s">
        <v>1130</v>
      </c>
      <c r="G121" s="167"/>
      <c r="H121" s="198"/>
      <c r="I121" s="200" t="s">
        <v>1056</v>
      </c>
      <c r="J121" s="201"/>
      <c r="K121" s="202" t="s">
        <v>1047</v>
      </c>
      <c r="L121" s="201"/>
      <c r="M121" s="201"/>
      <c r="N121" s="201"/>
      <c r="O121" s="263" t="s">
        <v>1130</v>
      </c>
      <c r="P121" s="167"/>
      <c r="Q121" s="167"/>
      <c r="R121" s="167"/>
      <c r="S121" s="167"/>
    </row>
    <row r="122" spans="1:19" ht="15.75" thickTop="1">
      <c r="A122" s="173">
        <v>11</v>
      </c>
      <c r="B122" s="174" t="s">
        <v>1240</v>
      </c>
      <c r="C122" s="75" t="s">
        <v>1241</v>
      </c>
      <c r="D122" s="172"/>
      <c r="G122" s="167"/>
      <c r="H122" s="205">
        <v>11</v>
      </c>
      <c r="I122" s="207"/>
      <c r="J122" s="217"/>
      <c r="K122" s="262" t="s">
        <v>1241</v>
      </c>
      <c r="L122" s="217"/>
      <c r="M122" s="217"/>
      <c r="N122" s="217"/>
      <c r="O122" s="227"/>
      <c r="P122" s="167"/>
      <c r="Q122" s="181">
        <f>H122</f>
        <v>11</v>
      </c>
      <c r="R122" s="172" t="str">
        <f>CONCATENATE("II-",TEXT(Q122,"0000"))</f>
        <v>II-0011</v>
      </c>
      <c r="S122" s="182" t="str">
        <f>K122</f>
        <v>BAJADA DE AGUA</v>
      </c>
    </row>
    <row r="123" spans="1:19">
      <c r="A123" s="173">
        <v>1</v>
      </c>
      <c r="B123" s="174" t="s">
        <v>1242</v>
      </c>
      <c r="C123" s="75" t="s">
        <v>1243</v>
      </c>
      <c r="D123" s="172" t="s">
        <v>995</v>
      </c>
      <c r="G123" s="167"/>
      <c r="H123" s="218"/>
      <c r="I123" s="184" t="s">
        <v>1019</v>
      </c>
      <c r="J123" s="225"/>
      <c r="K123" s="242" t="s">
        <v>1243</v>
      </c>
      <c r="L123" s="225"/>
      <c r="M123" s="225"/>
      <c r="N123" s="225"/>
      <c r="O123" s="241" t="s">
        <v>995</v>
      </c>
      <c r="P123" s="167"/>
      <c r="Q123" s="181">
        <v>1</v>
      </c>
      <c r="R123" s="174" t="str">
        <f>CONCATENATE($R$122,".",TEXT(Q123,"0000"))</f>
        <v>II-0011.0001</v>
      </c>
      <c r="S123" s="167" t="str">
        <f>CONCATENATE($K$123)</f>
        <v>METALICA</v>
      </c>
    </row>
    <row r="124" spans="1:19">
      <c r="A124" s="173"/>
      <c r="B124" s="174"/>
      <c r="C124" s="75"/>
      <c r="D124" s="172"/>
      <c r="G124" s="167"/>
      <c r="H124" s="183"/>
      <c r="I124" s="184" t="s">
        <v>1046</v>
      </c>
      <c r="J124" s="167"/>
      <c r="K124" s="182" t="s">
        <v>1244</v>
      </c>
      <c r="L124" s="167"/>
      <c r="M124" s="167"/>
      <c r="N124" s="167"/>
      <c r="O124" s="219"/>
      <c r="P124" s="167"/>
      <c r="Q124" s="167"/>
      <c r="R124" s="167"/>
      <c r="S124" s="167"/>
    </row>
    <row r="125" spans="1:19">
      <c r="A125" s="173">
        <v>10</v>
      </c>
      <c r="B125" s="174" t="s">
        <v>1245</v>
      </c>
      <c r="C125" s="75" t="s">
        <v>1246</v>
      </c>
      <c r="D125" s="172" t="s">
        <v>1247</v>
      </c>
      <c r="G125" s="167"/>
      <c r="H125" s="183"/>
      <c r="I125" s="172"/>
      <c r="J125" s="189">
        <v>1</v>
      </c>
      <c r="K125" s="167"/>
      <c r="L125" s="182" t="s">
        <v>1248</v>
      </c>
      <c r="M125" s="167"/>
      <c r="N125" s="167"/>
      <c r="O125" s="219" t="s">
        <v>1247</v>
      </c>
      <c r="P125" s="167"/>
      <c r="Q125" s="181">
        <v>10</v>
      </c>
      <c r="R125" s="174" t="str">
        <f>CONCATENATE($R$122,".",TEXT(Q125,"0000"))</f>
        <v>II-0011.0010</v>
      </c>
      <c r="S125" s="167" t="str">
        <f>CONCATENATE($K$124," - TIPO ",L125)</f>
        <v>HORMIGON - TIPO H-8558</v>
      </c>
    </row>
    <row r="126" spans="1:19">
      <c r="A126" s="173">
        <v>11</v>
      </c>
      <c r="B126" s="174" t="s">
        <v>1249</v>
      </c>
      <c r="C126" s="75" t="s">
        <v>1250</v>
      </c>
      <c r="D126" s="172" t="s">
        <v>1247</v>
      </c>
      <c r="G126" s="167"/>
      <c r="H126" s="183"/>
      <c r="I126" s="172"/>
      <c r="J126" s="189">
        <v>2</v>
      </c>
      <c r="K126" s="167"/>
      <c r="L126" s="182" t="s">
        <v>1251</v>
      </c>
      <c r="M126" s="167"/>
      <c r="N126" s="167"/>
      <c r="O126" s="219" t="s">
        <v>1247</v>
      </c>
      <c r="P126" s="167"/>
      <c r="Q126" s="181">
        <v>11</v>
      </c>
      <c r="R126" s="174" t="str">
        <f>CONCATENATE($R$122,".",TEXT(Q126,"0000"))</f>
        <v>II-0011.0011</v>
      </c>
      <c r="S126" s="167" t="str">
        <f t="shared" ref="S126:S127" si="14">CONCATENATE($K$124," - TIPO ",L126)</f>
        <v>HORMIGON - TIPO H-2350</v>
      </c>
    </row>
    <row r="127" spans="1:19">
      <c r="A127" s="173">
        <v>12</v>
      </c>
      <c r="B127" s="174" t="s">
        <v>1252</v>
      </c>
      <c r="C127" s="75" t="s">
        <v>1253</v>
      </c>
      <c r="D127" s="172" t="s">
        <v>1247</v>
      </c>
      <c r="G127" s="167"/>
      <c r="H127" s="183"/>
      <c r="I127" s="172"/>
      <c r="J127" s="192">
        <v>3</v>
      </c>
      <c r="K127" s="167"/>
      <c r="L127" s="182" t="s">
        <v>1254</v>
      </c>
      <c r="M127" s="167"/>
      <c r="N127" s="167"/>
      <c r="O127" s="219" t="s">
        <v>1247</v>
      </c>
      <c r="P127" s="167"/>
      <c r="Q127" s="181">
        <v>12</v>
      </c>
      <c r="R127" s="174" t="str">
        <f>CONCATENATE($R$122,".",TEXT(Q127,"0000"))</f>
        <v>II-0011.0012</v>
      </c>
      <c r="S127" s="167" t="str">
        <f t="shared" si="14"/>
        <v>HORMIGON - TIPO H-7691</v>
      </c>
    </row>
    <row r="128" spans="1:19">
      <c r="A128" s="173">
        <v>12</v>
      </c>
      <c r="B128" s="166" t="s">
        <v>1252</v>
      </c>
      <c r="C128" s="75" t="s">
        <v>1088</v>
      </c>
      <c r="D128" s="172" t="s">
        <v>1255</v>
      </c>
      <c r="G128" s="167"/>
      <c r="H128" s="183"/>
      <c r="I128" s="184" t="s">
        <v>1056</v>
      </c>
      <c r="J128" s="225"/>
      <c r="K128" s="242" t="s">
        <v>1088</v>
      </c>
      <c r="L128" s="225"/>
      <c r="M128" s="225"/>
      <c r="N128" s="225"/>
      <c r="O128" s="241" t="s">
        <v>1255</v>
      </c>
      <c r="P128" s="167"/>
      <c r="Q128" s="181">
        <v>12</v>
      </c>
      <c r="R128" s="174" t="str">
        <f>CONCATENATE($R$122,".",TEXT(Q128,"0000"))</f>
        <v>II-0011.0012</v>
      </c>
      <c r="S128" s="167" t="str">
        <f>CONCATENATE($K$128)</f>
        <v>RETIRO</v>
      </c>
    </row>
    <row r="129" spans="1:19" ht="15.75" thickBot="1">
      <c r="A129" s="173">
        <v>12</v>
      </c>
      <c r="B129" s="166" t="s">
        <v>1252</v>
      </c>
      <c r="C129" s="75" t="s">
        <v>1256</v>
      </c>
      <c r="D129" s="172" t="s">
        <v>1255</v>
      </c>
      <c r="G129" s="167"/>
      <c r="H129" s="198"/>
      <c r="I129" s="210" t="s">
        <v>1082</v>
      </c>
      <c r="J129" s="213"/>
      <c r="K129" s="244" t="s">
        <v>1256</v>
      </c>
      <c r="L129" s="213"/>
      <c r="M129" s="213"/>
      <c r="N129" s="213"/>
      <c r="O129" s="245" t="s">
        <v>1255</v>
      </c>
      <c r="P129" s="167"/>
      <c r="Q129" s="181">
        <v>12</v>
      </c>
      <c r="R129" s="174" t="str">
        <f>CONCATENATE($R$122,".",TEXT(Q129,"0000"))</f>
        <v>II-0011.0012</v>
      </c>
      <c r="S129" s="167" t="str">
        <f>CONCATENATE($K$129)</f>
        <v>RETIRO,REPARACION, RECOLOCACION</v>
      </c>
    </row>
    <row r="130" spans="1:19" ht="15.75" thickTop="1">
      <c r="A130" s="173"/>
      <c r="B130" s="166"/>
      <c r="C130" s="191"/>
      <c r="D130" s="172"/>
      <c r="G130" s="167"/>
      <c r="H130" s="183"/>
      <c r="I130" s="172"/>
      <c r="J130" s="167"/>
      <c r="K130" s="182"/>
      <c r="L130" s="167"/>
      <c r="M130" s="167"/>
      <c r="N130" s="167"/>
      <c r="O130" s="219"/>
      <c r="P130" s="167"/>
      <c r="Q130" s="167"/>
      <c r="R130" s="167"/>
      <c r="S130" s="167"/>
    </row>
    <row r="131" spans="1:19">
      <c r="A131" s="173">
        <v>12</v>
      </c>
      <c r="B131" s="174" t="s">
        <v>1257</v>
      </c>
      <c r="C131" s="75" t="s">
        <v>1258</v>
      </c>
      <c r="D131" s="172"/>
      <c r="G131" s="167"/>
      <c r="H131" s="205">
        <v>12</v>
      </c>
      <c r="I131" s="207"/>
      <c r="J131" s="217"/>
      <c r="K131" s="262" t="s">
        <v>1258</v>
      </c>
      <c r="L131" s="217"/>
      <c r="M131" s="217"/>
      <c r="N131" s="217"/>
      <c r="O131" s="227"/>
      <c r="P131" s="167"/>
      <c r="Q131" s="181">
        <f>H131</f>
        <v>12</v>
      </c>
      <c r="R131" s="172" t="str">
        <f>CONCATENATE("II-",TEXT(Q131,"0000"))</f>
        <v>II-0012</v>
      </c>
      <c r="S131" s="182" t="str">
        <f>K131</f>
        <v>BANQUINA</v>
      </c>
    </row>
    <row r="132" spans="1:19">
      <c r="A132" s="173">
        <v>1</v>
      </c>
      <c r="B132" s="174" t="str">
        <f>CONCATENATE($B$131,".",TEXT(A132,"0000"))</f>
        <v>II-0012.0001</v>
      </c>
      <c r="C132" s="167" t="str">
        <f>CONCATENATE($K$132)</f>
        <v xml:space="preserve">SUELO </v>
      </c>
      <c r="D132" s="172" t="s">
        <v>1130</v>
      </c>
      <c r="G132" s="167"/>
      <c r="H132" s="183"/>
      <c r="I132" s="184" t="s">
        <v>1019</v>
      </c>
      <c r="J132" s="225"/>
      <c r="K132" s="242" t="s">
        <v>1259</v>
      </c>
      <c r="L132" s="225"/>
      <c r="M132" s="225"/>
      <c r="N132" s="225"/>
      <c r="O132" s="241" t="s">
        <v>1130</v>
      </c>
      <c r="P132" s="167"/>
      <c r="Q132" s="181">
        <v>1</v>
      </c>
      <c r="R132" s="174" t="str">
        <f>CONCATENATE($L$131,".",TEXT(Q132,"0000"))</f>
        <v>.0001</v>
      </c>
      <c r="S132" s="167" t="str">
        <f>CONCATENATE($E$132)</f>
        <v/>
      </c>
    </row>
    <row r="133" spans="1:19">
      <c r="A133" s="173">
        <v>2</v>
      </c>
      <c r="B133" s="174" t="str">
        <f>CONCATENATE($B$131,".",TEXT(A133,"0000"))</f>
        <v>II-0012.0002</v>
      </c>
      <c r="C133" s="167" t="str">
        <f>CONCATENATE($K$132)</f>
        <v xml:space="preserve">SUELO </v>
      </c>
      <c r="D133" s="172" t="s">
        <v>1130</v>
      </c>
      <c r="G133" s="167"/>
      <c r="H133" s="183"/>
      <c r="I133" s="184" t="s">
        <v>1046</v>
      </c>
      <c r="J133" s="225"/>
      <c r="K133" s="242" t="s">
        <v>1260</v>
      </c>
      <c r="L133" s="225"/>
      <c r="M133" s="225"/>
      <c r="N133" s="225"/>
      <c r="O133" s="241" t="s">
        <v>1130</v>
      </c>
      <c r="P133" s="167"/>
      <c r="Q133" s="181">
        <v>2</v>
      </c>
      <c r="R133" s="174" t="str">
        <f>CONCATENATE($L$131,".",TEXT(Q133,"0000"))</f>
        <v>.0002</v>
      </c>
      <c r="S133" s="167" t="str">
        <f>CONCATENATE($E$133)</f>
        <v/>
      </c>
    </row>
    <row r="134" spans="1:19">
      <c r="A134" s="173"/>
      <c r="B134" s="75"/>
      <c r="C134" s="75"/>
      <c r="D134" s="172"/>
      <c r="G134" s="167"/>
      <c r="H134" s="183"/>
      <c r="I134" s="184" t="s">
        <v>1056</v>
      </c>
      <c r="J134" s="167"/>
      <c r="K134" s="182" t="s">
        <v>1261</v>
      </c>
      <c r="L134" s="167"/>
      <c r="M134" s="167"/>
      <c r="N134" s="167"/>
      <c r="O134" s="219"/>
      <c r="P134" s="167"/>
      <c r="Q134" s="167"/>
      <c r="R134" s="167"/>
      <c r="S134" s="167"/>
    </row>
    <row r="135" spans="1:19">
      <c r="A135" s="173">
        <v>3</v>
      </c>
      <c r="B135" s="174" t="str">
        <f t="shared" ref="B135:B136" si="15">CONCATENATE($B$131,".",TEXT(A135,"0000"))</f>
        <v>II-0012.0003</v>
      </c>
      <c r="C135" s="167" t="str">
        <f>CONCATENATE($K$134," - TIPO ",L135)</f>
        <v xml:space="preserve">PAVIMENTO - TIPO CARPETA </v>
      </c>
      <c r="D135" s="172" t="s">
        <v>1213</v>
      </c>
      <c r="G135" s="167"/>
      <c r="H135" s="183"/>
      <c r="I135" s="172"/>
      <c r="J135" s="189">
        <v>1</v>
      </c>
      <c r="K135" s="167"/>
      <c r="L135" s="182" t="s">
        <v>1262</v>
      </c>
      <c r="M135" s="167"/>
      <c r="N135" s="167"/>
      <c r="O135" s="219" t="s">
        <v>1213</v>
      </c>
      <c r="P135" s="167"/>
      <c r="Q135" s="181">
        <v>3</v>
      </c>
      <c r="R135" s="174" t="str">
        <f t="shared" ref="R135:R136" si="16">CONCATENATE($L$131,".",TEXT(Q135,"0000"))</f>
        <v>.0003</v>
      </c>
      <c r="S135" s="167" t="str">
        <f>CONCATENATE($E$134," TIPO ",L135)</f>
        <v xml:space="preserve"> TIPO CARPETA </v>
      </c>
    </row>
    <row r="136" spans="1:19" ht="15.75" thickBot="1">
      <c r="A136" s="173">
        <v>4</v>
      </c>
      <c r="B136" s="174" t="str">
        <f t="shared" si="15"/>
        <v>II-0012.0004</v>
      </c>
      <c r="C136" s="167" t="str">
        <f>CONCATENATE($K$134," - TIPO ",L136)</f>
        <v>PAVIMENTO - TIPO TRATAMIENTO</v>
      </c>
      <c r="D136" s="172" t="s">
        <v>1213</v>
      </c>
      <c r="G136" s="167"/>
      <c r="H136" s="198"/>
      <c r="I136" s="199"/>
      <c r="J136" s="200">
        <v>2</v>
      </c>
      <c r="K136" s="201"/>
      <c r="L136" s="202" t="s">
        <v>1263</v>
      </c>
      <c r="M136" s="201"/>
      <c r="N136" s="201"/>
      <c r="O136" s="263" t="s">
        <v>1213</v>
      </c>
      <c r="P136" s="167"/>
      <c r="Q136" s="181">
        <v>4</v>
      </c>
      <c r="R136" s="174" t="str">
        <f t="shared" si="16"/>
        <v>.0004</v>
      </c>
      <c r="S136" s="167" t="str">
        <f>CONCATENATE($E$134," TIPO ",L136)</f>
        <v xml:space="preserve"> TIPO TRATAMIENTO</v>
      </c>
    </row>
    <row r="137" spans="1:19" ht="15.75" thickTop="1">
      <c r="A137" s="173"/>
      <c r="B137" s="174"/>
      <c r="C137" s="75"/>
      <c r="D137" s="172"/>
      <c r="G137" s="167"/>
      <c r="H137" s="183"/>
      <c r="I137" s="172"/>
      <c r="J137" s="172"/>
      <c r="K137" s="167"/>
      <c r="L137" s="182"/>
      <c r="M137" s="167"/>
      <c r="N137" s="167"/>
      <c r="O137" s="219"/>
      <c r="P137" s="167"/>
      <c r="Q137" s="181"/>
      <c r="R137" s="167"/>
      <c r="S137" s="167"/>
    </row>
    <row r="138" spans="1:19">
      <c r="A138" s="173">
        <v>13</v>
      </c>
      <c r="B138" s="174" t="s">
        <v>1264</v>
      </c>
      <c r="C138" s="75" t="s">
        <v>1265</v>
      </c>
      <c r="D138" s="172"/>
      <c r="G138" s="167"/>
      <c r="H138" s="205">
        <v>13</v>
      </c>
      <c r="I138" s="207"/>
      <c r="J138" s="217"/>
      <c r="K138" s="262" t="s">
        <v>1265</v>
      </c>
      <c r="L138" s="217"/>
      <c r="M138" s="217"/>
      <c r="N138" s="217"/>
      <c r="O138" s="227"/>
      <c r="P138" s="167"/>
      <c r="Q138" s="181">
        <f>H138</f>
        <v>13</v>
      </c>
      <c r="R138" s="172" t="str">
        <f>CONCATENATE("II-",TEXT(Q138,"0000"))</f>
        <v>II-0013</v>
      </c>
      <c r="S138" s="182" t="str">
        <f>K138</f>
        <v>BARANDA METALICA DE DEFENSA</v>
      </c>
    </row>
    <row r="139" spans="1:19">
      <c r="A139" s="173"/>
      <c r="B139" s="174"/>
      <c r="C139" s="75"/>
      <c r="D139" s="172"/>
      <c r="G139" s="167"/>
      <c r="H139" s="218"/>
      <c r="I139" s="184" t="s">
        <v>1019</v>
      </c>
      <c r="J139" s="167"/>
      <c r="K139" s="182" t="s">
        <v>1266</v>
      </c>
      <c r="L139" s="187"/>
      <c r="M139" s="187"/>
      <c r="N139" s="187"/>
      <c r="O139" s="228"/>
      <c r="P139" s="167"/>
      <c r="Q139" s="167"/>
      <c r="R139" s="167"/>
      <c r="S139" s="167"/>
    </row>
    <row r="140" spans="1:19">
      <c r="A140" s="173">
        <v>1</v>
      </c>
      <c r="B140" s="174" t="str">
        <f>CONCATENATE($B$138,".",TEXT(A140,"0000"))</f>
        <v>II-0013.0001</v>
      </c>
      <c r="C140" s="167" t="str">
        <f>CONCATENATE($K$139," - TIPO ",L140)</f>
        <v>VEHICULAR  H-10237 - TIPO LIVIANA  ( A )</v>
      </c>
      <c r="D140" s="172" t="s">
        <v>995</v>
      </c>
      <c r="G140" s="167"/>
      <c r="H140" s="183"/>
      <c r="I140" s="172"/>
      <c r="J140" s="189">
        <v>1</v>
      </c>
      <c r="K140" s="167"/>
      <c r="L140" s="182" t="s">
        <v>1267</v>
      </c>
      <c r="M140" s="167"/>
      <c r="N140" s="167"/>
      <c r="O140" s="219" t="s">
        <v>995</v>
      </c>
      <c r="P140" s="167"/>
      <c r="Q140" s="181">
        <v>1</v>
      </c>
      <c r="R140" s="174" t="str">
        <f>CONCATENATE($L$138,".",TEXT(Q140,"0000"))</f>
        <v>.0001</v>
      </c>
      <c r="S140" s="167" t="str">
        <f>CONCATENATE($E$139," TIPO ",L140)</f>
        <v xml:space="preserve"> TIPO LIVIANA  ( A )</v>
      </c>
    </row>
    <row r="141" spans="1:19">
      <c r="A141" s="173">
        <v>2</v>
      </c>
      <c r="B141" s="174" t="str">
        <f>CONCATENATE($B$138,".",TEXT(A141,"0000"))</f>
        <v>II-0013.0002</v>
      </c>
      <c r="C141" s="167" t="str">
        <f>CONCATENATE($K$139," - TIPO ",L141)</f>
        <v>VEHICULAR  H-10237 - TIPO PESADA ( B )</v>
      </c>
      <c r="D141" s="172" t="s">
        <v>995</v>
      </c>
      <c r="G141" s="167"/>
      <c r="H141" s="183"/>
      <c r="I141" s="172"/>
      <c r="J141" s="192">
        <v>2</v>
      </c>
      <c r="K141" s="193"/>
      <c r="L141" s="194" t="s">
        <v>1268</v>
      </c>
      <c r="M141" s="193"/>
      <c r="N141" s="193"/>
      <c r="O141" s="237" t="s">
        <v>995</v>
      </c>
      <c r="P141" s="167"/>
      <c r="Q141" s="181">
        <v>2</v>
      </c>
      <c r="R141" s="174" t="str">
        <f>CONCATENATE($L$138,".",TEXT(Q141,"0000"))</f>
        <v>.0002</v>
      </c>
      <c r="S141" s="167" t="str">
        <f>CONCATENATE($E$139," TIPO ",L141)</f>
        <v xml:space="preserve"> TIPO PESADA ( B )</v>
      </c>
    </row>
    <row r="142" spans="1:19">
      <c r="A142" s="173"/>
      <c r="B142" s="174"/>
      <c r="C142" s="75"/>
      <c r="D142" s="172" t="s">
        <v>995</v>
      </c>
      <c r="G142" s="167"/>
      <c r="H142" s="183"/>
      <c r="I142" s="184" t="s">
        <v>1046</v>
      </c>
      <c r="J142" s="167"/>
      <c r="K142" s="182" t="s">
        <v>1269</v>
      </c>
      <c r="L142" s="167"/>
      <c r="M142" s="167"/>
      <c r="N142" s="167"/>
      <c r="O142" s="219" t="s">
        <v>995</v>
      </c>
      <c r="P142" s="167"/>
      <c r="Q142" s="167"/>
      <c r="R142" s="167"/>
      <c r="S142" s="167"/>
    </row>
    <row r="143" spans="1:19">
      <c r="A143" s="173">
        <v>3</v>
      </c>
      <c r="B143" s="174" t="str">
        <f t="shared" ref="B143:B146" si="17">CONCATENATE($B$138,".",TEXT(A143,"0000"))</f>
        <v>II-0013.0003</v>
      </c>
      <c r="C143" s="167" t="str">
        <f>CONCATENATE($K$142," - TIPO ",L143)</f>
        <v>PEATONAL  H-10237 - TIPO LIVIANA  ( A )</v>
      </c>
      <c r="D143" s="172" t="s">
        <v>995</v>
      </c>
      <c r="G143" s="167"/>
      <c r="H143" s="183"/>
      <c r="I143" s="172"/>
      <c r="J143" s="189">
        <v>1</v>
      </c>
      <c r="K143" s="167"/>
      <c r="L143" s="182" t="s">
        <v>1267</v>
      </c>
      <c r="M143" s="167"/>
      <c r="N143" s="167"/>
      <c r="O143" s="219" t="s">
        <v>995</v>
      </c>
      <c r="P143" s="167"/>
      <c r="Q143" s="181">
        <v>3</v>
      </c>
      <c r="R143" s="174" t="str">
        <f>CONCATENATE($L$138,".",TEXT(Q143,"0000"))</f>
        <v>.0003</v>
      </c>
      <c r="S143" s="167" t="str">
        <f>CONCATENATE($E$142," TIPO ",L143)</f>
        <v xml:space="preserve"> TIPO LIVIANA  ( A )</v>
      </c>
    </row>
    <row r="144" spans="1:19">
      <c r="A144" s="173">
        <v>4</v>
      </c>
      <c r="B144" s="174" t="str">
        <f t="shared" si="17"/>
        <v>II-0013.0004</v>
      </c>
      <c r="C144" s="167" t="str">
        <f>CONCATENATE($K$142," - TIPO ",L144)</f>
        <v>PEATONAL  H-10237 - TIPO PESADA ( B )</v>
      </c>
      <c r="D144" s="172" t="s">
        <v>995</v>
      </c>
      <c r="G144" s="167"/>
      <c r="H144" s="183"/>
      <c r="I144" s="172"/>
      <c r="J144" s="192">
        <v>2</v>
      </c>
      <c r="K144" s="167"/>
      <c r="L144" s="182" t="s">
        <v>1268</v>
      </c>
      <c r="M144" s="167"/>
      <c r="N144" s="167"/>
      <c r="O144" s="219" t="s">
        <v>995</v>
      </c>
      <c r="P144" s="167"/>
      <c r="Q144" s="181">
        <v>4</v>
      </c>
      <c r="R144" s="174" t="str">
        <f>CONCATENATE($L$138,".",TEXT(Q144,"0000"))</f>
        <v>.0004</v>
      </c>
      <c r="S144" s="167" t="str">
        <f>CONCATENATE($E$142," TIPO ",L144)</f>
        <v xml:space="preserve"> TIPO PESADA ( B )</v>
      </c>
    </row>
    <row r="145" spans="1:19">
      <c r="A145" s="173">
        <v>10</v>
      </c>
      <c r="B145" s="174" t="str">
        <f t="shared" si="17"/>
        <v>II-0013.0010</v>
      </c>
      <c r="C145" s="167" t="str">
        <f>CONCATENATE($K$145)</f>
        <v xml:space="preserve">RETIRO </v>
      </c>
      <c r="D145" s="172" t="s">
        <v>995</v>
      </c>
      <c r="G145" s="167"/>
      <c r="H145" s="183"/>
      <c r="I145" s="184" t="s">
        <v>1056</v>
      </c>
      <c r="J145" s="225"/>
      <c r="K145" s="242" t="s">
        <v>1138</v>
      </c>
      <c r="L145" s="225"/>
      <c r="M145" s="225"/>
      <c r="N145" s="225"/>
      <c r="O145" s="241" t="s">
        <v>995</v>
      </c>
      <c r="P145" s="167"/>
      <c r="Q145" s="181">
        <v>10</v>
      </c>
      <c r="R145" s="174" t="str">
        <f t="shared" ref="R145:R146" si="18">CONCATENATE($L$138,".",TEXT(Q145,"0000"))</f>
        <v>.0010</v>
      </c>
      <c r="S145" s="167" t="str">
        <f>CONCATENATE($E$145)</f>
        <v/>
      </c>
    </row>
    <row r="146" spans="1:19" ht="15.75" thickBot="1">
      <c r="A146" s="173">
        <v>11</v>
      </c>
      <c r="B146" s="174" t="str">
        <f t="shared" si="17"/>
        <v>II-0013.0011</v>
      </c>
      <c r="C146" s="167" t="str">
        <f>CONCATENATE(K146)</f>
        <v>RETIRO Y REPARACION</v>
      </c>
      <c r="D146" s="172" t="s">
        <v>995</v>
      </c>
      <c r="G146" s="167"/>
      <c r="H146" s="229"/>
      <c r="I146" s="264" t="s">
        <v>1082</v>
      </c>
      <c r="J146" s="232"/>
      <c r="K146" s="233" t="s">
        <v>1270</v>
      </c>
      <c r="L146" s="232"/>
      <c r="M146" s="232"/>
      <c r="N146" s="232"/>
      <c r="O146" s="265" t="s">
        <v>995</v>
      </c>
      <c r="P146" s="167"/>
      <c r="Q146" s="181">
        <v>11</v>
      </c>
      <c r="R146" s="174" t="str">
        <f t="shared" si="18"/>
        <v>.0011</v>
      </c>
      <c r="S146" s="167" t="str">
        <f>CONCATENATE($E$146)</f>
        <v/>
      </c>
    </row>
    <row r="147" spans="1:19">
      <c r="A147" s="173"/>
      <c r="B147" s="174"/>
      <c r="C147" s="75"/>
      <c r="D147" s="172"/>
      <c r="G147" s="167"/>
      <c r="H147" s="183"/>
      <c r="I147" s="172"/>
      <c r="J147" s="167"/>
      <c r="K147" s="182"/>
      <c r="L147" s="167"/>
      <c r="M147" s="167"/>
      <c r="N147" s="167"/>
      <c r="O147" s="219"/>
      <c r="P147" s="167"/>
      <c r="Q147" s="181"/>
      <c r="R147" s="174"/>
      <c r="S147" s="167"/>
    </row>
    <row r="148" spans="1:19">
      <c r="A148" s="173">
        <v>14</v>
      </c>
      <c r="B148" s="166" t="s">
        <v>1271</v>
      </c>
      <c r="C148" s="75" t="s">
        <v>1272</v>
      </c>
      <c r="D148" s="172"/>
      <c r="G148" s="167"/>
      <c r="H148" s="205">
        <v>14</v>
      </c>
      <c r="I148" s="266"/>
      <c r="J148" s="267"/>
      <c r="K148" s="253" t="s">
        <v>1272</v>
      </c>
      <c r="L148" s="267"/>
      <c r="M148" s="267"/>
      <c r="N148" s="267"/>
      <c r="O148" s="268"/>
      <c r="P148" s="167"/>
      <c r="Q148" s="181">
        <f>H148</f>
        <v>14</v>
      </c>
      <c r="R148" s="172" t="str">
        <f>CONCATENATE("II-",TEXT(Q148,"0000"))</f>
        <v>II-0014</v>
      </c>
      <c r="S148" s="182" t="str">
        <f>K148</f>
        <v>BASE</v>
      </c>
    </row>
    <row r="149" spans="1:19">
      <c r="A149" s="173">
        <v>1</v>
      </c>
      <c r="B149" s="174" t="str">
        <f>CONCATENATE($B$148,".",TEXT(A149,"0000"))</f>
        <v>II-0014.0001</v>
      </c>
      <c r="C149" s="75" t="s">
        <v>1273</v>
      </c>
      <c r="D149" s="172" t="s">
        <v>1130</v>
      </c>
      <c r="G149" s="167"/>
      <c r="H149" s="183"/>
      <c r="I149" s="184" t="s">
        <v>1019</v>
      </c>
      <c r="J149" s="225"/>
      <c r="K149" s="242" t="s">
        <v>1273</v>
      </c>
      <c r="L149" s="225"/>
      <c r="M149" s="225"/>
      <c r="N149" s="225"/>
      <c r="O149" s="241" t="s">
        <v>1130</v>
      </c>
      <c r="P149" s="167"/>
      <c r="Q149" s="181">
        <v>1</v>
      </c>
      <c r="R149" s="174" t="str">
        <f>CONCATENATE($L$148,".",TEXT(Q149,"0000"))</f>
        <v>.0001</v>
      </c>
      <c r="S149" s="167" t="str">
        <f>CONCATENATE(K149)</f>
        <v>ARENA ASFALTO</v>
      </c>
    </row>
    <row r="150" spans="1:19">
      <c r="A150" s="173">
        <v>2</v>
      </c>
      <c r="B150" s="174" t="str">
        <f>CONCATENATE($B$148,".",TEXT(A150,"0000"))</f>
        <v>II-0014.0002</v>
      </c>
      <c r="C150" s="191" t="s">
        <v>1274</v>
      </c>
      <c r="D150" s="172" t="s">
        <v>1130</v>
      </c>
      <c r="G150" s="167"/>
      <c r="H150" s="183"/>
      <c r="I150" s="184" t="s">
        <v>1046</v>
      </c>
      <c r="J150" s="225"/>
      <c r="K150" s="242" t="s">
        <v>1274</v>
      </c>
      <c r="L150" s="225"/>
      <c r="M150" s="225"/>
      <c r="N150" s="225"/>
      <c r="O150" s="241" t="s">
        <v>1130</v>
      </c>
      <c r="P150" s="167"/>
      <c r="Q150" s="181">
        <v>2</v>
      </c>
      <c r="R150" s="174" t="str">
        <f>CONCATENATE($L$148,".",TEXT(Q150,"0000"))</f>
        <v>.0002</v>
      </c>
      <c r="S150" s="167" t="str">
        <f>CONCATENATE(K150)</f>
        <v>CONCRETO ASFALTICO BITUMINOSO</v>
      </c>
    </row>
    <row r="151" spans="1:19">
      <c r="A151" s="173"/>
      <c r="B151" s="174"/>
      <c r="C151" s="75"/>
      <c r="D151" s="172"/>
      <c r="G151" s="167"/>
      <c r="H151" s="183"/>
      <c r="I151" s="192" t="s">
        <v>1056</v>
      </c>
      <c r="J151" s="167"/>
      <c r="K151" s="182" t="s">
        <v>1275</v>
      </c>
      <c r="L151" s="167"/>
      <c r="M151" s="167"/>
      <c r="N151" s="167"/>
      <c r="O151" s="219"/>
      <c r="P151" s="167"/>
      <c r="Q151" s="167"/>
      <c r="R151" s="167"/>
      <c r="S151" s="167"/>
    </row>
    <row r="152" spans="1:19">
      <c r="A152" s="173">
        <v>3</v>
      </c>
      <c r="B152" s="174" t="str">
        <f t="shared" ref="B152:B154" si="19">CONCATENATE($B$148,".",TEXT(A152,"0000"))</f>
        <v>II-0014.0003</v>
      </c>
      <c r="C152" s="167" t="str">
        <f>CONCATENATE($K$151," - TIPO ",L152)</f>
        <v>GRANULAR - TIPO ANTICOGELANTES</v>
      </c>
      <c r="D152" s="172" t="s">
        <v>1130</v>
      </c>
      <c r="G152" s="167"/>
      <c r="H152" s="183"/>
      <c r="I152" s="172"/>
      <c r="J152" s="189">
        <v>1</v>
      </c>
      <c r="K152" s="167"/>
      <c r="L152" s="182" t="s">
        <v>1276</v>
      </c>
      <c r="M152" s="167"/>
      <c r="N152" s="167"/>
      <c r="O152" s="219" t="s">
        <v>1130</v>
      </c>
      <c r="P152" s="167"/>
      <c r="Q152" s="181">
        <v>3</v>
      </c>
      <c r="R152" s="174" t="str">
        <f>CONCATENATE($L$148,".",TEXT(Q152,"0000"))</f>
        <v>.0003</v>
      </c>
      <c r="S152" s="167" t="str">
        <f>CONCATENATE($E$151," ",L152)</f>
        <v xml:space="preserve"> ANTICOGELANTES</v>
      </c>
    </row>
    <row r="153" spans="1:19">
      <c r="A153" s="173">
        <v>4</v>
      </c>
      <c r="B153" s="174" t="str">
        <f t="shared" si="19"/>
        <v>II-0014.0004</v>
      </c>
      <c r="C153" s="167" t="str">
        <f t="shared" ref="C153:C154" si="20">CONCATENATE($K$151," - TIPO ",L153)</f>
        <v>GRANULAR - TIPO DRENANTES</v>
      </c>
      <c r="D153" s="172" t="s">
        <v>1130</v>
      </c>
      <c r="G153" s="167"/>
      <c r="H153" s="183"/>
      <c r="I153" s="172"/>
      <c r="J153" s="189">
        <v>2</v>
      </c>
      <c r="K153" s="182"/>
      <c r="L153" s="182" t="s">
        <v>1277</v>
      </c>
      <c r="M153" s="167"/>
      <c r="N153" s="167"/>
      <c r="O153" s="219" t="s">
        <v>1130</v>
      </c>
      <c r="P153" s="167"/>
      <c r="Q153" s="181">
        <v>4</v>
      </c>
      <c r="R153" s="174" t="str">
        <f t="shared" ref="R153:R154" si="21">CONCATENATE($L$148,".",TEXT(Q153,"0000"))</f>
        <v>.0004</v>
      </c>
      <c r="S153" s="167" t="str">
        <f t="shared" ref="S153" si="22">CONCATENATE($E$151," ",L153)</f>
        <v xml:space="preserve"> DRENANTES</v>
      </c>
    </row>
    <row r="154" spans="1:19" ht="15.75" thickBot="1">
      <c r="A154" s="173">
        <v>5</v>
      </c>
      <c r="B154" s="174" t="str">
        <f t="shared" si="19"/>
        <v>II-0014.0005</v>
      </c>
      <c r="C154" s="167" t="str">
        <f t="shared" si="20"/>
        <v>GRANULAR - TIPO GRANULAR</v>
      </c>
      <c r="D154" s="172" t="s">
        <v>1130</v>
      </c>
      <c r="G154" s="167"/>
      <c r="H154" s="229"/>
      <c r="I154" s="269"/>
      <c r="J154" s="231">
        <v>3</v>
      </c>
      <c r="K154" s="233"/>
      <c r="L154" s="233" t="s">
        <v>1275</v>
      </c>
      <c r="M154" s="232"/>
      <c r="N154" s="232"/>
      <c r="O154" s="265" t="s">
        <v>1130</v>
      </c>
      <c r="P154" s="167"/>
      <c r="Q154" s="181">
        <v>5</v>
      </c>
      <c r="R154" s="174" t="str">
        <f t="shared" si="21"/>
        <v>.0005</v>
      </c>
      <c r="S154" s="167" t="str">
        <f>CONCATENATE($E$151)</f>
        <v/>
      </c>
    </row>
    <row r="155" spans="1:19">
      <c r="A155" s="173"/>
      <c r="B155" s="174"/>
      <c r="C155" s="75"/>
      <c r="D155" s="172"/>
      <c r="G155" s="167"/>
      <c r="H155" s="235"/>
      <c r="I155" s="172"/>
      <c r="J155" s="172"/>
      <c r="K155" s="182"/>
      <c r="L155" s="182"/>
      <c r="M155" s="167"/>
      <c r="N155" s="167"/>
      <c r="O155" s="170"/>
      <c r="P155" s="167"/>
      <c r="Q155" s="181"/>
      <c r="R155" s="167"/>
      <c r="S155" s="167"/>
    </row>
    <row r="156" spans="1:19">
      <c r="A156" s="173"/>
      <c r="B156" s="174"/>
      <c r="C156" s="75"/>
      <c r="D156" s="172"/>
      <c r="G156" s="167"/>
      <c r="H156" s="205">
        <v>14</v>
      </c>
      <c r="I156" s="207"/>
      <c r="J156" s="217"/>
      <c r="K156" s="262" t="s">
        <v>1272</v>
      </c>
      <c r="L156" s="217"/>
      <c r="M156" s="217"/>
      <c r="N156" s="217"/>
      <c r="O156" s="227"/>
      <c r="P156" s="167"/>
      <c r="Q156" s="181"/>
      <c r="R156" s="167"/>
      <c r="S156" s="167"/>
    </row>
    <row r="157" spans="1:19">
      <c r="A157" s="173">
        <v>6</v>
      </c>
      <c r="B157" s="174" t="str">
        <f t="shared" ref="B157" si="23">CONCATENATE($B$148,".",TEXT(A157,"0000"))</f>
        <v>II-0014.0006</v>
      </c>
      <c r="C157" s="167" t="str">
        <f>CONCATENATE(K157)</f>
        <v>AGREGADO PETREO Y SUELO</v>
      </c>
      <c r="D157" s="172" t="s">
        <v>1130</v>
      </c>
      <c r="G157" s="167"/>
      <c r="H157" s="183"/>
      <c r="I157" s="184" t="s">
        <v>1082</v>
      </c>
      <c r="J157" s="225"/>
      <c r="K157" s="242" t="s">
        <v>1278</v>
      </c>
      <c r="L157" s="225"/>
      <c r="M157" s="225"/>
      <c r="N157" s="225"/>
      <c r="O157" s="241" t="s">
        <v>1130</v>
      </c>
      <c r="P157" s="167"/>
      <c r="Q157" s="181">
        <v>6</v>
      </c>
      <c r="R157" s="174" t="str">
        <f t="shared" ref="R157" si="24">CONCATENATE($L$148,".",TEXT(Q157,"0000"))</f>
        <v>.0006</v>
      </c>
      <c r="S157" s="167" t="str">
        <f>CONCATENATE($E$157)</f>
        <v/>
      </c>
    </row>
    <row r="158" spans="1:19">
      <c r="A158" s="173"/>
      <c r="B158" s="174"/>
      <c r="C158" s="75"/>
      <c r="D158" s="172"/>
      <c r="G158" s="167"/>
      <c r="H158" s="183"/>
      <c r="I158" s="184" t="s">
        <v>1124</v>
      </c>
      <c r="J158" s="167"/>
      <c r="K158" s="182" t="s">
        <v>1133</v>
      </c>
      <c r="L158" s="167"/>
      <c r="M158" s="167"/>
      <c r="N158" s="167"/>
      <c r="O158" s="219"/>
      <c r="P158" s="167"/>
      <c r="Q158" s="167"/>
      <c r="R158" s="167"/>
      <c r="S158" s="167"/>
    </row>
    <row r="159" spans="1:19">
      <c r="A159" s="173">
        <v>10</v>
      </c>
      <c r="B159" s="174" t="str">
        <f t="shared" ref="B159:B167" si="25">CONCATENATE($B$148,".",TEXT(A159,"0000"))</f>
        <v>II-0014.0010</v>
      </c>
      <c r="C159" s="167" t="str">
        <f>CONCATENATE($K$158," ",L159)</f>
        <v>REPARACION AGREGADO PETREO Y SUELO</v>
      </c>
      <c r="D159" s="172" t="s">
        <v>1130</v>
      </c>
      <c r="G159" s="167"/>
      <c r="H159" s="183"/>
      <c r="I159" s="172"/>
      <c r="J159" s="189">
        <v>1</v>
      </c>
      <c r="K159" s="182"/>
      <c r="L159" s="182" t="s">
        <v>1278</v>
      </c>
      <c r="M159" s="167"/>
      <c r="N159" s="167"/>
      <c r="O159" s="219" t="s">
        <v>1130</v>
      </c>
      <c r="P159" s="167"/>
      <c r="Q159" s="181">
        <v>10</v>
      </c>
      <c r="R159" s="174" t="str">
        <f>CONCATENATE($L$148,".",TEXT(Q159,"0000"))</f>
        <v>.0010</v>
      </c>
      <c r="S159" s="167" t="str">
        <f>CONCATENATE($E$158," ",L159)</f>
        <v xml:space="preserve"> AGREGADO PETREO Y SUELO</v>
      </c>
    </row>
    <row r="160" spans="1:19">
      <c r="A160" s="173">
        <v>11</v>
      </c>
      <c r="B160" s="174" t="str">
        <f t="shared" si="25"/>
        <v>II-0014.0011</v>
      </c>
      <c r="C160" s="167" t="str">
        <f t="shared" ref="C160:C163" si="26">CONCATENATE($K$158," ",L160)</f>
        <v>REPARACION SUELO CAL</v>
      </c>
      <c r="D160" s="172" t="s">
        <v>1130</v>
      </c>
      <c r="G160" s="167"/>
      <c r="H160" s="183"/>
      <c r="I160" s="172"/>
      <c r="J160" s="189">
        <v>2</v>
      </c>
      <c r="K160" s="182"/>
      <c r="L160" s="182" t="s">
        <v>1214</v>
      </c>
      <c r="M160" s="167"/>
      <c r="N160" s="167"/>
      <c r="O160" s="219" t="s">
        <v>1130</v>
      </c>
      <c r="P160" s="167"/>
      <c r="Q160" s="181">
        <v>11</v>
      </c>
      <c r="R160" s="174" t="str">
        <f t="shared" ref="R160:R167" si="27">CONCATENATE($L$148,".",TEXT(Q160,"0000"))</f>
        <v>.0011</v>
      </c>
      <c r="S160" s="167" t="str">
        <f t="shared" ref="S160:S163" si="28">CONCATENATE($E$158," ",L160)</f>
        <v xml:space="preserve"> SUELO CAL</v>
      </c>
    </row>
    <row r="161" spans="1:19">
      <c r="A161" s="173">
        <v>12</v>
      </c>
      <c r="B161" s="174" t="str">
        <f t="shared" si="25"/>
        <v>II-0014.0012</v>
      </c>
      <c r="C161" s="167" t="str">
        <f t="shared" si="26"/>
        <v>REPARACION SUELO CEMENTO</v>
      </c>
      <c r="D161" s="172" t="s">
        <v>1130</v>
      </c>
      <c r="G161" s="167"/>
      <c r="H161" s="183"/>
      <c r="I161" s="172"/>
      <c r="J161" s="189">
        <v>3</v>
      </c>
      <c r="K161" s="182"/>
      <c r="L161" s="182" t="s">
        <v>1217</v>
      </c>
      <c r="M161" s="167"/>
      <c r="N161" s="167"/>
      <c r="O161" s="219" t="s">
        <v>1130</v>
      </c>
      <c r="P161" s="167"/>
      <c r="Q161" s="181">
        <v>12</v>
      </c>
      <c r="R161" s="174" t="str">
        <f t="shared" si="27"/>
        <v>.0012</v>
      </c>
      <c r="S161" s="167" t="str">
        <f t="shared" si="28"/>
        <v xml:space="preserve"> SUELO CEMENTO</v>
      </c>
    </row>
    <row r="162" spans="1:19">
      <c r="A162" s="173">
        <v>13</v>
      </c>
      <c r="B162" s="174" t="str">
        <f t="shared" si="25"/>
        <v>II-0014.0013</v>
      </c>
      <c r="C162" s="167" t="str">
        <f t="shared" si="26"/>
        <v>REPARACION SUELO ESCORIA</v>
      </c>
      <c r="D162" s="172" t="s">
        <v>1130</v>
      </c>
      <c r="G162" s="167"/>
      <c r="H162" s="183"/>
      <c r="I162" s="172"/>
      <c r="J162" s="189">
        <v>4</v>
      </c>
      <c r="K162" s="182"/>
      <c r="L162" s="182" t="s">
        <v>1279</v>
      </c>
      <c r="M162" s="167"/>
      <c r="N162" s="167"/>
      <c r="O162" s="219" t="s">
        <v>1130</v>
      </c>
      <c r="P162" s="167"/>
      <c r="Q162" s="181">
        <v>13</v>
      </c>
      <c r="R162" s="174" t="str">
        <f t="shared" si="27"/>
        <v>.0013</v>
      </c>
      <c r="S162" s="167" t="str">
        <f t="shared" si="28"/>
        <v xml:space="preserve"> SUELO ESCORIA</v>
      </c>
    </row>
    <row r="163" spans="1:19">
      <c r="A163" s="173">
        <v>14</v>
      </c>
      <c r="B163" s="174" t="str">
        <f t="shared" si="25"/>
        <v>II-0014.0014</v>
      </c>
      <c r="C163" s="167" t="str">
        <f t="shared" si="26"/>
        <v>REPARACION SUELO SELECCIONADO</v>
      </c>
      <c r="D163" s="172" t="s">
        <v>1130</v>
      </c>
      <c r="G163" s="167"/>
      <c r="H163" s="183"/>
      <c r="I163" s="197"/>
      <c r="J163" s="192">
        <v>5</v>
      </c>
      <c r="K163" s="182"/>
      <c r="L163" s="182" t="s">
        <v>1220</v>
      </c>
      <c r="M163" s="167"/>
      <c r="N163" s="167"/>
      <c r="O163" s="219" t="s">
        <v>1130</v>
      </c>
      <c r="P163" s="167"/>
      <c r="Q163" s="181">
        <v>14</v>
      </c>
      <c r="R163" s="174" t="str">
        <f t="shared" si="27"/>
        <v>.0014</v>
      </c>
      <c r="S163" s="167" t="str">
        <f t="shared" si="28"/>
        <v xml:space="preserve"> SUELO SELECCIONADO</v>
      </c>
    </row>
    <row r="164" spans="1:19">
      <c r="A164" s="173">
        <v>20</v>
      </c>
      <c r="B164" s="174" t="str">
        <f t="shared" si="25"/>
        <v>II-0014.0020</v>
      </c>
      <c r="C164" s="167" t="str">
        <f t="shared" ref="C164:C167" si="29">CONCATENATE(K164)</f>
        <v>SUELO CAL</v>
      </c>
      <c r="D164" s="172" t="s">
        <v>1130</v>
      </c>
      <c r="G164" s="167"/>
      <c r="H164" s="183"/>
      <c r="I164" s="192" t="s">
        <v>1127</v>
      </c>
      <c r="J164" s="225"/>
      <c r="K164" s="242" t="s">
        <v>1214</v>
      </c>
      <c r="L164" s="225"/>
      <c r="M164" s="225"/>
      <c r="N164" s="225"/>
      <c r="O164" s="241" t="s">
        <v>1130</v>
      </c>
      <c r="P164" s="167"/>
      <c r="Q164" s="181">
        <v>20</v>
      </c>
      <c r="R164" s="174" t="str">
        <f t="shared" si="27"/>
        <v>.0020</v>
      </c>
      <c r="S164" s="167" t="str">
        <f>CONCATENATE(K164)</f>
        <v>SUELO CAL</v>
      </c>
    </row>
    <row r="165" spans="1:19">
      <c r="A165" s="173">
        <v>21</v>
      </c>
      <c r="B165" s="174" t="str">
        <f t="shared" si="25"/>
        <v>II-0014.0021</v>
      </c>
      <c r="C165" s="167" t="str">
        <f t="shared" si="29"/>
        <v>SUELO CEMENTO</v>
      </c>
      <c r="D165" s="172" t="s">
        <v>1130</v>
      </c>
      <c r="G165" s="167"/>
      <c r="H165" s="183"/>
      <c r="I165" s="189" t="s">
        <v>1131</v>
      </c>
      <c r="J165" s="167"/>
      <c r="K165" s="182" t="s">
        <v>1217</v>
      </c>
      <c r="L165" s="167"/>
      <c r="M165" s="167"/>
      <c r="N165" s="167"/>
      <c r="O165" s="219" t="s">
        <v>1130</v>
      </c>
      <c r="P165" s="167"/>
      <c r="Q165" s="181">
        <v>21</v>
      </c>
      <c r="R165" s="174" t="str">
        <f t="shared" si="27"/>
        <v>.0021</v>
      </c>
      <c r="S165" s="167" t="str">
        <f t="shared" ref="S165:S167" si="30">CONCATENATE(K165)</f>
        <v>SUELO CEMENTO</v>
      </c>
    </row>
    <row r="166" spans="1:19">
      <c r="A166" s="173">
        <v>22</v>
      </c>
      <c r="B166" s="174" t="str">
        <f t="shared" si="25"/>
        <v>II-0014.0022</v>
      </c>
      <c r="C166" s="167" t="str">
        <f t="shared" si="29"/>
        <v>SUELO ESCORIA</v>
      </c>
      <c r="D166" s="172" t="s">
        <v>1130</v>
      </c>
      <c r="G166" s="167"/>
      <c r="H166" s="183"/>
      <c r="I166" s="184" t="s">
        <v>1134</v>
      </c>
      <c r="J166" s="225"/>
      <c r="K166" s="242" t="s">
        <v>1279</v>
      </c>
      <c r="L166" s="225"/>
      <c r="M166" s="225"/>
      <c r="N166" s="225"/>
      <c r="O166" s="241" t="s">
        <v>1130</v>
      </c>
      <c r="P166" s="167"/>
      <c r="Q166" s="181">
        <v>22</v>
      </c>
      <c r="R166" s="174" t="str">
        <f t="shared" si="27"/>
        <v>.0022</v>
      </c>
      <c r="S166" s="167" t="str">
        <f t="shared" si="30"/>
        <v>SUELO ESCORIA</v>
      </c>
    </row>
    <row r="167" spans="1:19">
      <c r="A167" s="173">
        <v>23</v>
      </c>
      <c r="B167" s="174" t="str">
        <f t="shared" si="25"/>
        <v>II-0014.0023</v>
      </c>
      <c r="C167" s="167" t="str">
        <f t="shared" si="29"/>
        <v>SUELO SELECCIONADO</v>
      </c>
      <c r="D167" s="172" t="s">
        <v>1130</v>
      </c>
      <c r="G167" s="167"/>
      <c r="H167" s="183"/>
      <c r="I167" s="189" t="s">
        <v>888</v>
      </c>
      <c r="J167" s="167"/>
      <c r="K167" s="182" t="s">
        <v>1220</v>
      </c>
      <c r="L167" s="167"/>
      <c r="M167" s="167"/>
      <c r="N167" s="167"/>
      <c r="O167" s="219" t="s">
        <v>1130</v>
      </c>
      <c r="P167" s="167"/>
      <c r="Q167" s="181">
        <v>23</v>
      </c>
      <c r="R167" s="174" t="str">
        <f t="shared" si="27"/>
        <v>.0023</v>
      </c>
      <c r="S167" s="167" t="str">
        <f t="shared" si="30"/>
        <v>SUELO SELECCIONADO</v>
      </c>
    </row>
    <row r="168" spans="1:19" ht="15.75" thickBot="1">
      <c r="A168" s="173"/>
      <c r="B168" s="174"/>
      <c r="C168" s="75"/>
      <c r="D168" s="172"/>
      <c r="G168" s="167"/>
      <c r="H168" s="183"/>
      <c r="I168" s="172"/>
      <c r="J168" s="167"/>
      <c r="K168" s="182"/>
      <c r="L168" s="167"/>
      <c r="M168" s="167"/>
      <c r="N168" s="167"/>
      <c r="O168" s="219"/>
      <c r="P168" s="167"/>
      <c r="Q168" s="181"/>
      <c r="R168" s="174"/>
      <c r="S168" s="167"/>
    </row>
    <row r="169" spans="1:19" ht="15.75" thickTop="1">
      <c r="A169" s="173">
        <v>15</v>
      </c>
      <c r="B169" s="174" t="s">
        <v>1280</v>
      </c>
      <c r="C169" s="75" t="s">
        <v>1281</v>
      </c>
      <c r="D169" s="172"/>
      <c r="G169" s="167"/>
      <c r="H169" s="250">
        <v>15</v>
      </c>
      <c r="I169" s="206"/>
      <c r="J169" s="255"/>
      <c r="K169" s="256" t="s">
        <v>1281</v>
      </c>
      <c r="L169" s="255"/>
      <c r="M169" s="255"/>
      <c r="N169" s="255"/>
      <c r="O169" s="208"/>
      <c r="P169" s="167"/>
      <c r="Q169" s="181">
        <f>H169</f>
        <v>15</v>
      </c>
      <c r="R169" s="172" t="str">
        <f>CONCATENATE("II-",TEXT(Q169,"0000"))</f>
        <v>II-0015</v>
      </c>
      <c r="S169" s="182" t="str">
        <f>K169</f>
        <v>CALZADA</v>
      </c>
    </row>
    <row r="170" spans="1:19">
      <c r="A170" s="173"/>
      <c r="B170" s="174"/>
      <c r="C170" s="75"/>
      <c r="D170" s="172"/>
      <c r="G170" s="167"/>
      <c r="H170" s="183"/>
      <c r="I170" s="184" t="s">
        <v>1019</v>
      </c>
      <c r="J170" s="167"/>
      <c r="K170" s="182" t="s">
        <v>1282</v>
      </c>
      <c r="L170" s="187"/>
      <c r="M170" s="187"/>
      <c r="N170" s="187"/>
      <c r="O170" s="228"/>
      <c r="P170" s="167"/>
      <c r="Q170" s="181"/>
      <c r="R170" s="167"/>
      <c r="S170" s="167"/>
    </row>
    <row r="171" spans="1:19">
      <c r="A171" s="173">
        <v>1</v>
      </c>
      <c r="B171" s="174" t="str">
        <f>CONCATENATE($B$169,".",TEXT(A171,"0000"))</f>
        <v>II-0015.0001</v>
      </c>
      <c r="C171" s="167" t="str">
        <f>CONCATENATE($K$170," ",L171)</f>
        <v>CORRECCION DE AHUELLAMIENTO AGREGADO PETREO Y SUELO</v>
      </c>
      <c r="D171" s="172" t="s">
        <v>1213</v>
      </c>
      <c r="G171" s="167"/>
      <c r="H171" s="183"/>
      <c r="I171" s="172"/>
      <c r="J171" s="189">
        <v>1</v>
      </c>
      <c r="K171" s="167"/>
      <c r="L171" s="182" t="s">
        <v>1278</v>
      </c>
      <c r="M171" s="167"/>
      <c r="N171" s="167"/>
      <c r="O171" s="219" t="s">
        <v>1213</v>
      </c>
      <c r="P171" s="167"/>
      <c r="Q171" s="181"/>
      <c r="R171" s="167"/>
      <c r="S171" s="167"/>
    </row>
    <row r="172" spans="1:19">
      <c r="A172" s="173">
        <v>2</v>
      </c>
      <c r="B172" s="174" t="str">
        <f t="shared" ref="B172:B181" si="31">CONCATENATE($B$169,".",TEXT(A172,"0000"))</f>
        <v>II-0015.0002</v>
      </c>
      <c r="C172" s="167" t="str">
        <f t="shared" ref="C172:C175" si="32">CONCATENATE($K$170," ",L172)</f>
        <v>CORRECCION DE AHUELLAMIENTO FRESADO</v>
      </c>
      <c r="D172" s="172" t="s">
        <v>1213</v>
      </c>
      <c r="G172" s="167"/>
      <c r="H172" s="183"/>
      <c r="I172" s="172"/>
      <c r="J172" s="189">
        <v>2</v>
      </c>
      <c r="K172" s="182"/>
      <c r="L172" s="182" t="s">
        <v>1283</v>
      </c>
      <c r="M172" s="167"/>
      <c r="N172" s="167"/>
      <c r="O172" s="219" t="s">
        <v>1213</v>
      </c>
      <c r="P172" s="167"/>
      <c r="Q172" s="181"/>
      <c r="R172" s="167"/>
      <c r="S172" s="167"/>
    </row>
    <row r="173" spans="1:19">
      <c r="A173" s="173">
        <v>3</v>
      </c>
      <c r="B173" s="174" t="str">
        <f t="shared" si="31"/>
        <v>II-0015.0003</v>
      </c>
      <c r="C173" s="167" t="str">
        <f t="shared" si="32"/>
        <v>CORRECCION DE AHUELLAMIENTO MEZCLA ASFALTICA</v>
      </c>
      <c r="D173" s="172" t="s">
        <v>1213</v>
      </c>
      <c r="G173" s="167"/>
      <c r="H173" s="183"/>
      <c r="I173" s="172"/>
      <c r="J173" s="189">
        <v>3</v>
      </c>
      <c r="K173" s="182"/>
      <c r="L173" s="182" t="s">
        <v>1210</v>
      </c>
      <c r="M173" s="167"/>
      <c r="N173" s="167"/>
      <c r="O173" s="219" t="s">
        <v>1213</v>
      </c>
      <c r="P173" s="167"/>
      <c r="Q173" s="167"/>
      <c r="R173" s="167"/>
      <c r="S173" s="167"/>
    </row>
    <row r="174" spans="1:19">
      <c r="A174" s="173">
        <v>4</v>
      </c>
      <c r="B174" s="174" t="str">
        <f t="shared" si="31"/>
        <v>II-0015.0004</v>
      </c>
      <c r="C174" s="167" t="str">
        <f t="shared" si="32"/>
        <v>CORRECCION DE AHUELLAMIENTO MICROAGLOMERADO</v>
      </c>
      <c r="D174" s="172" t="s">
        <v>1213</v>
      </c>
      <c r="G174" s="167"/>
      <c r="H174" s="183"/>
      <c r="I174" s="172"/>
      <c r="J174" s="189">
        <v>4</v>
      </c>
      <c r="K174" s="182"/>
      <c r="L174" s="182" t="s">
        <v>1284</v>
      </c>
      <c r="M174" s="167"/>
      <c r="N174" s="167"/>
      <c r="O174" s="219" t="s">
        <v>1213</v>
      </c>
      <c r="P174" s="167"/>
      <c r="Q174" s="167"/>
      <c r="R174" s="167"/>
      <c r="S174" s="167"/>
    </row>
    <row r="175" spans="1:19">
      <c r="A175" s="173">
        <v>5</v>
      </c>
      <c r="B175" s="174" t="str">
        <f t="shared" si="31"/>
        <v>II-0015.0005</v>
      </c>
      <c r="C175" s="167" t="str">
        <f t="shared" si="32"/>
        <v>CORRECCION DE AHUELLAMIENTO SUELO CEMENTO</v>
      </c>
      <c r="D175" s="172" t="s">
        <v>1213</v>
      </c>
      <c r="G175" s="167"/>
      <c r="H175" s="183"/>
      <c r="I175" s="197"/>
      <c r="J175" s="192">
        <v>5</v>
      </c>
      <c r="K175" s="194"/>
      <c r="L175" s="194" t="s">
        <v>1217</v>
      </c>
      <c r="M175" s="193"/>
      <c r="N175" s="193"/>
      <c r="O175" s="237" t="s">
        <v>1213</v>
      </c>
      <c r="P175" s="167"/>
      <c r="Q175" s="167"/>
      <c r="R175" s="167"/>
      <c r="S175" s="167"/>
    </row>
    <row r="176" spans="1:19">
      <c r="A176" s="173"/>
      <c r="B176" s="174"/>
      <c r="C176" s="75"/>
      <c r="D176" s="172"/>
      <c r="G176" s="167"/>
      <c r="H176" s="183"/>
      <c r="I176" s="184" t="s">
        <v>1046</v>
      </c>
      <c r="J176" s="172"/>
      <c r="K176" s="182" t="s">
        <v>1285</v>
      </c>
      <c r="L176" s="182"/>
      <c r="M176" s="167"/>
      <c r="N176" s="167"/>
      <c r="O176" s="219"/>
      <c r="P176" s="167"/>
      <c r="Q176" s="167"/>
      <c r="R176" s="167"/>
      <c r="S176" s="167"/>
    </row>
    <row r="177" spans="1:19">
      <c r="A177" s="173">
        <v>11</v>
      </c>
      <c r="B177" s="174" t="str">
        <f t="shared" si="31"/>
        <v>II-0015.0011</v>
      </c>
      <c r="C177" s="167" t="str">
        <f>CONCATENATE($K$176," ",L177)</f>
        <v>CORRECCION DE DEPRESIONES Y DEFORMACIONES AGREGADO PETREO Y SUELO</v>
      </c>
      <c r="D177" s="172" t="s">
        <v>1130</v>
      </c>
      <c r="G177" s="167"/>
      <c r="H177" s="183"/>
      <c r="I177" s="172"/>
      <c r="J177" s="189">
        <v>1</v>
      </c>
      <c r="K177" s="182"/>
      <c r="L177" s="182" t="s">
        <v>1278</v>
      </c>
      <c r="M177" s="167"/>
      <c r="N177" s="167"/>
      <c r="O177" s="219" t="s">
        <v>1130</v>
      </c>
      <c r="P177" s="167"/>
      <c r="Q177" s="167"/>
      <c r="R177" s="167"/>
      <c r="S177" s="167"/>
    </row>
    <row r="178" spans="1:19">
      <c r="A178" s="173">
        <v>12</v>
      </c>
      <c r="B178" s="174" t="str">
        <f t="shared" si="31"/>
        <v>II-0015.0012</v>
      </c>
      <c r="C178" s="167" t="str">
        <f t="shared" ref="C178:C181" si="33">CONCATENATE($K$176," ",L178)</f>
        <v>CORRECCION DE DEPRESIONES Y DEFORMACIONES SUELO CAL</v>
      </c>
      <c r="D178" s="172" t="s">
        <v>1130</v>
      </c>
      <c r="G178" s="167"/>
      <c r="H178" s="183"/>
      <c r="I178" s="172"/>
      <c r="J178" s="189">
        <v>2</v>
      </c>
      <c r="K178" s="182"/>
      <c r="L178" s="182" t="s">
        <v>1214</v>
      </c>
      <c r="M178" s="167"/>
      <c r="N178" s="167"/>
      <c r="O178" s="219" t="s">
        <v>1130</v>
      </c>
      <c r="P178" s="167"/>
      <c r="Q178" s="167"/>
      <c r="R178" s="167"/>
      <c r="S178" s="167"/>
    </row>
    <row r="179" spans="1:19">
      <c r="A179" s="173">
        <v>13</v>
      </c>
      <c r="B179" s="174" t="str">
        <f t="shared" si="31"/>
        <v>II-0015.0013</v>
      </c>
      <c r="C179" s="167" t="str">
        <f t="shared" si="33"/>
        <v>CORRECCION DE DEPRESIONES Y DEFORMACIONES SUELO CEMENTO</v>
      </c>
      <c r="D179" s="172" t="s">
        <v>1130</v>
      </c>
      <c r="G179" s="167"/>
      <c r="H179" s="183"/>
      <c r="I179" s="172"/>
      <c r="J179" s="189">
        <v>3</v>
      </c>
      <c r="K179" s="182"/>
      <c r="L179" s="182" t="s">
        <v>1217</v>
      </c>
      <c r="M179" s="167"/>
      <c r="N179" s="167"/>
      <c r="O179" s="219" t="s">
        <v>1130</v>
      </c>
      <c r="P179" s="167"/>
      <c r="Q179" s="167"/>
      <c r="R179" s="167"/>
      <c r="S179" s="167"/>
    </row>
    <row r="180" spans="1:19">
      <c r="A180" s="173">
        <v>14</v>
      </c>
      <c r="B180" s="174" t="str">
        <f t="shared" si="31"/>
        <v>II-0015.0014</v>
      </c>
      <c r="C180" s="167" t="str">
        <f t="shared" si="33"/>
        <v>CORRECCION DE DEPRESIONES Y DEFORMACIONES SUELO ESCORIA</v>
      </c>
      <c r="D180" s="172" t="s">
        <v>1130</v>
      </c>
      <c r="G180" s="167"/>
      <c r="H180" s="183"/>
      <c r="I180" s="172"/>
      <c r="J180" s="189">
        <v>4</v>
      </c>
      <c r="K180" s="182"/>
      <c r="L180" s="182" t="s">
        <v>1279</v>
      </c>
      <c r="M180" s="167"/>
      <c r="N180" s="167"/>
      <c r="O180" s="219" t="s">
        <v>1130</v>
      </c>
      <c r="P180" s="167"/>
      <c r="Q180" s="167"/>
      <c r="R180" s="167"/>
      <c r="S180" s="167"/>
    </row>
    <row r="181" spans="1:19">
      <c r="A181" s="173">
        <v>15</v>
      </c>
      <c r="B181" s="174" t="str">
        <f t="shared" si="31"/>
        <v>II-0015.0015</v>
      </c>
      <c r="C181" s="167" t="str">
        <f t="shared" si="33"/>
        <v>CORRECCION DE DEPRESIONES Y DEFORMACIONES SUELO SELECCIONADO</v>
      </c>
      <c r="D181" s="172" t="s">
        <v>1130</v>
      </c>
      <c r="G181" s="167"/>
      <c r="H181" s="183"/>
      <c r="I181" s="197"/>
      <c r="J181" s="192">
        <v>5</v>
      </c>
      <c r="K181" s="194"/>
      <c r="L181" s="194" t="s">
        <v>1220</v>
      </c>
      <c r="M181" s="193"/>
      <c r="N181" s="193"/>
      <c r="O181" s="237" t="s">
        <v>1130</v>
      </c>
      <c r="P181" s="167"/>
      <c r="Q181" s="167"/>
      <c r="R181" s="167"/>
      <c r="S181" s="167"/>
    </row>
    <row r="182" spans="1:19" ht="15.75" thickBot="1">
      <c r="A182" s="173"/>
      <c r="B182" s="166"/>
      <c r="C182" s="191"/>
      <c r="D182" s="172" t="s">
        <v>995</v>
      </c>
      <c r="G182" s="167"/>
      <c r="H182" s="198"/>
      <c r="I182" s="210" t="s">
        <v>1082</v>
      </c>
      <c r="J182" s="199"/>
      <c r="K182" s="202" t="s">
        <v>1286</v>
      </c>
      <c r="L182" s="202"/>
      <c r="M182" s="201"/>
      <c r="N182" s="201"/>
      <c r="O182" s="263" t="s">
        <v>995</v>
      </c>
      <c r="P182" s="167"/>
      <c r="Q182" s="167"/>
      <c r="R182" s="167"/>
      <c r="S182" s="167"/>
    </row>
    <row r="183" spans="1:19" ht="15.75" thickTop="1">
      <c r="A183" s="173">
        <v>16</v>
      </c>
      <c r="B183" s="174" t="s">
        <v>1287</v>
      </c>
      <c r="C183" s="75" t="s">
        <v>1288</v>
      </c>
      <c r="D183" s="172"/>
      <c r="G183" s="167"/>
      <c r="H183" s="205">
        <v>16</v>
      </c>
      <c r="I183" s="207"/>
      <c r="J183" s="217"/>
      <c r="K183" s="262" t="s">
        <v>1288</v>
      </c>
      <c r="L183" s="217"/>
      <c r="M183" s="217"/>
      <c r="N183" s="217"/>
      <c r="O183" s="227"/>
      <c r="P183" s="167"/>
      <c r="Q183" s="181">
        <f>H183</f>
        <v>16</v>
      </c>
      <c r="R183" s="172" t="str">
        <f>CONCATENATE("II-",TEXT(Q183,"0000"))</f>
        <v>II-0016</v>
      </c>
      <c r="S183" s="182" t="str">
        <f>K183</f>
        <v>CAMARA DE INSPECCION</v>
      </c>
    </row>
    <row r="184" spans="1:19" ht="15.75" thickBot="1">
      <c r="A184" s="173">
        <v>1</v>
      </c>
      <c r="B184" s="174" t="str">
        <f>CONCATENATE($B$183,".",TEXT(A184,"0000"))</f>
        <v>II-0016.0001</v>
      </c>
      <c r="C184" s="167" t="str">
        <f>CONCATENATE("S/PLANO ",K184)</f>
        <v>S/PLANO H-2465</v>
      </c>
      <c r="D184" s="172" t="s">
        <v>4</v>
      </c>
      <c r="G184" s="167"/>
      <c r="H184" s="209"/>
      <c r="I184" s="210" t="s">
        <v>1019</v>
      </c>
      <c r="J184" s="213"/>
      <c r="K184" s="244" t="s">
        <v>1289</v>
      </c>
      <c r="L184" s="213"/>
      <c r="M184" s="213"/>
      <c r="N184" s="213"/>
      <c r="O184" s="245" t="s">
        <v>4</v>
      </c>
      <c r="P184" s="167"/>
      <c r="Q184" s="167"/>
      <c r="R184" s="167"/>
      <c r="S184" s="167"/>
    </row>
    <row r="185" spans="1:19" ht="15.75" thickTop="1">
      <c r="A185" s="173">
        <v>17</v>
      </c>
      <c r="B185" s="174" t="s">
        <v>1290</v>
      </c>
      <c r="C185" s="75" t="s">
        <v>1291</v>
      </c>
      <c r="D185" s="172"/>
      <c r="G185" s="167"/>
      <c r="H185" s="205">
        <v>17</v>
      </c>
      <c r="I185" s="207"/>
      <c r="J185" s="217"/>
      <c r="K185" s="262" t="s">
        <v>1291</v>
      </c>
      <c r="L185" s="217"/>
      <c r="M185" s="217"/>
      <c r="N185" s="217"/>
      <c r="O185" s="227"/>
      <c r="P185" s="167"/>
      <c r="Q185" s="181">
        <f>H185</f>
        <v>17</v>
      </c>
      <c r="R185" s="172" t="str">
        <f>CONCATENATE("II-",TEXT(Q185,"0000"))</f>
        <v>II-0017</v>
      </c>
      <c r="S185" s="182" t="str">
        <f>K185</f>
        <v>CARPETA</v>
      </c>
    </row>
    <row r="186" spans="1:19">
      <c r="A186" s="173"/>
      <c r="B186" s="174"/>
      <c r="C186" s="75"/>
      <c r="D186" s="172"/>
      <c r="G186" s="167"/>
      <c r="H186" s="183"/>
      <c r="I186" s="184" t="s">
        <v>1019</v>
      </c>
      <c r="J186" s="172"/>
      <c r="K186" s="182" t="s">
        <v>1292</v>
      </c>
      <c r="L186" s="182"/>
      <c r="M186" s="167"/>
      <c r="N186" s="167"/>
      <c r="O186" s="219"/>
      <c r="P186" s="167"/>
      <c r="Q186" s="167"/>
      <c r="R186" s="167"/>
      <c r="S186" s="167"/>
    </row>
    <row r="187" spans="1:19">
      <c r="A187" s="173">
        <v>1</v>
      </c>
      <c r="B187" s="174" t="str">
        <f>CONCATENATE($B$185,".",TEXT(A187,"0000"))</f>
        <v>II-0017.0001</v>
      </c>
      <c r="C187" s="167" t="str">
        <f>CONCATENATE($K$186," ",L187)</f>
        <v>MEZCLA BITUMINOSA DE CONCRETO ASFALTICO MEZCLA EN CALIENTE</v>
      </c>
      <c r="D187" s="172" t="s">
        <v>1213</v>
      </c>
      <c r="G187" s="167"/>
      <c r="H187" s="183"/>
      <c r="I187" s="172"/>
      <c r="J187" s="189">
        <v>1</v>
      </c>
      <c r="K187" s="182"/>
      <c r="L187" s="182" t="s">
        <v>1293</v>
      </c>
      <c r="M187" s="167"/>
      <c r="N187" s="167"/>
      <c r="O187" s="219" t="s">
        <v>1213</v>
      </c>
      <c r="P187" s="167"/>
      <c r="Q187" s="167"/>
      <c r="R187" s="167"/>
      <c r="S187" s="167"/>
    </row>
    <row r="188" spans="1:19">
      <c r="A188" s="173">
        <v>2</v>
      </c>
      <c r="B188" s="174" t="str">
        <f t="shared" ref="B188:B192" si="34">CONCATENATE($B$185,".",TEXT(A188,"0000"))</f>
        <v>II-0017.0002</v>
      </c>
      <c r="C188" s="167" t="str">
        <f>CONCATENATE($K$186," ",L188)</f>
        <v>MEZCLA BITUMINOSA DE CONCRETO ASFALTICO MEZCLA EN FRIO</v>
      </c>
      <c r="D188" s="172" t="s">
        <v>1213</v>
      </c>
      <c r="G188" s="167"/>
      <c r="H188" s="183"/>
      <c r="I188" s="172"/>
      <c r="J188" s="192">
        <v>2</v>
      </c>
      <c r="K188" s="194"/>
      <c r="L188" s="194" t="s">
        <v>1294</v>
      </c>
      <c r="M188" s="193"/>
      <c r="N188" s="193"/>
      <c r="O188" s="237" t="s">
        <v>1213</v>
      </c>
      <c r="P188" s="167"/>
      <c r="Q188" s="167"/>
      <c r="R188" s="167"/>
      <c r="S188" s="167"/>
    </row>
    <row r="189" spans="1:19">
      <c r="A189" s="173"/>
      <c r="B189" s="174"/>
      <c r="C189" s="75"/>
      <c r="D189" s="172"/>
      <c r="G189" s="167"/>
      <c r="H189" s="183"/>
      <c r="I189" s="184" t="s">
        <v>1046</v>
      </c>
      <c r="J189" s="172"/>
      <c r="K189" s="182" t="s">
        <v>1295</v>
      </c>
      <c r="L189" s="182"/>
      <c r="M189" s="167"/>
      <c r="N189" s="167"/>
      <c r="O189" s="219"/>
      <c r="P189" s="167"/>
      <c r="Q189" s="167"/>
      <c r="R189" s="167"/>
      <c r="S189" s="167"/>
    </row>
    <row r="190" spans="1:19">
      <c r="A190" s="173">
        <v>11</v>
      </c>
      <c r="B190" s="174" t="str">
        <f t="shared" si="34"/>
        <v>II-0017.0011</v>
      </c>
      <c r="C190" s="167" t="str">
        <f>CONCATENATE($K$189," ",L190)</f>
        <v>CARPETA DE BAJO ESPESOR MEZCLA EN CALIENTE</v>
      </c>
      <c r="D190" s="172" t="s">
        <v>1213</v>
      </c>
      <c r="G190" s="167"/>
      <c r="H190" s="183"/>
      <c r="I190" s="172"/>
      <c r="J190" s="189">
        <v>1</v>
      </c>
      <c r="K190" s="182"/>
      <c r="L190" s="182" t="s">
        <v>1293</v>
      </c>
      <c r="M190" s="167"/>
      <c r="N190" s="167"/>
      <c r="O190" s="219" t="s">
        <v>1213</v>
      </c>
      <c r="P190" s="167"/>
      <c r="Q190" s="167"/>
      <c r="R190" s="167"/>
      <c r="S190" s="167"/>
    </row>
    <row r="191" spans="1:19">
      <c r="A191" s="173">
        <v>12</v>
      </c>
      <c r="B191" s="174" t="str">
        <f t="shared" si="34"/>
        <v>II-0017.0012</v>
      </c>
      <c r="C191" s="167" t="str">
        <f t="shared" ref="C191:C192" si="35">CONCATENATE($K$189," ",L191)</f>
        <v>CARPETA DE BAJO ESPESOR MEZCLA EN FRIO</v>
      </c>
      <c r="D191" s="172" t="s">
        <v>1213</v>
      </c>
      <c r="G191" s="167"/>
      <c r="H191" s="183"/>
      <c r="I191" s="172"/>
      <c r="J191" s="189">
        <v>2</v>
      </c>
      <c r="K191" s="182"/>
      <c r="L191" s="182" t="s">
        <v>1294</v>
      </c>
      <c r="M191" s="167"/>
      <c r="N191" s="167"/>
      <c r="O191" s="219" t="s">
        <v>1213</v>
      </c>
      <c r="P191" s="167"/>
      <c r="Q191" s="167"/>
      <c r="R191" s="167"/>
      <c r="S191" s="167"/>
    </row>
    <row r="192" spans="1:19" ht="15.75" thickBot="1">
      <c r="A192" s="173">
        <v>13</v>
      </c>
      <c r="B192" s="174" t="str">
        <f t="shared" si="34"/>
        <v>II-0017.0013</v>
      </c>
      <c r="C192" s="167" t="str">
        <f t="shared" si="35"/>
        <v>CARPETA DE BAJO ESPESOR MICROAGLOMERADO</v>
      </c>
      <c r="D192" s="172" t="s">
        <v>1213</v>
      </c>
      <c r="G192" s="167"/>
      <c r="H192" s="183"/>
      <c r="I192" s="172"/>
      <c r="J192" s="189">
        <v>3</v>
      </c>
      <c r="K192" s="182"/>
      <c r="L192" s="182" t="s">
        <v>1284</v>
      </c>
      <c r="M192" s="167"/>
      <c r="N192" s="167"/>
      <c r="O192" s="219" t="s">
        <v>1213</v>
      </c>
      <c r="P192" s="167"/>
      <c r="Q192" s="167"/>
      <c r="R192" s="167"/>
      <c r="S192" s="167"/>
    </row>
    <row r="193" spans="1:19" ht="15.75" thickTop="1">
      <c r="A193" s="173">
        <v>18</v>
      </c>
      <c r="B193" s="174" t="s">
        <v>1296</v>
      </c>
      <c r="C193" s="75" t="s">
        <v>1297</v>
      </c>
      <c r="D193" s="172"/>
      <c r="G193" s="167"/>
      <c r="H193" s="250">
        <v>18</v>
      </c>
      <c r="I193" s="206"/>
      <c r="J193" s="255"/>
      <c r="K193" s="256" t="s">
        <v>1297</v>
      </c>
      <c r="L193" s="255"/>
      <c r="M193" s="255"/>
      <c r="N193" s="255"/>
      <c r="O193" s="208"/>
      <c r="P193" s="167"/>
      <c r="Q193" s="181">
        <f>H193</f>
        <v>18</v>
      </c>
      <c r="R193" s="172" t="str">
        <f>CONCATENATE("II-",TEXT(Q193,"0000"))</f>
        <v>II-0018</v>
      </c>
      <c r="S193" s="182" t="str">
        <f>K193</f>
        <v>COLCHONETA ( PIEDRA EMBOLSADA)</v>
      </c>
    </row>
    <row r="194" spans="1:19">
      <c r="A194" s="173">
        <v>1</v>
      </c>
      <c r="B194" s="174" t="str">
        <f>CONCATENATE($B$193,".",TEXT(A194,"0000"))</f>
        <v>II-0018.0001</v>
      </c>
      <c r="C194" s="167" t="str">
        <f>CONCATENATE(K194," ",L194)</f>
        <v xml:space="preserve">ELECTROSOLDADA </v>
      </c>
      <c r="D194" s="172" t="s">
        <v>1130</v>
      </c>
      <c r="G194" s="167"/>
      <c r="H194" s="270"/>
      <c r="I194" s="184" t="s">
        <v>1019</v>
      </c>
      <c r="J194" s="225"/>
      <c r="K194" s="242" t="s">
        <v>1298</v>
      </c>
      <c r="L194" s="225"/>
      <c r="M194" s="225"/>
      <c r="N194" s="225"/>
      <c r="O194" s="241" t="s">
        <v>1130</v>
      </c>
      <c r="P194" s="167"/>
      <c r="Q194" s="167"/>
      <c r="R194" s="167"/>
      <c r="S194" s="167"/>
    </row>
    <row r="195" spans="1:19">
      <c r="A195" s="173">
        <v>2</v>
      </c>
      <c r="B195" s="174" t="str">
        <f t="shared" ref="B195:B197" si="36">CONCATENATE($B$193,".",TEXT(A195,"0000"))</f>
        <v>II-0018.0002</v>
      </c>
      <c r="C195" s="167" t="str">
        <f t="shared" ref="C195:C197" si="37">CONCATENATE(K195," ",L195)</f>
        <v xml:space="preserve">MALLA HEXAGONAL </v>
      </c>
      <c r="D195" s="172" t="s">
        <v>1130</v>
      </c>
      <c r="G195" s="167"/>
      <c r="H195" s="238"/>
      <c r="I195" s="184" t="s">
        <v>1046</v>
      </c>
      <c r="J195" s="225"/>
      <c r="K195" s="242" t="s">
        <v>1299</v>
      </c>
      <c r="L195" s="225"/>
      <c r="M195" s="225"/>
      <c r="N195" s="225"/>
      <c r="O195" s="241" t="s">
        <v>1130</v>
      </c>
      <c r="P195" s="167"/>
      <c r="Q195" s="167"/>
      <c r="R195" s="167"/>
      <c r="S195" s="167"/>
    </row>
    <row r="196" spans="1:19">
      <c r="A196" s="173">
        <v>3</v>
      </c>
      <c r="B196" s="174" t="str">
        <f t="shared" si="36"/>
        <v>II-0018.0003</v>
      </c>
      <c r="C196" s="167" t="str">
        <f t="shared" si="37"/>
        <v xml:space="preserve">REPARACION </v>
      </c>
      <c r="D196" s="172" t="s">
        <v>1130</v>
      </c>
      <c r="G196" s="167"/>
      <c r="H196" s="238"/>
      <c r="I196" s="184" t="s">
        <v>1056</v>
      </c>
      <c r="J196" s="225"/>
      <c r="K196" s="242" t="s">
        <v>1133</v>
      </c>
      <c r="L196" s="225"/>
      <c r="M196" s="225"/>
      <c r="N196" s="225"/>
      <c r="O196" s="241" t="s">
        <v>1130</v>
      </c>
      <c r="P196" s="167"/>
      <c r="Q196" s="167"/>
      <c r="R196" s="167"/>
      <c r="S196" s="167"/>
    </row>
    <row r="197" spans="1:19">
      <c r="A197" s="173">
        <v>4</v>
      </c>
      <c r="B197" s="174" t="str">
        <f t="shared" si="36"/>
        <v>II-0018.0004</v>
      </c>
      <c r="C197" s="167" t="str">
        <f t="shared" si="37"/>
        <v xml:space="preserve">RETIRO  </v>
      </c>
      <c r="D197" s="172" t="s">
        <v>1130</v>
      </c>
      <c r="G197" s="167"/>
      <c r="H197" s="238"/>
      <c r="I197" s="184" t="s">
        <v>1082</v>
      </c>
      <c r="J197" s="225"/>
      <c r="K197" s="242" t="s">
        <v>1138</v>
      </c>
      <c r="L197" s="225"/>
      <c r="M197" s="225"/>
      <c r="N197" s="225"/>
      <c r="O197" s="241" t="s">
        <v>1130</v>
      </c>
      <c r="P197" s="167"/>
      <c r="Q197" s="167"/>
      <c r="R197" s="167"/>
      <c r="S197" s="167"/>
    </row>
    <row r="198" spans="1:19" ht="15.75" thickBot="1">
      <c r="A198" s="173"/>
      <c r="B198" s="174"/>
      <c r="C198" s="75"/>
      <c r="D198" s="172" t="s">
        <v>1130</v>
      </c>
      <c r="G198" s="167"/>
      <c r="H198" s="243"/>
      <c r="I198" s="210" t="s">
        <v>1124</v>
      </c>
      <c r="J198" s="213"/>
      <c r="K198" s="244" t="s">
        <v>1256</v>
      </c>
      <c r="L198" s="213"/>
      <c r="M198" s="213"/>
      <c r="N198" s="213"/>
      <c r="O198" s="245" t="s">
        <v>1130</v>
      </c>
      <c r="P198" s="167"/>
      <c r="Q198" s="167"/>
      <c r="R198" s="167"/>
      <c r="S198" s="167"/>
    </row>
    <row r="199" spans="1:19" ht="15.75" thickTop="1">
      <c r="A199" s="173">
        <v>19</v>
      </c>
      <c r="B199" s="174" t="s">
        <v>1300</v>
      </c>
      <c r="C199" s="75" t="s">
        <v>1301</v>
      </c>
      <c r="D199" s="172"/>
      <c r="G199" s="167"/>
      <c r="H199" s="205">
        <v>19</v>
      </c>
      <c r="I199" s="207"/>
      <c r="J199" s="217"/>
      <c r="K199" s="262" t="s">
        <v>1301</v>
      </c>
      <c r="L199" s="217"/>
      <c r="M199" s="217"/>
      <c r="N199" s="217"/>
      <c r="O199" s="227"/>
      <c r="P199" s="167"/>
      <c r="Q199" s="181">
        <f>H199</f>
        <v>19</v>
      </c>
      <c r="R199" s="172" t="str">
        <f>CONCATENATE("II-",TEXT(Q199,"0000"))</f>
        <v>II-0019</v>
      </c>
      <c r="S199" s="182" t="str">
        <f>K199</f>
        <v>CORDONES</v>
      </c>
    </row>
    <row r="200" spans="1:19">
      <c r="A200" s="173"/>
      <c r="B200" s="174"/>
      <c r="C200" s="75"/>
      <c r="D200" s="172"/>
      <c r="G200" s="167"/>
      <c r="H200" s="218"/>
      <c r="I200" s="184" t="s">
        <v>1019</v>
      </c>
      <c r="J200" s="172"/>
      <c r="K200" s="182" t="s">
        <v>1302</v>
      </c>
      <c r="L200" s="167"/>
      <c r="M200" s="167"/>
      <c r="N200" s="167"/>
      <c r="O200" s="219"/>
      <c r="P200" s="167"/>
      <c r="Q200" s="167"/>
      <c r="R200" s="167"/>
      <c r="S200" s="167"/>
    </row>
    <row r="201" spans="1:19">
      <c r="A201" s="173">
        <v>1</v>
      </c>
      <c r="B201" s="75"/>
      <c r="C201" s="167" t="str">
        <f>CONCATENATE("S/PLANO ",$K$200," - TIPO ",L201 )</f>
        <v>S/PLANO H-8431 - TIPO A</v>
      </c>
      <c r="D201" s="172" t="s">
        <v>1255</v>
      </c>
      <c r="G201" s="167"/>
      <c r="H201" s="183"/>
      <c r="I201" s="172"/>
      <c r="J201" s="189">
        <v>1</v>
      </c>
      <c r="K201" s="167"/>
      <c r="L201" s="182" t="s">
        <v>1019</v>
      </c>
      <c r="M201" s="167"/>
      <c r="N201" s="167"/>
      <c r="O201" s="219" t="s">
        <v>1255</v>
      </c>
      <c r="P201" s="167"/>
      <c r="Q201" s="167"/>
      <c r="R201" s="167"/>
      <c r="S201" s="167"/>
    </row>
    <row r="202" spans="1:19">
      <c r="A202" s="173">
        <v>2</v>
      </c>
      <c r="B202" s="174"/>
      <c r="C202" s="167" t="str">
        <f t="shared" ref="C202:C203" si="38">CONCATENATE("S/PLANO ",$K$200," - TIPO ",L202 )</f>
        <v>S/PLANO H-8431 - TIPO B</v>
      </c>
      <c r="D202" s="172" t="s">
        <v>1255</v>
      </c>
      <c r="G202" s="167"/>
      <c r="H202" s="183"/>
      <c r="I202" s="172"/>
      <c r="J202" s="189">
        <v>2</v>
      </c>
      <c r="K202" s="167"/>
      <c r="L202" s="182" t="s">
        <v>1046</v>
      </c>
      <c r="M202" s="167"/>
      <c r="N202" s="167"/>
      <c r="O202" s="219" t="s">
        <v>1255</v>
      </c>
      <c r="P202" s="167"/>
      <c r="Q202" s="167"/>
      <c r="R202" s="167"/>
      <c r="S202" s="167"/>
    </row>
    <row r="203" spans="1:19" ht="15.75" thickBot="1">
      <c r="A203" s="173">
        <v>3</v>
      </c>
      <c r="B203" s="75"/>
      <c r="C203" s="167" t="str">
        <f t="shared" si="38"/>
        <v>S/PLANO H-8431 - TIPO C</v>
      </c>
      <c r="D203" s="172" t="s">
        <v>1255</v>
      </c>
      <c r="G203" s="167"/>
      <c r="H203" s="229"/>
      <c r="I203" s="230"/>
      <c r="J203" s="231">
        <v>3</v>
      </c>
      <c r="K203" s="232"/>
      <c r="L203" s="233" t="s">
        <v>1056</v>
      </c>
      <c r="M203" s="232"/>
      <c r="N203" s="232"/>
      <c r="O203" s="265" t="s">
        <v>1255</v>
      </c>
      <c r="P203" s="167"/>
      <c r="Q203" s="167"/>
      <c r="R203" s="167"/>
      <c r="S203" s="167"/>
    </row>
    <row r="204" spans="1:19">
      <c r="A204" s="173"/>
      <c r="B204" s="174"/>
      <c r="C204" s="75"/>
      <c r="D204" s="172"/>
      <c r="G204" s="167"/>
      <c r="H204" s="171"/>
      <c r="I204" s="172"/>
      <c r="J204" s="167"/>
      <c r="K204" s="167"/>
      <c r="L204" s="167"/>
      <c r="M204" s="167"/>
      <c r="N204" s="167"/>
      <c r="O204" s="170"/>
      <c r="P204" s="167"/>
      <c r="Q204" s="167"/>
      <c r="R204" s="167"/>
      <c r="S204" s="167"/>
    </row>
    <row r="205" spans="1:19">
      <c r="A205" s="173"/>
      <c r="B205" s="166"/>
      <c r="C205" s="75"/>
      <c r="D205" s="172"/>
      <c r="G205" s="167"/>
      <c r="H205" s="205">
        <v>19</v>
      </c>
      <c r="I205" s="207"/>
      <c r="J205" s="217"/>
      <c r="K205" s="262" t="s">
        <v>1301</v>
      </c>
      <c r="L205" s="217"/>
      <c r="M205" s="217"/>
      <c r="N205" s="217"/>
      <c r="O205" s="227"/>
      <c r="P205" s="167"/>
      <c r="Q205" s="167"/>
      <c r="R205" s="167"/>
      <c r="S205" s="167"/>
    </row>
    <row r="206" spans="1:19">
      <c r="A206" s="173"/>
      <c r="B206" s="174"/>
      <c r="C206" s="75"/>
      <c r="D206" s="172"/>
      <c r="G206" s="167"/>
      <c r="H206" s="183"/>
      <c r="I206" s="184" t="s">
        <v>1019</v>
      </c>
      <c r="J206" s="172"/>
      <c r="K206" s="182" t="s">
        <v>1302</v>
      </c>
      <c r="L206" s="167"/>
      <c r="M206" s="167"/>
      <c r="N206" s="167"/>
      <c r="O206" s="219"/>
      <c r="P206" s="167"/>
      <c r="Q206" s="167"/>
      <c r="R206" s="167"/>
      <c r="S206" s="167"/>
    </row>
    <row r="207" spans="1:19">
      <c r="A207" s="173"/>
      <c r="B207" s="166"/>
      <c r="C207" s="75"/>
      <c r="D207" s="172" t="s">
        <v>1255</v>
      </c>
      <c r="G207" s="167"/>
      <c r="H207" s="183"/>
      <c r="I207" s="172"/>
      <c r="J207" s="189">
        <v>4</v>
      </c>
      <c r="K207" s="167"/>
      <c r="L207" s="182" t="s">
        <v>1082</v>
      </c>
      <c r="M207" s="167"/>
      <c r="N207" s="167"/>
      <c r="O207" s="219" t="s">
        <v>1255</v>
      </c>
      <c r="P207" s="167"/>
      <c r="Q207" s="167"/>
      <c r="R207" s="167"/>
      <c r="S207" s="167"/>
    </row>
    <row r="208" spans="1:19">
      <c r="A208" s="173"/>
      <c r="B208" s="174"/>
      <c r="C208" s="75"/>
      <c r="D208" s="172" t="s">
        <v>1255</v>
      </c>
      <c r="G208" s="167"/>
      <c r="H208" s="183"/>
      <c r="I208" s="172"/>
      <c r="J208" s="189">
        <v>5</v>
      </c>
      <c r="K208" s="167"/>
      <c r="L208" s="182" t="s">
        <v>1124</v>
      </c>
      <c r="M208" s="167"/>
      <c r="N208" s="167"/>
      <c r="O208" s="219" t="s">
        <v>1255</v>
      </c>
      <c r="P208" s="167"/>
      <c r="Q208" s="167"/>
      <c r="R208" s="167"/>
      <c r="S208" s="167"/>
    </row>
    <row r="209" spans="1:19">
      <c r="A209" s="173"/>
      <c r="B209" s="166"/>
      <c r="C209" s="75"/>
      <c r="D209" s="172" t="s">
        <v>1255</v>
      </c>
      <c r="G209" s="167"/>
      <c r="H209" s="183"/>
      <c r="I209" s="172"/>
      <c r="J209" s="189">
        <v>6</v>
      </c>
      <c r="K209" s="167"/>
      <c r="L209" s="182" t="s">
        <v>1127</v>
      </c>
      <c r="M209" s="167"/>
      <c r="N209" s="167"/>
      <c r="O209" s="219" t="s">
        <v>1255</v>
      </c>
      <c r="P209" s="167"/>
      <c r="Q209" s="167"/>
      <c r="R209" s="167"/>
      <c r="S209" s="167"/>
    </row>
    <row r="210" spans="1:19">
      <c r="A210" s="173"/>
      <c r="B210" s="166"/>
      <c r="C210" s="75"/>
      <c r="D210" s="172" t="s">
        <v>1255</v>
      </c>
      <c r="G210" s="167"/>
      <c r="H210" s="183"/>
      <c r="I210" s="172"/>
      <c r="J210" s="189">
        <v>7</v>
      </c>
      <c r="K210" s="167"/>
      <c r="L210" s="182" t="s">
        <v>1131</v>
      </c>
      <c r="M210" s="167"/>
      <c r="N210" s="167"/>
      <c r="O210" s="219" t="s">
        <v>1255</v>
      </c>
      <c r="P210" s="167"/>
      <c r="Q210" s="167"/>
      <c r="R210" s="167"/>
      <c r="S210" s="167"/>
    </row>
    <row r="211" spans="1:19">
      <c r="A211" s="173"/>
      <c r="B211" s="166"/>
      <c r="C211" s="191"/>
      <c r="D211" s="172" t="s">
        <v>1255</v>
      </c>
      <c r="G211" s="167"/>
      <c r="H211" s="183"/>
      <c r="I211" s="172"/>
      <c r="J211" s="189">
        <v>8</v>
      </c>
      <c r="K211" s="167"/>
      <c r="L211" s="182" t="s">
        <v>1134</v>
      </c>
      <c r="M211" s="167"/>
      <c r="N211" s="167"/>
      <c r="O211" s="219" t="s">
        <v>1255</v>
      </c>
      <c r="P211" s="167"/>
      <c r="Q211" s="167"/>
      <c r="R211" s="167"/>
      <c r="S211" s="167"/>
    </row>
    <row r="212" spans="1:19">
      <c r="A212" s="173"/>
      <c r="B212" s="174"/>
      <c r="C212" s="75"/>
      <c r="D212" s="172" t="s">
        <v>1255</v>
      </c>
      <c r="G212" s="167"/>
      <c r="H212" s="183"/>
      <c r="I212" s="172"/>
      <c r="J212" s="189">
        <v>9</v>
      </c>
      <c r="K212" s="167"/>
      <c r="L212" s="182" t="s">
        <v>888</v>
      </c>
      <c r="M212" s="167"/>
      <c r="N212" s="167"/>
      <c r="O212" s="219" t="s">
        <v>1255</v>
      </c>
      <c r="P212" s="167"/>
      <c r="Q212" s="167"/>
      <c r="R212" s="167"/>
      <c r="S212" s="167"/>
    </row>
    <row r="213" spans="1:19">
      <c r="A213" s="173"/>
      <c r="B213" s="174"/>
      <c r="C213" s="75"/>
      <c r="D213" s="172" t="s">
        <v>1255</v>
      </c>
      <c r="G213" s="167"/>
      <c r="H213" s="183"/>
      <c r="I213" s="197"/>
      <c r="J213" s="192">
        <v>10</v>
      </c>
      <c r="K213" s="193"/>
      <c r="L213" s="194" t="s">
        <v>1139</v>
      </c>
      <c r="M213" s="193"/>
      <c r="N213" s="193"/>
      <c r="O213" s="237" t="s">
        <v>1255</v>
      </c>
      <c r="P213" s="167"/>
      <c r="Q213" s="167"/>
      <c r="R213" s="167"/>
      <c r="S213" s="167"/>
    </row>
    <row r="214" spans="1:19">
      <c r="A214" s="173"/>
      <c r="B214" s="174"/>
      <c r="C214" s="75"/>
      <c r="D214" s="172" t="s">
        <v>1255</v>
      </c>
      <c r="G214" s="167"/>
      <c r="H214" s="183"/>
      <c r="I214" s="192" t="s">
        <v>1046</v>
      </c>
      <c r="J214" s="172"/>
      <c r="K214" s="182" t="s">
        <v>1303</v>
      </c>
      <c r="L214" s="167"/>
      <c r="M214" s="167"/>
      <c r="N214" s="167"/>
      <c r="O214" s="219" t="s">
        <v>1255</v>
      </c>
      <c r="P214" s="167"/>
      <c r="Q214" s="167"/>
      <c r="R214" s="167"/>
      <c r="S214" s="167"/>
    </row>
    <row r="215" spans="1:19">
      <c r="A215" s="173"/>
      <c r="B215" s="174"/>
      <c r="C215" s="75"/>
      <c r="D215" s="172" t="s">
        <v>1255</v>
      </c>
      <c r="G215" s="167"/>
      <c r="H215" s="183"/>
      <c r="I215" s="172"/>
      <c r="J215" s="189">
        <v>1</v>
      </c>
      <c r="K215" s="167"/>
      <c r="L215" s="182" t="s">
        <v>1019</v>
      </c>
      <c r="M215" s="167"/>
      <c r="N215" s="167"/>
      <c r="O215" s="219" t="s">
        <v>1255</v>
      </c>
      <c r="P215" s="167"/>
      <c r="Q215" s="167"/>
      <c r="R215" s="167"/>
      <c r="S215" s="167"/>
    </row>
    <row r="216" spans="1:19">
      <c r="A216" s="173"/>
      <c r="B216" s="174"/>
      <c r="C216" s="75"/>
      <c r="D216" s="172" t="s">
        <v>1255</v>
      </c>
      <c r="G216" s="167"/>
      <c r="H216" s="183"/>
      <c r="I216" s="172"/>
      <c r="J216" s="189">
        <v>2</v>
      </c>
      <c r="K216" s="167"/>
      <c r="L216" s="182" t="s">
        <v>1046</v>
      </c>
      <c r="M216" s="167"/>
      <c r="N216" s="167"/>
      <c r="O216" s="219" t="s">
        <v>1255</v>
      </c>
      <c r="P216" s="167"/>
      <c r="Q216" s="167"/>
      <c r="R216" s="167"/>
      <c r="S216" s="167"/>
    </row>
    <row r="217" spans="1:19">
      <c r="A217" s="173"/>
      <c r="B217" s="166"/>
      <c r="C217" s="75"/>
      <c r="D217" s="172" t="s">
        <v>1255</v>
      </c>
      <c r="G217" s="167"/>
      <c r="H217" s="183"/>
      <c r="I217" s="172"/>
      <c r="J217" s="189">
        <v>3</v>
      </c>
      <c r="K217" s="167"/>
      <c r="L217" s="182" t="s">
        <v>1056</v>
      </c>
      <c r="M217" s="167"/>
      <c r="N217" s="167"/>
      <c r="O217" s="219" t="s">
        <v>1255</v>
      </c>
      <c r="P217" s="167"/>
      <c r="Q217" s="167"/>
      <c r="R217" s="167"/>
      <c r="S217" s="167"/>
    </row>
    <row r="218" spans="1:19">
      <c r="A218" s="173"/>
      <c r="B218" s="166"/>
      <c r="C218" s="191"/>
      <c r="D218" s="172" t="s">
        <v>1255</v>
      </c>
      <c r="G218" s="167"/>
      <c r="H218" s="183"/>
      <c r="I218" s="172"/>
      <c r="J218" s="189">
        <v>4</v>
      </c>
      <c r="K218" s="167"/>
      <c r="L218" s="182" t="s">
        <v>1082</v>
      </c>
      <c r="M218" s="167"/>
      <c r="N218" s="167"/>
      <c r="O218" s="219" t="s">
        <v>1255</v>
      </c>
      <c r="P218" s="167"/>
      <c r="Q218" s="167"/>
      <c r="R218" s="167"/>
      <c r="S218" s="167"/>
    </row>
    <row r="219" spans="1:19">
      <c r="A219" s="173"/>
      <c r="B219" s="174"/>
      <c r="C219" s="75"/>
      <c r="D219" s="172" t="s">
        <v>1255</v>
      </c>
      <c r="G219" s="167"/>
      <c r="H219" s="183"/>
      <c r="I219" s="167"/>
      <c r="J219" s="189">
        <v>5</v>
      </c>
      <c r="K219" s="167"/>
      <c r="L219" s="182" t="s">
        <v>1124</v>
      </c>
      <c r="M219" s="167"/>
      <c r="N219" s="167"/>
      <c r="O219" s="219" t="s">
        <v>1255</v>
      </c>
      <c r="P219" s="167"/>
      <c r="Q219" s="167"/>
      <c r="R219" s="167"/>
      <c r="S219" s="167"/>
    </row>
    <row r="220" spans="1:19">
      <c r="A220" s="173"/>
      <c r="B220" s="174"/>
      <c r="C220" s="75"/>
      <c r="D220" s="172" t="s">
        <v>1255</v>
      </c>
      <c r="G220" s="167"/>
      <c r="H220" s="183"/>
      <c r="I220" s="167"/>
      <c r="J220" s="189">
        <v>6</v>
      </c>
      <c r="K220" s="167"/>
      <c r="L220" s="182" t="s">
        <v>1127</v>
      </c>
      <c r="M220" s="167"/>
      <c r="N220" s="167"/>
      <c r="O220" s="219" t="s">
        <v>1255</v>
      </c>
      <c r="P220" s="167"/>
      <c r="Q220" s="167"/>
      <c r="R220" s="167"/>
      <c r="S220" s="167"/>
    </row>
    <row r="221" spans="1:19">
      <c r="A221" s="173"/>
      <c r="B221" s="166"/>
      <c r="C221" s="75"/>
      <c r="D221" s="172" t="s">
        <v>1255</v>
      </c>
      <c r="G221" s="167"/>
      <c r="H221" s="183"/>
      <c r="I221" s="172"/>
      <c r="J221" s="189">
        <v>7</v>
      </c>
      <c r="K221" s="167"/>
      <c r="L221" s="182" t="s">
        <v>1131</v>
      </c>
      <c r="M221" s="167"/>
      <c r="N221" s="167"/>
      <c r="O221" s="219" t="s">
        <v>1255</v>
      </c>
      <c r="P221" s="167"/>
      <c r="Q221" s="167"/>
      <c r="R221" s="167"/>
      <c r="S221" s="167"/>
    </row>
    <row r="222" spans="1:19">
      <c r="A222" s="173"/>
      <c r="B222" s="166"/>
      <c r="C222" s="75"/>
      <c r="D222" s="172" t="s">
        <v>1255</v>
      </c>
      <c r="G222" s="167"/>
      <c r="H222" s="183"/>
      <c r="I222" s="172"/>
      <c r="J222" s="189">
        <v>8</v>
      </c>
      <c r="K222" s="167"/>
      <c r="L222" s="182" t="s">
        <v>1134</v>
      </c>
      <c r="M222" s="167"/>
      <c r="N222" s="167"/>
      <c r="O222" s="219" t="s">
        <v>1255</v>
      </c>
      <c r="P222" s="167"/>
      <c r="Q222" s="167"/>
      <c r="R222" s="167"/>
      <c r="S222" s="167"/>
    </row>
    <row r="223" spans="1:19">
      <c r="A223" s="173"/>
      <c r="B223" s="166"/>
      <c r="C223" s="75"/>
      <c r="D223" s="172" t="s">
        <v>1255</v>
      </c>
      <c r="G223" s="167"/>
      <c r="H223" s="183"/>
      <c r="I223" s="172"/>
      <c r="J223" s="189">
        <v>9</v>
      </c>
      <c r="K223" s="167"/>
      <c r="L223" s="182" t="s">
        <v>888</v>
      </c>
      <c r="M223" s="167"/>
      <c r="N223" s="167"/>
      <c r="O223" s="219" t="s">
        <v>1255</v>
      </c>
      <c r="P223" s="167"/>
      <c r="Q223" s="167"/>
      <c r="R223" s="167"/>
      <c r="S223" s="167"/>
    </row>
    <row r="224" spans="1:19">
      <c r="A224" s="173"/>
      <c r="B224" s="166"/>
      <c r="C224" s="191"/>
      <c r="D224" s="172" t="s">
        <v>1255</v>
      </c>
      <c r="G224" s="167"/>
      <c r="H224" s="183"/>
      <c r="I224" s="172"/>
      <c r="J224" s="192">
        <v>10</v>
      </c>
      <c r="K224" s="193"/>
      <c r="L224" s="182" t="s">
        <v>1139</v>
      </c>
      <c r="M224" s="167"/>
      <c r="N224" s="167"/>
      <c r="O224" s="219" t="s">
        <v>1255</v>
      </c>
      <c r="P224" s="167"/>
      <c r="Q224" s="167"/>
      <c r="R224" s="167"/>
      <c r="S224" s="167"/>
    </row>
    <row r="225" spans="1:19">
      <c r="A225" s="173"/>
      <c r="B225" s="174"/>
      <c r="C225" s="75"/>
      <c r="D225" s="172" t="s">
        <v>1255</v>
      </c>
      <c r="G225" s="167"/>
      <c r="H225" s="183"/>
      <c r="I225" s="184" t="s">
        <v>1056</v>
      </c>
      <c r="J225" s="225"/>
      <c r="K225" s="194" t="s">
        <v>1304</v>
      </c>
      <c r="L225" s="225"/>
      <c r="M225" s="225"/>
      <c r="N225" s="225"/>
      <c r="O225" s="241" t="s">
        <v>1255</v>
      </c>
      <c r="P225" s="167"/>
      <c r="Q225" s="167"/>
      <c r="R225" s="167"/>
      <c r="S225" s="167"/>
    </row>
    <row r="226" spans="1:19">
      <c r="A226" s="173"/>
      <c r="B226" s="174"/>
      <c r="C226" s="75"/>
      <c r="D226" s="172" t="s">
        <v>1255</v>
      </c>
      <c r="G226" s="167"/>
      <c r="H226" s="183"/>
      <c r="I226" s="184" t="s">
        <v>1082</v>
      </c>
      <c r="J226" s="225"/>
      <c r="K226" s="242" t="s">
        <v>1138</v>
      </c>
      <c r="L226" s="225"/>
      <c r="M226" s="225"/>
      <c r="N226" s="225"/>
      <c r="O226" s="219" t="s">
        <v>1255</v>
      </c>
      <c r="P226" s="167"/>
      <c r="Q226" s="167"/>
      <c r="R226" s="167"/>
      <c r="S226" s="167"/>
    </row>
    <row r="227" spans="1:19" ht="15.75" thickBot="1">
      <c r="A227" s="173"/>
      <c r="B227" s="174"/>
      <c r="C227" s="75"/>
      <c r="D227" s="172" t="s">
        <v>1255</v>
      </c>
      <c r="G227" s="167"/>
      <c r="H227" s="198"/>
      <c r="I227" s="200" t="s">
        <v>1124</v>
      </c>
      <c r="J227" s="201"/>
      <c r="K227" s="202" t="s">
        <v>1305</v>
      </c>
      <c r="L227" s="201"/>
      <c r="M227" s="201"/>
      <c r="N227" s="201"/>
      <c r="O227" s="245" t="s">
        <v>1255</v>
      </c>
      <c r="P227" s="167"/>
      <c r="Q227" s="167"/>
      <c r="R227" s="167"/>
      <c r="S227" s="167"/>
    </row>
    <row r="228" spans="1:19" ht="16.5" thickTop="1" thickBot="1">
      <c r="A228" s="173">
        <v>20</v>
      </c>
      <c r="B228" s="174" t="s">
        <v>1306</v>
      </c>
      <c r="C228" s="75" t="s">
        <v>1307</v>
      </c>
      <c r="D228" s="172" t="s">
        <v>996</v>
      </c>
      <c r="G228" s="167"/>
      <c r="H228" s="271">
        <v>20</v>
      </c>
      <c r="I228" s="272"/>
      <c r="J228" s="273"/>
      <c r="K228" s="274" t="s">
        <v>1307</v>
      </c>
      <c r="L228" s="273"/>
      <c r="M228" s="273"/>
      <c r="N228" s="273"/>
      <c r="O228" s="275" t="s">
        <v>996</v>
      </c>
      <c r="P228" s="167"/>
      <c r="Q228" s="181">
        <f>H228</f>
        <v>20</v>
      </c>
      <c r="R228" s="172" t="str">
        <f>CONCATENATE("II-",TEXT(Q228,"0000"))</f>
        <v>II-0020</v>
      </c>
      <c r="S228" s="182" t="str">
        <f>K228</f>
        <v>CORTE DE PASTO</v>
      </c>
    </row>
    <row r="229" spans="1:19" ht="15.75" thickTop="1">
      <c r="A229" s="173">
        <v>21</v>
      </c>
      <c r="B229" s="174" t="s">
        <v>1308</v>
      </c>
      <c r="C229" s="75" t="s">
        <v>1309</v>
      </c>
      <c r="D229" s="172"/>
      <c r="G229" s="167"/>
      <c r="H229" s="250">
        <v>21</v>
      </c>
      <c r="I229" s="207"/>
      <c r="J229" s="217"/>
      <c r="K229" s="262" t="s">
        <v>1309</v>
      </c>
      <c r="L229" s="217"/>
      <c r="M229" s="217"/>
      <c r="N229" s="217"/>
      <c r="O229" s="227"/>
      <c r="P229" s="167"/>
      <c r="Q229" s="181">
        <f>H229</f>
        <v>21</v>
      </c>
      <c r="R229" s="172" t="str">
        <f>CONCATENATE("II-",TEXT(Q229,"0000"))</f>
        <v>II-0021</v>
      </c>
      <c r="S229" s="182" t="str">
        <f>K229</f>
        <v xml:space="preserve">CUNETA </v>
      </c>
    </row>
    <row r="230" spans="1:19">
      <c r="A230" s="173"/>
      <c r="B230" s="174"/>
      <c r="C230" s="75"/>
      <c r="D230" s="172" t="s">
        <v>1130</v>
      </c>
      <c r="G230" s="167"/>
      <c r="H230" s="238"/>
      <c r="I230" s="197" t="s">
        <v>1019</v>
      </c>
      <c r="J230" s="193"/>
      <c r="K230" s="194" t="s">
        <v>1310</v>
      </c>
      <c r="L230" s="193"/>
      <c r="M230" s="193"/>
      <c r="N230" s="193"/>
      <c r="O230" s="237" t="s">
        <v>1130</v>
      </c>
      <c r="P230" s="167"/>
      <c r="Q230" s="167"/>
      <c r="R230" s="167"/>
      <c r="S230" s="167"/>
    </row>
    <row r="231" spans="1:19">
      <c r="A231" s="173"/>
      <c r="B231" s="174"/>
      <c r="C231" s="75"/>
      <c r="D231" s="172" t="s">
        <v>1213</v>
      </c>
      <c r="G231" s="167"/>
      <c r="H231" s="238"/>
      <c r="I231" s="184" t="s">
        <v>1046</v>
      </c>
      <c r="J231" s="225"/>
      <c r="K231" s="242" t="s">
        <v>1133</v>
      </c>
      <c r="L231" s="225"/>
      <c r="M231" s="225"/>
      <c r="N231" s="225"/>
      <c r="O231" s="241" t="s">
        <v>1213</v>
      </c>
      <c r="P231" s="167"/>
      <c r="Q231" s="167"/>
      <c r="R231" s="167"/>
      <c r="S231" s="167"/>
    </row>
    <row r="232" spans="1:19">
      <c r="A232" s="173"/>
      <c r="B232" s="174"/>
      <c r="C232" s="75"/>
      <c r="D232" s="172" t="s">
        <v>1255</v>
      </c>
      <c r="G232" s="167"/>
      <c r="H232" s="238"/>
      <c r="I232" s="184" t="s">
        <v>1056</v>
      </c>
      <c r="J232" s="225"/>
      <c r="K232" s="242" t="s">
        <v>1138</v>
      </c>
      <c r="L232" s="225"/>
      <c r="M232" s="225"/>
      <c r="N232" s="225"/>
      <c r="O232" s="241" t="s">
        <v>1255</v>
      </c>
      <c r="P232" s="167"/>
      <c r="Q232" s="167"/>
      <c r="R232" s="167"/>
      <c r="S232" s="167"/>
    </row>
    <row r="233" spans="1:19">
      <c r="A233" s="173"/>
      <c r="B233" s="166"/>
      <c r="C233" s="75"/>
      <c r="D233" s="172" t="s">
        <v>995</v>
      </c>
      <c r="G233" s="167"/>
      <c r="H233" s="238"/>
      <c r="I233" s="184" t="s">
        <v>1082</v>
      </c>
      <c r="J233" s="225"/>
      <c r="K233" s="242" t="s">
        <v>1194</v>
      </c>
      <c r="L233" s="225"/>
      <c r="M233" s="225"/>
      <c r="N233" s="225"/>
      <c r="O233" s="241" t="s">
        <v>995</v>
      </c>
      <c r="P233" s="167"/>
      <c r="Q233" s="167"/>
      <c r="R233" s="167"/>
      <c r="S233" s="167"/>
    </row>
    <row r="234" spans="1:19">
      <c r="A234" s="173"/>
      <c r="B234" s="166"/>
      <c r="C234" s="75"/>
      <c r="D234" s="172" t="s">
        <v>1130</v>
      </c>
      <c r="G234" s="167"/>
      <c r="H234" s="238"/>
      <c r="I234" s="184" t="s">
        <v>1124</v>
      </c>
      <c r="J234" s="225"/>
      <c r="K234" s="242" t="s">
        <v>1311</v>
      </c>
      <c r="L234" s="225"/>
      <c r="M234" s="225"/>
      <c r="N234" s="225"/>
      <c r="O234" s="241" t="s">
        <v>1130</v>
      </c>
      <c r="P234" s="167"/>
      <c r="Q234" s="167"/>
      <c r="R234" s="167"/>
      <c r="S234" s="167"/>
    </row>
    <row r="235" spans="1:19" ht="15.75" thickBot="1">
      <c r="A235" s="173"/>
      <c r="B235" s="166"/>
      <c r="C235" s="191"/>
      <c r="D235" s="172" t="s">
        <v>995</v>
      </c>
      <c r="G235" s="167"/>
      <c r="H235" s="243"/>
      <c r="I235" s="210" t="s">
        <v>1127</v>
      </c>
      <c r="J235" s="213"/>
      <c r="K235" s="244" t="s">
        <v>1312</v>
      </c>
      <c r="L235" s="213"/>
      <c r="M235" s="213"/>
      <c r="N235" s="213"/>
      <c r="O235" s="245" t="s">
        <v>995</v>
      </c>
      <c r="P235" s="167"/>
      <c r="Q235" s="167"/>
      <c r="R235" s="167"/>
      <c r="S235" s="167"/>
    </row>
    <row r="236" spans="1:19" ht="16.5" thickTop="1" thickBot="1">
      <c r="A236" s="173">
        <v>22</v>
      </c>
      <c r="B236" s="174" t="s">
        <v>1313</v>
      </c>
      <c r="C236" s="75" t="s">
        <v>1314</v>
      </c>
      <c r="D236" s="172" t="s">
        <v>4</v>
      </c>
      <c r="G236" s="167"/>
      <c r="H236" s="276">
        <v>22</v>
      </c>
      <c r="I236" s="277"/>
      <c r="J236" s="278"/>
      <c r="K236" s="279" t="s">
        <v>1314</v>
      </c>
      <c r="L236" s="278"/>
      <c r="M236" s="278"/>
      <c r="N236" s="278"/>
      <c r="O236" s="280" t="s">
        <v>4</v>
      </c>
      <c r="P236" s="167"/>
      <c r="Q236" s="181">
        <f>H236</f>
        <v>22</v>
      </c>
      <c r="R236" s="172" t="str">
        <f>CONCATENATE("II-",TEXT(Q236,"0000"))</f>
        <v>II-0022</v>
      </c>
      <c r="S236" s="182" t="str">
        <f>K236</f>
        <v>DARSENA DE DETENCION DE VEHICULOS</v>
      </c>
    </row>
    <row r="237" spans="1:19" ht="15.75" thickTop="1">
      <c r="A237" s="173">
        <v>23</v>
      </c>
      <c r="B237" s="163" t="s">
        <v>1315</v>
      </c>
      <c r="C237" s="163" t="s">
        <v>1316</v>
      </c>
      <c r="D237" s="172"/>
      <c r="G237" s="167"/>
      <c r="H237" s="250">
        <v>23</v>
      </c>
      <c r="I237" s="206"/>
      <c r="J237" s="255"/>
      <c r="K237" s="256" t="s">
        <v>1316</v>
      </c>
      <c r="L237" s="255"/>
      <c r="M237" s="255"/>
      <c r="N237" s="255"/>
      <c r="O237" s="208"/>
      <c r="P237" s="167"/>
      <c r="Q237" s="181">
        <f>H237</f>
        <v>23</v>
      </c>
      <c r="R237" s="172" t="str">
        <f>CONCATENATE("II-",TEXT(Q237,"0000"))</f>
        <v>II-0023</v>
      </c>
      <c r="S237" s="182" t="str">
        <f>K237</f>
        <v>DEFENSA CAMINOS</v>
      </c>
    </row>
    <row r="238" spans="1:19">
      <c r="A238" s="173"/>
      <c r="B238" s="163"/>
      <c r="C238" s="163"/>
      <c r="D238" s="172" t="s">
        <v>1213</v>
      </c>
      <c r="G238" s="167"/>
      <c r="H238" s="183"/>
      <c r="I238" s="184" t="s">
        <v>1019</v>
      </c>
      <c r="J238" s="225"/>
      <c r="K238" s="242" t="s">
        <v>1317</v>
      </c>
      <c r="L238" s="225"/>
      <c r="M238" s="225"/>
      <c r="N238" s="225"/>
      <c r="O238" s="241" t="s">
        <v>1213</v>
      </c>
      <c r="P238" s="167"/>
      <c r="Q238" s="167"/>
      <c r="R238" s="167"/>
      <c r="S238" s="167"/>
    </row>
    <row r="239" spans="1:19">
      <c r="A239" s="173"/>
      <c r="B239" s="163"/>
      <c r="C239" s="163"/>
      <c r="D239" s="172" t="s">
        <v>1213</v>
      </c>
      <c r="G239" s="167"/>
      <c r="H239" s="183"/>
      <c r="I239" s="184" t="s">
        <v>1046</v>
      </c>
      <c r="J239" s="225"/>
      <c r="K239" s="242" t="s">
        <v>1318</v>
      </c>
      <c r="L239" s="225"/>
      <c r="M239" s="225"/>
      <c r="N239" s="225"/>
      <c r="O239" s="241" t="s">
        <v>1213</v>
      </c>
      <c r="P239" s="167"/>
      <c r="Q239" s="167"/>
      <c r="R239" s="167"/>
      <c r="S239" s="167"/>
    </row>
    <row r="240" spans="1:19">
      <c r="A240" s="173"/>
      <c r="B240" s="163"/>
      <c r="C240" s="163"/>
      <c r="D240" s="172" t="s">
        <v>1213</v>
      </c>
      <c r="G240" s="167"/>
      <c r="H240" s="183"/>
      <c r="I240" s="184" t="s">
        <v>1056</v>
      </c>
      <c r="J240" s="225"/>
      <c r="K240" s="242" t="s">
        <v>1319</v>
      </c>
      <c r="L240" s="225"/>
      <c r="M240" s="225"/>
      <c r="N240" s="225"/>
      <c r="O240" s="241" t="s">
        <v>1213</v>
      </c>
      <c r="P240" s="167"/>
      <c r="Q240" s="167"/>
      <c r="R240" s="167"/>
      <c r="S240" s="167"/>
    </row>
    <row r="241" spans="1:19">
      <c r="A241" s="173"/>
      <c r="B241" s="166"/>
      <c r="C241" s="191"/>
      <c r="D241" s="172" t="s">
        <v>1130</v>
      </c>
      <c r="G241" s="167"/>
      <c r="H241" s="183"/>
      <c r="I241" s="184" t="s">
        <v>1082</v>
      </c>
      <c r="J241" s="225"/>
      <c r="K241" s="242" t="s">
        <v>1320</v>
      </c>
      <c r="L241" s="225"/>
      <c r="M241" s="225"/>
      <c r="N241" s="225"/>
      <c r="O241" s="241" t="s">
        <v>1130</v>
      </c>
      <c r="P241" s="167"/>
      <c r="Q241" s="167"/>
      <c r="R241" s="167"/>
      <c r="S241" s="167"/>
    </row>
    <row r="242" spans="1:19">
      <c r="A242" s="173"/>
      <c r="B242" s="174"/>
      <c r="C242" s="75"/>
      <c r="D242" s="172" t="s">
        <v>1130</v>
      </c>
      <c r="G242" s="167"/>
      <c r="H242" s="183"/>
      <c r="I242" s="184" t="s">
        <v>1124</v>
      </c>
      <c r="J242" s="225"/>
      <c r="K242" s="242" t="s">
        <v>1133</v>
      </c>
      <c r="L242" s="225"/>
      <c r="M242" s="225"/>
      <c r="N242" s="225"/>
      <c r="O242" s="241" t="s">
        <v>1130</v>
      </c>
      <c r="P242" s="167"/>
      <c r="Q242" s="167"/>
      <c r="R242" s="167"/>
      <c r="S242" s="167"/>
    </row>
    <row r="243" spans="1:19">
      <c r="A243" s="173"/>
      <c r="B243" s="174"/>
      <c r="C243" s="75"/>
      <c r="D243" s="172" t="s">
        <v>1130</v>
      </c>
      <c r="G243" s="167"/>
      <c r="H243" s="183"/>
      <c r="I243" s="184" t="s">
        <v>1127</v>
      </c>
      <c r="J243" s="225"/>
      <c r="K243" s="242" t="s">
        <v>1088</v>
      </c>
      <c r="L243" s="225"/>
      <c r="M243" s="225"/>
      <c r="N243" s="225"/>
      <c r="O243" s="241" t="s">
        <v>1130</v>
      </c>
      <c r="P243" s="167"/>
      <c r="Q243" s="167"/>
      <c r="R243" s="167"/>
      <c r="S243" s="167"/>
    </row>
    <row r="244" spans="1:19">
      <c r="A244" s="173"/>
      <c r="B244" s="174"/>
      <c r="C244" s="75"/>
      <c r="D244" s="172" t="s">
        <v>1130</v>
      </c>
      <c r="G244" s="167"/>
      <c r="H244" s="183"/>
      <c r="I244" s="184" t="s">
        <v>1131</v>
      </c>
      <c r="J244" s="225"/>
      <c r="K244" s="242" t="s">
        <v>1136</v>
      </c>
      <c r="L244" s="225"/>
      <c r="M244" s="225"/>
      <c r="N244" s="225"/>
      <c r="O244" s="241" t="s">
        <v>1130</v>
      </c>
      <c r="P244" s="167"/>
      <c r="Q244" s="167"/>
      <c r="R244" s="167"/>
      <c r="S244" s="167"/>
    </row>
    <row r="245" spans="1:19" ht="15.75" thickBot="1">
      <c r="A245" s="173"/>
      <c r="B245" s="174"/>
      <c r="C245" s="75"/>
      <c r="D245" s="172" t="s">
        <v>1130</v>
      </c>
      <c r="G245" s="167"/>
      <c r="H245" s="198"/>
      <c r="I245" s="210" t="s">
        <v>1134</v>
      </c>
      <c r="J245" s="213"/>
      <c r="K245" s="244" t="s">
        <v>1321</v>
      </c>
      <c r="L245" s="213"/>
      <c r="M245" s="213"/>
      <c r="N245" s="213"/>
      <c r="O245" s="245" t="s">
        <v>1130</v>
      </c>
      <c r="P245" s="167"/>
      <c r="Q245" s="167"/>
      <c r="R245" s="167"/>
      <c r="S245" s="167"/>
    </row>
    <row r="246" spans="1:19" ht="15.75" thickTop="1">
      <c r="A246" s="173">
        <v>24</v>
      </c>
      <c r="B246" s="166" t="s">
        <v>1322</v>
      </c>
      <c r="C246" s="75" t="s">
        <v>1323</v>
      </c>
      <c r="D246" s="172"/>
      <c r="G246" s="167"/>
      <c r="H246" s="250">
        <v>24</v>
      </c>
      <c r="I246" s="206"/>
      <c r="J246" s="255"/>
      <c r="K246" s="256" t="s">
        <v>1323</v>
      </c>
      <c r="L246" s="255"/>
      <c r="M246" s="255"/>
      <c r="N246" s="255"/>
      <c r="O246" s="208"/>
      <c r="P246" s="167"/>
      <c r="Q246" s="181">
        <f>H246</f>
        <v>24</v>
      </c>
      <c r="R246" s="172" t="str">
        <f>CONCATENATE("II-",TEXT(Q246,"0000"))</f>
        <v>II-0024</v>
      </c>
      <c r="S246" s="182" t="str">
        <f>K246</f>
        <v>DEFENSA DE MARGENES</v>
      </c>
    </row>
    <row r="247" spans="1:19">
      <c r="A247" s="173"/>
      <c r="B247" s="166"/>
      <c r="C247" s="75"/>
      <c r="D247" s="172" t="s">
        <v>1213</v>
      </c>
      <c r="G247" s="167"/>
      <c r="H247" s="183"/>
      <c r="I247" s="184" t="s">
        <v>1019</v>
      </c>
      <c r="J247" s="225"/>
      <c r="K247" s="242" t="s">
        <v>1324</v>
      </c>
      <c r="L247" s="225"/>
      <c r="M247" s="225"/>
      <c r="N247" s="225"/>
      <c r="O247" s="241" t="s">
        <v>1213</v>
      </c>
      <c r="P247" s="167"/>
      <c r="Q247" s="167"/>
      <c r="R247" s="167"/>
      <c r="S247" s="167"/>
    </row>
    <row r="248" spans="1:19">
      <c r="A248" s="173"/>
      <c r="B248" s="166"/>
      <c r="C248" s="191"/>
      <c r="D248" s="172" t="s">
        <v>1130</v>
      </c>
      <c r="G248" s="167"/>
      <c r="H248" s="183"/>
      <c r="I248" s="184" t="s">
        <v>1046</v>
      </c>
      <c r="J248" s="225"/>
      <c r="K248" s="242" t="s">
        <v>1325</v>
      </c>
      <c r="L248" s="225"/>
      <c r="M248" s="225"/>
      <c r="N248" s="225"/>
      <c r="O248" s="241" t="s">
        <v>1130</v>
      </c>
      <c r="P248" s="167"/>
      <c r="Q248" s="167"/>
      <c r="R248" s="167"/>
      <c r="S248" s="167"/>
    </row>
    <row r="249" spans="1:19">
      <c r="A249" s="173"/>
      <c r="B249" s="174"/>
      <c r="C249" s="75"/>
      <c r="D249" s="172" t="s">
        <v>1130</v>
      </c>
      <c r="G249" s="167"/>
      <c r="H249" s="183"/>
      <c r="I249" s="192" t="s">
        <v>1056</v>
      </c>
      <c r="J249" s="193"/>
      <c r="K249" s="194" t="s">
        <v>1326</v>
      </c>
      <c r="L249" s="193"/>
      <c r="M249" s="193"/>
      <c r="N249" s="193"/>
      <c r="O249" s="237" t="s">
        <v>1130</v>
      </c>
      <c r="P249" s="167"/>
      <c r="Q249" s="167"/>
      <c r="R249" s="167"/>
      <c r="S249" s="167"/>
    </row>
    <row r="250" spans="1:19">
      <c r="A250" s="173"/>
      <c r="B250" s="174"/>
      <c r="C250" s="75"/>
      <c r="D250" s="172" t="s">
        <v>1130</v>
      </c>
      <c r="G250" s="167"/>
      <c r="H250" s="183"/>
      <c r="I250" s="184" t="s">
        <v>1082</v>
      </c>
      <c r="J250" s="225"/>
      <c r="K250" s="242" t="s">
        <v>1327</v>
      </c>
      <c r="L250" s="225"/>
      <c r="M250" s="225"/>
      <c r="N250" s="225"/>
      <c r="O250" s="241" t="s">
        <v>1130</v>
      </c>
      <c r="P250" s="167"/>
      <c r="Q250" s="167"/>
      <c r="R250" s="167"/>
      <c r="S250" s="167"/>
    </row>
    <row r="251" spans="1:19" ht="15.75" thickBot="1">
      <c r="A251" s="173"/>
      <c r="B251" s="174"/>
      <c r="C251" s="75"/>
      <c r="D251" s="172" t="s">
        <v>995</v>
      </c>
      <c r="G251" s="167"/>
      <c r="H251" s="229"/>
      <c r="I251" s="264" t="s">
        <v>1124</v>
      </c>
      <c r="J251" s="281"/>
      <c r="K251" s="282" t="s">
        <v>1328</v>
      </c>
      <c r="L251" s="281"/>
      <c r="M251" s="281"/>
      <c r="N251" s="281"/>
      <c r="O251" s="283" t="s">
        <v>995</v>
      </c>
      <c r="P251" s="167"/>
      <c r="Q251" s="167"/>
      <c r="R251" s="167"/>
      <c r="S251" s="167"/>
    </row>
    <row r="252" spans="1:19">
      <c r="A252" s="173"/>
      <c r="B252" s="174"/>
      <c r="C252" s="75"/>
      <c r="D252" s="172"/>
      <c r="G252" s="167"/>
      <c r="H252" s="235"/>
      <c r="I252" s="172"/>
      <c r="J252" s="167"/>
      <c r="K252" s="182"/>
      <c r="L252" s="167"/>
      <c r="M252" s="167"/>
      <c r="N252" s="167"/>
      <c r="O252" s="170"/>
      <c r="P252" s="167"/>
      <c r="Q252" s="167"/>
      <c r="R252" s="167"/>
      <c r="S252" s="167"/>
    </row>
    <row r="253" spans="1:19" s="36" customFormat="1">
      <c r="A253" s="173">
        <v>25</v>
      </c>
      <c r="B253" s="163" t="s">
        <v>1329</v>
      </c>
      <c r="C253" s="163" t="s">
        <v>1330</v>
      </c>
      <c r="D253" s="172"/>
      <c r="G253" s="167"/>
      <c r="H253" s="205">
        <v>25</v>
      </c>
      <c r="I253" s="207"/>
      <c r="J253" s="217"/>
      <c r="K253" s="262" t="s">
        <v>1330</v>
      </c>
      <c r="L253" s="217"/>
      <c r="M253" s="217"/>
      <c r="N253" s="217"/>
      <c r="O253" s="227"/>
      <c r="P253" s="167"/>
      <c r="Q253" s="181">
        <f>H253</f>
        <v>25</v>
      </c>
      <c r="R253" s="172" t="str">
        <f>CONCATENATE("II-",TEXT(Q253,"0000"))</f>
        <v>II-0025</v>
      </c>
      <c r="S253" s="182" t="str">
        <f>K253</f>
        <v>DEFENSA VEHICULAR</v>
      </c>
    </row>
    <row r="254" spans="1:19">
      <c r="A254" s="173"/>
      <c r="B254" s="163"/>
      <c r="C254" s="163"/>
      <c r="D254" s="172"/>
      <c r="G254" s="167"/>
      <c r="H254" s="218"/>
      <c r="I254" s="184" t="s">
        <v>1019</v>
      </c>
      <c r="J254" s="187"/>
      <c r="K254" s="196" t="s">
        <v>1243</v>
      </c>
      <c r="L254" s="187"/>
      <c r="M254" s="187"/>
      <c r="N254" s="187"/>
      <c r="O254" s="228"/>
      <c r="P254" s="167"/>
      <c r="Q254" s="167"/>
      <c r="R254" s="167"/>
      <c r="S254" s="167"/>
    </row>
    <row r="255" spans="1:19">
      <c r="A255" s="173"/>
      <c r="B255" s="163"/>
      <c r="C255" s="163"/>
      <c r="D255" s="172" t="s">
        <v>1255</v>
      </c>
      <c r="G255" s="167"/>
      <c r="H255" s="183"/>
      <c r="I255" s="172"/>
      <c r="J255" s="189">
        <v>1</v>
      </c>
      <c r="K255" s="167"/>
      <c r="L255" s="182" t="s">
        <v>1331</v>
      </c>
      <c r="M255" s="167"/>
      <c r="N255" s="167"/>
      <c r="O255" s="219" t="s">
        <v>1255</v>
      </c>
      <c r="P255" s="167"/>
      <c r="Q255" s="167"/>
      <c r="R255" s="167"/>
      <c r="S255" s="167"/>
    </row>
    <row r="256" spans="1:19">
      <c r="A256" s="173"/>
      <c r="B256" s="163"/>
      <c r="C256" s="163"/>
      <c r="D256" s="172" t="s">
        <v>1255</v>
      </c>
      <c r="G256" s="167"/>
      <c r="H256" s="183"/>
      <c r="I256" s="172"/>
      <c r="J256" s="192">
        <v>2</v>
      </c>
      <c r="K256" s="193"/>
      <c r="L256" s="194" t="s">
        <v>1332</v>
      </c>
      <c r="M256" s="193"/>
      <c r="N256" s="193"/>
      <c r="O256" s="237" t="s">
        <v>1255</v>
      </c>
      <c r="P256" s="167"/>
      <c r="Q256" s="167"/>
      <c r="R256" s="167"/>
      <c r="S256" s="167"/>
    </row>
    <row r="257" spans="1:19">
      <c r="A257" s="173"/>
      <c r="B257" s="163"/>
      <c r="C257" s="163"/>
      <c r="D257" s="172"/>
      <c r="G257" s="167"/>
      <c r="H257" s="183"/>
      <c r="I257" s="184" t="s">
        <v>1046</v>
      </c>
      <c r="J257" s="167"/>
      <c r="K257" s="182" t="s">
        <v>1244</v>
      </c>
      <c r="L257" s="167"/>
      <c r="M257" s="167"/>
      <c r="N257" s="167"/>
      <c r="O257" s="219"/>
      <c r="P257" s="167"/>
      <c r="Q257" s="167"/>
      <c r="R257" s="167"/>
      <c r="S257" s="167"/>
    </row>
    <row r="258" spans="1:19">
      <c r="A258" s="173"/>
      <c r="B258" s="163"/>
      <c r="C258" s="163"/>
      <c r="D258" s="172" t="s">
        <v>1255</v>
      </c>
      <c r="G258" s="167"/>
      <c r="H258" s="183"/>
      <c r="I258" s="172"/>
      <c r="J258" s="189">
        <v>1</v>
      </c>
      <c r="K258" s="167"/>
      <c r="L258" s="182" t="s">
        <v>1333</v>
      </c>
      <c r="M258" s="167"/>
      <c r="N258" s="167"/>
      <c r="O258" s="219" t="s">
        <v>1255</v>
      </c>
      <c r="P258" s="167"/>
      <c r="Q258" s="167"/>
      <c r="R258" s="167"/>
      <c r="S258" s="167"/>
    </row>
    <row r="259" spans="1:19">
      <c r="A259" s="173"/>
      <c r="B259" s="163"/>
      <c r="C259" s="163"/>
      <c r="D259" s="172" t="s">
        <v>1255</v>
      </c>
      <c r="G259" s="167"/>
      <c r="H259" s="183"/>
      <c r="I259" s="172"/>
      <c r="J259" s="189">
        <v>2</v>
      </c>
      <c r="K259" s="167"/>
      <c r="L259" s="182" t="s">
        <v>1334</v>
      </c>
      <c r="M259" s="167"/>
      <c r="N259" s="167"/>
      <c r="O259" s="219" t="s">
        <v>1255</v>
      </c>
      <c r="P259" s="167"/>
      <c r="Q259" s="167"/>
      <c r="R259" s="167"/>
      <c r="S259" s="167"/>
    </row>
    <row r="260" spans="1:19">
      <c r="A260" s="173"/>
      <c r="B260" s="163"/>
      <c r="C260" s="163"/>
      <c r="D260" s="172" t="s">
        <v>995</v>
      </c>
      <c r="G260" s="167"/>
      <c r="H260" s="183"/>
      <c r="I260" s="184" t="s">
        <v>1056</v>
      </c>
      <c r="J260" s="225"/>
      <c r="K260" s="242" t="s">
        <v>1138</v>
      </c>
      <c r="L260" s="225"/>
      <c r="M260" s="225"/>
      <c r="N260" s="225"/>
      <c r="O260" s="241" t="s">
        <v>995</v>
      </c>
      <c r="P260" s="167"/>
      <c r="Q260" s="167"/>
      <c r="R260" s="167"/>
      <c r="S260" s="167"/>
    </row>
    <row r="261" spans="1:19" ht="15.75" thickBot="1">
      <c r="A261" s="173"/>
      <c r="B261" s="163"/>
      <c r="C261" s="163"/>
      <c r="D261" s="172" t="s">
        <v>995</v>
      </c>
      <c r="G261" s="167"/>
      <c r="H261" s="198"/>
      <c r="I261" s="210" t="s">
        <v>1082</v>
      </c>
      <c r="J261" s="213"/>
      <c r="K261" s="244" t="s">
        <v>1136</v>
      </c>
      <c r="L261" s="213"/>
      <c r="M261" s="213"/>
      <c r="N261" s="213"/>
      <c r="O261" s="245" t="s">
        <v>995</v>
      </c>
      <c r="P261" s="167"/>
      <c r="Q261" s="167"/>
      <c r="R261" s="167"/>
      <c r="S261" s="167"/>
    </row>
    <row r="262" spans="1:19" ht="15.75" thickTop="1">
      <c r="A262" s="173">
        <v>26</v>
      </c>
      <c r="B262" s="163" t="s">
        <v>1335</v>
      </c>
      <c r="C262" s="163" t="s">
        <v>1336</v>
      </c>
      <c r="D262" s="172"/>
      <c r="G262" s="167"/>
      <c r="H262" s="250">
        <v>26</v>
      </c>
      <c r="I262" s="206"/>
      <c r="J262" s="255"/>
      <c r="K262" s="256" t="s">
        <v>1336</v>
      </c>
      <c r="L262" s="255"/>
      <c r="M262" s="255"/>
      <c r="N262" s="255"/>
      <c r="O262" s="208"/>
      <c r="P262" s="167"/>
      <c r="Q262" s="181">
        <f>H262</f>
        <v>26</v>
      </c>
      <c r="R262" s="172" t="str">
        <f>CONCATENATE("II-",TEXT(Q262,"0000"))</f>
        <v>II-0026</v>
      </c>
      <c r="S262" s="182" t="str">
        <f>K262</f>
        <v xml:space="preserve">DEMOLICION </v>
      </c>
    </row>
    <row r="263" spans="1:19">
      <c r="A263" s="173"/>
      <c r="B263" s="163"/>
      <c r="C263" s="163"/>
      <c r="D263" s="172" t="s">
        <v>1213</v>
      </c>
      <c r="G263" s="167"/>
      <c r="H263" s="183"/>
      <c r="I263" s="184" t="s">
        <v>1019</v>
      </c>
      <c r="J263" s="225"/>
      <c r="K263" s="242" t="s">
        <v>1261</v>
      </c>
      <c r="L263" s="225"/>
      <c r="M263" s="225"/>
      <c r="N263" s="225"/>
      <c r="O263" s="241" t="s">
        <v>1213</v>
      </c>
      <c r="P263" s="167"/>
      <c r="Q263" s="167"/>
      <c r="R263" s="167"/>
      <c r="S263" s="167"/>
    </row>
    <row r="264" spans="1:19" ht="15.75" thickBot="1">
      <c r="A264" s="173"/>
      <c r="B264" s="163"/>
      <c r="C264" s="163"/>
      <c r="D264" s="172" t="s">
        <v>4</v>
      </c>
      <c r="G264" s="167"/>
      <c r="H264" s="198"/>
      <c r="I264" s="210" t="s">
        <v>1046</v>
      </c>
      <c r="J264" s="213"/>
      <c r="K264" s="244" t="s">
        <v>1337</v>
      </c>
      <c r="L264" s="213"/>
      <c r="M264" s="213"/>
      <c r="N264" s="213"/>
      <c r="O264" s="245" t="s">
        <v>4</v>
      </c>
      <c r="P264" s="167"/>
      <c r="Q264" s="167"/>
      <c r="R264" s="167"/>
      <c r="S264" s="167"/>
    </row>
    <row r="265" spans="1:19" ht="15.75" thickTop="1">
      <c r="A265" s="173">
        <v>27</v>
      </c>
      <c r="B265" s="163" t="s">
        <v>1338</v>
      </c>
      <c r="C265" s="163" t="s">
        <v>1339</v>
      </c>
      <c r="D265" s="172"/>
      <c r="G265" s="167"/>
      <c r="H265" s="205">
        <v>27</v>
      </c>
      <c r="I265" s="207"/>
      <c r="J265" s="217"/>
      <c r="K265" s="262" t="s">
        <v>1339</v>
      </c>
      <c r="L265" s="217"/>
      <c r="M265" s="217"/>
      <c r="N265" s="217"/>
      <c r="O265" s="227"/>
      <c r="P265" s="167"/>
      <c r="Q265" s="181">
        <f>H265</f>
        <v>27</v>
      </c>
      <c r="R265" s="172" t="str">
        <f>CONCATENATE("II-",TEXT(Q265,"0000"))</f>
        <v>II-0027</v>
      </c>
      <c r="S265" s="182" t="str">
        <f>K265</f>
        <v>DESAGUES</v>
      </c>
    </row>
    <row r="266" spans="1:19">
      <c r="A266" s="173"/>
      <c r="B266" s="163"/>
      <c r="C266" s="163"/>
      <c r="D266" s="172" t="s">
        <v>1247</v>
      </c>
      <c r="G266" s="167"/>
      <c r="H266" s="183"/>
      <c r="I266" s="184" t="s">
        <v>1019</v>
      </c>
      <c r="J266" s="225"/>
      <c r="K266" s="242" t="s">
        <v>1340</v>
      </c>
      <c r="L266" s="225"/>
      <c r="M266" s="225"/>
      <c r="N266" s="225"/>
      <c r="O266" s="241" t="s">
        <v>1247</v>
      </c>
      <c r="P266" s="167"/>
      <c r="Q266" s="167"/>
      <c r="R266" s="167"/>
      <c r="S266" s="167"/>
    </row>
    <row r="267" spans="1:19">
      <c r="A267" s="173"/>
      <c r="B267" s="163"/>
      <c r="C267" s="163"/>
      <c r="D267" s="172" t="s">
        <v>1247</v>
      </c>
      <c r="G267" s="167"/>
      <c r="H267" s="183"/>
      <c r="I267" s="184" t="s">
        <v>1046</v>
      </c>
      <c r="J267" s="225"/>
      <c r="K267" s="242" t="s">
        <v>1341</v>
      </c>
      <c r="L267" s="225"/>
      <c r="M267" s="225"/>
      <c r="N267" s="225"/>
      <c r="O267" s="241" t="s">
        <v>1247</v>
      </c>
      <c r="P267" s="167"/>
      <c r="Q267" s="167"/>
      <c r="R267" s="167"/>
      <c r="S267" s="167"/>
    </row>
    <row r="268" spans="1:19">
      <c r="A268" s="173"/>
      <c r="B268" s="163"/>
      <c r="C268" s="163"/>
      <c r="D268" s="172"/>
      <c r="G268" s="167"/>
      <c r="H268" s="183"/>
      <c r="I268" s="184" t="s">
        <v>1056</v>
      </c>
      <c r="J268" s="167"/>
      <c r="K268" s="182" t="s">
        <v>1342</v>
      </c>
      <c r="L268" s="167"/>
      <c r="M268" s="167"/>
      <c r="N268" s="167"/>
      <c r="O268" s="219"/>
      <c r="P268" s="167"/>
      <c r="Q268" s="167"/>
      <c r="R268" s="167"/>
      <c r="S268" s="167"/>
    </row>
    <row r="269" spans="1:19">
      <c r="A269" s="173"/>
      <c r="B269" s="163"/>
      <c r="C269" s="163"/>
      <c r="D269" s="172" t="s">
        <v>1247</v>
      </c>
      <c r="G269" s="167"/>
      <c r="H269" s="183"/>
      <c r="I269" s="172"/>
      <c r="J269" s="189">
        <v>1</v>
      </c>
      <c r="K269" s="167"/>
      <c r="L269" s="182" t="s">
        <v>1248</v>
      </c>
      <c r="M269" s="167"/>
      <c r="N269" s="167"/>
      <c r="O269" s="219" t="s">
        <v>1247</v>
      </c>
      <c r="P269" s="167"/>
      <c r="Q269" s="167"/>
      <c r="R269" s="167"/>
      <c r="S269" s="167"/>
    </row>
    <row r="270" spans="1:19">
      <c r="A270" s="173"/>
      <c r="B270" s="163"/>
      <c r="C270" s="163"/>
      <c r="D270" s="172" t="s">
        <v>1247</v>
      </c>
      <c r="G270" s="167"/>
      <c r="H270" s="183"/>
      <c r="I270" s="172"/>
      <c r="J270" s="192">
        <v>2</v>
      </c>
      <c r="K270" s="167"/>
      <c r="L270" s="182" t="s">
        <v>1251</v>
      </c>
      <c r="M270" s="167"/>
      <c r="N270" s="167"/>
      <c r="O270" s="219" t="s">
        <v>1247</v>
      </c>
      <c r="P270" s="167"/>
      <c r="Q270" s="167"/>
      <c r="R270" s="167"/>
      <c r="S270" s="167"/>
    </row>
    <row r="271" spans="1:19">
      <c r="A271" s="173"/>
      <c r="B271" s="163"/>
      <c r="C271" s="163"/>
      <c r="D271" s="172" t="s">
        <v>1247</v>
      </c>
      <c r="G271" s="167"/>
      <c r="H271" s="183"/>
      <c r="I271" s="184" t="s">
        <v>1082</v>
      </c>
      <c r="J271" s="225"/>
      <c r="K271" s="242" t="s">
        <v>1138</v>
      </c>
      <c r="L271" s="225"/>
      <c r="M271" s="225"/>
      <c r="N271" s="225"/>
      <c r="O271" s="241" t="s">
        <v>1247</v>
      </c>
      <c r="P271" s="167"/>
      <c r="Q271" s="167"/>
      <c r="R271" s="167"/>
      <c r="S271" s="167"/>
    </row>
    <row r="272" spans="1:19">
      <c r="A272" s="173"/>
      <c r="B272" s="163"/>
      <c r="C272" s="163"/>
      <c r="D272" s="172" t="s">
        <v>1247</v>
      </c>
      <c r="G272" s="167"/>
      <c r="H272" s="183"/>
      <c r="I272" s="192" t="s">
        <v>1124</v>
      </c>
      <c r="J272" s="193"/>
      <c r="K272" s="194" t="s">
        <v>1136</v>
      </c>
      <c r="L272" s="193"/>
      <c r="M272" s="193"/>
      <c r="N272" s="193"/>
      <c r="O272" s="237" t="s">
        <v>1247</v>
      </c>
      <c r="P272" s="167"/>
      <c r="Q272" s="167"/>
      <c r="R272" s="167"/>
      <c r="S272" s="167"/>
    </row>
    <row r="273" spans="1:19" ht="15.75" thickBot="1">
      <c r="A273" s="173"/>
      <c r="B273" s="163"/>
      <c r="C273" s="163"/>
      <c r="D273" s="172" t="s">
        <v>1247</v>
      </c>
      <c r="G273" s="167"/>
      <c r="H273" s="183"/>
      <c r="I273" s="184" t="s">
        <v>1127</v>
      </c>
      <c r="J273" s="225"/>
      <c r="K273" s="242" t="s">
        <v>1133</v>
      </c>
      <c r="L273" s="225"/>
      <c r="M273" s="225"/>
      <c r="N273" s="225"/>
      <c r="O273" s="241" t="s">
        <v>1247</v>
      </c>
      <c r="P273" s="167"/>
      <c r="Q273" s="167"/>
      <c r="R273" s="167"/>
      <c r="S273" s="167"/>
    </row>
    <row r="274" spans="1:19" ht="16.5" thickTop="1" thickBot="1">
      <c r="A274" s="173">
        <v>28</v>
      </c>
      <c r="B274" s="163" t="s">
        <v>1343</v>
      </c>
      <c r="C274" s="163" t="s">
        <v>1344</v>
      </c>
      <c r="D274" s="172" t="s">
        <v>996</v>
      </c>
      <c r="G274" s="167"/>
      <c r="H274" s="250">
        <v>28</v>
      </c>
      <c r="I274" s="206"/>
      <c r="J274" s="255"/>
      <c r="K274" s="256" t="s">
        <v>1344</v>
      </c>
      <c r="L274" s="255"/>
      <c r="M274" s="255"/>
      <c r="N274" s="255"/>
      <c r="O274" s="208" t="s">
        <v>996</v>
      </c>
      <c r="P274" s="167"/>
      <c r="Q274" s="181">
        <f t="shared" ref="Q274:Q279" si="39">H274</f>
        <v>28</v>
      </c>
      <c r="R274" s="172" t="str">
        <f t="shared" ref="R274:R279" si="40">CONCATENATE("II-",TEXT(Q274,"0000"))</f>
        <v>II-0028</v>
      </c>
      <c r="S274" s="182" t="str">
        <f t="shared" ref="S274:S279" si="41">K274</f>
        <v>DESBOSQUE / DESTRONQUE LIMPIEZA</v>
      </c>
    </row>
    <row r="275" spans="1:19" ht="16.5" thickTop="1" thickBot="1">
      <c r="A275" s="173">
        <v>29</v>
      </c>
      <c r="B275" s="163" t="s">
        <v>1345</v>
      </c>
      <c r="C275" s="163" t="s">
        <v>1346</v>
      </c>
      <c r="D275" s="172" t="s">
        <v>1130</v>
      </c>
      <c r="G275" s="167"/>
      <c r="H275" s="250">
        <v>29</v>
      </c>
      <c r="I275" s="206"/>
      <c r="J275" s="255"/>
      <c r="K275" s="256" t="s">
        <v>1346</v>
      </c>
      <c r="L275" s="255"/>
      <c r="M275" s="255"/>
      <c r="N275" s="255"/>
      <c r="O275" s="208" t="s">
        <v>1130</v>
      </c>
      <c r="P275" s="167"/>
      <c r="Q275" s="181">
        <f t="shared" si="39"/>
        <v>29</v>
      </c>
      <c r="R275" s="172" t="str">
        <f t="shared" si="40"/>
        <v>II-0029</v>
      </c>
      <c r="S275" s="182" t="str">
        <f t="shared" si="41"/>
        <v>DESCARGA</v>
      </c>
    </row>
    <row r="276" spans="1:19" ht="16.5" thickTop="1" thickBot="1">
      <c r="A276" s="173">
        <v>30</v>
      </c>
      <c r="B276" s="163" t="s">
        <v>1347</v>
      </c>
      <c r="C276" s="163" t="s">
        <v>1348</v>
      </c>
      <c r="D276" s="172" t="s">
        <v>1130</v>
      </c>
      <c r="G276" s="167"/>
      <c r="H276" s="276">
        <v>30</v>
      </c>
      <c r="I276" s="277"/>
      <c r="J276" s="278"/>
      <c r="K276" s="279" t="s">
        <v>1348</v>
      </c>
      <c r="L276" s="278"/>
      <c r="M276" s="278"/>
      <c r="N276" s="278"/>
      <c r="O276" s="280" t="s">
        <v>1130</v>
      </c>
      <c r="P276" s="167"/>
      <c r="Q276" s="181">
        <f t="shared" si="39"/>
        <v>30</v>
      </c>
      <c r="R276" s="172" t="str">
        <f t="shared" si="40"/>
        <v>II-0030</v>
      </c>
      <c r="S276" s="182" t="str">
        <f t="shared" si="41"/>
        <v>DESEMBARRO P/ SANEAMIENTO</v>
      </c>
    </row>
    <row r="277" spans="1:19" ht="16.5" thickTop="1" thickBot="1">
      <c r="A277" s="173">
        <v>31</v>
      </c>
      <c r="B277" s="163" t="s">
        <v>1349</v>
      </c>
      <c r="C277" s="163" t="s">
        <v>1350</v>
      </c>
      <c r="D277" s="172" t="s">
        <v>996</v>
      </c>
      <c r="G277" s="167"/>
      <c r="H277" s="276">
        <v>31</v>
      </c>
      <c r="I277" s="277"/>
      <c r="J277" s="278"/>
      <c r="K277" s="279" t="s">
        <v>1350</v>
      </c>
      <c r="L277" s="278"/>
      <c r="M277" s="278"/>
      <c r="N277" s="278"/>
      <c r="O277" s="280" t="s">
        <v>996</v>
      </c>
      <c r="P277" s="167"/>
      <c r="Q277" s="181">
        <f t="shared" si="39"/>
        <v>31</v>
      </c>
      <c r="R277" s="172" t="str">
        <f t="shared" si="40"/>
        <v>II-0031</v>
      </c>
      <c r="S277" s="182" t="str">
        <f t="shared" si="41"/>
        <v>DESPEDRADO DE LADERAS</v>
      </c>
    </row>
    <row r="278" spans="1:19" ht="16.5" thickTop="1" thickBot="1">
      <c r="A278" s="173">
        <v>32</v>
      </c>
      <c r="B278" s="163" t="s">
        <v>1351</v>
      </c>
      <c r="C278" s="163" t="s">
        <v>1352</v>
      </c>
      <c r="D278" s="172" t="s">
        <v>4</v>
      </c>
      <c r="G278" s="167"/>
      <c r="H278" s="276">
        <v>32</v>
      </c>
      <c r="I278" s="277"/>
      <c r="J278" s="278"/>
      <c r="K278" s="279" t="s">
        <v>1352</v>
      </c>
      <c r="L278" s="278"/>
      <c r="M278" s="278"/>
      <c r="N278" s="278"/>
      <c r="O278" s="280" t="s">
        <v>4</v>
      </c>
      <c r="P278" s="167"/>
      <c r="Q278" s="181">
        <f t="shared" si="39"/>
        <v>32</v>
      </c>
      <c r="R278" s="172" t="str">
        <f t="shared" si="40"/>
        <v>II-0032</v>
      </c>
      <c r="S278" s="182" t="str">
        <f t="shared" si="41"/>
        <v>DESVIO</v>
      </c>
    </row>
    <row r="279" spans="1:19" ht="15.75" thickTop="1">
      <c r="A279" s="173">
        <v>33</v>
      </c>
      <c r="B279" s="163" t="s">
        <v>1353</v>
      </c>
      <c r="C279" s="163" t="s">
        <v>1354</v>
      </c>
      <c r="D279" s="172"/>
      <c r="G279" s="167"/>
      <c r="H279" s="205">
        <v>33</v>
      </c>
      <c r="I279" s="207"/>
      <c r="J279" s="217"/>
      <c r="K279" s="262" t="s">
        <v>1354</v>
      </c>
      <c r="L279" s="217"/>
      <c r="M279" s="217"/>
      <c r="N279" s="217"/>
      <c r="O279" s="227"/>
      <c r="P279" s="167"/>
      <c r="Q279" s="181">
        <f t="shared" si="39"/>
        <v>33</v>
      </c>
      <c r="R279" s="172" t="str">
        <f t="shared" si="40"/>
        <v>II-0033</v>
      </c>
      <c r="S279" s="182" t="str">
        <f t="shared" si="41"/>
        <v>DRENES</v>
      </c>
    </row>
    <row r="280" spans="1:19">
      <c r="A280" s="173"/>
      <c r="B280" s="163"/>
      <c r="C280" s="163"/>
      <c r="D280" s="172"/>
      <c r="G280" s="167"/>
      <c r="H280" s="183"/>
      <c r="I280" s="184" t="s">
        <v>1019</v>
      </c>
      <c r="J280" s="172"/>
      <c r="K280" s="182" t="s">
        <v>1355</v>
      </c>
      <c r="L280" s="167"/>
      <c r="M280" s="167"/>
      <c r="N280" s="167"/>
      <c r="O280" s="219"/>
      <c r="P280" s="167"/>
      <c r="Q280" s="167"/>
      <c r="R280" s="167"/>
      <c r="S280" s="167"/>
    </row>
    <row r="281" spans="1:19">
      <c r="A281" s="173"/>
      <c r="B281" s="163"/>
      <c r="C281" s="163"/>
      <c r="D281" s="172" t="s">
        <v>1213</v>
      </c>
      <c r="G281" s="167"/>
      <c r="H281" s="183"/>
      <c r="I281" s="172"/>
      <c r="J281" s="189">
        <v>1</v>
      </c>
      <c r="K281" s="167"/>
      <c r="L281" s="182" t="s">
        <v>1356</v>
      </c>
      <c r="M281" s="167"/>
      <c r="N281" s="167"/>
      <c r="O281" s="219" t="s">
        <v>1213</v>
      </c>
      <c r="P281" s="167"/>
      <c r="Q281" s="167"/>
      <c r="R281" s="167"/>
      <c r="S281" s="167"/>
    </row>
    <row r="282" spans="1:19">
      <c r="A282" s="173"/>
      <c r="B282" s="163"/>
      <c r="C282" s="163"/>
      <c r="D282" s="172" t="s">
        <v>1130</v>
      </c>
      <c r="G282" s="167"/>
      <c r="H282" s="183"/>
      <c r="I282" s="172"/>
      <c r="J282" s="189">
        <v>2</v>
      </c>
      <c r="K282" s="167"/>
      <c r="L282" s="182" t="s">
        <v>1357</v>
      </c>
      <c r="M282" s="167"/>
      <c r="N282" s="167"/>
      <c r="O282" s="219" t="s">
        <v>1130</v>
      </c>
      <c r="P282" s="167"/>
      <c r="Q282" s="167"/>
      <c r="R282" s="167"/>
      <c r="S282" s="167"/>
    </row>
    <row r="283" spans="1:19">
      <c r="A283" s="173"/>
      <c r="B283" s="163"/>
      <c r="C283" s="163"/>
      <c r="D283" s="172" t="s">
        <v>995</v>
      </c>
      <c r="G283" s="167"/>
      <c r="H283" s="183"/>
      <c r="I283" s="197"/>
      <c r="J283" s="192">
        <v>3</v>
      </c>
      <c r="K283" s="193"/>
      <c r="L283" s="194" t="s">
        <v>1358</v>
      </c>
      <c r="M283" s="193"/>
      <c r="N283" s="193"/>
      <c r="O283" s="237" t="s">
        <v>995</v>
      </c>
      <c r="P283" s="167"/>
      <c r="Q283" s="167"/>
      <c r="R283" s="167"/>
      <c r="S283" s="167"/>
    </row>
    <row r="284" spans="1:19">
      <c r="A284" s="173"/>
      <c r="B284" s="163"/>
      <c r="C284" s="163"/>
      <c r="D284" s="172"/>
      <c r="G284" s="167"/>
      <c r="H284" s="183"/>
      <c r="I284" s="192" t="s">
        <v>1046</v>
      </c>
      <c r="J284" s="172"/>
      <c r="K284" s="182" t="s">
        <v>1359</v>
      </c>
      <c r="L284" s="167"/>
      <c r="M284" s="167"/>
      <c r="N284" s="167"/>
      <c r="O284" s="219"/>
      <c r="P284" s="167"/>
      <c r="Q284" s="167"/>
      <c r="R284" s="167"/>
      <c r="S284" s="167"/>
    </row>
    <row r="285" spans="1:19">
      <c r="A285" s="173"/>
      <c r="B285" s="163"/>
      <c r="C285" s="163"/>
      <c r="D285" s="172" t="s">
        <v>1213</v>
      </c>
      <c r="G285" s="167"/>
      <c r="H285" s="183"/>
      <c r="I285" s="172"/>
      <c r="J285" s="189">
        <v>1</v>
      </c>
      <c r="K285" s="167"/>
      <c r="L285" s="182" t="s">
        <v>1356</v>
      </c>
      <c r="M285" s="167"/>
      <c r="N285" s="167"/>
      <c r="O285" s="219" t="s">
        <v>1213</v>
      </c>
      <c r="P285" s="167"/>
      <c r="Q285" s="167"/>
      <c r="R285" s="167"/>
      <c r="S285" s="167"/>
    </row>
    <row r="286" spans="1:19">
      <c r="A286" s="173"/>
      <c r="B286" s="163"/>
      <c r="C286" s="163"/>
      <c r="D286" s="172" t="s">
        <v>1130</v>
      </c>
      <c r="G286" s="167"/>
      <c r="H286" s="183"/>
      <c r="I286" s="172"/>
      <c r="J286" s="189">
        <v>2</v>
      </c>
      <c r="K286" s="167"/>
      <c r="L286" s="182" t="s">
        <v>1357</v>
      </c>
      <c r="M286" s="167"/>
      <c r="N286" s="167"/>
      <c r="O286" s="219" t="s">
        <v>1130</v>
      </c>
      <c r="P286" s="167"/>
      <c r="Q286" s="167"/>
      <c r="R286" s="167"/>
      <c r="S286" s="167"/>
    </row>
    <row r="287" spans="1:19">
      <c r="A287" s="173"/>
      <c r="B287" s="163"/>
      <c r="C287" s="163"/>
      <c r="D287" s="172" t="s">
        <v>995</v>
      </c>
      <c r="G287" s="167"/>
      <c r="H287" s="183"/>
      <c r="I287" s="197"/>
      <c r="J287" s="192">
        <v>3</v>
      </c>
      <c r="K287" s="193"/>
      <c r="L287" s="194" t="s">
        <v>1358</v>
      </c>
      <c r="M287" s="193"/>
      <c r="N287" s="193"/>
      <c r="O287" s="237" t="s">
        <v>995</v>
      </c>
      <c r="P287" s="167"/>
      <c r="Q287" s="167"/>
      <c r="R287" s="167"/>
      <c r="S287" s="167"/>
    </row>
    <row r="288" spans="1:19">
      <c r="A288" s="173"/>
      <c r="B288" s="163"/>
      <c r="C288" s="163"/>
      <c r="D288" s="172"/>
      <c r="G288" s="167"/>
      <c r="H288" s="183"/>
      <c r="I288" s="192" t="s">
        <v>1056</v>
      </c>
      <c r="J288" s="172"/>
      <c r="K288" s="182" t="s">
        <v>1360</v>
      </c>
      <c r="L288" s="167"/>
      <c r="M288" s="167"/>
      <c r="N288" s="167"/>
      <c r="O288" s="219"/>
      <c r="P288" s="167"/>
      <c r="Q288" s="167"/>
      <c r="R288" s="167"/>
      <c r="S288" s="167"/>
    </row>
    <row r="289" spans="1:19">
      <c r="A289" s="173"/>
      <c r="B289" s="163"/>
      <c r="C289" s="163"/>
      <c r="D289" s="172" t="s">
        <v>1255</v>
      </c>
      <c r="G289" s="167"/>
      <c r="H289" s="183"/>
      <c r="I289" s="172"/>
      <c r="J289" s="189">
        <v>1</v>
      </c>
      <c r="K289" s="167"/>
      <c r="L289" s="182" t="s">
        <v>1361</v>
      </c>
      <c r="M289" s="167"/>
      <c r="N289" s="167"/>
      <c r="O289" s="219" t="s">
        <v>1255</v>
      </c>
      <c r="P289" s="167"/>
      <c r="Q289" s="167"/>
      <c r="R289" s="167"/>
      <c r="S289" s="167"/>
    </row>
    <row r="290" spans="1:19">
      <c r="A290" s="173"/>
      <c r="B290" s="163"/>
      <c r="C290" s="163"/>
      <c r="D290" s="172" t="s">
        <v>1255</v>
      </c>
      <c r="G290" s="167"/>
      <c r="H290" s="183"/>
      <c r="I290" s="184" t="s">
        <v>1082</v>
      </c>
      <c r="J290" s="225"/>
      <c r="K290" s="242" t="s">
        <v>1088</v>
      </c>
      <c r="L290" s="225"/>
      <c r="M290" s="225"/>
      <c r="N290" s="225"/>
      <c r="O290" s="241" t="s">
        <v>1255</v>
      </c>
      <c r="P290" s="167"/>
      <c r="Q290" s="167"/>
      <c r="R290" s="167"/>
      <c r="S290" s="167"/>
    </row>
    <row r="291" spans="1:19" ht="15.75" thickBot="1">
      <c r="A291" s="173"/>
      <c r="B291" s="163"/>
      <c r="C291" s="163"/>
      <c r="D291" s="172" t="s">
        <v>1255</v>
      </c>
      <c r="G291" s="167"/>
      <c r="H291" s="183"/>
      <c r="I291" s="210" t="s">
        <v>1124</v>
      </c>
      <c r="J291" s="167"/>
      <c r="K291" s="182" t="s">
        <v>1136</v>
      </c>
      <c r="L291" s="167"/>
      <c r="M291" s="167"/>
      <c r="N291" s="167"/>
      <c r="O291" s="219" t="s">
        <v>1255</v>
      </c>
      <c r="P291" s="167"/>
      <c r="Q291" s="167"/>
      <c r="R291" s="167"/>
      <c r="S291" s="167"/>
    </row>
    <row r="292" spans="1:19" ht="15.75" thickTop="1">
      <c r="A292" s="173">
        <v>34</v>
      </c>
      <c r="B292" s="163" t="s">
        <v>1362</v>
      </c>
      <c r="C292" s="163" t="s">
        <v>1363</v>
      </c>
      <c r="D292" s="172"/>
      <c r="G292" s="167"/>
      <c r="H292" s="250">
        <v>34</v>
      </c>
      <c r="I292" s="206"/>
      <c r="J292" s="255"/>
      <c r="K292" s="256" t="s">
        <v>1363</v>
      </c>
      <c r="L292" s="255"/>
      <c r="M292" s="255"/>
      <c r="N292" s="255"/>
      <c r="O292" s="208"/>
      <c r="P292" s="167"/>
      <c r="Q292" s="181">
        <f>H292</f>
        <v>34</v>
      </c>
      <c r="R292" s="172" t="str">
        <f>CONCATENATE("II-",TEXT(Q292,"0000"))</f>
        <v>II-0034</v>
      </c>
      <c r="S292" s="182" t="str">
        <f>K292</f>
        <v>ELEVACION DE GUARDARUEDAS</v>
      </c>
    </row>
    <row r="293" spans="1:19" ht="15.75" thickBot="1">
      <c r="A293" s="173"/>
      <c r="B293" s="163"/>
      <c r="C293" s="163"/>
      <c r="D293" s="172" t="s">
        <v>1213</v>
      </c>
      <c r="G293" s="167"/>
      <c r="H293" s="284"/>
      <c r="I293" s="264" t="s">
        <v>1019</v>
      </c>
      <c r="J293" s="281"/>
      <c r="K293" s="282" t="s">
        <v>1364</v>
      </c>
      <c r="L293" s="281"/>
      <c r="M293" s="281"/>
      <c r="N293" s="281"/>
      <c r="O293" s="283" t="s">
        <v>1213</v>
      </c>
      <c r="P293" s="167"/>
      <c r="Q293" s="167"/>
      <c r="R293" s="167"/>
      <c r="S293" s="167"/>
    </row>
    <row r="294" spans="1:19">
      <c r="A294" s="173">
        <v>35</v>
      </c>
      <c r="B294" s="163" t="s">
        <v>1365</v>
      </c>
      <c r="C294" s="163" t="s">
        <v>1366</v>
      </c>
      <c r="D294" s="172"/>
      <c r="G294" s="167"/>
      <c r="H294" s="205">
        <v>35</v>
      </c>
      <c r="I294" s="207"/>
      <c r="J294" s="217"/>
      <c r="K294" s="262" t="s">
        <v>1366</v>
      </c>
      <c r="L294" s="217"/>
      <c r="M294" s="217"/>
      <c r="N294" s="217"/>
      <c r="O294" s="227"/>
      <c r="P294" s="167"/>
      <c r="Q294" s="181">
        <f>H294</f>
        <v>35</v>
      </c>
      <c r="R294" s="172" t="str">
        <f>CONCATENATE("II-",TEXT(Q294,"0000"))</f>
        <v>II-0035</v>
      </c>
      <c r="S294" s="182" t="str">
        <f>K294</f>
        <v>ENCAUZAMIENTO</v>
      </c>
    </row>
    <row r="295" spans="1:19">
      <c r="A295" s="173"/>
      <c r="B295" s="163"/>
      <c r="C295" s="163"/>
      <c r="D295" s="172" t="s">
        <v>1130</v>
      </c>
      <c r="G295" s="167"/>
      <c r="H295" s="183"/>
      <c r="I295" s="184" t="s">
        <v>1019</v>
      </c>
      <c r="J295" s="225"/>
      <c r="K295" s="242" t="s">
        <v>1312</v>
      </c>
      <c r="L295" s="225"/>
      <c r="M295" s="225"/>
      <c r="N295" s="225"/>
      <c r="O295" s="241" t="s">
        <v>1130</v>
      </c>
      <c r="P295" s="167"/>
      <c r="Q295" s="167"/>
      <c r="R295" s="167"/>
      <c r="S295" s="167"/>
    </row>
    <row r="296" spans="1:19">
      <c r="A296" s="173"/>
      <c r="B296" s="163"/>
      <c r="C296" s="163"/>
      <c r="D296" s="172"/>
      <c r="G296" s="167"/>
      <c r="H296" s="183"/>
      <c r="I296" s="184" t="s">
        <v>1046</v>
      </c>
      <c r="J296" s="172"/>
      <c r="K296" s="182" t="s">
        <v>1367</v>
      </c>
      <c r="L296" s="167"/>
      <c r="M296" s="167"/>
      <c r="N296" s="167"/>
      <c r="O296" s="219"/>
      <c r="P296" s="167"/>
      <c r="Q296" s="167"/>
      <c r="R296" s="167"/>
      <c r="S296" s="167"/>
    </row>
    <row r="297" spans="1:19">
      <c r="A297" s="173"/>
      <c r="B297" s="163"/>
      <c r="C297" s="163"/>
      <c r="D297" s="172" t="s">
        <v>1130</v>
      </c>
      <c r="G297" s="167"/>
      <c r="H297" s="183"/>
      <c r="I297" s="172"/>
      <c r="J297" s="189">
        <v>1</v>
      </c>
      <c r="K297" s="167"/>
      <c r="L297" s="182" t="s">
        <v>1368</v>
      </c>
      <c r="M297" s="167"/>
      <c r="N297" s="167"/>
      <c r="O297" s="219" t="s">
        <v>1130</v>
      </c>
      <c r="P297" s="167"/>
      <c r="Q297" s="167"/>
      <c r="R297" s="167"/>
      <c r="S297" s="167"/>
    </row>
    <row r="298" spans="1:19" ht="15.75" thickBot="1">
      <c r="A298" s="173"/>
      <c r="B298" s="163"/>
      <c r="C298" s="163"/>
      <c r="D298" s="172" t="s">
        <v>1130</v>
      </c>
      <c r="G298" s="167"/>
      <c r="H298" s="229"/>
      <c r="I298" s="230"/>
      <c r="J298" s="231">
        <v>2</v>
      </c>
      <c r="K298" s="232"/>
      <c r="L298" s="233" t="s">
        <v>1244</v>
      </c>
      <c r="M298" s="232"/>
      <c r="N298" s="232"/>
      <c r="O298" s="265" t="s">
        <v>1130</v>
      </c>
      <c r="P298" s="167"/>
      <c r="Q298" s="167"/>
      <c r="R298" s="167"/>
      <c r="S298" s="167"/>
    </row>
    <row r="299" spans="1:19">
      <c r="A299" s="173"/>
      <c r="B299" s="163"/>
      <c r="C299" s="163"/>
      <c r="D299" s="172"/>
      <c r="G299" s="167"/>
      <c r="H299" s="235"/>
      <c r="I299" s="172"/>
      <c r="J299" s="172"/>
      <c r="K299" s="167"/>
      <c r="L299" s="182"/>
      <c r="M299" s="167"/>
      <c r="N299" s="167"/>
      <c r="O299" s="170"/>
      <c r="P299" s="167"/>
      <c r="Q299" s="167"/>
      <c r="R299" s="167"/>
      <c r="S299" s="167"/>
    </row>
    <row r="300" spans="1:19" ht="15.75" thickBot="1">
      <c r="A300" s="173">
        <v>36</v>
      </c>
      <c r="B300" s="163" t="s">
        <v>1369</v>
      </c>
      <c r="C300" s="163" t="s">
        <v>1370</v>
      </c>
      <c r="D300" s="172" t="s">
        <v>1130</v>
      </c>
      <c r="G300" s="167"/>
      <c r="H300" s="205">
        <v>36</v>
      </c>
      <c r="I300" s="207"/>
      <c r="J300" s="217"/>
      <c r="K300" s="262" t="s">
        <v>1370</v>
      </c>
      <c r="L300" s="217"/>
      <c r="M300" s="217"/>
      <c r="N300" s="217"/>
      <c r="O300" s="227" t="s">
        <v>1130</v>
      </c>
      <c r="P300" s="167"/>
      <c r="Q300" s="181">
        <f t="shared" ref="Q300:Q303" si="42">H300</f>
        <v>36</v>
      </c>
      <c r="R300" s="172" t="str">
        <f t="shared" ref="R300:R303" si="43">CONCATENATE("II-",TEXT(Q300,"0000"))</f>
        <v>II-0036</v>
      </c>
      <c r="S300" s="182" t="str">
        <f t="shared" ref="S300:S303" si="44">K300</f>
        <v>ENROCADOS</v>
      </c>
    </row>
    <row r="301" spans="1:19" ht="16.5" thickTop="1" thickBot="1">
      <c r="A301" s="173">
        <v>37</v>
      </c>
      <c r="B301" s="163" t="s">
        <v>1371</v>
      </c>
      <c r="C301" s="163" t="s">
        <v>1372</v>
      </c>
      <c r="D301" s="172" t="s">
        <v>1213</v>
      </c>
      <c r="G301" s="167"/>
      <c r="H301" s="250">
        <v>37</v>
      </c>
      <c r="I301" s="206"/>
      <c r="J301" s="255"/>
      <c r="K301" s="256" t="s">
        <v>1372</v>
      </c>
      <c r="L301" s="255"/>
      <c r="M301" s="255"/>
      <c r="N301" s="255"/>
      <c r="O301" s="208" t="s">
        <v>1213</v>
      </c>
      <c r="P301" s="167"/>
      <c r="Q301" s="181">
        <f t="shared" si="42"/>
        <v>37</v>
      </c>
      <c r="R301" s="172" t="str">
        <f t="shared" si="43"/>
        <v>II-0037</v>
      </c>
      <c r="S301" s="182" t="str">
        <f t="shared" si="44"/>
        <v>ENRIPIADO</v>
      </c>
    </row>
    <row r="302" spans="1:19" ht="16.5" thickTop="1" thickBot="1">
      <c r="A302" s="173">
        <v>38</v>
      </c>
      <c r="B302" s="163" t="s">
        <v>1373</v>
      </c>
      <c r="C302" s="163" t="s">
        <v>1374</v>
      </c>
      <c r="D302" s="172" t="s">
        <v>1213</v>
      </c>
      <c r="G302" s="167"/>
      <c r="H302" s="250">
        <v>38</v>
      </c>
      <c r="I302" s="206"/>
      <c r="J302" s="255"/>
      <c r="K302" s="256" t="s">
        <v>1374</v>
      </c>
      <c r="L302" s="255"/>
      <c r="M302" s="255"/>
      <c r="N302" s="255"/>
      <c r="O302" s="208" t="s">
        <v>1213</v>
      </c>
      <c r="P302" s="167"/>
      <c r="Q302" s="181">
        <f t="shared" si="42"/>
        <v>38</v>
      </c>
      <c r="R302" s="172" t="str">
        <f t="shared" si="43"/>
        <v>II-0038</v>
      </c>
      <c r="S302" s="182" t="str">
        <f t="shared" si="44"/>
        <v>ESCARIFICADO</v>
      </c>
    </row>
    <row r="303" spans="1:19" ht="15.75" thickTop="1">
      <c r="A303" s="173">
        <v>39</v>
      </c>
      <c r="B303" s="163" t="s">
        <v>1375</v>
      </c>
      <c r="C303" s="163" t="s">
        <v>1376</v>
      </c>
      <c r="D303" s="172"/>
      <c r="G303" s="167"/>
      <c r="H303" s="250">
        <v>39</v>
      </c>
      <c r="I303" s="206"/>
      <c r="J303" s="255"/>
      <c r="K303" s="256" t="s">
        <v>1376</v>
      </c>
      <c r="L303" s="255"/>
      <c r="M303" s="255"/>
      <c r="N303" s="255"/>
      <c r="O303" s="208"/>
      <c r="P303" s="167"/>
      <c r="Q303" s="181">
        <f t="shared" si="42"/>
        <v>39</v>
      </c>
      <c r="R303" s="172" t="str">
        <f t="shared" si="43"/>
        <v>II-0039</v>
      </c>
      <c r="S303" s="182" t="str">
        <f t="shared" si="44"/>
        <v>EXCAVACIONES</v>
      </c>
    </row>
    <row r="304" spans="1:19">
      <c r="A304" s="173"/>
      <c r="B304" s="163"/>
      <c r="C304" s="163"/>
      <c r="D304" s="172" t="s">
        <v>1130</v>
      </c>
      <c r="G304" s="167"/>
      <c r="H304" s="183"/>
      <c r="I304" s="184" t="s">
        <v>1019</v>
      </c>
      <c r="J304" s="225"/>
      <c r="K304" s="242" t="s">
        <v>1377</v>
      </c>
      <c r="L304" s="242"/>
      <c r="M304" s="242"/>
      <c r="N304" s="242"/>
      <c r="O304" s="241" t="s">
        <v>1130</v>
      </c>
      <c r="P304" s="167"/>
      <c r="Q304" s="167"/>
      <c r="R304" s="167"/>
      <c r="S304" s="167"/>
    </row>
    <row r="305" spans="1:19">
      <c r="A305" s="173"/>
      <c r="B305" s="163"/>
      <c r="C305" s="163"/>
      <c r="D305" s="172" t="s">
        <v>1130</v>
      </c>
      <c r="G305" s="167"/>
      <c r="H305" s="183"/>
      <c r="I305" s="184" t="s">
        <v>1046</v>
      </c>
      <c r="J305" s="225"/>
      <c r="K305" s="242" t="s">
        <v>1378</v>
      </c>
      <c r="L305" s="242"/>
      <c r="M305" s="242"/>
      <c r="N305" s="242"/>
      <c r="O305" s="241" t="s">
        <v>1130</v>
      </c>
      <c r="P305" s="167"/>
      <c r="Q305" s="167"/>
      <c r="R305" s="167"/>
      <c r="S305" s="167"/>
    </row>
    <row r="306" spans="1:19">
      <c r="A306" s="173"/>
      <c r="B306" s="163"/>
      <c r="C306" s="163"/>
      <c r="D306" s="172" t="s">
        <v>1130</v>
      </c>
      <c r="G306" s="167"/>
      <c r="H306" s="183"/>
      <c r="I306" s="184" t="s">
        <v>1056</v>
      </c>
      <c r="J306" s="225"/>
      <c r="K306" s="242" t="s">
        <v>1379</v>
      </c>
      <c r="L306" s="242"/>
      <c r="M306" s="242"/>
      <c r="N306" s="242"/>
      <c r="O306" s="241" t="s">
        <v>1130</v>
      </c>
      <c r="P306" s="167"/>
      <c r="Q306" s="167"/>
      <c r="R306" s="167"/>
      <c r="S306" s="167"/>
    </row>
    <row r="307" spans="1:19">
      <c r="A307" s="173"/>
      <c r="B307" s="163"/>
      <c r="C307" s="163"/>
      <c r="D307" s="172" t="s">
        <v>1130</v>
      </c>
      <c r="G307" s="167"/>
      <c r="H307" s="183"/>
      <c r="I307" s="184" t="s">
        <v>1082</v>
      </c>
      <c r="J307" s="225"/>
      <c r="K307" s="242" t="s">
        <v>1380</v>
      </c>
      <c r="L307" s="242"/>
      <c r="M307" s="242"/>
      <c r="N307" s="242"/>
      <c r="O307" s="241" t="s">
        <v>1130</v>
      </c>
      <c r="P307" s="167"/>
      <c r="Q307" s="167"/>
      <c r="R307" s="167"/>
      <c r="S307" s="167"/>
    </row>
    <row r="308" spans="1:19">
      <c r="A308" s="173"/>
      <c r="B308" s="163"/>
      <c r="C308" s="163"/>
      <c r="D308" s="172" t="s">
        <v>1130</v>
      </c>
      <c r="G308" s="167"/>
      <c r="H308" s="183"/>
      <c r="I308" s="184" t="s">
        <v>1124</v>
      </c>
      <c r="J308" s="225"/>
      <c r="K308" s="242" t="s">
        <v>1381</v>
      </c>
      <c r="L308" s="242"/>
      <c r="M308" s="242"/>
      <c r="N308" s="242"/>
      <c r="O308" s="241" t="s">
        <v>1130</v>
      </c>
      <c r="P308" s="167"/>
      <c r="Q308" s="167"/>
      <c r="R308" s="167"/>
      <c r="S308" s="167"/>
    </row>
    <row r="309" spans="1:19">
      <c r="A309" s="173"/>
      <c r="B309" s="163"/>
      <c r="C309" s="163"/>
      <c r="D309" s="172" t="s">
        <v>1130</v>
      </c>
      <c r="G309" s="167"/>
      <c r="H309" s="183"/>
      <c r="I309" s="184" t="s">
        <v>1127</v>
      </c>
      <c r="J309" s="225"/>
      <c r="K309" s="242" t="s">
        <v>1382</v>
      </c>
      <c r="L309" s="242"/>
      <c r="M309" s="242"/>
      <c r="N309" s="242"/>
      <c r="O309" s="241" t="s">
        <v>1130</v>
      </c>
      <c r="P309" s="167"/>
      <c r="Q309" s="167"/>
      <c r="R309" s="167"/>
      <c r="S309" s="167"/>
    </row>
    <row r="310" spans="1:19">
      <c r="A310" s="173"/>
      <c r="B310" s="163"/>
      <c r="C310" s="163"/>
      <c r="D310" s="172" t="s">
        <v>1130</v>
      </c>
      <c r="G310" s="167"/>
      <c r="H310" s="183"/>
      <c r="I310" s="184" t="s">
        <v>1131</v>
      </c>
      <c r="J310" s="225"/>
      <c r="K310" s="242" t="s">
        <v>1383</v>
      </c>
      <c r="L310" s="242"/>
      <c r="M310" s="242"/>
      <c r="N310" s="242"/>
      <c r="O310" s="241" t="s">
        <v>1130</v>
      </c>
      <c r="P310" s="167"/>
      <c r="Q310" s="167"/>
      <c r="R310" s="167"/>
      <c r="S310" s="167"/>
    </row>
    <row r="311" spans="1:19">
      <c r="A311" s="173"/>
      <c r="B311" s="163"/>
      <c r="C311" s="163"/>
      <c r="D311" s="172" t="s">
        <v>1130</v>
      </c>
      <c r="G311" s="167"/>
      <c r="H311" s="183"/>
      <c r="I311" s="184" t="s">
        <v>1134</v>
      </c>
      <c r="J311" s="225"/>
      <c r="K311" s="242" t="s">
        <v>1384</v>
      </c>
      <c r="L311" s="242"/>
      <c r="M311" s="242"/>
      <c r="N311" s="242"/>
      <c r="O311" s="241" t="s">
        <v>1130</v>
      </c>
      <c r="P311" s="167"/>
      <c r="Q311" s="167"/>
      <c r="R311" s="167"/>
      <c r="S311" s="167"/>
    </row>
    <row r="312" spans="1:19">
      <c r="A312" s="173"/>
      <c r="B312" s="163"/>
      <c r="C312" s="163"/>
      <c r="D312" s="172" t="s">
        <v>1130</v>
      </c>
      <c r="G312" s="167"/>
      <c r="H312" s="183"/>
      <c r="I312" s="184" t="s">
        <v>888</v>
      </c>
      <c r="J312" s="225"/>
      <c r="K312" s="242" t="s">
        <v>1385</v>
      </c>
      <c r="L312" s="242"/>
      <c r="M312" s="242"/>
      <c r="N312" s="242"/>
      <c r="O312" s="241" t="s">
        <v>1130</v>
      </c>
      <c r="P312" s="167"/>
      <c r="Q312" s="167"/>
      <c r="R312" s="167"/>
      <c r="S312" s="167"/>
    </row>
    <row r="313" spans="1:19" ht="15.75" thickBot="1">
      <c r="A313" s="173"/>
      <c r="B313" s="163"/>
      <c r="C313" s="163"/>
      <c r="D313" s="172" t="s">
        <v>1130</v>
      </c>
      <c r="G313" s="167"/>
      <c r="H313" s="198"/>
      <c r="I313" s="210" t="s">
        <v>1139</v>
      </c>
      <c r="J313" s="213"/>
      <c r="K313" s="244" t="s">
        <v>1386</v>
      </c>
      <c r="L313" s="244"/>
      <c r="M313" s="244"/>
      <c r="N313" s="244"/>
      <c r="O313" s="245" t="s">
        <v>1130</v>
      </c>
      <c r="P313" s="167"/>
      <c r="Q313" s="167"/>
      <c r="R313" s="167"/>
      <c r="S313" s="167"/>
    </row>
    <row r="314" spans="1:19" ht="15.75" thickTop="1">
      <c r="A314" s="173">
        <v>40</v>
      </c>
      <c r="B314" s="163" t="s">
        <v>1387</v>
      </c>
      <c r="C314" s="163" t="s">
        <v>1283</v>
      </c>
      <c r="D314" s="172"/>
      <c r="G314" s="167"/>
      <c r="H314" s="205">
        <v>40</v>
      </c>
      <c r="I314" s="207"/>
      <c r="J314" s="217"/>
      <c r="K314" s="262" t="s">
        <v>1283</v>
      </c>
      <c r="L314" s="217"/>
      <c r="M314" s="217"/>
      <c r="N314" s="217"/>
      <c r="O314" s="227"/>
      <c r="P314" s="167"/>
      <c r="Q314" s="181">
        <f>H314</f>
        <v>40</v>
      </c>
      <c r="R314" s="172" t="str">
        <f>CONCATENATE("II-",TEXT(Q314,"0000"))</f>
        <v>II-0040</v>
      </c>
      <c r="S314" s="182" t="str">
        <f>K314</f>
        <v>FRESADO</v>
      </c>
    </row>
    <row r="315" spans="1:19" ht="15.75" thickBot="1">
      <c r="A315" s="173"/>
      <c r="B315" s="163"/>
      <c r="C315" s="163"/>
      <c r="D315" s="172" t="s">
        <v>1213</v>
      </c>
      <c r="G315" s="167"/>
      <c r="H315" s="183"/>
      <c r="I315" s="210" t="s">
        <v>1019</v>
      </c>
      <c r="J315" s="167"/>
      <c r="K315" s="182" t="s">
        <v>1388</v>
      </c>
      <c r="L315" s="167"/>
      <c r="M315" s="167"/>
      <c r="N315" s="167"/>
      <c r="O315" s="219" t="s">
        <v>1213</v>
      </c>
      <c r="P315" s="167"/>
      <c r="Q315" s="167"/>
      <c r="R315" s="167"/>
      <c r="S315" s="167"/>
    </row>
    <row r="316" spans="1:19" ht="15.75" thickTop="1">
      <c r="A316" s="173">
        <v>41</v>
      </c>
      <c r="B316" s="163" t="s">
        <v>1389</v>
      </c>
      <c r="C316" s="163" t="s">
        <v>1390</v>
      </c>
      <c r="D316" s="172"/>
      <c r="G316" s="167"/>
      <c r="H316" s="250">
        <v>41</v>
      </c>
      <c r="I316" s="206"/>
      <c r="J316" s="255"/>
      <c r="K316" s="256" t="s">
        <v>1390</v>
      </c>
      <c r="L316" s="256"/>
      <c r="M316" s="255"/>
      <c r="N316" s="255"/>
      <c r="O316" s="208"/>
      <c r="P316" s="167"/>
      <c r="Q316" s="181">
        <f>H316</f>
        <v>41</v>
      </c>
      <c r="R316" s="172" t="str">
        <f>CONCATENATE("II-",TEXT(Q316,"0000"))</f>
        <v>II-0041</v>
      </c>
      <c r="S316" s="182" t="str">
        <f>K316</f>
        <v>GAVIONES (PIEDRA EMBOLSADA)</v>
      </c>
    </row>
    <row r="317" spans="1:19">
      <c r="A317" s="173"/>
      <c r="B317" s="163"/>
      <c r="C317" s="163"/>
      <c r="D317" s="172"/>
      <c r="G317" s="167"/>
      <c r="H317" s="183"/>
      <c r="I317" s="184" t="s">
        <v>1019</v>
      </c>
      <c r="J317" s="172"/>
      <c r="K317" s="182" t="s">
        <v>1299</v>
      </c>
      <c r="L317" s="167"/>
      <c r="M317" s="167"/>
      <c r="N317" s="167"/>
      <c r="O317" s="219"/>
      <c r="P317" s="167"/>
      <c r="Q317" s="167"/>
      <c r="R317" s="167"/>
      <c r="S317" s="167"/>
    </row>
    <row r="318" spans="1:19">
      <c r="A318" s="173"/>
      <c r="B318" s="163"/>
      <c r="C318" s="163"/>
      <c r="D318" s="172" t="s">
        <v>1130</v>
      </c>
      <c r="G318" s="167"/>
      <c r="H318" s="183"/>
      <c r="I318" s="172"/>
      <c r="J318" s="189">
        <v>1</v>
      </c>
      <c r="K318" s="167"/>
      <c r="L318" s="182" t="s">
        <v>1391</v>
      </c>
      <c r="M318" s="167"/>
      <c r="N318" s="167"/>
      <c r="O318" s="219" t="s">
        <v>1130</v>
      </c>
      <c r="P318" s="167"/>
      <c r="Q318" s="167"/>
      <c r="R318" s="167"/>
      <c r="S318" s="167"/>
    </row>
    <row r="319" spans="1:19">
      <c r="A319" s="173"/>
      <c r="B319" s="163"/>
      <c r="C319" s="163"/>
      <c r="D319" s="172" t="s">
        <v>1130</v>
      </c>
      <c r="G319" s="167"/>
      <c r="H319" s="183"/>
      <c r="I319" s="236"/>
      <c r="J319" s="192">
        <v>2</v>
      </c>
      <c r="K319" s="193"/>
      <c r="L319" s="194" t="s">
        <v>1392</v>
      </c>
      <c r="M319" s="193"/>
      <c r="N319" s="193"/>
      <c r="O319" s="237" t="s">
        <v>1130</v>
      </c>
      <c r="P319" s="167"/>
      <c r="Q319" s="167"/>
      <c r="R319" s="167"/>
      <c r="S319" s="167"/>
    </row>
    <row r="320" spans="1:19">
      <c r="A320" s="173"/>
      <c r="B320" s="163"/>
      <c r="C320" s="163"/>
      <c r="D320" s="172"/>
      <c r="G320" s="167"/>
      <c r="H320" s="183"/>
      <c r="I320" s="192" t="s">
        <v>1046</v>
      </c>
      <c r="J320" s="172"/>
      <c r="K320" s="182" t="s">
        <v>1298</v>
      </c>
      <c r="L320" s="167"/>
      <c r="M320" s="167"/>
      <c r="N320" s="167"/>
      <c r="O320" s="219"/>
      <c r="P320" s="167"/>
      <c r="Q320" s="167"/>
      <c r="R320" s="167"/>
      <c r="S320" s="167"/>
    </row>
    <row r="321" spans="1:19">
      <c r="A321" s="173"/>
      <c r="B321" s="163"/>
      <c r="C321" s="163"/>
      <c r="D321" s="172" t="s">
        <v>1130</v>
      </c>
      <c r="G321" s="167"/>
      <c r="H321" s="183"/>
      <c r="I321" s="172"/>
      <c r="J321" s="189">
        <v>1</v>
      </c>
      <c r="K321" s="167"/>
      <c r="L321" s="182" t="s">
        <v>1391</v>
      </c>
      <c r="M321" s="167"/>
      <c r="N321" s="167"/>
      <c r="O321" s="219" t="s">
        <v>1130</v>
      </c>
      <c r="P321" s="167"/>
      <c r="Q321" s="167"/>
      <c r="R321" s="167"/>
      <c r="S321" s="167"/>
    </row>
    <row r="322" spans="1:19">
      <c r="A322" s="173"/>
      <c r="B322" s="163"/>
      <c r="C322" s="163"/>
      <c r="D322" s="172" t="s">
        <v>1130</v>
      </c>
      <c r="G322" s="167"/>
      <c r="H322" s="183"/>
      <c r="I322" s="197"/>
      <c r="J322" s="192">
        <v>2</v>
      </c>
      <c r="K322" s="193"/>
      <c r="L322" s="194" t="s">
        <v>1392</v>
      </c>
      <c r="M322" s="193"/>
      <c r="N322" s="193"/>
      <c r="O322" s="237" t="s">
        <v>1130</v>
      </c>
      <c r="P322" s="167"/>
      <c r="Q322" s="167"/>
      <c r="R322" s="167"/>
      <c r="S322" s="167"/>
    </row>
    <row r="323" spans="1:19">
      <c r="A323" s="173"/>
      <c r="B323" s="163"/>
      <c r="C323" s="163"/>
      <c r="D323" s="172" t="s">
        <v>1130</v>
      </c>
      <c r="G323" s="167"/>
      <c r="H323" s="183"/>
      <c r="I323" s="184" t="s">
        <v>1056</v>
      </c>
      <c r="J323" s="225"/>
      <c r="K323" s="242" t="s">
        <v>1088</v>
      </c>
      <c r="L323" s="242"/>
      <c r="M323" s="225"/>
      <c r="N323" s="225"/>
      <c r="O323" s="241" t="s">
        <v>1130</v>
      </c>
      <c r="P323" s="167"/>
      <c r="Q323" s="167"/>
      <c r="R323" s="167"/>
      <c r="S323" s="167"/>
    </row>
    <row r="324" spans="1:19" ht="15.75" thickBot="1">
      <c r="A324" s="173"/>
      <c r="B324" s="163"/>
      <c r="C324" s="163"/>
      <c r="D324" s="172" t="s">
        <v>1130</v>
      </c>
      <c r="G324" s="167"/>
      <c r="H324" s="183"/>
      <c r="I324" s="189" t="s">
        <v>1082</v>
      </c>
      <c r="J324" s="167"/>
      <c r="K324" s="182" t="s">
        <v>1136</v>
      </c>
      <c r="L324" s="182"/>
      <c r="M324" s="167"/>
      <c r="N324" s="167"/>
      <c r="O324" s="219" t="s">
        <v>1130</v>
      </c>
      <c r="P324" s="167"/>
      <c r="Q324" s="167"/>
      <c r="R324" s="167"/>
      <c r="S324" s="167"/>
    </row>
    <row r="325" spans="1:19" ht="16.5" thickTop="1" thickBot="1">
      <c r="A325" s="173">
        <v>42</v>
      </c>
      <c r="B325" s="163" t="s">
        <v>1393</v>
      </c>
      <c r="C325" s="163" t="s">
        <v>1394</v>
      </c>
      <c r="D325" s="172" t="s">
        <v>4</v>
      </c>
      <c r="G325" s="167"/>
      <c r="H325" s="276">
        <v>42</v>
      </c>
      <c r="I325" s="277"/>
      <c r="J325" s="278"/>
      <c r="K325" s="279" t="s">
        <v>1394</v>
      </c>
      <c r="L325" s="279"/>
      <c r="M325" s="278"/>
      <c r="N325" s="278"/>
      <c r="O325" s="280" t="s">
        <v>4</v>
      </c>
      <c r="P325" s="167"/>
      <c r="Q325" s="181">
        <f t="shared" ref="Q325:Q326" si="45">H325</f>
        <v>42</v>
      </c>
      <c r="R325" s="172" t="str">
        <f t="shared" ref="R325:R326" si="46">CONCATENATE("II-",TEXT(Q325,"0000"))</f>
        <v>II-0042</v>
      </c>
      <c r="S325" s="182" t="str">
        <f t="shared" ref="S325:S326" si="47">K325</f>
        <v>GUARDAGANADO</v>
      </c>
    </row>
    <row r="326" spans="1:19" ht="15.75" thickTop="1">
      <c r="A326" s="173">
        <v>43</v>
      </c>
      <c r="B326" s="163" t="s">
        <v>1395</v>
      </c>
      <c r="C326" s="163" t="s">
        <v>1396</v>
      </c>
      <c r="D326" s="172"/>
      <c r="G326" s="167"/>
      <c r="H326" s="205">
        <v>43</v>
      </c>
      <c r="I326" s="207"/>
      <c r="J326" s="217"/>
      <c r="K326" s="262" t="s">
        <v>1396</v>
      </c>
      <c r="L326" s="217"/>
      <c r="M326" s="217"/>
      <c r="N326" s="217"/>
      <c r="O326" s="227"/>
      <c r="P326" s="167"/>
      <c r="Q326" s="181">
        <f t="shared" si="45"/>
        <v>43</v>
      </c>
      <c r="R326" s="172" t="str">
        <f t="shared" si="46"/>
        <v>II-0043</v>
      </c>
      <c r="S326" s="182" t="str">
        <f t="shared" si="47"/>
        <v>HORMIGON CEMENTO PORTLAND EXCLUIDA LA ARAMDURA</v>
      </c>
    </row>
    <row r="327" spans="1:19">
      <c r="A327" s="173"/>
      <c r="B327" s="163"/>
      <c r="C327" s="163"/>
      <c r="D327" s="172"/>
      <c r="G327" s="167"/>
      <c r="H327" s="183"/>
      <c r="I327" s="184" t="s">
        <v>1019</v>
      </c>
      <c r="J327" s="172"/>
      <c r="K327" s="182" t="s">
        <v>1397</v>
      </c>
      <c r="L327" s="167"/>
      <c r="M327" s="167"/>
      <c r="N327" s="167"/>
      <c r="O327" s="219"/>
      <c r="P327" s="167"/>
      <c r="Q327" s="167"/>
      <c r="R327" s="167"/>
      <c r="S327" s="167"/>
    </row>
    <row r="328" spans="1:19">
      <c r="A328" s="173"/>
      <c r="B328" s="163"/>
      <c r="C328" s="163"/>
      <c r="D328" s="172" t="s">
        <v>1130</v>
      </c>
      <c r="G328" s="167"/>
      <c r="H328" s="183"/>
      <c r="I328" s="172"/>
      <c r="J328" s="189">
        <v>1</v>
      </c>
      <c r="K328" s="167"/>
      <c r="L328" s="182" t="s">
        <v>1398</v>
      </c>
      <c r="M328" s="167"/>
      <c r="N328" s="167"/>
      <c r="O328" s="219" t="s">
        <v>1130</v>
      </c>
      <c r="P328" s="167"/>
      <c r="Q328" s="167"/>
      <c r="R328" s="167"/>
      <c r="S328" s="167"/>
    </row>
    <row r="329" spans="1:19">
      <c r="A329" s="173"/>
      <c r="B329" s="163"/>
      <c r="C329" s="163"/>
      <c r="D329" s="172" t="s">
        <v>1130</v>
      </c>
      <c r="G329" s="167"/>
      <c r="H329" s="183"/>
      <c r="I329" s="172"/>
      <c r="J329" s="189">
        <v>2</v>
      </c>
      <c r="K329" s="167"/>
      <c r="L329" s="182" t="s">
        <v>1228</v>
      </c>
      <c r="M329" s="167"/>
      <c r="N329" s="167"/>
      <c r="O329" s="219" t="s">
        <v>1130</v>
      </c>
      <c r="P329" s="167"/>
      <c r="Q329" s="167"/>
      <c r="R329" s="167"/>
      <c r="S329" s="167"/>
    </row>
    <row r="330" spans="1:19">
      <c r="A330" s="173"/>
      <c r="B330" s="163"/>
      <c r="C330" s="163"/>
      <c r="D330" s="172" t="s">
        <v>1130</v>
      </c>
      <c r="G330" s="167"/>
      <c r="H330" s="183"/>
      <c r="I330" s="172"/>
      <c r="J330" s="189">
        <v>3</v>
      </c>
      <c r="K330" s="167"/>
      <c r="L330" s="182" t="s">
        <v>1399</v>
      </c>
      <c r="M330" s="167"/>
      <c r="N330" s="167"/>
      <c r="O330" s="219" t="s">
        <v>1130</v>
      </c>
      <c r="P330" s="167"/>
      <c r="Q330" s="167"/>
      <c r="R330" s="167"/>
      <c r="S330" s="167"/>
    </row>
    <row r="331" spans="1:19">
      <c r="A331" s="173"/>
      <c r="B331" s="163"/>
      <c r="C331" s="163"/>
      <c r="D331" s="172" t="s">
        <v>1130</v>
      </c>
      <c r="G331" s="167"/>
      <c r="H331" s="183"/>
      <c r="I331" s="172"/>
      <c r="J331" s="189">
        <v>4</v>
      </c>
      <c r="K331" s="167"/>
      <c r="L331" s="182" t="s">
        <v>1379</v>
      </c>
      <c r="M331" s="167"/>
      <c r="N331" s="167"/>
      <c r="O331" s="219" t="s">
        <v>1130</v>
      </c>
      <c r="P331" s="167"/>
      <c r="Q331" s="167"/>
      <c r="R331" s="167"/>
      <c r="S331" s="167"/>
    </row>
    <row r="332" spans="1:19">
      <c r="A332" s="173"/>
      <c r="B332" s="163"/>
      <c r="C332" s="163"/>
      <c r="D332" s="172" t="s">
        <v>1130</v>
      </c>
      <c r="G332" s="167"/>
      <c r="H332" s="183"/>
      <c r="I332" s="197"/>
      <c r="J332" s="192">
        <v>5</v>
      </c>
      <c r="K332" s="193"/>
      <c r="L332" s="194" t="s">
        <v>1400</v>
      </c>
      <c r="M332" s="193"/>
      <c r="N332" s="193"/>
      <c r="O332" s="237" t="s">
        <v>1130</v>
      </c>
      <c r="P332" s="167"/>
      <c r="Q332" s="167"/>
      <c r="R332" s="167"/>
      <c r="S332" s="167"/>
    </row>
    <row r="333" spans="1:19">
      <c r="A333" s="173"/>
      <c r="B333" s="163"/>
      <c r="C333" s="163"/>
      <c r="D333" s="172"/>
      <c r="G333" s="167"/>
      <c r="H333" s="183"/>
      <c r="I333" s="184" t="s">
        <v>1046</v>
      </c>
      <c r="J333" s="172"/>
      <c r="K333" s="182" t="s">
        <v>1401</v>
      </c>
      <c r="L333" s="167"/>
      <c r="M333" s="167"/>
      <c r="N333" s="167"/>
      <c r="O333" s="219"/>
      <c r="P333" s="167"/>
      <c r="Q333" s="167"/>
      <c r="R333" s="167"/>
      <c r="S333" s="167"/>
    </row>
    <row r="334" spans="1:19">
      <c r="A334" s="173"/>
      <c r="B334" s="163"/>
      <c r="C334" s="163"/>
      <c r="D334" s="172" t="s">
        <v>1130</v>
      </c>
      <c r="G334" s="167"/>
      <c r="H334" s="183"/>
      <c r="I334" s="172"/>
      <c r="J334" s="189">
        <v>1</v>
      </c>
      <c r="K334" s="167"/>
      <c r="L334" s="182" t="s">
        <v>1228</v>
      </c>
      <c r="M334" s="167"/>
      <c r="N334" s="167"/>
      <c r="O334" s="219" t="s">
        <v>1130</v>
      </c>
      <c r="P334" s="167"/>
      <c r="Q334" s="167"/>
      <c r="R334" s="167"/>
      <c r="S334" s="167"/>
    </row>
    <row r="335" spans="1:19">
      <c r="A335" s="173"/>
      <c r="B335" s="163"/>
      <c r="C335" s="163"/>
      <c r="D335" s="172" t="s">
        <v>1130</v>
      </c>
      <c r="G335" s="167"/>
      <c r="H335" s="183"/>
      <c r="I335" s="172"/>
      <c r="J335" s="189">
        <v>2</v>
      </c>
      <c r="K335" s="167"/>
      <c r="L335" s="182" t="s">
        <v>1402</v>
      </c>
      <c r="M335" s="167"/>
      <c r="N335" s="167"/>
      <c r="O335" s="219" t="s">
        <v>1130</v>
      </c>
      <c r="P335" s="167"/>
      <c r="Q335" s="167"/>
      <c r="R335" s="167"/>
      <c r="S335" s="167"/>
    </row>
    <row r="336" spans="1:19">
      <c r="A336" s="173"/>
      <c r="B336" s="163"/>
      <c r="C336" s="163"/>
      <c r="D336" s="172" t="s">
        <v>1130</v>
      </c>
      <c r="G336" s="167"/>
      <c r="H336" s="183"/>
      <c r="I336" s="172"/>
      <c r="J336" s="189">
        <v>3</v>
      </c>
      <c r="K336" s="167"/>
      <c r="L336" s="182" t="s">
        <v>1403</v>
      </c>
      <c r="M336" s="167"/>
      <c r="N336" s="167"/>
      <c r="O336" s="219" t="s">
        <v>1130</v>
      </c>
      <c r="P336" s="167"/>
      <c r="Q336" s="167"/>
      <c r="R336" s="167"/>
      <c r="S336" s="167"/>
    </row>
    <row r="337" spans="1:19">
      <c r="A337" s="173"/>
      <c r="B337" s="163"/>
      <c r="C337" s="163"/>
      <c r="D337" s="172" t="s">
        <v>1130</v>
      </c>
      <c r="G337" s="167"/>
      <c r="H337" s="183"/>
      <c r="I337" s="172"/>
      <c r="J337" s="189">
        <v>4</v>
      </c>
      <c r="K337" s="167"/>
      <c r="L337" s="182" t="s">
        <v>1404</v>
      </c>
      <c r="M337" s="167"/>
      <c r="N337" s="167"/>
      <c r="O337" s="219" t="s">
        <v>1130</v>
      </c>
      <c r="P337" s="167"/>
      <c r="Q337" s="167"/>
      <c r="R337" s="167"/>
      <c r="S337" s="167"/>
    </row>
    <row r="338" spans="1:19">
      <c r="A338" s="173"/>
      <c r="B338" s="163"/>
      <c r="C338" s="163"/>
      <c r="D338" s="172" t="s">
        <v>1130</v>
      </c>
      <c r="G338" s="167"/>
      <c r="H338" s="183"/>
      <c r="I338" s="172"/>
      <c r="J338" s="189">
        <v>5</v>
      </c>
      <c r="K338" s="167"/>
      <c r="L338" s="182" t="s">
        <v>1405</v>
      </c>
      <c r="M338" s="167"/>
      <c r="N338" s="167"/>
      <c r="O338" s="219" t="s">
        <v>1130</v>
      </c>
      <c r="P338" s="167"/>
      <c r="Q338" s="167"/>
      <c r="R338" s="167"/>
      <c r="S338" s="167"/>
    </row>
    <row r="339" spans="1:19">
      <c r="A339" s="173"/>
      <c r="B339" s="163"/>
      <c r="C339" s="163"/>
      <c r="D339" s="172" t="s">
        <v>1130</v>
      </c>
      <c r="G339" s="167"/>
      <c r="H339" s="183"/>
      <c r="I339" s="236"/>
      <c r="J339" s="172">
        <v>6</v>
      </c>
      <c r="K339" s="182"/>
      <c r="L339" s="167" t="s">
        <v>1400</v>
      </c>
      <c r="M339" s="167"/>
      <c r="N339" s="167"/>
      <c r="O339" s="219" t="s">
        <v>1130</v>
      </c>
      <c r="P339" s="167"/>
      <c r="Q339" s="167"/>
      <c r="R339" s="167"/>
      <c r="S339" s="167"/>
    </row>
    <row r="340" spans="1:19">
      <c r="A340" s="173"/>
      <c r="B340" s="163"/>
      <c r="C340" s="163"/>
      <c r="D340" s="172"/>
      <c r="G340" s="167"/>
      <c r="H340" s="183"/>
      <c r="I340" s="192" t="s">
        <v>1056</v>
      </c>
      <c r="J340" s="172"/>
      <c r="K340" s="182" t="s">
        <v>1406</v>
      </c>
      <c r="L340" s="167"/>
      <c r="M340" s="167"/>
      <c r="N340" s="167"/>
      <c r="O340" s="219"/>
      <c r="P340" s="167"/>
      <c r="Q340" s="167"/>
      <c r="R340" s="167"/>
      <c r="S340" s="167"/>
    </row>
    <row r="341" spans="1:19">
      <c r="A341" s="173"/>
      <c r="B341" s="163"/>
      <c r="C341" s="163"/>
      <c r="D341" s="172" t="s">
        <v>1130</v>
      </c>
      <c r="G341" s="167"/>
      <c r="H341" s="183"/>
      <c r="I341" s="172"/>
      <c r="J341" s="189">
        <v>1</v>
      </c>
      <c r="K341" s="167"/>
      <c r="L341" s="182" t="s">
        <v>1407</v>
      </c>
      <c r="M341" s="167"/>
      <c r="N341" s="167"/>
      <c r="O341" s="219" t="s">
        <v>1130</v>
      </c>
      <c r="P341" s="167"/>
      <c r="Q341" s="167"/>
      <c r="R341" s="167"/>
      <c r="S341" s="167"/>
    </row>
    <row r="342" spans="1:19">
      <c r="A342" s="173"/>
      <c r="B342" s="163"/>
      <c r="C342" s="163"/>
      <c r="D342" s="172" t="s">
        <v>1130</v>
      </c>
      <c r="G342" s="167"/>
      <c r="H342" s="183"/>
      <c r="I342" s="172"/>
      <c r="J342" s="189">
        <v>2</v>
      </c>
      <c r="K342" s="167"/>
      <c r="L342" s="182" t="s">
        <v>1228</v>
      </c>
      <c r="M342" s="167"/>
      <c r="N342" s="167"/>
      <c r="O342" s="219" t="s">
        <v>1130</v>
      </c>
      <c r="P342" s="167"/>
      <c r="Q342" s="167"/>
      <c r="R342" s="167"/>
      <c r="S342" s="167"/>
    </row>
    <row r="343" spans="1:19">
      <c r="A343" s="173"/>
      <c r="B343" s="163"/>
      <c r="C343" s="163"/>
      <c r="D343" s="172" t="s">
        <v>1130</v>
      </c>
      <c r="G343" s="167"/>
      <c r="H343" s="183"/>
      <c r="I343" s="172"/>
      <c r="J343" s="189">
        <v>3</v>
      </c>
      <c r="K343" s="167"/>
      <c r="L343" s="182" t="s">
        <v>1408</v>
      </c>
      <c r="M343" s="167"/>
      <c r="N343" s="167"/>
      <c r="O343" s="219" t="s">
        <v>1130</v>
      </c>
      <c r="P343" s="167"/>
      <c r="Q343" s="167"/>
      <c r="R343" s="167"/>
      <c r="S343" s="167"/>
    </row>
    <row r="344" spans="1:19">
      <c r="A344" s="173"/>
      <c r="B344" s="163"/>
      <c r="C344" s="163"/>
      <c r="D344" s="172" t="s">
        <v>1130</v>
      </c>
      <c r="G344" s="167"/>
      <c r="H344" s="183"/>
      <c r="I344" s="172"/>
      <c r="J344" s="189">
        <v>4</v>
      </c>
      <c r="K344" s="167"/>
      <c r="L344" s="182" t="s">
        <v>1402</v>
      </c>
      <c r="M344" s="167"/>
      <c r="N344" s="167"/>
      <c r="O344" s="219" t="s">
        <v>1130</v>
      </c>
      <c r="P344" s="167"/>
      <c r="Q344" s="167"/>
      <c r="R344" s="167"/>
      <c r="S344" s="167"/>
    </row>
    <row r="345" spans="1:19">
      <c r="A345" s="173"/>
      <c r="B345" s="163"/>
      <c r="C345" s="163"/>
      <c r="D345" s="172" t="s">
        <v>1130</v>
      </c>
      <c r="G345" s="167"/>
      <c r="H345" s="183"/>
      <c r="I345" s="172"/>
      <c r="J345" s="189">
        <v>5</v>
      </c>
      <c r="K345" s="167"/>
      <c r="L345" s="182" t="s">
        <v>1339</v>
      </c>
      <c r="M345" s="167"/>
      <c r="N345" s="167"/>
      <c r="O345" s="219" t="s">
        <v>1130</v>
      </c>
      <c r="P345" s="167"/>
      <c r="Q345" s="167"/>
      <c r="R345" s="167"/>
      <c r="S345" s="167"/>
    </row>
    <row r="346" spans="1:19">
      <c r="A346" s="173"/>
      <c r="B346" s="163"/>
      <c r="C346" s="163"/>
      <c r="D346" s="172" t="s">
        <v>1130</v>
      </c>
      <c r="G346" s="167"/>
      <c r="H346" s="183"/>
      <c r="I346" s="172"/>
      <c r="J346" s="189">
        <v>6</v>
      </c>
      <c r="K346" s="167"/>
      <c r="L346" s="182" t="s">
        <v>1404</v>
      </c>
      <c r="M346" s="167"/>
      <c r="N346" s="167"/>
      <c r="O346" s="219" t="s">
        <v>1130</v>
      </c>
      <c r="P346" s="167"/>
      <c r="Q346" s="167"/>
      <c r="R346" s="167"/>
      <c r="S346" s="167"/>
    </row>
    <row r="347" spans="1:19">
      <c r="A347" s="173"/>
      <c r="B347" s="163"/>
      <c r="C347" s="163"/>
      <c r="D347" s="172" t="s">
        <v>1130</v>
      </c>
      <c r="G347" s="167"/>
      <c r="H347" s="183"/>
      <c r="I347" s="172"/>
      <c r="J347" s="189">
        <v>7</v>
      </c>
      <c r="K347" s="167"/>
      <c r="L347" s="182" t="s">
        <v>1405</v>
      </c>
      <c r="M347" s="167"/>
      <c r="N347" s="167"/>
      <c r="O347" s="219" t="s">
        <v>1130</v>
      </c>
      <c r="P347" s="167"/>
      <c r="Q347" s="167"/>
      <c r="R347" s="167"/>
      <c r="S347" s="167"/>
    </row>
    <row r="348" spans="1:19">
      <c r="A348" s="173"/>
      <c r="B348" s="163"/>
      <c r="C348" s="163"/>
      <c r="D348" s="172" t="s">
        <v>1130</v>
      </c>
      <c r="G348" s="167"/>
      <c r="H348" s="183"/>
      <c r="I348" s="236"/>
      <c r="J348" s="192">
        <v>8</v>
      </c>
      <c r="K348" s="193"/>
      <c r="L348" s="194" t="s">
        <v>1400</v>
      </c>
      <c r="M348" s="193"/>
      <c r="N348" s="193"/>
      <c r="O348" s="237" t="s">
        <v>1130</v>
      </c>
      <c r="P348" s="167"/>
      <c r="Q348" s="167"/>
      <c r="R348" s="167"/>
      <c r="S348" s="167"/>
    </row>
    <row r="349" spans="1:19">
      <c r="A349" s="173"/>
      <c r="B349" s="163"/>
      <c r="C349" s="163"/>
      <c r="D349" s="172"/>
      <c r="G349" s="167"/>
      <c r="H349" s="183"/>
      <c r="I349" s="192" t="s">
        <v>1082</v>
      </c>
      <c r="J349" s="172"/>
      <c r="K349" s="182" t="s">
        <v>1409</v>
      </c>
      <c r="L349" s="167"/>
      <c r="M349" s="167"/>
      <c r="N349" s="167"/>
      <c r="O349" s="219"/>
      <c r="P349" s="167"/>
      <c r="Q349" s="167"/>
      <c r="R349" s="167"/>
      <c r="S349" s="167"/>
    </row>
    <row r="350" spans="1:19">
      <c r="A350" s="173"/>
      <c r="B350" s="163"/>
      <c r="C350" s="163"/>
      <c r="D350" s="172" t="s">
        <v>1130</v>
      </c>
      <c r="G350" s="167"/>
      <c r="H350" s="183"/>
      <c r="I350" s="172"/>
      <c r="J350" s="189">
        <v>1</v>
      </c>
      <c r="K350" s="167"/>
      <c r="L350" s="182" t="s">
        <v>1407</v>
      </c>
      <c r="M350" s="167"/>
      <c r="N350" s="167"/>
      <c r="O350" s="219" t="s">
        <v>1130</v>
      </c>
      <c r="P350" s="167"/>
      <c r="Q350" s="167"/>
      <c r="R350" s="167"/>
      <c r="S350" s="167"/>
    </row>
    <row r="351" spans="1:19">
      <c r="A351" s="173"/>
      <c r="B351" s="163"/>
      <c r="C351" s="163"/>
      <c r="D351" s="172" t="s">
        <v>1130</v>
      </c>
      <c r="G351" s="167"/>
      <c r="H351" s="183"/>
      <c r="I351" s="172"/>
      <c r="J351" s="189">
        <v>2</v>
      </c>
      <c r="K351" s="167"/>
      <c r="L351" s="182" t="s">
        <v>1228</v>
      </c>
      <c r="M351" s="167"/>
      <c r="N351" s="167"/>
      <c r="O351" s="219" t="s">
        <v>1130</v>
      </c>
      <c r="P351" s="167"/>
      <c r="Q351" s="167"/>
      <c r="R351" s="167"/>
      <c r="S351" s="167"/>
    </row>
    <row r="352" spans="1:19">
      <c r="A352" s="173"/>
      <c r="B352" s="163"/>
      <c r="C352" s="163"/>
      <c r="D352" s="172" t="s">
        <v>1130</v>
      </c>
      <c r="G352" s="167"/>
      <c r="H352" s="183"/>
      <c r="I352" s="172"/>
      <c r="J352" s="189">
        <v>3</v>
      </c>
      <c r="K352" s="167"/>
      <c r="L352" s="182" t="s">
        <v>1410</v>
      </c>
      <c r="M352" s="167"/>
      <c r="N352" s="167"/>
      <c r="O352" s="219" t="s">
        <v>1130</v>
      </c>
      <c r="P352" s="167"/>
      <c r="Q352" s="167"/>
      <c r="R352" s="167"/>
      <c r="S352" s="167"/>
    </row>
    <row r="353" spans="1:19">
      <c r="A353" s="173"/>
      <c r="B353" s="163"/>
      <c r="C353" s="163"/>
      <c r="D353" s="172" t="s">
        <v>1130</v>
      </c>
      <c r="G353" s="167"/>
      <c r="H353" s="183"/>
      <c r="I353" s="172"/>
      <c r="J353" s="189">
        <v>4</v>
      </c>
      <c r="K353" s="167"/>
      <c r="L353" s="182" t="s">
        <v>1408</v>
      </c>
      <c r="M353" s="167"/>
      <c r="N353" s="167"/>
      <c r="O353" s="219" t="s">
        <v>1130</v>
      </c>
      <c r="P353" s="167"/>
      <c r="Q353" s="167"/>
      <c r="R353" s="167"/>
      <c r="S353" s="167"/>
    </row>
    <row r="354" spans="1:19">
      <c r="A354" s="173"/>
      <c r="B354" s="163"/>
      <c r="C354" s="163"/>
      <c r="D354" s="172" t="s">
        <v>1130</v>
      </c>
      <c r="G354" s="167"/>
      <c r="H354" s="183"/>
      <c r="I354" s="172"/>
      <c r="J354" s="189">
        <v>5</v>
      </c>
      <c r="K354" s="167"/>
      <c r="L354" s="182" t="s">
        <v>1339</v>
      </c>
      <c r="M354" s="167"/>
      <c r="N354" s="167"/>
      <c r="O354" s="219" t="s">
        <v>1130</v>
      </c>
      <c r="P354" s="167"/>
      <c r="Q354" s="167"/>
      <c r="R354" s="167"/>
      <c r="S354" s="167"/>
    </row>
    <row r="355" spans="1:19">
      <c r="A355" s="173"/>
      <c r="B355" s="163"/>
      <c r="C355" s="163"/>
      <c r="D355" s="172" t="s">
        <v>1130</v>
      </c>
      <c r="G355" s="167"/>
      <c r="H355" s="183"/>
      <c r="I355" s="172"/>
      <c r="J355" s="189">
        <v>6</v>
      </c>
      <c r="K355" s="167"/>
      <c r="L355" s="182" t="s">
        <v>1411</v>
      </c>
      <c r="M355" s="167"/>
      <c r="N355" s="167"/>
      <c r="O355" s="219" t="s">
        <v>1130</v>
      </c>
      <c r="P355" s="167"/>
      <c r="Q355" s="167"/>
      <c r="R355" s="167"/>
      <c r="S355" s="167"/>
    </row>
    <row r="356" spans="1:19">
      <c r="A356" s="173"/>
      <c r="B356" s="163"/>
      <c r="C356" s="163"/>
      <c r="D356" s="172" t="s">
        <v>1130</v>
      </c>
      <c r="G356" s="167"/>
      <c r="H356" s="183"/>
      <c r="I356" s="172"/>
      <c r="J356" s="189">
        <v>7</v>
      </c>
      <c r="K356" s="167"/>
      <c r="L356" s="182" t="s">
        <v>1412</v>
      </c>
      <c r="M356" s="167"/>
      <c r="N356" s="167"/>
      <c r="O356" s="219" t="s">
        <v>1130</v>
      </c>
      <c r="P356" s="167"/>
      <c r="Q356" s="167"/>
      <c r="R356" s="167"/>
      <c r="S356" s="167"/>
    </row>
    <row r="357" spans="1:19">
      <c r="A357" s="173"/>
      <c r="B357" s="163"/>
      <c r="C357" s="163"/>
      <c r="D357" s="172" t="s">
        <v>1130</v>
      </c>
      <c r="G357" s="167"/>
      <c r="H357" s="183"/>
      <c r="I357" s="172"/>
      <c r="J357" s="189">
        <v>8</v>
      </c>
      <c r="K357" s="167"/>
      <c r="L357" s="182" t="s">
        <v>1413</v>
      </c>
      <c r="M357" s="167"/>
      <c r="N357" s="167"/>
      <c r="O357" s="219" t="s">
        <v>1130</v>
      </c>
      <c r="P357" s="167"/>
      <c r="Q357" s="167"/>
      <c r="R357" s="167"/>
      <c r="S357" s="167"/>
    </row>
    <row r="358" spans="1:19">
      <c r="A358" s="173"/>
      <c r="B358" s="163"/>
      <c r="C358" s="163"/>
      <c r="D358" s="172" t="s">
        <v>1130</v>
      </c>
      <c r="G358" s="167"/>
      <c r="H358" s="183"/>
      <c r="I358" s="197"/>
      <c r="J358" s="192">
        <v>9</v>
      </c>
      <c r="K358" s="193"/>
      <c r="L358" s="194" t="s">
        <v>1400</v>
      </c>
      <c r="M358" s="193"/>
      <c r="N358" s="193"/>
      <c r="O358" s="237" t="s">
        <v>1130</v>
      </c>
      <c r="P358" s="167"/>
      <c r="Q358" s="167"/>
      <c r="R358" s="167"/>
      <c r="S358" s="167"/>
    </row>
    <row r="359" spans="1:19">
      <c r="A359" s="173"/>
      <c r="B359" s="163"/>
      <c r="C359" s="163"/>
      <c r="D359" s="172"/>
      <c r="G359" s="167"/>
      <c r="H359" s="183"/>
      <c r="I359" s="192" t="s">
        <v>1124</v>
      </c>
      <c r="J359" s="172"/>
      <c r="K359" s="182" t="s">
        <v>1414</v>
      </c>
      <c r="L359" s="167"/>
      <c r="M359" s="167"/>
      <c r="N359" s="167"/>
      <c r="O359" s="219"/>
      <c r="P359" s="167"/>
      <c r="Q359" s="167"/>
      <c r="R359" s="167"/>
      <c r="S359" s="167"/>
    </row>
    <row r="360" spans="1:19">
      <c r="A360" s="173"/>
      <c r="B360" s="163"/>
      <c r="C360" s="163"/>
      <c r="D360" s="172" t="s">
        <v>1130</v>
      </c>
      <c r="G360" s="167"/>
      <c r="H360" s="183"/>
      <c r="I360" s="172"/>
      <c r="J360" s="189">
        <v>1</v>
      </c>
      <c r="K360" s="167"/>
      <c r="L360" s="182" t="s">
        <v>1228</v>
      </c>
      <c r="M360" s="167"/>
      <c r="N360" s="167"/>
      <c r="O360" s="219" t="s">
        <v>1130</v>
      </c>
      <c r="P360" s="167"/>
      <c r="Q360" s="167"/>
      <c r="R360" s="167"/>
      <c r="S360" s="167"/>
    </row>
    <row r="361" spans="1:19">
      <c r="A361" s="173"/>
      <c r="B361" s="163"/>
      <c r="C361" s="163"/>
      <c r="D361" s="172" t="s">
        <v>1130</v>
      </c>
      <c r="G361" s="167"/>
      <c r="H361" s="183"/>
      <c r="I361" s="172"/>
      <c r="J361" s="189">
        <v>2</v>
      </c>
      <c r="K361" s="167"/>
      <c r="L361" s="182" t="s">
        <v>1415</v>
      </c>
      <c r="M361" s="167"/>
      <c r="N361" s="167"/>
      <c r="O361" s="219" t="s">
        <v>1130</v>
      </c>
      <c r="P361" s="167"/>
      <c r="Q361" s="167"/>
      <c r="R361" s="167"/>
      <c r="S361" s="167"/>
    </row>
    <row r="362" spans="1:19">
      <c r="A362" s="173"/>
      <c r="B362" s="163"/>
      <c r="C362" s="163"/>
      <c r="D362" s="172" t="s">
        <v>1130</v>
      </c>
      <c r="G362" s="167"/>
      <c r="H362" s="183"/>
      <c r="I362" s="172"/>
      <c r="J362" s="189">
        <v>3</v>
      </c>
      <c r="K362" s="167"/>
      <c r="L362" s="182" t="s">
        <v>1416</v>
      </c>
      <c r="M362" s="167"/>
      <c r="N362" s="167"/>
      <c r="O362" s="219" t="s">
        <v>1130</v>
      </c>
      <c r="P362" s="167"/>
      <c r="Q362" s="167"/>
      <c r="R362" s="167"/>
      <c r="S362" s="167"/>
    </row>
    <row r="363" spans="1:19">
      <c r="A363" s="173"/>
      <c r="B363" s="163"/>
      <c r="C363" s="163"/>
      <c r="D363" s="172" t="s">
        <v>1130</v>
      </c>
      <c r="G363" s="167"/>
      <c r="H363" s="183"/>
      <c r="I363" s="172"/>
      <c r="J363" s="189">
        <v>4</v>
      </c>
      <c r="K363" s="167"/>
      <c r="L363" s="182" t="s">
        <v>1417</v>
      </c>
      <c r="M363" s="167"/>
      <c r="N363" s="167"/>
      <c r="O363" s="219" t="s">
        <v>1130</v>
      </c>
      <c r="P363" s="167"/>
      <c r="Q363" s="167"/>
      <c r="R363" s="167"/>
      <c r="S363" s="167"/>
    </row>
    <row r="364" spans="1:19">
      <c r="A364" s="173"/>
      <c r="B364" s="163"/>
      <c r="C364" s="163"/>
      <c r="D364" s="172" t="s">
        <v>1130</v>
      </c>
      <c r="G364" s="167"/>
      <c r="H364" s="183"/>
      <c r="I364" s="172"/>
      <c r="J364" s="189">
        <v>5</v>
      </c>
      <c r="K364" s="167"/>
      <c r="L364" s="182" t="s">
        <v>1281</v>
      </c>
      <c r="M364" s="167"/>
      <c r="N364" s="167"/>
      <c r="O364" s="219" t="s">
        <v>1130</v>
      </c>
      <c r="P364" s="167"/>
      <c r="Q364" s="167"/>
      <c r="R364" s="167"/>
      <c r="S364" s="167"/>
    </row>
    <row r="365" spans="1:19">
      <c r="A365" s="173"/>
      <c r="B365" s="163"/>
      <c r="C365" s="163"/>
      <c r="D365" s="172" t="s">
        <v>1130</v>
      </c>
      <c r="G365" s="167"/>
      <c r="H365" s="183"/>
      <c r="I365" s="172"/>
      <c r="J365" s="189">
        <v>6</v>
      </c>
      <c r="K365" s="167"/>
      <c r="L365" s="182" t="s">
        <v>1418</v>
      </c>
      <c r="M365" s="167"/>
      <c r="N365" s="167"/>
      <c r="O365" s="219" t="s">
        <v>1130</v>
      </c>
      <c r="P365" s="167"/>
      <c r="Q365" s="167"/>
      <c r="R365" s="167"/>
      <c r="S365" s="167"/>
    </row>
    <row r="366" spans="1:19">
      <c r="A366" s="173"/>
      <c r="B366" s="163"/>
      <c r="C366" s="163"/>
      <c r="D366" s="172" t="s">
        <v>1130</v>
      </c>
      <c r="G366" s="167"/>
      <c r="H366" s="183"/>
      <c r="I366" s="172"/>
      <c r="J366" s="189">
        <v>7</v>
      </c>
      <c r="K366" s="167"/>
      <c r="L366" s="182" t="s">
        <v>1419</v>
      </c>
      <c r="M366" s="167"/>
      <c r="N366" s="167"/>
      <c r="O366" s="219" t="s">
        <v>1130</v>
      </c>
      <c r="P366" s="167"/>
      <c r="Q366" s="167"/>
      <c r="R366" s="167"/>
      <c r="S366" s="167"/>
    </row>
    <row r="367" spans="1:19">
      <c r="A367" s="173"/>
      <c r="B367" s="163"/>
      <c r="C367" s="163"/>
      <c r="D367" s="172" t="s">
        <v>1130</v>
      </c>
      <c r="G367" s="167"/>
      <c r="H367" s="183"/>
      <c r="I367" s="197"/>
      <c r="J367" s="192">
        <v>8</v>
      </c>
      <c r="K367" s="193"/>
      <c r="L367" s="194" t="s">
        <v>1411</v>
      </c>
      <c r="M367" s="193"/>
      <c r="N367" s="193"/>
      <c r="O367" s="237" t="s">
        <v>1130</v>
      </c>
      <c r="P367" s="167"/>
      <c r="Q367" s="167"/>
      <c r="R367" s="167"/>
      <c r="S367" s="167"/>
    </row>
    <row r="368" spans="1:19">
      <c r="A368" s="173"/>
      <c r="B368" s="163"/>
      <c r="C368" s="163"/>
      <c r="D368" s="172"/>
      <c r="G368" s="167"/>
      <c r="H368" s="183"/>
      <c r="I368" s="192" t="s">
        <v>1127</v>
      </c>
      <c r="J368" s="172"/>
      <c r="K368" s="182" t="s">
        <v>1414</v>
      </c>
      <c r="L368" s="167"/>
      <c r="M368" s="167"/>
      <c r="N368" s="167"/>
      <c r="O368" s="219"/>
      <c r="P368" s="167"/>
      <c r="Q368" s="167"/>
      <c r="R368" s="167"/>
      <c r="S368" s="167"/>
    </row>
    <row r="369" spans="1:19">
      <c r="A369" s="173"/>
      <c r="B369" s="163"/>
      <c r="C369" s="163"/>
      <c r="D369" s="172" t="s">
        <v>1130</v>
      </c>
      <c r="G369" s="167"/>
      <c r="H369" s="183"/>
      <c r="I369" s="172"/>
      <c r="J369" s="189">
        <v>9</v>
      </c>
      <c r="K369" s="167"/>
      <c r="L369" s="182" t="s">
        <v>1403</v>
      </c>
      <c r="M369" s="167"/>
      <c r="N369" s="167"/>
      <c r="O369" s="219" t="s">
        <v>1130</v>
      </c>
      <c r="P369" s="167"/>
      <c r="Q369" s="167"/>
      <c r="R369" s="167"/>
      <c r="S369" s="167"/>
    </row>
    <row r="370" spans="1:19">
      <c r="A370" s="173"/>
      <c r="B370" s="163"/>
      <c r="C370" s="163"/>
      <c r="D370" s="172" t="s">
        <v>1130</v>
      </c>
      <c r="G370" s="167"/>
      <c r="H370" s="183"/>
      <c r="I370" s="172"/>
      <c r="J370" s="189">
        <v>10</v>
      </c>
      <c r="K370" s="167"/>
      <c r="L370" s="182" t="s">
        <v>1420</v>
      </c>
      <c r="M370" s="167"/>
      <c r="N370" s="167"/>
      <c r="O370" s="219" t="s">
        <v>1130</v>
      </c>
      <c r="P370" s="167"/>
      <c r="Q370" s="167"/>
      <c r="R370" s="167"/>
      <c r="S370" s="167"/>
    </row>
    <row r="371" spans="1:19">
      <c r="A371" s="173"/>
      <c r="B371" s="163"/>
      <c r="C371" s="163"/>
      <c r="D371" s="172" t="s">
        <v>1130</v>
      </c>
      <c r="G371" s="167"/>
      <c r="H371" s="183"/>
      <c r="I371" s="172"/>
      <c r="J371" s="189">
        <v>11</v>
      </c>
      <c r="K371" s="167"/>
      <c r="L371" s="182" t="s">
        <v>1412</v>
      </c>
      <c r="M371" s="167"/>
      <c r="N371" s="167"/>
      <c r="O371" s="219" t="s">
        <v>1130</v>
      </c>
      <c r="P371" s="167"/>
      <c r="Q371" s="167"/>
      <c r="R371" s="167"/>
      <c r="S371" s="167"/>
    </row>
    <row r="372" spans="1:19">
      <c r="A372" s="173"/>
      <c r="B372" s="163"/>
      <c r="C372" s="163"/>
      <c r="D372" s="172" t="s">
        <v>1130</v>
      </c>
      <c r="G372" s="167"/>
      <c r="H372" s="183"/>
      <c r="I372" s="172"/>
      <c r="J372" s="189">
        <v>12</v>
      </c>
      <c r="K372" s="167"/>
      <c r="L372" s="182" t="s">
        <v>1421</v>
      </c>
      <c r="M372" s="167"/>
      <c r="N372" s="167"/>
      <c r="O372" s="219" t="s">
        <v>1130</v>
      </c>
      <c r="P372" s="167"/>
      <c r="Q372" s="167"/>
      <c r="R372" s="167"/>
      <c r="S372" s="167"/>
    </row>
    <row r="373" spans="1:19">
      <c r="A373" s="173"/>
      <c r="B373" s="163"/>
      <c r="C373" s="163"/>
      <c r="D373" s="172" t="s">
        <v>1130</v>
      </c>
      <c r="G373" s="167"/>
      <c r="H373" s="183"/>
      <c r="I373" s="172"/>
      <c r="J373" s="189">
        <v>13</v>
      </c>
      <c r="K373" s="167"/>
      <c r="L373" s="182" t="s">
        <v>1413</v>
      </c>
      <c r="M373" s="167"/>
      <c r="N373" s="167"/>
      <c r="O373" s="219" t="s">
        <v>1130</v>
      </c>
      <c r="P373" s="167"/>
      <c r="Q373" s="167"/>
      <c r="R373" s="167"/>
      <c r="S373" s="167"/>
    </row>
    <row r="374" spans="1:19">
      <c r="A374" s="173"/>
      <c r="B374" s="163"/>
      <c r="C374" s="163"/>
      <c r="D374" s="172" t="s">
        <v>1130</v>
      </c>
      <c r="G374" s="167"/>
      <c r="H374" s="183"/>
      <c r="I374" s="197"/>
      <c r="J374" s="192">
        <v>14</v>
      </c>
      <c r="K374" s="193"/>
      <c r="L374" s="194" t="s">
        <v>1422</v>
      </c>
      <c r="M374" s="193"/>
      <c r="N374" s="193"/>
      <c r="O374" s="237" t="s">
        <v>1130</v>
      </c>
      <c r="P374" s="167"/>
      <c r="Q374" s="167"/>
      <c r="R374" s="167"/>
      <c r="S374" s="167"/>
    </row>
    <row r="375" spans="1:19">
      <c r="A375" s="173"/>
      <c r="B375" s="163"/>
      <c r="C375" s="163"/>
      <c r="D375" s="172"/>
      <c r="G375" s="167"/>
      <c r="H375" s="183"/>
      <c r="I375" s="192" t="s">
        <v>1131</v>
      </c>
      <c r="J375" s="172"/>
      <c r="K375" s="182" t="s">
        <v>1423</v>
      </c>
      <c r="L375" s="167"/>
      <c r="M375" s="167"/>
      <c r="N375" s="167"/>
      <c r="O375" s="219"/>
      <c r="P375" s="167"/>
      <c r="Q375" s="167"/>
      <c r="R375" s="167"/>
      <c r="S375" s="167"/>
    </row>
    <row r="376" spans="1:19">
      <c r="A376" s="173"/>
      <c r="B376" s="163"/>
      <c r="C376" s="163"/>
      <c r="D376" s="172" t="s">
        <v>1130</v>
      </c>
      <c r="G376" s="167"/>
      <c r="H376" s="183"/>
      <c r="I376" s="172"/>
      <c r="J376" s="189">
        <v>1</v>
      </c>
      <c r="K376" s="167"/>
      <c r="L376" s="182" t="s">
        <v>1228</v>
      </c>
      <c r="M376" s="167"/>
      <c r="N376" s="167"/>
      <c r="O376" s="219" t="s">
        <v>1130</v>
      </c>
      <c r="P376" s="167"/>
      <c r="Q376" s="167"/>
      <c r="R376" s="167"/>
      <c r="S376" s="167"/>
    </row>
    <row r="377" spans="1:19">
      <c r="A377" s="173"/>
      <c r="B377" s="163"/>
      <c r="C377" s="163"/>
      <c r="D377" s="172" t="s">
        <v>1130</v>
      </c>
      <c r="G377" s="167"/>
      <c r="H377" s="183"/>
      <c r="I377" s="172"/>
      <c r="J377" s="189">
        <v>2</v>
      </c>
      <c r="K377" s="167"/>
      <c r="L377" s="182" t="s">
        <v>1415</v>
      </c>
      <c r="M377" s="167"/>
      <c r="N377" s="167"/>
      <c r="O377" s="219" t="s">
        <v>1130</v>
      </c>
      <c r="P377" s="167"/>
      <c r="Q377" s="167"/>
      <c r="R377" s="167"/>
      <c r="S377" s="167"/>
    </row>
    <row r="378" spans="1:19">
      <c r="A378" s="173"/>
      <c r="B378" s="163"/>
      <c r="C378" s="163"/>
      <c r="D378" s="172" t="s">
        <v>1130</v>
      </c>
      <c r="G378" s="167"/>
      <c r="H378" s="183"/>
      <c r="I378" s="172"/>
      <c r="J378" s="189">
        <v>3</v>
      </c>
      <c r="K378" s="167"/>
      <c r="L378" s="182" t="s">
        <v>1416</v>
      </c>
      <c r="M378" s="167"/>
      <c r="N378" s="167"/>
      <c r="O378" s="219" t="s">
        <v>1130</v>
      </c>
      <c r="P378" s="167"/>
      <c r="Q378" s="167"/>
      <c r="R378" s="167"/>
      <c r="S378" s="167"/>
    </row>
    <row r="379" spans="1:19">
      <c r="A379" s="173"/>
      <c r="B379" s="163"/>
      <c r="C379" s="163"/>
      <c r="D379" s="172" t="s">
        <v>1130</v>
      </c>
      <c r="G379" s="167"/>
      <c r="H379" s="183"/>
      <c r="I379" s="172"/>
      <c r="J379" s="189">
        <v>4</v>
      </c>
      <c r="K379" s="167"/>
      <c r="L379" s="182" t="s">
        <v>1417</v>
      </c>
      <c r="M379" s="167"/>
      <c r="N379" s="167"/>
      <c r="O379" s="219" t="s">
        <v>1130</v>
      </c>
      <c r="P379" s="167"/>
      <c r="Q379" s="167"/>
      <c r="R379" s="167"/>
      <c r="S379" s="167"/>
    </row>
    <row r="380" spans="1:19">
      <c r="A380" s="173"/>
      <c r="B380" s="163"/>
      <c r="C380" s="163"/>
      <c r="D380" s="172" t="s">
        <v>1130</v>
      </c>
      <c r="G380" s="167"/>
      <c r="H380" s="183"/>
      <c r="I380" s="172"/>
      <c r="J380" s="189">
        <v>5</v>
      </c>
      <c r="K380" s="167"/>
      <c r="L380" s="182" t="s">
        <v>1281</v>
      </c>
      <c r="M380" s="167"/>
      <c r="N380" s="167"/>
      <c r="O380" s="219" t="s">
        <v>1130</v>
      </c>
      <c r="P380" s="167"/>
      <c r="Q380" s="167"/>
      <c r="R380" s="167"/>
      <c r="S380" s="167"/>
    </row>
    <row r="381" spans="1:19">
      <c r="A381" s="173"/>
      <c r="B381" s="163"/>
      <c r="C381" s="163"/>
      <c r="D381" s="172" t="s">
        <v>1130</v>
      </c>
      <c r="G381" s="167"/>
      <c r="H381" s="183"/>
      <c r="I381" s="172"/>
      <c r="J381" s="189">
        <v>6</v>
      </c>
      <c r="K381" s="167"/>
      <c r="L381" s="182" t="s">
        <v>1418</v>
      </c>
      <c r="M381" s="167"/>
      <c r="N381" s="167"/>
      <c r="O381" s="219" t="s">
        <v>1130</v>
      </c>
      <c r="P381" s="167"/>
      <c r="Q381" s="167"/>
      <c r="R381" s="167"/>
      <c r="S381" s="167"/>
    </row>
    <row r="382" spans="1:19">
      <c r="A382" s="173"/>
      <c r="B382" s="163"/>
      <c r="C382" s="163"/>
      <c r="D382" s="172" t="s">
        <v>1130</v>
      </c>
      <c r="G382" s="167"/>
      <c r="H382" s="183"/>
      <c r="I382" s="172"/>
      <c r="J382" s="189">
        <v>7</v>
      </c>
      <c r="K382" s="167"/>
      <c r="L382" s="182" t="s">
        <v>1424</v>
      </c>
      <c r="M382" s="167"/>
      <c r="N382" s="167"/>
      <c r="O382" s="219" t="s">
        <v>1130</v>
      </c>
      <c r="P382" s="167"/>
      <c r="Q382" s="167"/>
      <c r="R382" s="167"/>
      <c r="S382" s="167"/>
    </row>
    <row r="383" spans="1:19">
      <c r="A383" s="173"/>
      <c r="B383" s="163"/>
      <c r="C383" s="163"/>
      <c r="D383" s="172" t="s">
        <v>1130</v>
      </c>
      <c r="G383" s="167"/>
      <c r="H383" s="183"/>
      <c r="I383" s="172"/>
      <c r="J383" s="189">
        <v>8</v>
      </c>
      <c r="K383" s="167"/>
      <c r="L383" s="182" t="s">
        <v>1411</v>
      </c>
      <c r="M383" s="167"/>
      <c r="N383" s="167"/>
      <c r="O383" s="219" t="s">
        <v>1130</v>
      </c>
      <c r="P383" s="167"/>
      <c r="Q383" s="167"/>
      <c r="R383" s="167"/>
      <c r="S383" s="167"/>
    </row>
    <row r="384" spans="1:19" ht="15.75" thickBot="1">
      <c r="A384" s="173"/>
      <c r="B384" s="163"/>
      <c r="C384" s="163"/>
      <c r="D384" s="172" t="s">
        <v>1130</v>
      </c>
      <c r="G384" s="167"/>
      <c r="H384" s="229"/>
      <c r="I384" s="230"/>
      <c r="J384" s="231">
        <v>9</v>
      </c>
      <c r="K384" s="232"/>
      <c r="L384" s="233" t="s">
        <v>1403</v>
      </c>
      <c r="M384" s="232"/>
      <c r="N384" s="232"/>
      <c r="O384" s="265" t="s">
        <v>1130</v>
      </c>
      <c r="P384" s="167"/>
      <c r="Q384" s="167"/>
      <c r="R384" s="167"/>
      <c r="S384" s="167"/>
    </row>
    <row r="385" spans="1:19">
      <c r="A385" s="173"/>
      <c r="B385" s="163"/>
      <c r="C385" s="163"/>
      <c r="D385" s="172"/>
      <c r="G385" s="167"/>
      <c r="H385" s="235"/>
      <c r="I385" s="172"/>
      <c r="J385" s="172"/>
      <c r="K385" s="167"/>
      <c r="L385" s="182"/>
      <c r="M385" s="167"/>
      <c r="N385" s="167"/>
      <c r="O385" s="170"/>
      <c r="P385" s="167"/>
      <c r="Q385" s="167"/>
      <c r="R385" s="167"/>
      <c r="S385" s="167"/>
    </row>
    <row r="386" spans="1:19">
      <c r="A386" s="173"/>
      <c r="B386" s="163"/>
      <c r="C386" s="163"/>
      <c r="D386" s="172"/>
      <c r="G386" s="167"/>
      <c r="H386" s="235"/>
      <c r="I386" s="172"/>
      <c r="J386" s="172"/>
      <c r="K386" s="167"/>
      <c r="L386" s="182"/>
      <c r="M386" s="167"/>
      <c r="N386" s="167"/>
      <c r="O386" s="170"/>
      <c r="P386" s="167"/>
      <c r="Q386" s="167"/>
      <c r="R386" s="167"/>
      <c r="S386" s="167"/>
    </row>
    <row r="387" spans="1:19">
      <c r="A387" s="173">
        <v>43</v>
      </c>
      <c r="B387" s="163" t="s">
        <v>1395</v>
      </c>
      <c r="C387" s="163" t="s">
        <v>1396</v>
      </c>
      <c r="D387" s="172"/>
      <c r="G387" s="167"/>
      <c r="H387" s="205">
        <v>43</v>
      </c>
      <c r="I387" s="207"/>
      <c r="J387" s="217"/>
      <c r="K387" s="262" t="s">
        <v>1396</v>
      </c>
      <c r="L387" s="217"/>
      <c r="M387" s="217"/>
      <c r="N387" s="217"/>
      <c r="O387" s="227"/>
      <c r="P387" s="167"/>
      <c r="Q387" s="181">
        <f>H387</f>
        <v>43</v>
      </c>
      <c r="R387" s="172" t="str">
        <f>CONCATENATE("II-",TEXT(Q387,"0000"))</f>
        <v>II-0043</v>
      </c>
      <c r="S387" s="182" t="str">
        <f>K387</f>
        <v>HORMIGON CEMENTO PORTLAND EXCLUIDA LA ARAMDURA</v>
      </c>
    </row>
    <row r="388" spans="1:19">
      <c r="A388" s="173"/>
      <c r="B388" s="163"/>
      <c r="C388" s="163"/>
      <c r="D388" s="172"/>
      <c r="G388" s="167"/>
      <c r="H388" s="183"/>
      <c r="I388" s="192" t="s">
        <v>1131</v>
      </c>
      <c r="J388" s="172"/>
      <c r="K388" s="182" t="s">
        <v>1423</v>
      </c>
      <c r="L388" s="167"/>
      <c r="M388" s="167"/>
      <c r="N388" s="167"/>
      <c r="O388" s="219"/>
      <c r="P388" s="167"/>
      <c r="Q388" s="167"/>
      <c r="R388" s="167"/>
      <c r="S388" s="167"/>
    </row>
    <row r="389" spans="1:19">
      <c r="A389" s="173"/>
      <c r="B389" s="163"/>
      <c r="C389" s="163"/>
      <c r="D389" s="172" t="s">
        <v>1130</v>
      </c>
      <c r="G389" s="167"/>
      <c r="H389" s="183"/>
      <c r="I389" s="172"/>
      <c r="J389" s="189">
        <v>10</v>
      </c>
      <c r="K389" s="167"/>
      <c r="L389" s="182" t="s">
        <v>1420</v>
      </c>
      <c r="M389" s="167"/>
      <c r="N389" s="167"/>
      <c r="O389" s="219" t="s">
        <v>1130</v>
      </c>
      <c r="P389" s="167"/>
      <c r="Q389" s="167"/>
      <c r="R389" s="167"/>
      <c r="S389" s="167"/>
    </row>
    <row r="390" spans="1:19">
      <c r="A390" s="173"/>
      <c r="B390" s="163"/>
      <c r="C390" s="163"/>
      <c r="D390" s="172" t="s">
        <v>1130</v>
      </c>
      <c r="G390" s="167"/>
      <c r="H390" s="183"/>
      <c r="I390" s="172"/>
      <c r="J390" s="189">
        <v>11</v>
      </c>
      <c r="K390" s="167"/>
      <c r="L390" s="182" t="s">
        <v>1412</v>
      </c>
      <c r="M390" s="167"/>
      <c r="N390" s="167"/>
      <c r="O390" s="219" t="s">
        <v>1130</v>
      </c>
      <c r="P390" s="167"/>
      <c r="Q390" s="167"/>
      <c r="R390" s="167"/>
      <c r="S390" s="167"/>
    </row>
    <row r="391" spans="1:19">
      <c r="A391" s="173"/>
      <c r="B391" s="163"/>
      <c r="C391" s="163"/>
      <c r="D391" s="172" t="s">
        <v>1130</v>
      </c>
      <c r="G391" s="167"/>
      <c r="H391" s="183"/>
      <c r="I391" s="172"/>
      <c r="J391" s="189">
        <v>12</v>
      </c>
      <c r="K391" s="167"/>
      <c r="L391" s="182" t="s">
        <v>1421</v>
      </c>
      <c r="M391" s="167"/>
      <c r="N391" s="167"/>
      <c r="O391" s="219" t="s">
        <v>1130</v>
      </c>
      <c r="P391" s="167"/>
      <c r="Q391" s="167"/>
      <c r="R391" s="167"/>
      <c r="S391" s="167"/>
    </row>
    <row r="392" spans="1:19">
      <c r="A392" s="173"/>
      <c r="B392" s="163"/>
      <c r="C392" s="163"/>
      <c r="D392" s="172" t="s">
        <v>1130</v>
      </c>
      <c r="G392" s="167"/>
      <c r="H392" s="183"/>
      <c r="I392" s="172"/>
      <c r="J392" s="189">
        <v>13</v>
      </c>
      <c r="K392" s="167"/>
      <c r="L392" s="182" t="s">
        <v>1413</v>
      </c>
      <c r="M392" s="167"/>
      <c r="N392" s="167"/>
      <c r="O392" s="219" t="s">
        <v>1130</v>
      </c>
      <c r="P392" s="167"/>
      <c r="Q392" s="167"/>
      <c r="R392" s="167"/>
      <c r="S392" s="167"/>
    </row>
    <row r="393" spans="1:19">
      <c r="A393" s="173"/>
      <c r="B393" s="163"/>
      <c r="C393" s="163"/>
      <c r="D393" s="172" t="s">
        <v>1130</v>
      </c>
      <c r="G393" s="167"/>
      <c r="H393" s="183"/>
      <c r="I393" s="197"/>
      <c r="J393" s="192">
        <v>14</v>
      </c>
      <c r="K393" s="193"/>
      <c r="L393" s="194" t="s">
        <v>1422</v>
      </c>
      <c r="M393" s="193"/>
      <c r="N393" s="193"/>
      <c r="O393" s="237" t="s">
        <v>1130</v>
      </c>
      <c r="P393" s="167"/>
      <c r="Q393" s="167"/>
      <c r="R393" s="167"/>
      <c r="S393" s="167"/>
    </row>
    <row r="394" spans="1:19">
      <c r="A394" s="173"/>
      <c r="B394" s="163"/>
      <c r="C394" s="163"/>
      <c r="D394" s="172"/>
      <c r="G394" s="167"/>
      <c r="H394" s="183"/>
      <c r="I394" s="192" t="s">
        <v>1134</v>
      </c>
      <c r="J394" s="172"/>
      <c r="K394" s="182" t="s">
        <v>1425</v>
      </c>
      <c r="L394" s="167"/>
      <c r="M394" s="167"/>
      <c r="N394" s="167"/>
      <c r="O394" s="219"/>
      <c r="P394" s="167"/>
      <c r="Q394" s="167"/>
      <c r="R394" s="167"/>
      <c r="S394" s="167"/>
    </row>
    <row r="395" spans="1:19">
      <c r="A395" s="173"/>
      <c r="B395" s="163"/>
      <c r="C395" s="163"/>
      <c r="D395" s="172" t="s">
        <v>1130</v>
      </c>
      <c r="G395" s="167"/>
      <c r="H395" s="183"/>
      <c r="I395" s="172"/>
      <c r="J395" s="189">
        <v>1</v>
      </c>
      <c r="K395" s="167"/>
      <c r="L395" s="182" t="s">
        <v>1416</v>
      </c>
      <c r="M395" s="167"/>
      <c r="N395" s="167"/>
      <c r="O395" s="219" t="s">
        <v>1130</v>
      </c>
      <c r="P395" s="167"/>
      <c r="Q395" s="167"/>
      <c r="R395" s="167"/>
      <c r="S395" s="167"/>
    </row>
    <row r="396" spans="1:19">
      <c r="A396" s="173"/>
      <c r="B396" s="163"/>
      <c r="C396" s="163"/>
      <c r="D396" s="172" t="s">
        <v>1130</v>
      </c>
      <c r="G396" s="167"/>
      <c r="H396" s="183"/>
      <c r="I396" s="172"/>
      <c r="J396" s="189">
        <v>2</v>
      </c>
      <c r="K396" s="167"/>
      <c r="L396" s="182" t="s">
        <v>1417</v>
      </c>
      <c r="M396" s="167"/>
      <c r="N396" s="167"/>
      <c r="O396" s="219" t="s">
        <v>1130</v>
      </c>
      <c r="P396" s="167"/>
      <c r="Q396" s="167"/>
      <c r="R396" s="167"/>
      <c r="S396" s="167"/>
    </row>
    <row r="397" spans="1:19">
      <c r="A397" s="173"/>
      <c r="B397" s="163"/>
      <c r="C397" s="163"/>
      <c r="D397" s="172" t="s">
        <v>1130</v>
      </c>
      <c r="G397" s="167"/>
      <c r="H397" s="183"/>
      <c r="I397" s="172"/>
      <c r="J397" s="189">
        <v>3</v>
      </c>
      <c r="K397" s="167"/>
      <c r="L397" s="182" t="s">
        <v>1281</v>
      </c>
      <c r="M397" s="167"/>
      <c r="N397" s="167"/>
      <c r="O397" s="219" t="s">
        <v>1130</v>
      </c>
      <c r="P397" s="167"/>
      <c r="Q397" s="167"/>
      <c r="R397" s="167"/>
      <c r="S397" s="167"/>
    </row>
    <row r="398" spans="1:19">
      <c r="A398" s="173"/>
      <c r="B398" s="163"/>
      <c r="C398" s="163"/>
      <c r="D398" s="172" t="s">
        <v>1130</v>
      </c>
      <c r="G398" s="167"/>
      <c r="H398" s="183"/>
      <c r="I398" s="172"/>
      <c r="J398" s="189">
        <v>4</v>
      </c>
      <c r="K398" s="167"/>
      <c r="L398" s="182" t="s">
        <v>1418</v>
      </c>
      <c r="M398" s="167"/>
      <c r="N398" s="167"/>
      <c r="O398" s="219" t="s">
        <v>1130</v>
      </c>
      <c r="P398" s="167"/>
      <c r="Q398" s="167"/>
      <c r="R398" s="167"/>
      <c r="S398" s="167"/>
    </row>
    <row r="399" spans="1:19">
      <c r="A399" s="173"/>
      <c r="B399" s="163"/>
      <c r="C399" s="163"/>
      <c r="D399" s="172" t="s">
        <v>1130</v>
      </c>
      <c r="G399" s="167"/>
      <c r="H399" s="183"/>
      <c r="I399" s="172"/>
      <c r="J399" s="189">
        <v>5</v>
      </c>
      <c r="K399" s="167"/>
      <c r="L399" s="182" t="s">
        <v>1424</v>
      </c>
      <c r="M399" s="167"/>
      <c r="N399" s="167"/>
      <c r="O399" s="219" t="s">
        <v>1130</v>
      </c>
      <c r="P399" s="167"/>
      <c r="Q399" s="167"/>
      <c r="R399" s="167"/>
      <c r="S399" s="167"/>
    </row>
    <row r="400" spans="1:19">
      <c r="A400" s="173"/>
      <c r="B400" s="163"/>
      <c r="C400" s="163"/>
      <c r="D400" s="172" t="s">
        <v>1130</v>
      </c>
      <c r="G400" s="167"/>
      <c r="H400" s="183"/>
      <c r="I400" s="172"/>
      <c r="J400" s="189">
        <v>6</v>
      </c>
      <c r="K400" s="167"/>
      <c r="L400" s="182" t="s">
        <v>1403</v>
      </c>
      <c r="M400" s="167"/>
      <c r="N400" s="167"/>
      <c r="O400" s="219" t="s">
        <v>1130</v>
      </c>
      <c r="P400" s="167"/>
      <c r="Q400" s="167"/>
      <c r="R400" s="167"/>
      <c r="S400" s="167"/>
    </row>
    <row r="401" spans="1:19">
      <c r="A401" s="173"/>
      <c r="B401" s="163"/>
      <c r="C401" s="163"/>
      <c r="D401" s="172" t="s">
        <v>1130</v>
      </c>
      <c r="G401" s="167"/>
      <c r="H401" s="183"/>
      <c r="I401" s="172"/>
      <c r="J401" s="189">
        <v>7</v>
      </c>
      <c r="K401" s="167"/>
      <c r="L401" s="182" t="s">
        <v>1420</v>
      </c>
      <c r="M401" s="167"/>
      <c r="N401" s="167"/>
      <c r="O401" s="219" t="s">
        <v>1130</v>
      </c>
      <c r="P401" s="167"/>
      <c r="Q401" s="167"/>
      <c r="R401" s="167"/>
      <c r="S401" s="167"/>
    </row>
    <row r="402" spans="1:19">
      <c r="A402" s="173"/>
      <c r="B402" s="163"/>
      <c r="C402" s="163"/>
      <c r="D402" s="172" t="s">
        <v>1130</v>
      </c>
      <c r="G402" s="167"/>
      <c r="H402" s="183"/>
      <c r="I402" s="172"/>
      <c r="J402" s="189">
        <v>8</v>
      </c>
      <c r="K402" s="167"/>
      <c r="L402" s="182" t="s">
        <v>1412</v>
      </c>
      <c r="M402" s="167"/>
      <c r="N402" s="167"/>
      <c r="O402" s="219" t="s">
        <v>1130</v>
      </c>
      <c r="P402" s="167"/>
      <c r="Q402" s="167"/>
      <c r="R402" s="167"/>
      <c r="S402" s="167"/>
    </row>
    <row r="403" spans="1:19">
      <c r="A403" s="173"/>
      <c r="B403" s="163"/>
      <c r="C403" s="163"/>
      <c r="D403" s="172" t="s">
        <v>1130</v>
      </c>
      <c r="G403" s="167"/>
      <c r="H403" s="183"/>
      <c r="I403" s="172"/>
      <c r="J403" s="189">
        <v>9</v>
      </c>
      <c r="K403" s="167"/>
      <c r="L403" s="182" t="s">
        <v>1421</v>
      </c>
      <c r="M403" s="167"/>
      <c r="N403" s="167"/>
      <c r="O403" s="219" t="s">
        <v>1130</v>
      </c>
      <c r="P403" s="167"/>
      <c r="Q403" s="167"/>
      <c r="R403" s="167"/>
      <c r="S403" s="167"/>
    </row>
    <row r="404" spans="1:19" ht="15.75" thickBot="1">
      <c r="A404" s="173"/>
      <c r="B404" s="163"/>
      <c r="C404" s="163"/>
      <c r="D404" s="172" t="s">
        <v>1130</v>
      </c>
      <c r="G404" s="167"/>
      <c r="H404" s="198"/>
      <c r="I404" s="199"/>
      <c r="J404" s="200">
        <v>10</v>
      </c>
      <c r="K404" s="201"/>
      <c r="L404" s="202" t="s">
        <v>1422</v>
      </c>
      <c r="M404" s="201"/>
      <c r="N404" s="201"/>
      <c r="O404" s="263" t="s">
        <v>1130</v>
      </c>
      <c r="P404" s="167"/>
      <c r="Q404" s="167"/>
      <c r="R404" s="167"/>
      <c r="S404" s="167"/>
    </row>
    <row r="405" spans="1:19" ht="15.75" thickTop="1">
      <c r="A405" s="173">
        <v>44</v>
      </c>
      <c r="B405" s="163" t="s">
        <v>1426</v>
      </c>
      <c r="C405" s="163" t="s">
        <v>1427</v>
      </c>
      <c r="D405" s="172"/>
      <c r="G405" s="167"/>
      <c r="H405" s="205">
        <v>44</v>
      </c>
      <c r="I405" s="207"/>
      <c r="J405" s="217"/>
      <c r="K405" s="262" t="s">
        <v>1427</v>
      </c>
      <c r="L405" s="217"/>
      <c r="M405" s="217"/>
      <c r="N405" s="217"/>
      <c r="O405" s="227"/>
      <c r="P405" s="167"/>
      <c r="Q405" s="181">
        <f>H405</f>
        <v>44</v>
      </c>
      <c r="R405" s="172" t="str">
        <f>CONCATENATE("II-",TEXT(Q405,"0000"))</f>
        <v>II-0044</v>
      </c>
      <c r="S405" s="182" t="str">
        <f>K405</f>
        <v>HORMIGON  ARS EXCLUIDA LA ARAMDURA</v>
      </c>
    </row>
    <row r="406" spans="1:19">
      <c r="A406" s="173"/>
      <c r="B406" s="163"/>
      <c r="C406" s="163"/>
      <c r="D406" s="172"/>
      <c r="G406" s="167"/>
      <c r="H406" s="183"/>
      <c r="I406" s="192" t="s">
        <v>1019</v>
      </c>
      <c r="J406" s="172"/>
      <c r="K406" s="182" t="s">
        <v>1397</v>
      </c>
      <c r="L406" s="167"/>
      <c r="M406" s="167"/>
      <c r="N406" s="167"/>
      <c r="O406" s="219"/>
      <c r="P406" s="167"/>
      <c r="Q406" s="167"/>
      <c r="R406" s="167"/>
      <c r="S406" s="167"/>
    </row>
    <row r="407" spans="1:19">
      <c r="A407" s="173"/>
      <c r="B407" s="163"/>
      <c r="C407" s="163"/>
      <c r="D407" s="172" t="s">
        <v>1130</v>
      </c>
      <c r="G407" s="167"/>
      <c r="H407" s="183"/>
      <c r="I407" s="172"/>
      <c r="J407" s="189">
        <v>1</v>
      </c>
      <c r="K407" s="167"/>
      <c r="L407" s="182" t="s">
        <v>1228</v>
      </c>
      <c r="M407" s="167"/>
      <c r="N407" s="167"/>
      <c r="O407" s="219" t="s">
        <v>1130</v>
      </c>
      <c r="P407" s="167"/>
      <c r="Q407" s="167"/>
      <c r="R407" s="167"/>
      <c r="S407" s="167"/>
    </row>
    <row r="408" spans="1:19">
      <c r="A408" s="173"/>
      <c r="B408" s="163"/>
      <c r="C408" s="163"/>
      <c r="D408" s="172" t="s">
        <v>1130</v>
      </c>
      <c r="G408" s="167"/>
      <c r="H408" s="183"/>
      <c r="I408" s="172"/>
      <c r="J408" s="189">
        <v>2</v>
      </c>
      <c r="K408" s="167"/>
      <c r="L408" s="182" t="s">
        <v>1399</v>
      </c>
      <c r="M408" s="167"/>
      <c r="N408" s="167"/>
      <c r="O408" s="219" t="s">
        <v>1130</v>
      </c>
      <c r="P408" s="167"/>
      <c r="Q408" s="167"/>
      <c r="R408" s="167"/>
      <c r="S408" s="167"/>
    </row>
    <row r="409" spans="1:19">
      <c r="A409" s="173"/>
      <c r="B409" s="163"/>
      <c r="C409" s="163"/>
      <c r="D409" s="172" t="s">
        <v>1130</v>
      </c>
      <c r="G409" s="167"/>
      <c r="H409" s="183"/>
      <c r="I409" s="172"/>
      <c r="J409" s="189">
        <v>3</v>
      </c>
      <c r="K409" s="167"/>
      <c r="L409" s="182" t="s">
        <v>1428</v>
      </c>
      <c r="M409" s="167"/>
      <c r="N409" s="167"/>
      <c r="O409" s="219" t="s">
        <v>1130</v>
      </c>
      <c r="P409" s="167"/>
      <c r="Q409" s="167"/>
      <c r="R409" s="167"/>
      <c r="S409" s="167"/>
    </row>
    <row r="410" spans="1:19">
      <c r="A410" s="173"/>
      <c r="B410" s="163"/>
      <c r="C410" s="163"/>
      <c r="D410" s="172" t="s">
        <v>1130</v>
      </c>
      <c r="G410" s="167"/>
      <c r="H410" s="183"/>
      <c r="I410" s="172"/>
      <c r="J410" s="189">
        <v>4</v>
      </c>
      <c r="K410" s="167"/>
      <c r="L410" s="182" t="s">
        <v>1379</v>
      </c>
      <c r="M410" s="167"/>
      <c r="N410" s="167"/>
      <c r="O410" s="219" t="s">
        <v>1130</v>
      </c>
      <c r="P410" s="167"/>
      <c r="Q410" s="167"/>
      <c r="R410" s="167"/>
      <c r="S410" s="167"/>
    </row>
    <row r="411" spans="1:19">
      <c r="A411" s="173"/>
      <c r="B411" s="163"/>
      <c r="C411" s="163"/>
      <c r="D411" s="172" t="s">
        <v>1130</v>
      </c>
      <c r="G411" s="167"/>
      <c r="H411" s="183"/>
      <c r="I411" s="197"/>
      <c r="J411" s="192">
        <v>5</v>
      </c>
      <c r="K411" s="193"/>
      <c r="L411" s="194" t="s">
        <v>1400</v>
      </c>
      <c r="M411" s="193"/>
      <c r="N411" s="193"/>
      <c r="O411" s="237" t="s">
        <v>1130</v>
      </c>
      <c r="P411" s="167"/>
      <c r="Q411" s="167"/>
      <c r="R411" s="167"/>
      <c r="S411" s="167"/>
    </row>
    <row r="412" spans="1:19">
      <c r="A412" s="173"/>
      <c r="B412" s="163"/>
      <c r="C412" s="163"/>
      <c r="D412" s="172"/>
      <c r="G412" s="167"/>
      <c r="H412" s="183"/>
      <c r="I412" s="192" t="s">
        <v>1046</v>
      </c>
      <c r="J412" s="172"/>
      <c r="K412" s="182" t="s">
        <v>1401</v>
      </c>
      <c r="L412" s="167"/>
      <c r="M412" s="167"/>
      <c r="N412" s="167"/>
      <c r="O412" s="219"/>
      <c r="P412" s="167"/>
      <c r="Q412" s="167"/>
      <c r="R412" s="167"/>
      <c r="S412" s="167"/>
    </row>
    <row r="413" spans="1:19">
      <c r="A413" s="173"/>
      <c r="B413" s="163"/>
      <c r="C413" s="163"/>
      <c r="D413" s="172" t="s">
        <v>1130</v>
      </c>
      <c r="G413" s="167"/>
      <c r="H413" s="183"/>
      <c r="I413" s="172"/>
      <c r="J413" s="189">
        <v>1</v>
      </c>
      <c r="K413" s="167"/>
      <c r="L413" s="182" t="s">
        <v>1228</v>
      </c>
      <c r="M413" s="167"/>
      <c r="N413" s="167"/>
      <c r="O413" s="219" t="s">
        <v>1130</v>
      </c>
      <c r="P413" s="167"/>
      <c r="Q413" s="167"/>
      <c r="R413" s="167"/>
      <c r="S413" s="167"/>
    </row>
    <row r="414" spans="1:19">
      <c r="A414" s="173"/>
      <c r="B414" s="163"/>
      <c r="C414" s="163"/>
      <c r="D414" s="172" t="s">
        <v>1130</v>
      </c>
      <c r="G414" s="167"/>
      <c r="H414" s="183"/>
      <c r="I414" s="172"/>
      <c r="J414" s="189">
        <v>2</v>
      </c>
      <c r="K414" s="167"/>
      <c r="L414" s="182" t="s">
        <v>1402</v>
      </c>
      <c r="M414" s="167"/>
      <c r="N414" s="167"/>
      <c r="O414" s="219" t="s">
        <v>1130</v>
      </c>
      <c r="P414" s="167"/>
      <c r="Q414" s="167"/>
      <c r="R414" s="167"/>
      <c r="S414" s="167"/>
    </row>
    <row r="415" spans="1:19">
      <c r="A415" s="173"/>
      <c r="B415" s="163"/>
      <c r="C415" s="163"/>
      <c r="D415" s="172" t="s">
        <v>1130</v>
      </c>
      <c r="G415" s="167"/>
      <c r="H415" s="183"/>
      <c r="I415" s="172"/>
      <c r="J415" s="189">
        <v>3</v>
      </c>
      <c r="K415" s="167"/>
      <c r="L415" s="182" t="s">
        <v>1403</v>
      </c>
      <c r="M415" s="167"/>
      <c r="N415" s="167"/>
      <c r="O415" s="219" t="s">
        <v>1130</v>
      </c>
      <c r="P415" s="167"/>
      <c r="Q415" s="167"/>
      <c r="R415" s="167"/>
      <c r="S415" s="167"/>
    </row>
    <row r="416" spans="1:19">
      <c r="A416" s="173"/>
      <c r="B416" s="163"/>
      <c r="C416" s="163"/>
      <c r="D416" s="172" t="s">
        <v>1130</v>
      </c>
      <c r="G416" s="167"/>
      <c r="H416" s="183"/>
      <c r="I416" s="285"/>
      <c r="J416" s="189">
        <v>4</v>
      </c>
      <c r="K416" s="167"/>
      <c r="L416" s="182" t="s">
        <v>1404</v>
      </c>
      <c r="M416" s="167"/>
      <c r="N416" s="167"/>
      <c r="O416" s="219" t="s">
        <v>1130</v>
      </c>
      <c r="P416" s="167"/>
      <c r="Q416" s="167"/>
      <c r="R416" s="167"/>
      <c r="S416" s="167"/>
    </row>
    <row r="417" spans="1:19">
      <c r="A417" s="173"/>
      <c r="B417" s="163"/>
      <c r="C417" s="163"/>
      <c r="D417" s="172" t="s">
        <v>1130</v>
      </c>
      <c r="G417" s="167"/>
      <c r="H417" s="183"/>
      <c r="I417" s="172"/>
      <c r="J417" s="189">
        <v>5</v>
      </c>
      <c r="K417" s="167"/>
      <c r="L417" s="182" t="s">
        <v>1405</v>
      </c>
      <c r="M417" s="167"/>
      <c r="N417" s="167"/>
      <c r="O417" s="219" t="s">
        <v>1130</v>
      </c>
      <c r="P417" s="167"/>
      <c r="Q417" s="167"/>
      <c r="R417" s="167"/>
      <c r="S417" s="167"/>
    </row>
    <row r="418" spans="1:19">
      <c r="A418" s="173"/>
      <c r="B418" s="163"/>
      <c r="C418" s="163"/>
      <c r="D418" s="172" t="s">
        <v>1130</v>
      </c>
      <c r="G418" s="167"/>
      <c r="H418" s="183"/>
      <c r="I418" s="197"/>
      <c r="J418" s="192">
        <v>6</v>
      </c>
      <c r="K418" s="193"/>
      <c r="L418" s="194" t="s">
        <v>1400</v>
      </c>
      <c r="M418" s="193"/>
      <c r="N418" s="193"/>
      <c r="O418" s="237" t="s">
        <v>1130</v>
      </c>
      <c r="P418" s="167"/>
      <c r="Q418" s="167"/>
      <c r="R418" s="167"/>
      <c r="S418" s="167"/>
    </row>
    <row r="419" spans="1:19">
      <c r="A419" s="173"/>
      <c r="B419" s="163"/>
      <c r="C419" s="163"/>
      <c r="D419" s="172"/>
      <c r="G419" s="167"/>
      <c r="H419" s="183"/>
      <c r="I419" s="192" t="s">
        <v>1056</v>
      </c>
      <c r="J419" s="172"/>
      <c r="K419" s="182" t="s">
        <v>1406</v>
      </c>
      <c r="L419" s="167"/>
      <c r="M419" s="167"/>
      <c r="N419" s="167"/>
      <c r="O419" s="219"/>
      <c r="P419" s="167"/>
      <c r="Q419" s="167"/>
      <c r="R419" s="167"/>
      <c r="S419" s="167"/>
    </row>
    <row r="420" spans="1:19">
      <c r="A420" s="173"/>
      <c r="B420" s="163"/>
      <c r="C420" s="163"/>
      <c r="D420" s="172" t="s">
        <v>1130</v>
      </c>
      <c r="G420" s="167"/>
      <c r="H420" s="183"/>
      <c r="I420" s="172"/>
      <c r="J420" s="189">
        <v>1</v>
      </c>
      <c r="K420" s="167"/>
      <c r="L420" s="182" t="s">
        <v>1407</v>
      </c>
      <c r="M420" s="167"/>
      <c r="N420" s="167"/>
      <c r="O420" s="219" t="s">
        <v>1130</v>
      </c>
      <c r="P420" s="167"/>
      <c r="Q420" s="167"/>
      <c r="R420" s="167"/>
      <c r="S420" s="167"/>
    </row>
    <row r="421" spans="1:19">
      <c r="A421" s="173"/>
      <c r="B421" s="163"/>
      <c r="C421" s="163"/>
      <c r="D421" s="172" t="s">
        <v>1130</v>
      </c>
      <c r="G421" s="167"/>
      <c r="H421" s="183"/>
      <c r="I421" s="172"/>
      <c r="J421" s="189">
        <v>2</v>
      </c>
      <c r="K421" s="167"/>
      <c r="L421" s="182" t="s">
        <v>1228</v>
      </c>
      <c r="M421" s="167"/>
      <c r="N421" s="167"/>
      <c r="O421" s="219" t="s">
        <v>1130</v>
      </c>
      <c r="P421" s="167"/>
      <c r="Q421" s="167"/>
      <c r="R421" s="167"/>
      <c r="S421" s="167"/>
    </row>
    <row r="422" spans="1:19">
      <c r="A422" s="173"/>
      <c r="B422" s="163"/>
      <c r="C422" s="163"/>
      <c r="D422" s="172" t="s">
        <v>1130</v>
      </c>
      <c r="G422" s="167"/>
      <c r="H422" s="183"/>
      <c r="I422" s="172"/>
      <c r="J422" s="189">
        <v>3</v>
      </c>
      <c r="K422" s="167"/>
      <c r="L422" s="182" t="s">
        <v>1408</v>
      </c>
      <c r="M422" s="167"/>
      <c r="N422" s="167"/>
      <c r="O422" s="219" t="s">
        <v>1130</v>
      </c>
      <c r="P422" s="167"/>
      <c r="Q422" s="167"/>
      <c r="R422" s="167"/>
      <c r="S422" s="167"/>
    </row>
    <row r="423" spans="1:19">
      <c r="A423" s="173"/>
      <c r="B423" s="163"/>
      <c r="C423" s="163"/>
      <c r="D423" s="172" t="s">
        <v>1130</v>
      </c>
      <c r="G423" s="167"/>
      <c r="H423" s="183"/>
      <c r="I423" s="172"/>
      <c r="J423" s="189">
        <v>4</v>
      </c>
      <c r="K423" s="167"/>
      <c r="L423" s="182" t="s">
        <v>1339</v>
      </c>
      <c r="M423" s="167"/>
      <c r="N423" s="167"/>
      <c r="O423" s="219" t="s">
        <v>1130</v>
      </c>
      <c r="P423" s="167"/>
      <c r="Q423" s="167"/>
      <c r="R423" s="167"/>
      <c r="S423" s="167"/>
    </row>
    <row r="424" spans="1:19">
      <c r="A424" s="173"/>
      <c r="B424" s="163"/>
      <c r="C424" s="163"/>
      <c r="D424" s="172" t="s">
        <v>1130</v>
      </c>
      <c r="G424" s="167"/>
      <c r="H424" s="183"/>
      <c r="I424" s="197"/>
      <c r="J424" s="192">
        <v>5</v>
      </c>
      <c r="K424" s="193"/>
      <c r="L424" s="194" t="s">
        <v>1400</v>
      </c>
      <c r="M424" s="193"/>
      <c r="N424" s="193"/>
      <c r="O424" s="237" t="s">
        <v>1130</v>
      </c>
      <c r="P424" s="167"/>
      <c r="Q424" s="167"/>
      <c r="R424" s="167"/>
      <c r="S424" s="167"/>
    </row>
    <row r="425" spans="1:19">
      <c r="A425" s="173"/>
      <c r="B425" s="163"/>
      <c r="C425" s="163"/>
      <c r="D425" s="172"/>
      <c r="G425" s="167"/>
      <c r="H425" s="183"/>
      <c r="I425" s="192" t="s">
        <v>1082</v>
      </c>
      <c r="J425" s="172"/>
      <c r="K425" s="182" t="s">
        <v>1409</v>
      </c>
      <c r="L425" s="167"/>
      <c r="M425" s="167"/>
      <c r="N425" s="167"/>
      <c r="O425" s="219"/>
      <c r="P425" s="167"/>
      <c r="Q425" s="167"/>
      <c r="R425" s="167"/>
      <c r="S425" s="167"/>
    </row>
    <row r="426" spans="1:19">
      <c r="A426" s="173"/>
      <c r="B426" s="163"/>
      <c r="C426" s="163"/>
      <c r="D426" s="172" t="s">
        <v>1130</v>
      </c>
      <c r="G426" s="167"/>
      <c r="H426" s="183"/>
      <c r="I426" s="172"/>
      <c r="J426" s="189">
        <v>1</v>
      </c>
      <c r="K426" s="167"/>
      <c r="L426" s="182" t="s">
        <v>1407</v>
      </c>
      <c r="M426" s="167"/>
      <c r="N426" s="167"/>
      <c r="O426" s="219" t="s">
        <v>1130</v>
      </c>
      <c r="P426" s="167"/>
      <c r="Q426" s="167"/>
      <c r="R426" s="167"/>
      <c r="S426" s="167"/>
    </row>
    <row r="427" spans="1:19">
      <c r="A427" s="173"/>
      <c r="B427" s="163"/>
      <c r="C427" s="163"/>
      <c r="D427" s="172" t="s">
        <v>1130</v>
      </c>
      <c r="G427" s="167"/>
      <c r="H427" s="183"/>
      <c r="I427" s="172"/>
      <c r="J427" s="189">
        <v>2</v>
      </c>
      <c r="K427" s="167"/>
      <c r="L427" s="182" t="s">
        <v>1228</v>
      </c>
      <c r="M427" s="167"/>
      <c r="N427" s="167"/>
      <c r="O427" s="219" t="s">
        <v>1130</v>
      </c>
      <c r="P427" s="167"/>
      <c r="Q427" s="167"/>
      <c r="R427" s="167"/>
      <c r="S427" s="167"/>
    </row>
    <row r="428" spans="1:19">
      <c r="A428" s="173"/>
      <c r="B428" s="163"/>
      <c r="C428" s="163"/>
      <c r="D428" s="172" t="s">
        <v>1130</v>
      </c>
      <c r="G428" s="167"/>
      <c r="H428" s="183"/>
      <c r="I428" s="172"/>
      <c r="J428" s="189">
        <v>3</v>
      </c>
      <c r="K428" s="167"/>
      <c r="L428" s="182" t="s">
        <v>1410</v>
      </c>
      <c r="M428" s="167"/>
      <c r="N428" s="167"/>
      <c r="O428" s="219" t="s">
        <v>1130</v>
      </c>
      <c r="P428" s="167"/>
      <c r="Q428" s="167"/>
      <c r="R428" s="167"/>
      <c r="S428" s="167"/>
    </row>
    <row r="429" spans="1:19">
      <c r="A429" s="173"/>
      <c r="B429" s="163"/>
      <c r="C429" s="163"/>
      <c r="D429" s="172" t="s">
        <v>1130</v>
      </c>
      <c r="G429" s="167"/>
      <c r="H429" s="183"/>
      <c r="I429" s="172"/>
      <c r="J429" s="189">
        <v>4</v>
      </c>
      <c r="K429" s="167"/>
      <c r="L429" s="182" t="s">
        <v>1408</v>
      </c>
      <c r="M429" s="167"/>
      <c r="N429" s="167"/>
      <c r="O429" s="219" t="s">
        <v>1130</v>
      </c>
      <c r="P429" s="167"/>
      <c r="Q429" s="167"/>
      <c r="R429" s="167"/>
      <c r="S429" s="167"/>
    </row>
    <row r="430" spans="1:19">
      <c r="A430" s="173"/>
      <c r="B430" s="163"/>
      <c r="C430" s="163"/>
      <c r="D430" s="172" t="s">
        <v>1130</v>
      </c>
      <c r="G430" s="167"/>
      <c r="H430" s="183"/>
      <c r="I430" s="172"/>
      <c r="J430" s="189">
        <v>5</v>
      </c>
      <c r="K430" s="167"/>
      <c r="L430" s="182" t="s">
        <v>1339</v>
      </c>
      <c r="M430" s="167"/>
      <c r="N430" s="167"/>
      <c r="O430" s="219" t="s">
        <v>1130</v>
      </c>
      <c r="P430" s="167"/>
      <c r="Q430" s="167"/>
      <c r="R430" s="167"/>
      <c r="S430" s="167"/>
    </row>
    <row r="431" spans="1:19">
      <c r="A431" s="173"/>
      <c r="B431" s="163"/>
      <c r="C431" s="163"/>
      <c r="D431" s="172" t="s">
        <v>1130</v>
      </c>
      <c r="G431" s="167"/>
      <c r="H431" s="183"/>
      <c r="I431" s="172"/>
      <c r="J431" s="189">
        <v>6</v>
      </c>
      <c r="K431" s="167"/>
      <c r="L431" s="182" t="s">
        <v>1411</v>
      </c>
      <c r="M431" s="167"/>
      <c r="N431" s="167"/>
      <c r="O431" s="219" t="s">
        <v>1130</v>
      </c>
      <c r="P431" s="167"/>
      <c r="Q431" s="167"/>
      <c r="R431" s="167"/>
      <c r="S431" s="167"/>
    </row>
    <row r="432" spans="1:19" ht="15.75" thickBot="1">
      <c r="A432" s="173"/>
      <c r="B432" s="163"/>
      <c r="C432" s="163"/>
      <c r="D432" s="172" t="s">
        <v>1130</v>
      </c>
      <c r="G432" s="167"/>
      <c r="H432" s="229"/>
      <c r="I432" s="230"/>
      <c r="J432" s="231">
        <v>7</v>
      </c>
      <c r="K432" s="232"/>
      <c r="L432" s="233" t="s">
        <v>1412</v>
      </c>
      <c r="M432" s="232"/>
      <c r="N432" s="232"/>
      <c r="O432" s="265" t="s">
        <v>1130</v>
      </c>
      <c r="P432" s="167"/>
      <c r="Q432" s="167"/>
      <c r="R432" s="167"/>
      <c r="S432" s="167"/>
    </row>
    <row r="433" spans="1:19">
      <c r="A433" s="173"/>
      <c r="B433" s="163"/>
      <c r="C433" s="163"/>
      <c r="D433" s="172"/>
      <c r="G433" s="167"/>
      <c r="H433" s="235"/>
      <c r="I433" s="172"/>
      <c r="J433" s="172"/>
      <c r="K433" s="167"/>
      <c r="L433" s="182"/>
      <c r="M433" s="167"/>
      <c r="N433" s="167"/>
      <c r="O433" s="170"/>
      <c r="P433" s="167"/>
      <c r="Q433" s="167"/>
      <c r="R433" s="167"/>
      <c r="S433" s="167"/>
    </row>
    <row r="434" spans="1:19">
      <c r="A434" s="173"/>
      <c r="B434" s="163"/>
      <c r="C434" s="163"/>
      <c r="D434" s="172"/>
      <c r="G434" s="167"/>
      <c r="H434" s="235"/>
      <c r="I434" s="172"/>
      <c r="J434" s="172"/>
      <c r="K434" s="167"/>
      <c r="L434" s="182"/>
      <c r="M434" s="167"/>
      <c r="N434" s="167"/>
      <c r="O434" s="170"/>
      <c r="P434" s="167"/>
      <c r="Q434" s="167"/>
      <c r="R434" s="167"/>
      <c r="S434" s="167"/>
    </row>
    <row r="435" spans="1:19">
      <c r="A435" s="173">
        <v>44</v>
      </c>
      <c r="B435" s="163" t="s">
        <v>1426</v>
      </c>
      <c r="C435" s="163" t="s">
        <v>1427</v>
      </c>
      <c r="D435" s="172"/>
      <c r="G435" s="167"/>
      <c r="H435" s="205">
        <v>44</v>
      </c>
      <c r="I435" s="207"/>
      <c r="J435" s="217"/>
      <c r="K435" s="262" t="s">
        <v>1427</v>
      </c>
      <c r="L435" s="217"/>
      <c r="M435" s="217"/>
      <c r="N435" s="217"/>
      <c r="O435" s="227"/>
      <c r="P435" s="167"/>
      <c r="Q435" s="181">
        <f>H435</f>
        <v>44</v>
      </c>
      <c r="R435" s="172" t="str">
        <f>CONCATENATE("II-",TEXT(Q435,"0000"))</f>
        <v>II-0044</v>
      </c>
      <c r="S435" s="182" t="str">
        <f>K435</f>
        <v>HORMIGON  ARS EXCLUIDA LA ARAMDURA</v>
      </c>
    </row>
    <row r="436" spans="1:19">
      <c r="A436" s="173"/>
      <c r="B436" s="163"/>
      <c r="C436" s="163"/>
      <c r="D436" s="172"/>
      <c r="G436" s="167"/>
      <c r="H436" s="183"/>
      <c r="I436" s="192" t="s">
        <v>1082</v>
      </c>
      <c r="J436" s="172"/>
      <c r="K436" s="182" t="s">
        <v>1409</v>
      </c>
      <c r="L436" s="182"/>
      <c r="M436" s="167"/>
      <c r="N436" s="167"/>
      <c r="O436" s="170"/>
      <c r="P436" s="167"/>
      <c r="Q436" s="167"/>
      <c r="R436" s="167"/>
      <c r="S436" s="167"/>
    </row>
    <row r="437" spans="1:19">
      <c r="A437" s="173"/>
      <c r="B437" s="163"/>
      <c r="C437" s="163"/>
      <c r="D437" s="172" t="s">
        <v>1130</v>
      </c>
      <c r="G437" s="167"/>
      <c r="H437" s="183"/>
      <c r="I437" s="172"/>
      <c r="J437" s="189">
        <v>8</v>
      </c>
      <c r="K437" s="167"/>
      <c r="L437" s="182" t="s">
        <v>1413</v>
      </c>
      <c r="M437" s="167"/>
      <c r="N437" s="167"/>
      <c r="O437" s="219" t="s">
        <v>1130</v>
      </c>
      <c r="P437" s="167"/>
      <c r="Q437" s="167"/>
      <c r="R437" s="167"/>
      <c r="S437" s="167"/>
    </row>
    <row r="438" spans="1:19">
      <c r="A438" s="173"/>
      <c r="B438" s="163"/>
      <c r="C438" s="163"/>
      <c r="D438" s="172" t="s">
        <v>1130</v>
      </c>
      <c r="G438" s="167"/>
      <c r="H438" s="183"/>
      <c r="I438" s="197"/>
      <c r="J438" s="192">
        <v>9</v>
      </c>
      <c r="K438" s="193"/>
      <c r="L438" s="194" t="s">
        <v>1400</v>
      </c>
      <c r="M438" s="193"/>
      <c r="N438" s="193"/>
      <c r="O438" s="237" t="s">
        <v>1130</v>
      </c>
      <c r="P438" s="167"/>
      <c r="Q438" s="167"/>
      <c r="R438" s="167"/>
      <c r="S438" s="167"/>
    </row>
    <row r="439" spans="1:19">
      <c r="A439" s="173"/>
      <c r="B439" s="163"/>
      <c r="C439" s="163"/>
      <c r="D439" s="172"/>
      <c r="G439" s="167"/>
      <c r="H439" s="183"/>
      <c r="I439" s="192" t="s">
        <v>1124</v>
      </c>
      <c r="J439" s="172"/>
      <c r="K439" s="182" t="s">
        <v>1414</v>
      </c>
      <c r="L439" s="167"/>
      <c r="M439" s="167"/>
      <c r="N439" s="167"/>
      <c r="O439" s="219"/>
      <c r="P439" s="167"/>
      <c r="Q439" s="167"/>
      <c r="R439" s="167"/>
      <c r="S439" s="167"/>
    </row>
    <row r="440" spans="1:19">
      <c r="A440" s="173"/>
      <c r="B440" s="163"/>
      <c r="C440" s="163"/>
      <c r="D440" s="172" t="s">
        <v>1130</v>
      </c>
      <c r="G440" s="167"/>
      <c r="H440" s="183"/>
      <c r="I440" s="172"/>
      <c r="J440" s="189">
        <v>1</v>
      </c>
      <c r="K440" s="167"/>
      <c r="L440" s="182" t="s">
        <v>1228</v>
      </c>
      <c r="M440" s="167"/>
      <c r="N440" s="167"/>
      <c r="O440" s="219" t="s">
        <v>1130</v>
      </c>
      <c r="P440" s="167"/>
      <c r="Q440" s="167"/>
      <c r="R440" s="167"/>
      <c r="S440" s="167"/>
    </row>
    <row r="441" spans="1:19">
      <c r="A441" s="173"/>
      <c r="B441" s="163"/>
      <c r="C441" s="163"/>
      <c r="D441" s="172" t="s">
        <v>1130</v>
      </c>
      <c r="G441" s="167"/>
      <c r="H441" s="183"/>
      <c r="I441" s="172"/>
      <c r="J441" s="189">
        <v>2</v>
      </c>
      <c r="K441" s="167"/>
      <c r="L441" s="182" t="s">
        <v>1415</v>
      </c>
      <c r="M441" s="167"/>
      <c r="N441" s="167"/>
      <c r="O441" s="219" t="s">
        <v>1130</v>
      </c>
      <c r="P441" s="167"/>
      <c r="Q441" s="167"/>
      <c r="R441" s="167"/>
      <c r="S441" s="167"/>
    </row>
    <row r="442" spans="1:19">
      <c r="A442" s="173"/>
      <c r="B442" s="163"/>
      <c r="C442" s="163"/>
      <c r="D442" s="172" t="s">
        <v>1130</v>
      </c>
      <c r="G442" s="167"/>
      <c r="H442" s="183"/>
      <c r="I442" s="172"/>
      <c r="J442" s="189">
        <v>3</v>
      </c>
      <c r="K442" s="167"/>
      <c r="L442" s="182" t="s">
        <v>1416</v>
      </c>
      <c r="M442" s="167"/>
      <c r="N442" s="167"/>
      <c r="O442" s="219" t="s">
        <v>1130</v>
      </c>
      <c r="P442" s="167"/>
      <c r="Q442" s="167"/>
      <c r="R442" s="167"/>
      <c r="S442" s="167"/>
    </row>
    <row r="443" spans="1:19">
      <c r="A443" s="173"/>
      <c r="B443" s="163"/>
      <c r="C443" s="163"/>
      <c r="D443" s="172" t="s">
        <v>1130</v>
      </c>
      <c r="G443" s="167"/>
      <c r="H443" s="183"/>
      <c r="I443" s="172"/>
      <c r="J443" s="189">
        <v>4</v>
      </c>
      <c r="K443" s="167"/>
      <c r="L443" s="182" t="s">
        <v>1417</v>
      </c>
      <c r="M443" s="167"/>
      <c r="N443" s="167"/>
      <c r="O443" s="219" t="s">
        <v>1130</v>
      </c>
      <c r="P443" s="167"/>
      <c r="Q443" s="167"/>
      <c r="R443" s="167"/>
      <c r="S443" s="167"/>
    </row>
    <row r="444" spans="1:19">
      <c r="A444" s="173"/>
      <c r="B444" s="163"/>
      <c r="C444" s="163"/>
      <c r="D444" s="172" t="s">
        <v>1130</v>
      </c>
      <c r="G444" s="167"/>
      <c r="H444" s="183"/>
      <c r="I444" s="172"/>
      <c r="J444" s="189">
        <v>5</v>
      </c>
      <c r="K444" s="167"/>
      <c r="L444" s="182" t="s">
        <v>1281</v>
      </c>
      <c r="M444" s="167"/>
      <c r="N444" s="167"/>
      <c r="O444" s="219" t="s">
        <v>1130</v>
      </c>
      <c r="P444" s="167"/>
      <c r="Q444" s="167"/>
      <c r="R444" s="167"/>
      <c r="S444" s="167"/>
    </row>
    <row r="445" spans="1:19">
      <c r="A445" s="173"/>
      <c r="B445" s="163"/>
      <c r="C445" s="163"/>
      <c r="D445" s="172" t="s">
        <v>1130</v>
      </c>
      <c r="G445" s="167"/>
      <c r="H445" s="183"/>
      <c r="I445" s="172"/>
      <c r="J445" s="189">
        <v>6</v>
      </c>
      <c r="K445" s="167"/>
      <c r="L445" s="182" t="s">
        <v>1418</v>
      </c>
      <c r="M445" s="167"/>
      <c r="N445" s="167"/>
      <c r="O445" s="219" t="s">
        <v>1130</v>
      </c>
      <c r="P445" s="167"/>
      <c r="Q445" s="167"/>
      <c r="R445" s="167"/>
      <c r="S445" s="167"/>
    </row>
    <row r="446" spans="1:19">
      <c r="A446" s="173"/>
      <c r="B446" s="163"/>
      <c r="C446" s="163"/>
      <c r="D446" s="172" t="s">
        <v>1130</v>
      </c>
      <c r="G446" s="167"/>
      <c r="H446" s="183"/>
      <c r="I446" s="172"/>
      <c r="J446" s="189">
        <v>7</v>
      </c>
      <c r="K446" s="167"/>
      <c r="L446" s="182" t="s">
        <v>1419</v>
      </c>
      <c r="M446" s="167"/>
      <c r="N446" s="167"/>
      <c r="O446" s="219" t="s">
        <v>1130</v>
      </c>
      <c r="P446" s="167"/>
      <c r="Q446" s="167"/>
      <c r="R446" s="167"/>
      <c r="S446" s="167"/>
    </row>
    <row r="447" spans="1:19">
      <c r="A447" s="173"/>
      <c r="B447" s="163"/>
      <c r="C447" s="163"/>
      <c r="D447" s="172" t="s">
        <v>1130</v>
      </c>
      <c r="G447" s="167"/>
      <c r="H447" s="183"/>
      <c r="I447" s="172"/>
      <c r="J447" s="189">
        <v>8</v>
      </c>
      <c r="K447" s="167"/>
      <c r="L447" s="182" t="s">
        <v>1411</v>
      </c>
      <c r="M447" s="167"/>
      <c r="N447" s="167"/>
      <c r="O447" s="219" t="s">
        <v>1130</v>
      </c>
      <c r="P447" s="167"/>
      <c r="Q447" s="167"/>
      <c r="R447" s="167"/>
      <c r="S447" s="167"/>
    </row>
    <row r="448" spans="1:19">
      <c r="A448" s="173"/>
      <c r="B448" s="163"/>
      <c r="C448" s="163"/>
      <c r="D448" s="172" t="s">
        <v>1130</v>
      </c>
      <c r="G448" s="167"/>
      <c r="H448" s="183"/>
      <c r="I448" s="172"/>
      <c r="J448" s="189">
        <v>9</v>
      </c>
      <c r="K448" s="167"/>
      <c r="L448" s="182" t="s">
        <v>1403</v>
      </c>
      <c r="M448" s="167"/>
      <c r="N448" s="167"/>
      <c r="O448" s="219" t="s">
        <v>1130</v>
      </c>
      <c r="P448" s="167"/>
      <c r="Q448" s="167"/>
      <c r="R448" s="167"/>
      <c r="S448" s="167"/>
    </row>
    <row r="449" spans="1:19">
      <c r="A449" s="173"/>
      <c r="B449" s="163"/>
      <c r="C449" s="163"/>
      <c r="D449" s="172" t="s">
        <v>1130</v>
      </c>
      <c r="G449" s="167"/>
      <c r="H449" s="183"/>
      <c r="I449" s="172"/>
      <c r="J449" s="189">
        <v>10</v>
      </c>
      <c r="K449" s="167"/>
      <c r="L449" s="182" t="s">
        <v>1420</v>
      </c>
      <c r="M449" s="167"/>
      <c r="N449" s="167"/>
      <c r="O449" s="219" t="s">
        <v>1130</v>
      </c>
      <c r="P449" s="167"/>
      <c r="Q449" s="167"/>
      <c r="R449" s="167"/>
      <c r="S449" s="167"/>
    </row>
    <row r="450" spans="1:19">
      <c r="A450" s="173"/>
      <c r="B450" s="163"/>
      <c r="C450" s="163"/>
      <c r="D450" s="172" t="s">
        <v>1130</v>
      </c>
      <c r="G450" s="167"/>
      <c r="H450" s="183"/>
      <c r="I450" s="172"/>
      <c r="J450" s="189">
        <v>11</v>
      </c>
      <c r="K450" s="167"/>
      <c r="L450" s="182" t="s">
        <v>1412</v>
      </c>
      <c r="M450" s="167"/>
      <c r="N450" s="167"/>
      <c r="O450" s="219" t="s">
        <v>1130</v>
      </c>
      <c r="P450" s="167"/>
      <c r="Q450" s="167"/>
      <c r="R450" s="167"/>
      <c r="S450" s="167"/>
    </row>
    <row r="451" spans="1:19">
      <c r="A451" s="173"/>
      <c r="B451" s="163"/>
      <c r="C451" s="163"/>
      <c r="D451" s="172" t="s">
        <v>1130</v>
      </c>
      <c r="G451" s="167"/>
      <c r="H451" s="183"/>
      <c r="I451" s="172"/>
      <c r="J451" s="189">
        <v>12</v>
      </c>
      <c r="K451" s="167"/>
      <c r="L451" s="182" t="s">
        <v>1421</v>
      </c>
      <c r="M451" s="167"/>
      <c r="N451" s="167"/>
      <c r="O451" s="219" t="s">
        <v>1130</v>
      </c>
      <c r="P451" s="167"/>
      <c r="Q451" s="167"/>
      <c r="R451" s="167"/>
      <c r="S451" s="167"/>
    </row>
    <row r="452" spans="1:19">
      <c r="A452" s="173"/>
      <c r="B452" s="163"/>
      <c r="C452" s="163"/>
      <c r="D452" s="172" t="s">
        <v>1130</v>
      </c>
      <c r="G452" s="167"/>
      <c r="H452" s="183"/>
      <c r="I452" s="172"/>
      <c r="J452" s="189">
        <v>13</v>
      </c>
      <c r="K452" s="167"/>
      <c r="L452" s="182" t="s">
        <v>1413</v>
      </c>
      <c r="M452" s="167"/>
      <c r="N452" s="167"/>
      <c r="O452" s="219" t="s">
        <v>1130</v>
      </c>
      <c r="P452" s="167"/>
      <c r="Q452" s="167"/>
      <c r="R452" s="167"/>
      <c r="S452" s="167"/>
    </row>
    <row r="453" spans="1:19">
      <c r="A453" s="173"/>
      <c r="B453" s="163"/>
      <c r="C453" s="163"/>
      <c r="D453" s="172" t="s">
        <v>1130</v>
      </c>
      <c r="G453" s="167"/>
      <c r="H453" s="183"/>
      <c r="I453" s="197"/>
      <c r="J453" s="192">
        <v>14</v>
      </c>
      <c r="K453" s="193"/>
      <c r="L453" s="194" t="s">
        <v>1422</v>
      </c>
      <c r="M453" s="193"/>
      <c r="N453" s="193"/>
      <c r="O453" s="237" t="s">
        <v>1130</v>
      </c>
      <c r="P453" s="167"/>
      <c r="Q453" s="167"/>
      <c r="R453" s="167"/>
      <c r="S453" s="167"/>
    </row>
    <row r="454" spans="1:19">
      <c r="A454" s="173"/>
      <c r="B454" s="163"/>
      <c r="C454" s="163"/>
      <c r="D454" s="172"/>
      <c r="G454" s="167"/>
      <c r="H454" s="183"/>
      <c r="I454" s="192" t="s">
        <v>1127</v>
      </c>
      <c r="J454" s="172"/>
      <c r="K454" s="182" t="s">
        <v>1423</v>
      </c>
      <c r="L454" s="167"/>
      <c r="M454" s="167"/>
      <c r="N454" s="167"/>
      <c r="O454" s="219"/>
      <c r="P454" s="167"/>
      <c r="Q454" s="167"/>
      <c r="R454" s="167"/>
      <c r="S454" s="167"/>
    </row>
    <row r="455" spans="1:19">
      <c r="A455" s="173"/>
      <c r="B455" s="163"/>
      <c r="C455" s="163"/>
      <c r="D455" s="172" t="s">
        <v>1130</v>
      </c>
      <c r="G455" s="167"/>
      <c r="H455" s="183"/>
      <c r="I455" s="172"/>
      <c r="J455" s="189">
        <v>1</v>
      </c>
      <c r="K455" s="167"/>
      <c r="L455" s="182" t="s">
        <v>1228</v>
      </c>
      <c r="M455" s="167"/>
      <c r="N455" s="167"/>
      <c r="O455" s="219" t="s">
        <v>1130</v>
      </c>
      <c r="P455" s="167"/>
      <c r="Q455" s="167"/>
      <c r="R455" s="167"/>
      <c r="S455" s="167"/>
    </row>
    <row r="456" spans="1:19">
      <c r="A456" s="173"/>
      <c r="B456" s="163"/>
      <c r="C456" s="163"/>
      <c r="D456" s="172" t="s">
        <v>1130</v>
      </c>
      <c r="G456" s="167"/>
      <c r="H456" s="183"/>
      <c r="I456" s="172"/>
      <c r="J456" s="189">
        <v>2</v>
      </c>
      <c r="K456" s="167"/>
      <c r="L456" s="182" t="s">
        <v>1415</v>
      </c>
      <c r="M456" s="167"/>
      <c r="N456" s="167"/>
      <c r="O456" s="219" t="s">
        <v>1130</v>
      </c>
      <c r="P456" s="167"/>
      <c r="Q456" s="167"/>
      <c r="R456" s="167"/>
      <c r="S456" s="167"/>
    </row>
    <row r="457" spans="1:19">
      <c r="A457" s="173"/>
      <c r="B457" s="163"/>
      <c r="C457" s="163"/>
      <c r="D457" s="172" t="s">
        <v>1130</v>
      </c>
      <c r="G457" s="167"/>
      <c r="H457" s="183"/>
      <c r="I457" s="172"/>
      <c r="J457" s="189">
        <v>3</v>
      </c>
      <c r="K457" s="167"/>
      <c r="L457" s="182" t="s">
        <v>1416</v>
      </c>
      <c r="M457" s="167"/>
      <c r="N457" s="167"/>
      <c r="O457" s="219" t="s">
        <v>1130</v>
      </c>
      <c r="P457" s="167"/>
      <c r="Q457" s="167"/>
      <c r="R457" s="167"/>
      <c r="S457" s="167"/>
    </row>
    <row r="458" spans="1:19">
      <c r="A458" s="173"/>
      <c r="B458" s="163"/>
      <c r="C458" s="163"/>
      <c r="D458" s="172" t="s">
        <v>1130</v>
      </c>
      <c r="G458" s="167"/>
      <c r="H458" s="183"/>
      <c r="I458" s="172"/>
      <c r="J458" s="189">
        <v>4</v>
      </c>
      <c r="K458" s="167"/>
      <c r="L458" s="182" t="s">
        <v>1417</v>
      </c>
      <c r="M458" s="167"/>
      <c r="N458" s="167"/>
      <c r="O458" s="219" t="s">
        <v>1130</v>
      </c>
      <c r="P458" s="167"/>
      <c r="Q458" s="167"/>
      <c r="R458" s="167"/>
      <c r="S458" s="167"/>
    </row>
    <row r="459" spans="1:19">
      <c r="A459" s="173"/>
      <c r="B459" s="163"/>
      <c r="C459" s="163"/>
      <c r="D459" s="172" t="s">
        <v>1130</v>
      </c>
      <c r="G459" s="167"/>
      <c r="H459" s="183"/>
      <c r="I459" s="172"/>
      <c r="J459" s="189">
        <v>5</v>
      </c>
      <c r="K459" s="167"/>
      <c r="L459" s="182" t="s">
        <v>1281</v>
      </c>
      <c r="M459" s="167"/>
      <c r="N459" s="167"/>
      <c r="O459" s="219" t="s">
        <v>1130</v>
      </c>
      <c r="P459" s="167"/>
      <c r="Q459" s="167"/>
      <c r="R459" s="167"/>
      <c r="S459" s="167"/>
    </row>
    <row r="460" spans="1:19">
      <c r="A460" s="173"/>
      <c r="B460" s="163"/>
      <c r="C460" s="163"/>
      <c r="D460" s="172" t="s">
        <v>1130</v>
      </c>
      <c r="G460" s="167"/>
      <c r="H460" s="183"/>
      <c r="I460" s="172"/>
      <c r="J460" s="189">
        <v>6</v>
      </c>
      <c r="K460" s="167"/>
      <c r="L460" s="182" t="s">
        <v>1429</v>
      </c>
      <c r="M460" s="167"/>
      <c r="N460" s="167"/>
      <c r="O460" s="219" t="s">
        <v>1130</v>
      </c>
      <c r="P460" s="167"/>
      <c r="Q460" s="167"/>
      <c r="R460" s="167"/>
      <c r="S460" s="167"/>
    </row>
    <row r="461" spans="1:19">
      <c r="A461" s="173"/>
      <c r="B461" s="163"/>
      <c r="C461" s="163"/>
      <c r="D461" s="172" t="s">
        <v>1130</v>
      </c>
      <c r="G461" s="167"/>
      <c r="H461" s="183"/>
      <c r="I461" s="172"/>
      <c r="J461" s="189">
        <v>7</v>
      </c>
      <c r="K461" s="167"/>
      <c r="L461" s="182" t="s">
        <v>1418</v>
      </c>
      <c r="M461" s="167"/>
      <c r="N461" s="167"/>
      <c r="O461" s="219" t="s">
        <v>1130</v>
      </c>
      <c r="P461" s="167"/>
      <c r="Q461" s="167"/>
      <c r="R461" s="167"/>
      <c r="S461" s="167"/>
    </row>
    <row r="462" spans="1:19">
      <c r="A462" s="173"/>
      <c r="B462" s="163"/>
      <c r="C462" s="163"/>
      <c r="D462" s="172" t="s">
        <v>1130</v>
      </c>
      <c r="G462" s="167"/>
      <c r="H462" s="183"/>
      <c r="I462" s="172"/>
      <c r="J462" s="189">
        <v>8</v>
      </c>
      <c r="K462" s="167"/>
      <c r="L462" s="182" t="s">
        <v>1419</v>
      </c>
      <c r="M462" s="167"/>
      <c r="N462" s="167"/>
      <c r="O462" s="219" t="s">
        <v>1130</v>
      </c>
      <c r="P462" s="167"/>
      <c r="Q462" s="167"/>
      <c r="R462" s="167"/>
      <c r="S462" s="167"/>
    </row>
    <row r="463" spans="1:19">
      <c r="A463" s="173"/>
      <c r="B463" s="163"/>
      <c r="C463" s="163"/>
      <c r="D463" s="172" t="s">
        <v>1130</v>
      </c>
      <c r="G463" s="167"/>
      <c r="H463" s="183"/>
      <c r="I463" s="172"/>
      <c r="J463" s="189">
        <v>9</v>
      </c>
      <c r="K463" s="167"/>
      <c r="L463" s="182" t="s">
        <v>1411</v>
      </c>
      <c r="M463" s="167"/>
      <c r="N463" s="167"/>
      <c r="O463" s="219" t="s">
        <v>1130</v>
      </c>
      <c r="P463" s="167"/>
      <c r="Q463" s="167"/>
      <c r="R463" s="167"/>
      <c r="S463" s="167"/>
    </row>
    <row r="464" spans="1:19">
      <c r="A464" s="173"/>
      <c r="B464" s="163"/>
      <c r="C464" s="163"/>
      <c r="D464" s="172" t="s">
        <v>1130</v>
      </c>
      <c r="G464" s="167"/>
      <c r="H464" s="183"/>
      <c r="I464" s="172"/>
      <c r="J464" s="189">
        <v>10</v>
      </c>
      <c r="K464" s="167"/>
      <c r="L464" s="182" t="s">
        <v>1403</v>
      </c>
      <c r="M464" s="167"/>
      <c r="N464" s="167"/>
      <c r="O464" s="219" t="s">
        <v>1130</v>
      </c>
      <c r="P464" s="167"/>
      <c r="Q464" s="167"/>
      <c r="R464" s="167"/>
      <c r="S464" s="167"/>
    </row>
    <row r="465" spans="1:19">
      <c r="A465" s="173"/>
      <c r="B465" s="163"/>
      <c r="C465" s="163"/>
      <c r="D465" s="172" t="s">
        <v>1130</v>
      </c>
      <c r="G465" s="167"/>
      <c r="H465" s="183"/>
      <c r="I465" s="172"/>
      <c r="J465" s="189">
        <v>11</v>
      </c>
      <c r="K465" s="167"/>
      <c r="L465" s="182" t="s">
        <v>1420</v>
      </c>
      <c r="M465" s="167"/>
      <c r="N465" s="167"/>
      <c r="O465" s="219" t="s">
        <v>1130</v>
      </c>
      <c r="P465" s="167"/>
      <c r="Q465" s="167"/>
      <c r="R465" s="167"/>
      <c r="S465" s="167"/>
    </row>
    <row r="466" spans="1:19">
      <c r="A466" s="173"/>
      <c r="B466" s="163"/>
      <c r="C466" s="163"/>
      <c r="D466" s="172" t="s">
        <v>1130</v>
      </c>
      <c r="G466" s="167"/>
      <c r="H466" s="183"/>
      <c r="I466" s="172"/>
      <c r="J466" s="189">
        <v>12</v>
      </c>
      <c r="K466" s="167"/>
      <c r="L466" s="182" t="s">
        <v>1412</v>
      </c>
      <c r="M466" s="167"/>
      <c r="N466" s="167"/>
      <c r="O466" s="219" t="s">
        <v>1130</v>
      </c>
      <c r="P466" s="167"/>
      <c r="Q466" s="167"/>
      <c r="R466" s="167"/>
      <c r="S466" s="167"/>
    </row>
    <row r="467" spans="1:19">
      <c r="A467" s="173"/>
      <c r="B467" s="163"/>
      <c r="C467" s="163"/>
      <c r="D467" s="172" t="s">
        <v>1130</v>
      </c>
      <c r="G467" s="167"/>
      <c r="H467" s="183"/>
      <c r="I467" s="172"/>
      <c r="J467" s="189">
        <v>13</v>
      </c>
      <c r="K467" s="182"/>
      <c r="L467" s="182" t="s">
        <v>1421</v>
      </c>
      <c r="M467" s="167"/>
      <c r="N467" s="167"/>
      <c r="O467" s="219" t="s">
        <v>1130</v>
      </c>
      <c r="P467" s="167"/>
      <c r="Q467" s="167"/>
      <c r="R467" s="167"/>
      <c r="S467" s="167"/>
    </row>
    <row r="468" spans="1:19">
      <c r="A468" s="173"/>
      <c r="B468" s="163"/>
      <c r="C468" s="163"/>
      <c r="D468" s="172" t="s">
        <v>1130</v>
      </c>
      <c r="G468" s="167"/>
      <c r="H468" s="183"/>
      <c r="I468" s="172"/>
      <c r="J468" s="189">
        <v>14</v>
      </c>
      <c r="K468" s="167"/>
      <c r="L468" s="182" t="s">
        <v>1413</v>
      </c>
      <c r="M468" s="167"/>
      <c r="N468" s="167"/>
      <c r="O468" s="219" t="s">
        <v>1130</v>
      </c>
      <c r="P468" s="167"/>
      <c r="Q468" s="167"/>
      <c r="R468" s="167"/>
      <c r="S468" s="167"/>
    </row>
    <row r="469" spans="1:19">
      <c r="A469" s="173"/>
      <c r="B469" s="163"/>
      <c r="C469" s="163"/>
      <c r="D469" s="172" t="s">
        <v>1130</v>
      </c>
      <c r="G469" s="167"/>
      <c r="H469" s="183"/>
      <c r="I469" s="172"/>
      <c r="J469" s="189">
        <v>15</v>
      </c>
      <c r="K469" s="167"/>
      <c r="L469" s="182" t="s">
        <v>1405</v>
      </c>
      <c r="M469" s="167"/>
      <c r="N469" s="167"/>
      <c r="O469" s="219" t="s">
        <v>1130</v>
      </c>
      <c r="P469" s="167"/>
      <c r="Q469" s="167"/>
      <c r="R469" s="167"/>
      <c r="S469" s="167"/>
    </row>
    <row r="470" spans="1:19">
      <c r="A470" s="173"/>
      <c r="B470" s="163"/>
      <c r="C470" s="163"/>
      <c r="D470" s="172" t="s">
        <v>1130</v>
      </c>
      <c r="G470" s="167"/>
      <c r="H470" s="183"/>
      <c r="I470" s="172"/>
      <c r="J470" s="189">
        <v>16</v>
      </c>
      <c r="K470" s="167"/>
      <c r="L470" s="182" t="s">
        <v>1422</v>
      </c>
      <c r="M470" s="167"/>
      <c r="N470" s="167"/>
      <c r="O470" s="219" t="s">
        <v>1130</v>
      </c>
      <c r="P470" s="167"/>
      <c r="Q470" s="167"/>
      <c r="R470" s="167"/>
      <c r="S470" s="167"/>
    </row>
    <row r="471" spans="1:19">
      <c r="A471" s="173"/>
      <c r="B471" s="163"/>
      <c r="C471" s="163"/>
      <c r="D471" s="172"/>
      <c r="G471" s="167"/>
      <c r="H471" s="183"/>
      <c r="I471" s="184" t="s">
        <v>1131</v>
      </c>
      <c r="J471" s="185"/>
      <c r="K471" s="196" t="s">
        <v>1425</v>
      </c>
      <c r="L471" s="187"/>
      <c r="M471" s="187"/>
      <c r="N471" s="187"/>
      <c r="O471" s="228"/>
      <c r="P471" s="167"/>
      <c r="Q471" s="167"/>
      <c r="R471" s="167"/>
      <c r="S471" s="167"/>
    </row>
    <row r="472" spans="1:19">
      <c r="A472" s="173"/>
      <c r="B472" s="163"/>
      <c r="C472" s="163"/>
      <c r="D472" s="172" t="s">
        <v>1130</v>
      </c>
      <c r="G472" s="167"/>
      <c r="H472" s="183"/>
      <c r="I472" s="172"/>
      <c r="J472" s="189">
        <v>1</v>
      </c>
      <c r="K472" s="167"/>
      <c r="L472" s="182" t="s">
        <v>1416</v>
      </c>
      <c r="M472" s="167"/>
      <c r="N472" s="167"/>
      <c r="O472" s="219" t="s">
        <v>1130</v>
      </c>
      <c r="P472" s="167"/>
      <c r="Q472" s="167"/>
      <c r="R472" s="167"/>
      <c r="S472" s="167"/>
    </row>
    <row r="473" spans="1:19">
      <c r="A473" s="173"/>
      <c r="B473" s="163"/>
      <c r="C473" s="163"/>
      <c r="D473" s="172" t="s">
        <v>1130</v>
      </c>
      <c r="G473" s="167"/>
      <c r="H473" s="183"/>
      <c r="I473" s="172"/>
      <c r="J473" s="189">
        <v>2</v>
      </c>
      <c r="K473" s="167"/>
      <c r="L473" s="182" t="s">
        <v>1417</v>
      </c>
      <c r="M473" s="167"/>
      <c r="N473" s="167"/>
      <c r="O473" s="219" t="s">
        <v>1130</v>
      </c>
      <c r="P473" s="167"/>
      <c r="Q473" s="167"/>
      <c r="R473" s="167"/>
      <c r="S473" s="167"/>
    </row>
    <row r="474" spans="1:19">
      <c r="A474" s="173"/>
      <c r="B474" s="163"/>
      <c r="C474" s="163"/>
      <c r="D474" s="172" t="s">
        <v>1130</v>
      </c>
      <c r="G474" s="167"/>
      <c r="H474" s="183"/>
      <c r="I474" s="172"/>
      <c r="J474" s="189">
        <v>3</v>
      </c>
      <c r="K474" s="167"/>
      <c r="L474" s="182" t="s">
        <v>1281</v>
      </c>
      <c r="M474" s="167"/>
      <c r="N474" s="167"/>
      <c r="O474" s="219" t="s">
        <v>1130</v>
      </c>
      <c r="P474" s="167"/>
      <c r="Q474" s="167"/>
      <c r="R474" s="167"/>
      <c r="S474" s="167"/>
    </row>
    <row r="475" spans="1:19">
      <c r="A475" s="173"/>
      <c r="B475" s="163"/>
      <c r="C475" s="163"/>
      <c r="D475" s="172" t="s">
        <v>1130</v>
      </c>
      <c r="G475" s="167"/>
      <c r="H475" s="183"/>
      <c r="I475" s="172"/>
      <c r="J475" s="189">
        <v>4</v>
      </c>
      <c r="K475" s="167"/>
      <c r="L475" s="182" t="s">
        <v>1418</v>
      </c>
      <c r="M475" s="167"/>
      <c r="N475" s="167"/>
      <c r="O475" s="219" t="s">
        <v>1130</v>
      </c>
      <c r="P475" s="167"/>
      <c r="Q475" s="167"/>
      <c r="R475" s="167"/>
      <c r="S475" s="167"/>
    </row>
    <row r="476" spans="1:19">
      <c r="A476" s="173"/>
      <c r="B476" s="163"/>
      <c r="C476" s="163"/>
      <c r="D476" s="172" t="s">
        <v>1130</v>
      </c>
      <c r="G476" s="167"/>
      <c r="H476" s="183"/>
      <c r="I476" s="172"/>
      <c r="J476" s="189">
        <v>5</v>
      </c>
      <c r="K476" s="167"/>
      <c r="L476" s="182" t="s">
        <v>1419</v>
      </c>
      <c r="M476" s="167"/>
      <c r="N476" s="167"/>
      <c r="O476" s="219" t="s">
        <v>1130</v>
      </c>
      <c r="P476" s="167"/>
      <c r="Q476" s="167"/>
      <c r="R476" s="167"/>
      <c r="S476" s="167"/>
    </row>
    <row r="477" spans="1:19">
      <c r="A477" s="173"/>
      <c r="B477" s="163"/>
      <c r="C477" s="163"/>
      <c r="D477" s="172" t="s">
        <v>1130</v>
      </c>
      <c r="G477" s="167"/>
      <c r="H477" s="183"/>
      <c r="I477" s="172"/>
      <c r="J477" s="189">
        <v>6</v>
      </c>
      <c r="K477" s="167"/>
      <c r="L477" s="182" t="s">
        <v>1403</v>
      </c>
      <c r="M477" s="167"/>
      <c r="N477" s="167"/>
      <c r="O477" s="219" t="s">
        <v>1130</v>
      </c>
      <c r="P477" s="167"/>
      <c r="Q477" s="167"/>
      <c r="R477" s="167"/>
      <c r="S477" s="167"/>
    </row>
    <row r="478" spans="1:19">
      <c r="A478" s="173"/>
      <c r="B478" s="163"/>
      <c r="C478" s="163"/>
      <c r="D478" s="172" t="s">
        <v>1130</v>
      </c>
      <c r="G478" s="167"/>
      <c r="H478" s="183"/>
      <c r="I478" s="172"/>
      <c r="J478" s="189">
        <v>7</v>
      </c>
      <c r="K478" s="167"/>
      <c r="L478" s="182" t="s">
        <v>1420</v>
      </c>
      <c r="M478" s="167"/>
      <c r="N478" s="167"/>
      <c r="O478" s="219" t="s">
        <v>1130</v>
      </c>
      <c r="P478" s="167"/>
      <c r="Q478" s="167"/>
      <c r="R478" s="167"/>
      <c r="S478" s="167"/>
    </row>
    <row r="479" spans="1:19">
      <c r="A479" s="173"/>
      <c r="B479" s="163"/>
      <c r="C479" s="163"/>
      <c r="D479" s="172" t="s">
        <v>1130</v>
      </c>
      <c r="G479" s="167"/>
      <c r="H479" s="183"/>
      <c r="I479" s="172"/>
      <c r="J479" s="189">
        <v>8</v>
      </c>
      <c r="K479" s="167"/>
      <c r="L479" s="182" t="s">
        <v>1412</v>
      </c>
      <c r="M479" s="167"/>
      <c r="N479" s="167"/>
      <c r="O479" s="219" t="s">
        <v>1130</v>
      </c>
      <c r="P479" s="167"/>
      <c r="Q479" s="167"/>
      <c r="R479" s="167"/>
      <c r="S479" s="167"/>
    </row>
    <row r="480" spans="1:19">
      <c r="A480" s="173"/>
      <c r="B480" s="163"/>
      <c r="C480" s="163"/>
      <c r="D480" s="172" t="s">
        <v>1130</v>
      </c>
      <c r="G480" s="167"/>
      <c r="H480" s="183"/>
      <c r="I480" s="172"/>
      <c r="J480" s="189">
        <v>9</v>
      </c>
      <c r="K480" s="167"/>
      <c r="L480" s="182" t="s">
        <v>1421</v>
      </c>
      <c r="M480" s="167"/>
      <c r="N480" s="167"/>
      <c r="O480" s="219" t="s">
        <v>1130</v>
      </c>
      <c r="P480" s="167"/>
      <c r="Q480" s="167"/>
      <c r="R480" s="167"/>
      <c r="S480" s="167"/>
    </row>
    <row r="481" spans="1:19" ht="15.75" thickBot="1">
      <c r="A481" s="173"/>
      <c r="B481" s="163"/>
      <c r="C481" s="163"/>
      <c r="D481" s="172" t="s">
        <v>1130</v>
      </c>
      <c r="G481" s="167"/>
      <c r="H481" s="229"/>
      <c r="I481" s="230"/>
      <c r="J481" s="231">
        <v>10</v>
      </c>
      <c r="K481" s="232"/>
      <c r="L481" s="233" t="s">
        <v>1422</v>
      </c>
      <c r="M481" s="232"/>
      <c r="N481" s="232"/>
      <c r="O481" s="265" t="s">
        <v>1130</v>
      </c>
      <c r="P481" s="167"/>
      <c r="Q481" s="167"/>
      <c r="R481" s="167"/>
      <c r="S481" s="167"/>
    </row>
    <row r="482" spans="1:19">
      <c r="A482" s="173"/>
      <c r="B482" s="163"/>
      <c r="C482" s="163"/>
      <c r="D482" s="172"/>
      <c r="G482" s="167"/>
      <c r="H482" s="235"/>
      <c r="I482" s="172"/>
      <c r="J482" s="172"/>
      <c r="K482" s="167"/>
      <c r="L482" s="182"/>
      <c r="M482" s="167"/>
      <c r="N482" s="167"/>
      <c r="O482" s="170"/>
      <c r="P482" s="167"/>
      <c r="Q482" s="167"/>
      <c r="R482" s="167"/>
      <c r="S482" s="167"/>
    </row>
    <row r="483" spans="1:19">
      <c r="A483" s="173">
        <v>45</v>
      </c>
      <c r="B483" s="163" t="s">
        <v>1430</v>
      </c>
      <c r="C483" s="163" t="s">
        <v>1431</v>
      </c>
      <c r="D483" s="172"/>
      <c r="G483" s="167"/>
      <c r="H483" s="205">
        <v>45</v>
      </c>
      <c r="I483" s="207"/>
      <c r="J483" s="217"/>
      <c r="K483" s="262" t="s">
        <v>1431</v>
      </c>
      <c r="L483" s="217"/>
      <c r="M483" s="217"/>
      <c r="N483" s="217"/>
      <c r="O483" s="227"/>
      <c r="P483" s="167"/>
      <c r="Q483" s="181">
        <f>H483</f>
        <v>45</v>
      </c>
      <c r="R483" s="172" t="str">
        <f>CONCATENATE("II-",TEXT(Q483,"0000"))</f>
        <v>II-0045</v>
      </c>
      <c r="S483" s="182" t="str">
        <f>K483</f>
        <v>HORMIGON  PUZOLANICO EXCLUIDA LA ARAMDURA</v>
      </c>
    </row>
    <row r="484" spans="1:19">
      <c r="A484" s="173"/>
      <c r="B484" s="163"/>
      <c r="C484" s="163"/>
      <c r="D484" s="172"/>
      <c r="G484" s="167"/>
      <c r="H484" s="183"/>
      <c r="I484" s="184" t="s">
        <v>1019</v>
      </c>
      <c r="J484" s="185"/>
      <c r="K484" s="196" t="s">
        <v>1397</v>
      </c>
      <c r="L484" s="187"/>
      <c r="M484" s="187"/>
      <c r="N484" s="187"/>
      <c r="O484" s="228"/>
      <c r="P484" s="167"/>
      <c r="Q484" s="167"/>
      <c r="R484" s="167"/>
      <c r="S484" s="167"/>
    </row>
    <row r="485" spans="1:19">
      <c r="A485" s="173"/>
      <c r="B485" s="163"/>
      <c r="C485" s="163"/>
      <c r="D485" s="172" t="s">
        <v>1130</v>
      </c>
      <c r="G485" s="167"/>
      <c r="H485" s="183"/>
      <c r="I485" s="172"/>
      <c r="J485" s="189">
        <v>1</v>
      </c>
      <c r="K485" s="167"/>
      <c r="L485" s="182" t="s">
        <v>1402</v>
      </c>
      <c r="M485" s="167"/>
      <c r="N485" s="167"/>
      <c r="O485" s="219" t="s">
        <v>1130</v>
      </c>
      <c r="P485" s="167"/>
      <c r="Q485" s="167"/>
      <c r="R485" s="167"/>
      <c r="S485" s="167"/>
    </row>
    <row r="486" spans="1:19">
      <c r="A486" s="173"/>
      <c r="B486" s="163"/>
      <c r="C486" s="163"/>
      <c r="D486" s="172" t="s">
        <v>1130</v>
      </c>
      <c r="G486" s="167"/>
      <c r="H486" s="183"/>
      <c r="I486" s="172"/>
      <c r="J486" s="189">
        <v>2</v>
      </c>
      <c r="K486" s="167"/>
      <c r="L486" s="182" t="s">
        <v>1404</v>
      </c>
      <c r="M486" s="167"/>
      <c r="N486" s="167"/>
      <c r="O486" s="219" t="s">
        <v>1130</v>
      </c>
      <c r="P486" s="167"/>
      <c r="Q486" s="167"/>
      <c r="R486" s="167"/>
      <c r="S486" s="167"/>
    </row>
    <row r="487" spans="1:19">
      <c r="A487" s="173"/>
      <c r="B487" s="163"/>
      <c r="C487" s="163"/>
      <c r="D487" s="172"/>
      <c r="G487" s="167"/>
      <c r="H487" s="183"/>
      <c r="I487" s="184" t="s">
        <v>1046</v>
      </c>
      <c r="J487" s="185"/>
      <c r="K487" s="196" t="s">
        <v>1401</v>
      </c>
      <c r="L487" s="187"/>
      <c r="M487" s="187"/>
      <c r="N487" s="187"/>
      <c r="O487" s="228"/>
      <c r="P487" s="167"/>
      <c r="Q487" s="167"/>
      <c r="R487" s="167"/>
      <c r="S487" s="167"/>
    </row>
    <row r="488" spans="1:19">
      <c r="A488" s="173"/>
      <c r="B488" s="163"/>
      <c r="C488" s="163"/>
      <c r="D488" s="172" t="s">
        <v>1130</v>
      </c>
      <c r="G488" s="167"/>
      <c r="H488" s="183"/>
      <c r="I488" s="172"/>
      <c r="J488" s="189">
        <v>1</v>
      </c>
      <c r="K488" s="167"/>
      <c r="L488" s="182" t="s">
        <v>1402</v>
      </c>
      <c r="M488" s="167"/>
      <c r="N488" s="167"/>
      <c r="O488" s="219" t="s">
        <v>1130</v>
      </c>
      <c r="P488" s="167"/>
      <c r="Q488" s="167"/>
      <c r="R488" s="167"/>
      <c r="S488" s="167"/>
    </row>
    <row r="489" spans="1:19">
      <c r="A489" s="173"/>
      <c r="B489" s="163"/>
      <c r="C489" s="163"/>
      <c r="D489" s="172" t="s">
        <v>1130</v>
      </c>
      <c r="G489" s="167"/>
      <c r="H489" s="183"/>
      <c r="I489" s="172"/>
      <c r="J489" s="189">
        <v>2</v>
      </c>
      <c r="K489" s="167"/>
      <c r="L489" s="182" t="s">
        <v>1404</v>
      </c>
      <c r="M489" s="167"/>
      <c r="N489" s="167"/>
      <c r="O489" s="219" t="s">
        <v>1130</v>
      </c>
      <c r="P489" s="167"/>
      <c r="Q489" s="167"/>
      <c r="R489" s="167"/>
      <c r="S489" s="167"/>
    </row>
    <row r="490" spans="1:19">
      <c r="A490" s="173"/>
      <c r="B490" s="163"/>
      <c r="C490" s="163"/>
      <c r="D490" s="172" t="s">
        <v>1130</v>
      </c>
      <c r="G490" s="167"/>
      <c r="H490" s="183"/>
      <c r="I490" s="172"/>
      <c r="J490" s="189">
        <v>3</v>
      </c>
      <c r="K490" s="167"/>
      <c r="L490" s="182" t="s">
        <v>1413</v>
      </c>
      <c r="M490" s="167"/>
      <c r="N490" s="167"/>
      <c r="O490" s="219" t="s">
        <v>1130</v>
      </c>
      <c r="P490" s="167"/>
      <c r="Q490" s="167"/>
      <c r="R490" s="167"/>
      <c r="S490" s="167"/>
    </row>
    <row r="491" spans="1:19">
      <c r="A491" s="173"/>
      <c r="B491" s="163"/>
      <c r="C491" s="163"/>
      <c r="D491" s="172"/>
      <c r="G491" s="167"/>
      <c r="H491" s="183"/>
      <c r="I491" s="184" t="s">
        <v>1056</v>
      </c>
      <c r="J491" s="185"/>
      <c r="K491" s="196" t="s">
        <v>1406</v>
      </c>
      <c r="L491" s="187"/>
      <c r="M491" s="187"/>
      <c r="N491" s="187"/>
      <c r="O491" s="228"/>
      <c r="P491" s="167"/>
      <c r="Q491" s="167"/>
      <c r="R491" s="167"/>
      <c r="S491" s="167"/>
    </row>
    <row r="492" spans="1:19">
      <c r="A492" s="173"/>
      <c r="B492" s="163"/>
      <c r="C492" s="163"/>
      <c r="D492" s="172" t="s">
        <v>1130</v>
      </c>
      <c r="G492" s="167"/>
      <c r="H492" s="183"/>
      <c r="I492" s="172"/>
      <c r="J492" s="189">
        <v>1</v>
      </c>
      <c r="K492" s="167"/>
      <c r="L492" s="182" t="s">
        <v>1402</v>
      </c>
      <c r="M492" s="167"/>
      <c r="N492" s="167"/>
      <c r="O492" s="219" t="s">
        <v>1130</v>
      </c>
      <c r="P492" s="167"/>
      <c r="Q492" s="167"/>
      <c r="R492" s="167"/>
      <c r="S492" s="167"/>
    </row>
    <row r="493" spans="1:19">
      <c r="A493" s="173"/>
      <c r="B493" s="163"/>
      <c r="C493" s="163"/>
      <c r="D493" s="172" t="s">
        <v>1130</v>
      </c>
      <c r="G493" s="167"/>
      <c r="H493" s="183"/>
      <c r="I493" s="172"/>
      <c r="J493" s="189">
        <v>2</v>
      </c>
      <c r="K493" s="167"/>
      <c r="L493" s="182" t="s">
        <v>1339</v>
      </c>
      <c r="M493" s="167"/>
      <c r="N493" s="167"/>
      <c r="O493" s="219" t="s">
        <v>1130</v>
      </c>
      <c r="P493" s="167"/>
      <c r="Q493" s="167"/>
      <c r="R493" s="167"/>
      <c r="S493" s="167"/>
    </row>
    <row r="494" spans="1:19">
      <c r="A494" s="173"/>
      <c r="B494" s="163"/>
      <c r="C494" s="163"/>
      <c r="D494" s="172" t="s">
        <v>1130</v>
      </c>
      <c r="G494" s="167"/>
      <c r="H494" s="183"/>
      <c r="I494" s="172"/>
      <c r="J494" s="189">
        <v>3</v>
      </c>
      <c r="K494" s="167"/>
      <c r="L494" s="182" t="s">
        <v>1404</v>
      </c>
      <c r="M494" s="167"/>
      <c r="N494" s="167"/>
      <c r="O494" s="219" t="s">
        <v>1130</v>
      </c>
      <c r="P494" s="167"/>
      <c r="Q494" s="167"/>
      <c r="R494" s="167"/>
      <c r="S494" s="167"/>
    </row>
    <row r="495" spans="1:19">
      <c r="A495" s="173"/>
      <c r="B495" s="163"/>
      <c r="C495" s="163"/>
      <c r="D495" s="172" t="s">
        <v>1130</v>
      </c>
      <c r="G495" s="167"/>
      <c r="H495" s="183"/>
      <c r="I495" s="172"/>
      <c r="J495" s="189">
        <v>4</v>
      </c>
      <c r="K495" s="167"/>
      <c r="L495" s="182" t="s">
        <v>1413</v>
      </c>
      <c r="M495" s="167"/>
      <c r="N495" s="167"/>
      <c r="O495" s="219" t="s">
        <v>1130</v>
      </c>
      <c r="P495" s="167"/>
      <c r="Q495" s="167"/>
      <c r="R495" s="167"/>
      <c r="S495" s="167"/>
    </row>
    <row r="496" spans="1:19">
      <c r="A496" s="173"/>
      <c r="B496" s="163"/>
      <c r="C496" s="163"/>
      <c r="D496" s="172" t="s">
        <v>1130</v>
      </c>
      <c r="G496" s="167"/>
      <c r="H496" s="183"/>
      <c r="I496" s="172"/>
      <c r="J496" s="189">
        <v>5</v>
      </c>
      <c r="K496" s="167"/>
      <c r="L496" s="182" t="s">
        <v>1405</v>
      </c>
      <c r="M496" s="167"/>
      <c r="N496" s="167"/>
      <c r="O496" s="219" t="s">
        <v>1130</v>
      </c>
      <c r="P496" s="167"/>
      <c r="Q496" s="167"/>
      <c r="R496" s="167"/>
      <c r="S496" s="167"/>
    </row>
    <row r="497" spans="1:19">
      <c r="A497" s="173"/>
      <c r="B497" s="163"/>
      <c r="C497" s="163"/>
      <c r="D497" s="172"/>
      <c r="G497" s="167"/>
      <c r="H497" s="183"/>
      <c r="I497" s="184" t="s">
        <v>1082</v>
      </c>
      <c r="J497" s="185"/>
      <c r="K497" s="196" t="s">
        <v>1409</v>
      </c>
      <c r="L497" s="187"/>
      <c r="M497" s="187"/>
      <c r="N497" s="187"/>
      <c r="O497" s="228"/>
      <c r="P497" s="167"/>
      <c r="Q497" s="167"/>
      <c r="R497" s="167"/>
      <c r="S497" s="167"/>
    </row>
    <row r="498" spans="1:19">
      <c r="A498" s="173"/>
      <c r="B498" s="163"/>
      <c r="C498" s="163"/>
      <c r="D498" s="172" t="s">
        <v>1130</v>
      </c>
      <c r="G498" s="167"/>
      <c r="H498" s="183"/>
      <c r="I498" s="172"/>
      <c r="J498" s="189">
        <v>1</v>
      </c>
      <c r="K498" s="167"/>
      <c r="L498" s="182" t="s">
        <v>1407</v>
      </c>
      <c r="M498" s="167"/>
      <c r="N498" s="167"/>
      <c r="O498" s="219" t="s">
        <v>1130</v>
      </c>
      <c r="P498" s="167"/>
      <c r="Q498" s="167"/>
      <c r="R498" s="167"/>
      <c r="S498" s="167"/>
    </row>
    <row r="499" spans="1:19">
      <c r="A499" s="173"/>
      <c r="B499" s="163"/>
      <c r="C499" s="163"/>
      <c r="D499" s="172" t="s">
        <v>1130</v>
      </c>
      <c r="G499" s="167"/>
      <c r="H499" s="183"/>
      <c r="I499" s="172"/>
      <c r="J499" s="189">
        <v>2</v>
      </c>
      <c r="K499" s="167"/>
      <c r="L499" s="182" t="s">
        <v>1228</v>
      </c>
      <c r="M499" s="167"/>
      <c r="N499" s="167"/>
      <c r="O499" s="219" t="s">
        <v>1130</v>
      </c>
      <c r="P499" s="167"/>
      <c r="Q499" s="167"/>
      <c r="R499" s="167"/>
      <c r="S499" s="167"/>
    </row>
    <row r="500" spans="1:19">
      <c r="A500" s="173"/>
      <c r="B500" s="163"/>
      <c r="C500" s="163"/>
      <c r="D500" s="172" t="s">
        <v>1130</v>
      </c>
      <c r="G500" s="167"/>
      <c r="H500" s="183"/>
      <c r="I500" s="172"/>
      <c r="J500" s="189">
        <v>3</v>
      </c>
      <c r="K500" s="167"/>
      <c r="L500" s="182" t="s">
        <v>1402</v>
      </c>
      <c r="M500" s="167"/>
      <c r="N500" s="167"/>
      <c r="O500" s="219" t="s">
        <v>1130</v>
      </c>
      <c r="P500" s="167"/>
      <c r="Q500" s="167"/>
      <c r="R500" s="167"/>
      <c r="S500" s="167"/>
    </row>
    <row r="501" spans="1:19">
      <c r="A501" s="173"/>
      <c r="B501" s="163"/>
      <c r="C501" s="163"/>
      <c r="D501" s="172" t="s">
        <v>1130</v>
      </c>
      <c r="G501" s="167"/>
      <c r="H501" s="183"/>
      <c r="I501" s="172"/>
      <c r="J501" s="189">
        <v>4</v>
      </c>
      <c r="K501" s="167"/>
      <c r="L501" s="182" t="s">
        <v>1339</v>
      </c>
      <c r="M501" s="167"/>
      <c r="N501" s="167"/>
      <c r="O501" s="219" t="s">
        <v>1130</v>
      </c>
      <c r="P501" s="167"/>
      <c r="Q501" s="167"/>
      <c r="R501" s="167"/>
      <c r="S501" s="167"/>
    </row>
    <row r="502" spans="1:19">
      <c r="A502" s="173"/>
      <c r="B502" s="163"/>
      <c r="C502" s="163"/>
      <c r="D502" s="172" t="s">
        <v>1130</v>
      </c>
      <c r="G502" s="167"/>
      <c r="H502" s="183"/>
      <c r="I502" s="172"/>
      <c r="J502" s="189">
        <v>5</v>
      </c>
      <c r="K502" s="167"/>
      <c r="L502" s="182" t="s">
        <v>1404</v>
      </c>
      <c r="M502" s="167"/>
      <c r="N502" s="167"/>
      <c r="O502" s="219" t="s">
        <v>1130</v>
      </c>
      <c r="P502" s="167"/>
      <c r="Q502" s="167"/>
      <c r="R502" s="167"/>
      <c r="S502" s="167"/>
    </row>
    <row r="503" spans="1:19">
      <c r="A503" s="173"/>
      <c r="B503" s="163"/>
      <c r="C503" s="163"/>
      <c r="D503" s="172" t="s">
        <v>1130</v>
      </c>
      <c r="G503" s="167"/>
      <c r="H503" s="183"/>
      <c r="I503" s="172"/>
      <c r="J503" s="189">
        <v>6</v>
      </c>
      <c r="K503" s="167"/>
      <c r="L503" s="182" t="s">
        <v>1413</v>
      </c>
      <c r="M503" s="167"/>
      <c r="N503" s="167"/>
      <c r="O503" s="219" t="s">
        <v>1130</v>
      </c>
      <c r="P503" s="167"/>
      <c r="Q503" s="167"/>
      <c r="R503" s="167"/>
      <c r="S503" s="167"/>
    </row>
    <row r="504" spans="1:19">
      <c r="A504" s="173"/>
      <c r="B504" s="163"/>
      <c r="C504" s="163"/>
      <c r="D504" s="172" t="s">
        <v>1130</v>
      </c>
      <c r="G504" s="167"/>
      <c r="H504" s="183"/>
      <c r="I504" s="172"/>
      <c r="J504" s="189">
        <v>7</v>
      </c>
      <c r="K504" s="167"/>
      <c r="L504" s="182" t="s">
        <v>1405</v>
      </c>
      <c r="M504" s="167"/>
      <c r="N504" s="167"/>
      <c r="O504" s="219" t="s">
        <v>1130</v>
      </c>
      <c r="P504" s="167"/>
      <c r="Q504" s="167"/>
      <c r="R504" s="167"/>
      <c r="S504" s="167"/>
    </row>
    <row r="505" spans="1:19">
      <c r="A505" s="173"/>
      <c r="B505" s="163"/>
      <c r="C505" s="163"/>
      <c r="D505" s="172"/>
      <c r="G505" s="167"/>
      <c r="H505" s="183"/>
      <c r="I505" s="184" t="s">
        <v>1124</v>
      </c>
      <c r="J505" s="185"/>
      <c r="K505" s="196" t="s">
        <v>1414</v>
      </c>
      <c r="L505" s="187"/>
      <c r="M505" s="187"/>
      <c r="N505" s="187"/>
      <c r="O505" s="228"/>
      <c r="P505" s="167"/>
      <c r="Q505" s="167"/>
      <c r="R505" s="167"/>
      <c r="S505" s="167"/>
    </row>
    <row r="506" spans="1:19">
      <c r="A506" s="173"/>
      <c r="B506" s="163"/>
      <c r="C506" s="163"/>
      <c r="D506" s="172" t="s">
        <v>1130</v>
      </c>
      <c r="G506" s="167"/>
      <c r="H506" s="183"/>
      <c r="I506" s="172"/>
      <c r="J506" s="189">
        <v>1</v>
      </c>
      <c r="K506" s="167"/>
      <c r="L506" s="182" t="s">
        <v>1407</v>
      </c>
      <c r="M506" s="167"/>
      <c r="N506" s="167"/>
      <c r="O506" s="219" t="s">
        <v>1130</v>
      </c>
      <c r="P506" s="167"/>
      <c r="Q506" s="167"/>
      <c r="R506" s="167"/>
      <c r="S506" s="167"/>
    </row>
    <row r="507" spans="1:19">
      <c r="A507" s="173"/>
      <c r="B507" s="163"/>
      <c r="C507" s="163"/>
      <c r="D507" s="172" t="s">
        <v>1130</v>
      </c>
      <c r="G507" s="167"/>
      <c r="H507" s="183"/>
      <c r="I507" s="172"/>
      <c r="J507" s="189">
        <v>2</v>
      </c>
      <c r="K507" s="167"/>
      <c r="L507" s="182" t="s">
        <v>1228</v>
      </c>
      <c r="M507" s="167"/>
      <c r="N507" s="167"/>
      <c r="O507" s="219" t="s">
        <v>1130</v>
      </c>
      <c r="P507" s="167"/>
      <c r="Q507" s="167"/>
      <c r="R507" s="167"/>
      <c r="S507" s="167"/>
    </row>
    <row r="508" spans="1:19">
      <c r="A508" s="173"/>
      <c r="B508" s="163"/>
      <c r="C508" s="163"/>
      <c r="D508" s="172" t="s">
        <v>1130</v>
      </c>
      <c r="G508" s="167"/>
      <c r="H508" s="183"/>
      <c r="I508" s="172"/>
      <c r="J508" s="189">
        <v>3</v>
      </c>
      <c r="K508" s="167"/>
      <c r="L508" s="182" t="s">
        <v>1417</v>
      </c>
      <c r="M508" s="167"/>
      <c r="N508" s="167"/>
      <c r="O508" s="219" t="s">
        <v>1130</v>
      </c>
      <c r="P508" s="167"/>
      <c r="Q508" s="167"/>
      <c r="R508" s="167"/>
      <c r="S508" s="167"/>
    </row>
    <row r="509" spans="1:19">
      <c r="A509" s="173"/>
      <c r="B509" s="163"/>
      <c r="C509" s="163"/>
      <c r="D509" s="172" t="s">
        <v>1130</v>
      </c>
      <c r="G509" s="167"/>
      <c r="H509" s="183"/>
      <c r="I509" s="172"/>
      <c r="J509" s="189">
        <v>4</v>
      </c>
      <c r="K509" s="167"/>
      <c r="L509" s="182" t="s">
        <v>1402</v>
      </c>
      <c r="M509" s="167"/>
      <c r="N509" s="167"/>
      <c r="O509" s="219" t="s">
        <v>1130</v>
      </c>
      <c r="P509" s="167"/>
      <c r="Q509" s="167"/>
      <c r="R509" s="167"/>
      <c r="S509" s="167"/>
    </row>
    <row r="510" spans="1:19">
      <c r="A510" s="173"/>
      <c r="B510" s="163"/>
      <c r="C510" s="163"/>
      <c r="D510" s="172" t="s">
        <v>1130</v>
      </c>
      <c r="G510" s="167"/>
      <c r="H510" s="183"/>
      <c r="I510" s="172"/>
      <c r="J510" s="189">
        <v>5</v>
      </c>
      <c r="K510" s="167"/>
      <c r="L510" s="182" t="s">
        <v>1339</v>
      </c>
      <c r="M510" s="167"/>
      <c r="N510" s="167"/>
      <c r="O510" s="219" t="s">
        <v>1130</v>
      </c>
      <c r="P510" s="167"/>
      <c r="Q510" s="167"/>
      <c r="R510" s="167"/>
      <c r="S510" s="167"/>
    </row>
    <row r="511" spans="1:19">
      <c r="A511" s="173"/>
      <c r="B511" s="163"/>
      <c r="C511" s="163"/>
      <c r="D511" s="172" t="s">
        <v>1130</v>
      </c>
      <c r="G511" s="167"/>
      <c r="H511" s="183"/>
      <c r="I511" s="172"/>
      <c r="J511" s="189">
        <v>6</v>
      </c>
      <c r="K511" s="167"/>
      <c r="L511" s="182" t="s">
        <v>1421</v>
      </c>
      <c r="M511" s="167"/>
      <c r="N511" s="167"/>
      <c r="O511" s="219" t="s">
        <v>1130</v>
      </c>
      <c r="P511" s="167"/>
      <c r="Q511" s="167"/>
      <c r="R511" s="167"/>
      <c r="S511" s="167"/>
    </row>
    <row r="512" spans="1:19">
      <c r="A512" s="173"/>
      <c r="B512" s="163"/>
      <c r="C512" s="163"/>
      <c r="D512" s="172" t="s">
        <v>1130</v>
      </c>
      <c r="G512" s="167"/>
      <c r="H512" s="183"/>
      <c r="I512" s="172"/>
      <c r="J512" s="189">
        <v>7</v>
      </c>
      <c r="K512" s="167"/>
      <c r="L512" s="182" t="s">
        <v>1413</v>
      </c>
      <c r="M512" s="167"/>
      <c r="N512" s="167"/>
      <c r="O512" s="219" t="s">
        <v>1130</v>
      </c>
      <c r="P512" s="167"/>
      <c r="Q512" s="167"/>
      <c r="R512" s="167"/>
      <c r="S512" s="167"/>
    </row>
    <row r="513" spans="1:19">
      <c r="A513" s="173"/>
      <c r="B513" s="163"/>
      <c r="C513" s="163"/>
      <c r="D513" s="172" t="s">
        <v>1130</v>
      </c>
      <c r="G513" s="167"/>
      <c r="H513" s="183"/>
      <c r="I513" s="172"/>
      <c r="J513" s="189">
        <v>8</v>
      </c>
      <c r="K513" s="167"/>
      <c r="L513" s="194" t="s">
        <v>1432</v>
      </c>
      <c r="M513" s="193"/>
      <c r="N513" s="193"/>
      <c r="O513" s="237" t="s">
        <v>1130</v>
      </c>
      <c r="P513" s="167"/>
      <c r="Q513" s="167"/>
      <c r="R513" s="167"/>
      <c r="S513" s="167"/>
    </row>
    <row r="514" spans="1:19">
      <c r="A514" s="173"/>
      <c r="B514" s="163"/>
      <c r="C514" s="163"/>
      <c r="D514" s="172"/>
      <c r="G514" s="167"/>
      <c r="H514" s="183"/>
      <c r="I514" s="184" t="s">
        <v>1127</v>
      </c>
      <c r="J514" s="185"/>
      <c r="K514" s="196" t="s">
        <v>1423</v>
      </c>
      <c r="L514" s="187"/>
      <c r="M514" s="187"/>
      <c r="N514" s="187"/>
      <c r="O514" s="228"/>
      <c r="P514" s="167"/>
      <c r="Q514" s="167"/>
      <c r="R514" s="167"/>
      <c r="S514" s="167"/>
    </row>
    <row r="515" spans="1:19">
      <c r="A515" s="173"/>
      <c r="B515" s="163"/>
      <c r="C515" s="163"/>
      <c r="D515" s="172" t="s">
        <v>1130</v>
      </c>
      <c r="G515" s="167"/>
      <c r="H515" s="183"/>
      <c r="I515" s="172"/>
      <c r="J515" s="189">
        <v>1</v>
      </c>
      <c r="K515" s="167"/>
      <c r="L515" s="182" t="s">
        <v>1407</v>
      </c>
      <c r="M515" s="167"/>
      <c r="N515" s="167"/>
      <c r="O515" s="219" t="s">
        <v>1130</v>
      </c>
      <c r="P515" s="167"/>
      <c r="Q515" s="167"/>
      <c r="R515" s="167"/>
      <c r="S515" s="167"/>
    </row>
    <row r="516" spans="1:19">
      <c r="A516" s="173"/>
      <c r="B516" s="163"/>
      <c r="C516" s="163"/>
      <c r="D516" s="172" t="s">
        <v>1130</v>
      </c>
      <c r="G516" s="167"/>
      <c r="H516" s="183"/>
      <c r="I516" s="172"/>
      <c r="J516" s="189">
        <v>2</v>
      </c>
      <c r="K516" s="167"/>
      <c r="L516" s="182" t="s">
        <v>1228</v>
      </c>
      <c r="M516" s="167"/>
      <c r="N516" s="167"/>
      <c r="O516" s="219" t="s">
        <v>1130</v>
      </c>
      <c r="P516" s="167"/>
      <c r="Q516" s="167"/>
      <c r="R516" s="167"/>
      <c r="S516" s="167"/>
    </row>
    <row r="517" spans="1:19">
      <c r="A517" s="173"/>
      <c r="B517" s="163"/>
      <c r="C517" s="163"/>
      <c r="D517" s="172" t="s">
        <v>1130</v>
      </c>
      <c r="G517" s="167"/>
      <c r="H517" s="183"/>
      <c r="I517" s="172"/>
      <c r="J517" s="189">
        <v>3</v>
      </c>
      <c r="K517" s="167"/>
      <c r="L517" s="182" t="s">
        <v>1417</v>
      </c>
      <c r="M517" s="167"/>
      <c r="N517" s="167"/>
      <c r="O517" s="219" t="s">
        <v>1130</v>
      </c>
      <c r="P517" s="167"/>
      <c r="Q517" s="167"/>
      <c r="R517" s="167"/>
      <c r="S517" s="167"/>
    </row>
    <row r="518" spans="1:19">
      <c r="A518" s="173"/>
      <c r="B518" s="163"/>
      <c r="C518" s="163"/>
      <c r="D518" s="172" t="s">
        <v>1130</v>
      </c>
      <c r="G518" s="167"/>
      <c r="H518" s="183"/>
      <c r="I518" s="172"/>
      <c r="J518" s="189">
        <v>4</v>
      </c>
      <c r="K518" s="167"/>
      <c r="L518" s="182" t="s">
        <v>1421</v>
      </c>
      <c r="M518" s="167"/>
      <c r="N518" s="167"/>
      <c r="O518" s="219" t="s">
        <v>1130</v>
      </c>
      <c r="P518" s="167"/>
      <c r="Q518" s="167"/>
      <c r="R518" s="167"/>
      <c r="S518" s="167"/>
    </row>
    <row r="519" spans="1:19">
      <c r="A519" s="173"/>
      <c r="B519" s="163"/>
      <c r="C519" s="163"/>
      <c r="D519" s="172" t="s">
        <v>1130</v>
      </c>
      <c r="G519" s="167"/>
      <c r="H519" s="183"/>
      <c r="I519" s="172"/>
      <c r="J519" s="189">
        <v>5</v>
      </c>
      <c r="K519" s="167"/>
      <c r="L519" s="182" t="s">
        <v>1413</v>
      </c>
      <c r="M519" s="167"/>
      <c r="N519" s="167"/>
      <c r="O519" s="219" t="s">
        <v>1130</v>
      </c>
      <c r="P519" s="167"/>
      <c r="Q519" s="167"/>
      <c r="R519" s="167"/>
      <c r="S519" s="167"/>
    </row>
    <row r="520" spans="1:19" ht="15.75" thickBot="1">
      <c r="A520" s="173"/>
      <c r="B520" s="163"/>
      <c r="C520" s="163"/>
      <c r="D520" s="172" t="s">
        <v>1130</v>
      </c>
      <c r="G520" s="167"/>
      <c r="H520" s="198"/>
      <c r="I520" s="199"/>
      <c r="J520" s="200">
        <v>6</v>
      </c>
      <c r="K520" s="201"/>
      <c r="L520" s="202" t="s">
        <v>1405</v>
      </c>
      <c r="M520" s="201"/>
      <c r="N520" s="201"/>
      <c r="O520" s="263" t="s">
        <v>1130</v>
      </c>
      <c r="P520" s="167"/>
      <c r="Q520" s="167"/>
      <c r="R520" s="167"/>
      <c r="S520" s="167"/>
    </row>
    <row r="521" spans="1:19" ht="15.75" thickTop="1">
      <c r="A521" s="173">
        <v>46</v>
      </c>
      <c r="B521" s="163" t="s">
        <v>1433</v>
      </c>
      <c r="C521" s="163" t="s">
        <v>1434</v>
      </c>
      <c r="D521" s="172"/>
      <c r="G521" s="167"/>
      <c r="H521" s="205">
        <v>46</v>
      </c>
      <c r="I521" s="207"/>
      <c r="J521" s="217"/>
      <c r="K521" s="262" t="s">
        <v>1434</v>
      </c>
      <c r="L521" s="217"/>
      <c r="M521" s="217"/>
      <c r="N521" s="217"/>
      <c r="O521" s="227"/>
      <c r="P521" s="167"/>
      <c r="Q521" s="181">
        <f>H521</f>
        <v>46</v>
      </c>
      <c r="R521" s="172" t="str">
        <f>CONCATENATE("II-",TEXT(Q521,"0000"))</f>
        <v>II-0046</v>
      </c>
      <c r="S521" s="182" t="str">
        <f>K521</f>
        <v>IMPERMEABILIZACION</v>
      </c>
    </row>
    <row r="522" spans="1:19">
      <c r="A522" s="173"/>
      <c r="B522" s="163"/>
      <c r="C522" s="163"/>
      <c r="D522" s="172" t="s">
        <v>1213</v>
      </c>
      <c r="G522" s="167"/>
      <c r="H522" s="183"/>
      <c r="I522" s="184" t="s">
        <v>1019</v>
      </c>
      <c r="J522" s="167"/>
      <c r="K522" s="182" t="s">
        <v>1435</v>
      </c>
      <c r="L522" s="167"/>
      <c r="M522" s="167"/>
      <c r="N522" s="167"/>
      <c r="O522" s="219" t="s">
        <v>1213</v>
      </c>
      <c r="P522" s="167"/>
      <c r="Q522" s="167"/>
      <c r="R522" s="167"/>
      <c r="S522" s="167"/>
    </row>
    <row r="523" spans="1:19">
      <c r="A523" s="173"/>
      <c r="B523" s="163"/>
      <c r="C523" s="163"/>
      <c r="D523" s="172"/>
      <c r="G523" s="167"/>
      <c r="H523" s="183"/>
      <c r="I523" s="184" t="s">
        <v>1046</v>
      </c>
      <c r="J523" s="185"/>
      <c r="K523" s="196" t="s">
        <v>1436</v>
      </c>
      <c r="L523" s="187"/>
      <c r="M523" s="187"/>
      <c r="N523" s="187"/>
      <c r="O523" s="228"/>
      <c r="P523" s="167"/>
      <c r="Q523" s="167"/>
      <c r="R523" s="167"/>
      <c r="S523" s="167"/>
    </row>
    <row r="524" spans="1:19">
      <c r="A524" s="173"/>
      <c r="B524" s="163"/>
      <c r="C524" s="163"/>
      <c r="D524" s="172" t="s">
        <v>1213</v>
      </c>
      <c r="G524" s="167"/>
      <c r="H524" s="183"/>
      <c r="I524" s="172"/>
      <c r="J524" s="189">
        <v>1</v>
      </c>
      <c r="K524" s="167"/>
      <c r="L524" s="182" t="s">
        <v>1437</v>
      </c>
      <c r="M524" s="167"/>
      <c r="N524" s="167"/>
      <c r="O524" s="219" t="s">
        <v>1213</v>
      </c>
      <c r="P524" s="167"/>
      <c r="Q524" s="167"/>
      <c r="R524" s="167"/>
      <c r="S524" s="167"/>
    </row>
    <row r="525" spans="1:19" ht="15.75" thickBot="1">
      <c r="A525" s="173"/>
      <c r="B525" s="163"/>
      <c r="C525" s="163"/>
      <c r="D525" s="172" t="s">
        <v>1213</v>
      </c>
      <c r="G525" s="167"/>
      <c r="H525" s="198"/>
      <c r="I525" s="199"/>
      <c r="J525" s="200">
        <v>2</v>
      </c>
      <c r="K525" s="201"/>
      <c r="L525" s="202" t="s">
        <v>1438</v>
      </c>
      <c r="M525" s="201"/>
      <c r="N525" s="201"/>
      <c r="O525" s="263" t="s">
        <v>1213</v>
      </c>
      <c r="P525" s="167"/>
      <c r="Q525" s="167"/>
      <c r="R525" s="167"/>
      <c r="S525" s="167"/>
    </row>
    <row r="526" spans="1:19" ht="15.75" thickTop="1">
      <c r="A526" s="173">
        <v>47</v>
      </c>
      <c r="B526" s="163" t="s">
        <v>1439</v>
      </c>
      <c r="C526" s="163" t="s">
        <v>1440</v>
      </c>
      <c r="D526" s="172"/>
      <c r="G526" s="167"/>
      <c r="H526" s="205">
        <v>47</v>
      </c>
      <c r="I526" s="207"/>
      <c r="J526" s="217"/>
      <c r="K526" s="262" t="s">
        <v>1440</v>
      </c>
      <c r="L526" s="217"/>
      <c r="M526" s="217"/>
      <c r="N526" s="217"/>
      <c r="O526" s="227"/>
      <c r="P526" s="167"/>
      <c r="Q526" s="181">
        <f>H526</f>
        <v>47</v>
      </c>
      <c r="R526" s="172" t="str">
        <f>CONCATENATE("II-",TEXT(Q526,"0000"))</f>
        <v>II-0047</v>
      </c>
      <c r="S526" s="182" t="str">
        <f>K526</f>
        <v>IMPRIMACIÒN CON MATERIAL BITUMINOSO</v>
      </c>
    </row>
    <row r="527" spans="1:19">
      <c r="A527" s="173"/>
      <c r="B527" s="163"/>
      <c r="C527" s="163"/>
      <c r="D527" s="172" t="s">
        <v>1213</v>
      </c>
      <c r="G527" s="167"/>
      <c r="H527" s="183"/>
      <c r="I527" s="184" t="s">
        <v>1019</v>
      </c>
      <c r="J527" s="225"/>
      <c r="K527" s="242" t="s">
        <v>1437</v>
      </c>
      <c r="L527" s="242"/>
      <c r="M527" s="242"/>
      <c r="N527" s="225"/>
      <c r="O527" s="241" t="s">
        <v>1213</v>
      </c>
      <c r="P527" s="167"/>
      <c r="Q527" s="167"/>
      <c r="R527" s="167"/>
      <c r="S527" s="167"/>
    </row>
    <row r="528" spans="1:19" ht="15.75" thickBot="1">
      <c r="A528" s="173"/>
      <c r="B528" s="163"/>
      <c r="C528" s="163"/>
      <c r="D528" s="172" t="s">
        <v>1213</v>
      </c>
      <c r="G528" s="167"/>
      <c r="H528" s="229"/>
      <c r="I528" s="231" t="s">
        <v>1046</v>
      </c>
      <c r="J528" s="232"/>
      <c r="K528" s="233" t="s">
        <v>1438</v>
      </c>
      <c r="L528" s="233"/>
      <c r="M528" s="233"/>
      <c r="N528" s="232"/>
      <c r="O528" s="265" t="s">
        <v>1213</v>
      </c>
      <c r="P528" s="167"/>
      <c r="Q528" s="167"/>
      <c r="R528" s="167"/>
      <c r="S528" s="167"/>
    </row>
    <row r="529" spans="1:19">
      <c r="A529" s="173"/>
      <c r="B529" s="163"/>
      <c r="C529" s="163"/>
      <c r="D529" s="172"/>
      <c r="G529" s="167"/>
      <c r="H529" s="235"/>
      <c r="I529" s="172"/>
      <c r="J529" s="167"/>
      <c r="K529" s="182"/>
      <c r="L529" s="182"/>
      <c r="M529" s="182"/>
      <c r="N529" s="167"/>
      <c r="O529" s="170"/>
      <c r="P529" s="167"/>
      <c r="Q529" s="167"/>
      <c r="R529" s="167"/>
      <c r="S529" s="167"/>
    </row>
    <row r="530" spans="1:19">
      <c r="A530" s="173"/>
      <c r="B530" s="163"/>
      <c r="C530" s="163"/>
      <c r="D530" s="172"/>
      <c r="G530" s="167"/>
      <c r="H530" s="235"/>
      <c r="I530" s="172"/>
      <c r="J530" s="167"/>
      <c r="K530" s="182"/>
      <c r="L530" s="182"/>
      <c r="M530" s="182"/>
      <c r="N530" s="167"/>
      <c r="O530" s="170"/>
      <c r="P530" s="167"/>
      <c r="Q530" s="167"/>
      <c r="R530" s="167"/>
      <c r="S530" s="167"/>
    </row>
    <row r="531" spans="1:19">
      <c r="A531" s="173">
        <v>48</v>
      </c>
      <c r="B531" s="163" t="s">
        <v>1441</v>
      </c>
      <c r="C531" s="163" t="s">
        <v>1442</v>
      </c>
      <c r="D531" s="172"/>
      <c r="G531" s="167"/>
      <c r="H531" s="205">
        <v>48</v>
      </c>
      <c r="I531" s="207"/>
      <c r="J531" s="217"/>
      <c r="K531" s="262" t="s">
        <v>1442</v>
      </c>
      <c r="L531" s="217"/>
      <c r="M531" s="217"/>
      <c r="N531" s="217"/>
      <c r="O531" s="227"/>
      <c r="P531" s="167"/>
      <c r="Q531" s="181">
        <f>H531</f>
        <v>48</v>
      </c>
      <c r="R531" s="172" t="str">
        <f>CONCATENATE("II-",TEXT(Q531,"0000"))</f>
        <v>II-0048</v>
      </c>
      <c r="S531" s="182" t="str">
        <f>K531</f>
        <v>LIMPIEZA</v>
      </c>
    </row>
    <row r="532" spans="1:19">
      <c r="A532" s="173"/>
      <c r="B532" s="163"/>
      <c r="C532" s="163"/>
      <c r="D532" s="172" t="s">
        <v>1443</v>
      </c>
      <c r="G532" s="167"/>
      <c r="H532" s="183"/>
      <c r="I532" s="286" t="s">
        <v>1019</v>
      </c>
      <c r="J532" s="167"/>
      <c r="K532" s="182" t="s">
        <v>1444</v>
      </c>
      <c r="L532" s="182"/>
      <c r="M532" s="182"/>
      <c r="N532" s="167"/>
      <c r="O532" s="219" t="s">
        <v>1443</v>
      </c>
      <c r="P532" s="167"/>
      <c r="Q532" s="167"/>
      <c r="R532" s="167"/>
      <c r="S532" s="167"/>
    </row>
    <row r="533" spans="1:19">
      <c r="A533" s="173"/>
      <c r="B533" s="163"/>
      <c r="C533" s="163"/>
      <c r="D533" s="172" t="s">
        <v>1130</v>
      </c>
      <c r="G533" s="167"/>
      <c r="H533" s="183"/>
      <c r="I533" s="184" t="s">
        <v>1046</v>
      </c>
      <c r="J533" s="225"/>
      <c r="K533" s="242" t="s">
        <v>1445</v>
      </c>
      <c r="L533" s="242"/>
      <c r="M533" s="242"/>
      <c r="N533" s="225"/>
      <c r="O533" s="241" t="s">
        <v>1130</v>
      </c>
      <c r="P533" s="167"/>
      <c r="Q533" s="167"/>
      <c r="R533" s="167"/>
      <c r="S533" s="167"/>
    </row>
    <row r="534" spans="1:19">
      <c r="A534" s="173"/>
      <c r="B534" s="163"/>
      <c r="C534" s="163"/>
      <c r="D534" s="172" t="s">
        <v>1130</v>
      </c>
      <c r="G534" s="167"/>
      <c r="H534" s="183"/>
      <c r="I534" s="189" t="s">
        <v>1056</v>
      </c>
      <c r="J534" s="167"/>
      <c r="K534" s="182" t="s">
        <v>1446</v>
      </c>
      <c r="L534" s="182"/>
      <c r="M534" s="182"/>
      <c r="N534" s="167"/>
      <c r="O534" s="219" t="s">
        <v>1130</v>
      </c>
      <c r="P534" s="167"/>
      <c r="Q534" s="167"/>
      <c r="R534" s="167"/>
      <c r="S534" s="167"/>
    </row>
    <row r="535" spans="1:19">
      <c r="A535" s="173"/>
      <c r="B535" s="163"/>
      <c r="C535" s="163"/>
      <c r="D535" s="172" t="s">
        <v>1130</v>
      </c>
      <c r="G535" s="167"/>
      <c r="H535" s="183"/>
      <c r="I535" s="286" t="s">
        <v>1082</v>
      </c>
      <c r="J535" s="187"/>
      <c r="K535" s="196" t="s">
        <v>1447</v>
      </c>
      <c r="L535" s="196"/>
      <c r="M535" s="196"/>
      <c r="N535" s="187"/>
      <c r="O535" s="228" t="s">
        <v>1130</v>
      </c>
      <c r="P535" s="167"/>
      <c r="Q535" s="167"/>
      <c r="R535" s="167"/>
      <c r="S535" s="167"/>
    </row>
    <row r="536" spans="1:19">
      <c r="A536" s="173"/>
      <c r="B536" s="163"/>
      <c r="C536" s="163"/>
      <c r="D536" s="172" t="s">
        <v>1130</v>
      </c>
      <c r="G536" s="167"/>
      <c r="H536" s="183"/>
      <c r="I536" s="184" t="s">
        <v>1124</v>
      </c>
      <c r="J536" s="225"/>
      <c r="K536" s="242" t="s">
        <v>1448</v>
      </c>
      <c r="L536" s="242"/>
      <c r="M536" s="242"/>
      <c r="N536" s="225"/>
      <c r="O536" s="241" t="s">
        <v>1130</v>
      </c>
      <c r="P536" s="167"/>
      <c r="Q536" s="167"/>
      <c r="R536" s="167"/>
      <c r="S536" s="167"/>
    </row>
    <row r="537" spans="1:19">
      <c r="A537" s="173"/>
      <c r="B537" s="163"/>
      <c r="C537" s="163"/>
      <c r="D537" s="172" t="s">
        <v>1247</v>
      </c>
      <c r="G537" s="167"/>
      <c r="H537" s="183"/>
      <c r="I537" s="189" t="s">
        <v>1127</v>
      </c>
      <c r="J537" s="167"/>
      <c r="K537" s="182" t="s">
        <v>1449</v>
      </c>
      <c r="L537" s="182"/>
      <c r="M537" s="182"/>
      <c r="N537" s="167"/>
      <c r="O537" s="219" t="s">
        <v>1247</v>
      </c>
      <c r="P537" s="167"/>
      <c r="Q537" s="167"/>
      <c r="R537" s="167"/>
      <c r="S537" s="167"/>
    </row>
    <row r="538" spans="1:19">
      <c r="A538" s="173"/>
      <c r="B538" s="163"/>
      <c r="C538" s="163"/>
      <c r="D538" s="172" t="s">
        <v>996</v>
      </c>
      <c r="G538" s="167"/>
      <c r="H538" s="183"/>
      <c r="I538" s="184" t="s">
        <v>1131</v>
      </c>
      <c r="J538" s="225"/>
      <c r="K538" s="242" t="s">
        <v>1450</v>
      </c>
      <c r="L538" s="242"/>
      <c r="M538" s="242"/>
      <c r="N538" s="225"/>
      <c r="O538" s="241" t="s">
        <v>996</v>
      </c>
      <c r="P538" s="167"/>
      <c r="Q538" s="167"/>
      <c r="R538" s="167"/>
      <c r="S538" s="167"/>
    </row>
    <row r="539" spans="1:19" ht="15.75" thickBot="1">
      <c r="A539" s="173"/>
      <c r="B539" s="163"/>
      <c r="C539" s="163"/>
      <c r="D539" s="172" t="s">
        <v>996</v>
      </c>
      <c r="G539" s="167"/>
      <c r="H539" s="198"/>
      <c r="I539" s="200" t="s">
        <v>1134</v>
      </c>
      <c r="J539" s="201"/>
      <c r="K539" s="202" t="s">
        <v>1451</v>
      </c>
      <c r="L539" s="202"/>
      <c r="M539" s="202"/>
      <c r="N539" s="201"/>
      <c r="O539" s="263" t="s">
        <v>996</v>
      </c>
      <c r="P539" s="167"/>
      <c r="Q539" s="167"/>
      <c r="R539" s="167"/>
      <c r="S539" s="167"/>
    </row>
    <row r="540" spans="1:19" ht="15.75" thickTop="1">
      <c r="A540" s="173">
        <v>49</v>
      </c>
      <c r="B540" s="163" t="s">
        <v>1452</v>
      </c>
      <c r="C540" s="163" t="s">
        <v>1453</v>
      </c>
      <c r="D540" s="172"/>
      <c r="G540" s="167"/>
      <c r="H540" s="205">
        <v>49</v>
      </c>
      <c r="I540" s="207"/>
      <c r="J540" s="217"/>
      <c r="K540" s="262" t="s">
        <v>1453</v>
      </c>
      <c r="L540" s="217"/>
      <c r="M540" s="217"/>
      <c r="N540" s="217"/>
      <c r="O540" s="227"/>
      <c r="P540" s="167"/>
      <c r="Q540" s="181">
        <f>H540</f>
        <v>49</v>
      </c>
      <c r="R540" s="172" t="str">
        <f>CONCATENATE("II-",TEXT(Q540,"0000"))</f>
        <v>II-0049</v>
      </c>
      <c r="S540" s="182" t="str">
        <f>K540</f>
        <v>LOSA DE HORMIGON</v>
      </c>
    </row>
    <row r="541" spans="1:19" ht="15.75" thickBot="1">
      <c r="A541" s="173"/>
      <c r="B541" s="163"/>
      <c r="C541" s="163"/>
      <c r="D541" s="172" t="s">
        <v>1213</v>
      </c>
      <c r="G541" s="167"/>
      <c r="H541" s="209"/>
      <c r="I541" s="210" t="s">
        <v>1019</v>
      </c>
      <c r="J541" s="211"/>
      <c r="K541" s="244" t="s">
        <v>1133</v>
      </c>
      <c r="L541" s="213"/>
      <c r="M541" s="213"/>
      <c r="N541" s="213"/>
      <c r="O541" s="245" t="s">
        <v>1213</v>
      </c>
      <c r="P541" s="167"/>
      <c r="Q541" s="167"/>
      <c r="R541" s="167"/>
      <c r="S541" s="167"/>
    </row>
    <row r="542" spans="1:19" ht="15.75" thickTop="1">
      <c r="A542" s="173">
        <v>50</v>
      </c>
      <c r="B542" s="163" t="s">
        <v>1454</v>
      </c>
      <c r="C542" s="163" t="s">
        <v>1455</v>
      </c>
      <c r="D542" s="172"/>
      <c r="G542" s="167"/>
      <c r="H542" s="205">
        <v>50</v>
      </c>
      <c r="I542" s="207"/>
      <c r="J542" s="217"/>
      <c r="K542" s="262" t="s">
        <v>1455</v>
      </c>
      <c r="L542" s="217"/>
      <c r="M542" s="217"/>
      <c r="N542" s="217"/>
      <c r="O542" s="227"/>
      <c r="P542" s="167"/>
      <c r="Q542" s="181">
        <f>H542</f>
        <v>50</v>
      </c>
      <c r="R542" s="172" t="str">
        <f>CONCATENATE("II-",TEXT(Q542,"0000"))</f>
        <v>II-0050</v>
      </c>
      <c r="S542" s="182" t="str">
        <f>K542</f>
        <v>LOSETAS DE HORMIGON</v>
      </c>
    </row>
    <row r="543" spans="1:19">
      <c r="A543" s="173"/>
      <c r="B543" s="163"/>
      <c r="C543" s="163"/>
      <c r="D543" s="172"/>
      <c r="G543" s="167"/>
      <c r="H543" s="183"/>
      <c r="I543" s="184" t="s">
        <v>1019</v>
      </c>
      <c r="J543" s="185"/>
      <c r="K543" s="196" t="s">
        <v>1456</v>
      </c>
      <c r="L543" s="187"/>
      <c r="M543" s="187"/>
      <c r="N543" s="187"/>
      <c r="O543" s="228"/>
      <c r="P543" s="167"/>
      <c r="Q543" s="167"/>
      <c r="R543" s="167"/>
      <c r="S543" s="167"/>
    </row>
    <row r="544" spans="1:19">
      <c r="A544" s="173"/>
      <c r="B544" s="163"/>
      <c r="C544" s="163"/>
      <c r="D544" s="172" t="s">
        <v>1213</v>
      </c>
      <c r="G544" s="167"/>
      <c r="H544" s="183"/>
      <c r="I544" s="172"/>
      <c r="J544" s="189">
        <v>1</v>
      </c>
      <c r="K544" s="167"/>
      <c r="L544" s="182" t="s">
        <v>1457</v>
      </c>
      <c r="M544" s="167"/>
      <c r="N544" s="167"/>
      <c r="O544" s="219" t="s">
        <v>1213</v>
      </c>
      <c r="P544" s="167"/>
      <c r="Q544" s="167"/>
      <c r="R544" s="167"/>
      <c r="S544" s="167"/>
    </row>
    <row r="545" spans="1:19">
      <c r="A545" s="173"/>
      <c r="B545" s="163"/>
      <c r="C545" s="163"/>
      <c r="D545" s="172" t="s">
        <v>1213</v>
      </c>
      <c r="G545" s="167"/>
      <c r="H545" s="183"/>
      <c r="I545" s="172"/>
      <c r="J545" s="189">
        <v>2</v>
      </c>
      <c r="K545" s="167"/>
      <c r="L545" s="182" t="s">
        <v>1319</v>
      </c>
      <c r="M545" s="167"/>
      <c r="N545" s="167"/>
      <c r="O545" s="219" t="s">
        <v>1213</v>
      </c>
      <c r="P545" s="167"/>
      <c r="Q545" s="167"/>
      <c r="R545" s="167"/>
      <c r="S545" s="167"/>
    </row>
    <row r="546" spans="1:19">
      <c r="A546" s="173"/>
      <c r="B546" s="163"/>
      <c r="C546" s="163"/>
      <c r="D546" s="172" t="s">
        <v>1213</v>
      </c>
      <c r="G546" s="167"/>
      <c r="H546" s="183"/>
      <c r="I546" s="172"/>
      <c r="J546" s="189">
        <v>3</v>
      </c>
      <c r="K546" s="167"/>
      <c r="L546" s="182" t="s">
        <v>1339</v>
      </c>
      <c r="M546" s="167"/>
      <c r="N546" s="167"/>
      <c r="O546" s="219" t="s">
        <v>1213</v>
      </c>
      <c r="P546" s="167"/>
      <c r="Q546" s="167"/>
      <c r="R546" s="167"/>
      <c r="S546" s="167"/>
    </row>
    <row r="547" spans="1:19">
      <c r="A547" s="173"/>
      <c r="B547" s="163"/>
      <c r="C547" s="163"/>
      <c r="D547" s="172" t="s">
        <v>1213</v>
      </c>
      <c r="G547" s="167"/>
      <c r="H547" s="183"/>
      <c r="I547" s="172"/>
      <c r="J547" s="189">
        <v>4</v>
      </c>
      <c r="K547" s="167"/>
      <c r="L547" s="182" t="s">
        <v>1458</v>
      </c>
      <c r="M547" s="167"/>
      <c r="N547" s="167"/>
      <c r="O547" s="219" t="s">
        <v>1213</v>
      </c>
      <c r="P547" s="167"/>
      <c r="Q547" s="167"/>
      <c r="R547" s="167"/>
      <c r="S547" s="167"/>
    </row>
    <row r="548" spans="1:19">
      <c r="A548" s="173"/>
      <c r="B548" s="163"/>
      <c r="C548" s="163"/>
      <c r="D548" s="172" t="s">
        <v>1213</v>
      </c>
      <c r="G548" s="167"/>
      <c r="H548" s="183"/>
      <c r="I548" s="172"/>
      <c r="J548" s="189">
        <v>5</v>
      </c>
      <c r="K548" s="167"/>
      <c r="L548" s="182" t="s">
        <v>1459</v>
      </c>
      <c r="M548" s="167"/>
      <c r="N548" s="167"/>
      <c r="O548" s="219" t="s">
        <v>1213</v>
      </c>
      <c r="P548" s="167"/>
      <c r="Q548" s="167"/>
      <c r="R548" s="167"/>
      <c r="S548" s="167"/>
    </row>
    <row r="549" spans="1:19">
      <c r="A549" s="173"/>
      <c r="B549" s="163"/>
      <c r="C549" s="163"/>
      <c r="D549" s="172" t="s">
        <v>1213</v>
      </c>
      <c r="G549" s="167"/>
      <c r="H549" s="183"/>
      <c r="I549" s="184" t="s">
        <v>1046</v>
      </c>
      <c r="J549" s="287"/>
      <c r="K549" s="242" t="s">
        <v>1088</v>
      </c>
      <c r="L549" s="242"/>
      <c r="M549" s="225"/>
      <c r="N549" s="225"/>
      <c r="O549" s="241" t="s">
        <v>1213</v>
      </c>
      <c r="P549" s="167"/>
      <c r="Q549" s="167"/>
      <c r="R549" s="167"/>
      <c r="S549" s="167"/>
    </row>
    <row r="550" spans="1:19" ht="15.75" thickBot="1">
      <c r="A550" s="173"/>
      <c r="B550" s="163"/>
      <c r="C550" s="163"/>
      <c r="D550" s="172" t="s">
        <v>1213</v>
      </c>
      <c r="G550" s="167"/>
      <c r="H550" s="183"/>
      <c r="I550" s="200" t="s">
        <v>1056</v>
      </c>
      <c r="J550" s="172"/>
      <c r="K550" s="182" t="s">
        <v>1194</v>
      </c>
      <c r="L550" s="182"/>
      <c r="M550" s="167"/>
      <c r="N550" s="167"/>
      <c r="O550" s="219" t="s">
        <v>1213</v>
      </c>
      <c r="P550" s="167"/>
      <c r="Q550" s="167"/>
      <c r="R550" s="167"/>
      <c r="S550" s="167"/>
    </row>
    <row r="551" spans="1:19" ht="16.5" thickTop="1" thickBot="1">
      <c r="A551" s="173">
        <v>51</v>
      </c>
      <c r="B551" s="163" t="s">
        <v>1460</v>
      </c>
      <c r="C551" s="163" t="s">
        <v>1461</v>
      </c>
      <c r="D551" s="172" t="s">
        <v>1213</v>
      </c>
      <c r="G551" s="167"/>
      <c r="H551" s="250">
        <v>51</v>
      </c>
      <c r="I551" s="206"/>
      <c r="J551" s="255"/>
      <c r="K551" s="256" t="s">
        <v>1461</v>
      </c>
      <c r="L551" s="255"/>
      <c r="M551" s="255"/>
      <c r="N551" s="255"/>
      <c r="O551" s="208" t="s">
        <v>1213</v>
      </c>
      <c r="P551" s="167"/>
      <c r="Q551" s="181">
        <f t="shared" ref="Q551:Q552" si="48">H551</f>
        <v>51</v>
      </c>
      <c r="R551" s="172" t="str">
        <f t="shared" ref="R551:R552" si="49">CONCATENATE("II-",TEXT(Q551,"0000"))</f>
        <v>II-0051</v>
      </c>
      <c r="S551" s="182" t="str">
        <f t="shared" ref="S551:S552" si="50">K551</f>
        <v>MAMPOSTERIA DE PIEDRA</v>
      </c>
    </row>
    <row r="552" spans="1:19" ht="16.5" thickTop="1" thickBot="1">
      <c r="A552" s="173">
        <v>52</v>
      </c>
      <c r="B552" s="163" t="s">
        <v>1462</v>
      </c>
      <c r="C552" s="163" t="s">
        <v>1463</v>
      </c>
      <c r="D552" s="172"/>
      <c r="G552" s="167"/>
      <c r="H552" s="250">
        <v>52</v>
      </c>
      <c r="I552" s="206"/>
      <c r="J552" s="255"/>
      <c r="K552" s="256" t="s">
        <v>1463</v>
      </c>
      <c r="L552" s="255"/>
      <c r="M552" s="255"/>
      <c r="N552" s="255"/>
      <c r="O552" s="208"/>
      <c r="P552" s="167"/>
      <c r="Q552" s="181">
        <f t="shared" si="48"/>
        <v>52</v>
      </c>
      <c r="R552" s="172" t="str">
        <f t="shared" si="49"/>
        <v>II-0052</v>
      </c>
      <c r="S552" s="182" t="str">
        <f t="shared" si="50"/>
        <v>MANTENIMIENTO INVERNAL</v>
      </c>
    </row>
    <row r="553" spans="1:19" ht="15.75" thickTop="1">
      <c r="A553" s="173"/>
      <c r="B553" s="163"/>
      <c r="C553" s="163"/>
      <c r="D553" s="172" t="s">
        <v>996</v>
      </c>
      <c r="G553" s="167"/>
      <c r="H553" s="288"/>
      <c r="I553" s="289" t="s">
        <v>1019</v>
      </c>
      <c r="J553" s="290"/>
      <c r="K553" s="291" t="s">
        <v>1464</v>
      </c>
      <c r="L553" s="290"/>
      <c r="M553" s="290"/>
      <c r="N553" s="290"/>
      <c r="O553" s="292" t="s">
        <v>996</v>
      </c>
      <c r="P553" s="167"/>
      <c r="Q553" s="167"/>
      <c r="R553" s="167"/>
      <c r="S553" s="167"/>
    </row>
    <row r="554" spans="1:19" ht="15.75" thickBot="1">
      <c r="A554" s="173"/>
      <c r="B554" s="163"/>
      <c r="C554" s="163"/>
      <c r="D554" s="172" t="s">
        <v>1465</v>
      </c>
      <c r="G554" s="167"/>
      <c r="H554" s="293"/>
      <c r="I554" s="184" t="s">
        <v>1046</v>
      </c>
      <c r="J554" s="193"/>
      <c r="K554" s="194" t="s">
        <v>1466</v>
      </c>
      <c r="L554" s="193"/>
      <c r="M554" s="193"/>
      <c r="N554" s="193"/>
      <c r="O554" s="237" t="s">
        <v>1465</v>
      </c>
      <c r="P554" s="167"/>
      <c r="Q554" s="167"/>
      <c r="R554" s="167"/>
      <c r="S554" s="167"/>
    </row>
    <row r="555" spans="1:19" ht="15.75" thickTop="1">
      <c r="A555" s="173">
        <v>53</v>
      </c>
      <c r="B555" s="163" t="s">
        <v>1467</v>
      </c>
      <c r="C555" s="163" t="s">
        <v>1468</v>
      </c>
      <c r="D555" s="172"/>
      <c r="G555" s="167"/>
      <c r="H555" s="250">
        <v>53</v>
      </c>
      <c r="I555" s="206"/>
      <c r="J555" s="255"/>
      <c r="K555" s="294" t="s">
        <v>1468</v>
      </c>
      <c r="L555" s="255"/>
      <c r="M555" s="255"/>
      <c r="N555" s="255"/>
      <c r="O555" s="208"/>
      <c r="P555" s="167"/>
      <c r="Q555" s="181">
        <f>H555</f>
        <v>53</v>
      </c>
      <c r="R555" s="172" t="str">
        <f>CONCATENATE("II-",TEXT(Q555,"0000"))</f>
        <v>II-0053</v>
      </c>
      <c r="S555" s="182" t="str">
        <f>K555</f>
        <v>MEMBRANA PVC</v>
      </c>
    </row>
    <row r="556" spans="1:19">
      <c r="A556" s="173"/>
      <c r="B556" s="163"/>
      <c r="C556" s="163"/>
      <c r="D556" s="172" t="s">
        <v>1213</v>
      </c>
      <c r="G556" s="167"/>
      <c r="H556" s="183"/>
      <c r="I556" s="286" t="s">
        <v>1019</v>
      </c>
      <c r="J556" s="167"/>
      <c r="K556" s="242" t="s">
        <v>1469</v>
      </c>
      <c r="L556" s="167"/>
      <c r="M556" s="167"/>
      <c r="N556" s="167"/>
      <c r="O556" s="219" t="s">
        <v>1213</v>
      </c>
      <c r="P556" s="167"/>
      <c r="Q556" s="167"/>
      <c r="R556" s="167"/>
      <c r="S556" s="167"/>
    </row>
    <row r="557" spans="1:19">
      <c r="A557" s="173"/>
      <c r="B557" s="163"/>
      <c r="C557" s="163"/>
      <c r="D557" s="172" t="s">
        <v>1213</v>
      </c>
      <c r="G557" s="167"/>
      <c r="H557" s="183"/>
      <c r="I557" s="184" t="s">
        <v>1046</v>
      </c>
      <c r="J557" s="287"/>
      <c r="K557" s="182" t="s">
        <v>1470</v>
      </c>
      <c r="L557" s="242"/>
      <c r="M557" s="225"/>
      <c r="N557" s="225"/>
      <c r="O557" s="241" t="s">
        <v>1213</v>
      </c>
      <c r="P557" s="167"/>
      <c r="Q557" s="167"/>
      <c r="R557" s="167"/>
      <c r="S557" s="167"/>
    </row>
    <row r="558" spans="1:19">
      <c r="A558" s="173"/>
      <c r="B558" s="163"/>
      <c r="C558" s="163"/>
      <c r="D558" s="172" t="s">
        <v>1213</v>
      </c>
      <c r="G558" s="167"/>
      <c r="H558" s="183"/>
      <c r="I558" s="184" t="s">
        <v>1056</v>
      </c>
      <c r="J558" s="287"/>
      <c r="K558" s="242" t="s">
        <v>1138</v>
      </c>
      <c r="L558" s="242"/>
      <c r="M558" s="242"/>
      <c r="N558" s="225"/>
      <c r="O558" s="241" t="s">
        <v>1213</v>
      </c>
      <c r="P558" s="167"/>
      <c r="Q558" s="167"/>
      <c r="R558" s="167"/>
      <c r="S558" s="167"/>
    </row>
    <row r="559" spans="1:19" ht="15.75" thickBot="1">
      <c r="A559" s="173"/>
      <c r="B559" s="163"/>
      <c r="C559" s="163"/>
      <c r="D559" s="172" t="s">
        <v>1213</v>
      </c>
      <c r="G559" s="167"/>
      <c r="H559" s="183"/>
      <c r="I559" s="200" t="s">
        <v>1082</v>
      </c>
      <c r="J559" s="172"/>
      <c r="K559" s="244" t="s">
        <v>1136</v>
      </c>
      <c r="L559" s="182"/>
      <c r="M559" s="182"/>
      <c r="N559" s="167"/>
      <c r="O559" s="219" t="s">
        <v>1213</v>
      </c>
      <c r="P559" s="167"/>
      <c r="Q559" s="167"/>
      <c r="R559" s="167"/>
      <c r="S559" s="167"/>
    </row>
    <row r="560" spans="1:19" ht="15.75" thickTop="1">
      <c r="A560" s="173">
        <v>54</v>
      </c>
      <c r="B560" s="163" t="s">
        <v>1471</v>
      </c>
      <c r="C560" s="163" t="s">
        <v>1472</v>
      </c>
      <c r="D560" s="172"/>
      <c r="G560" s="167"/>
      <c r="H560" s="250">
        <v>54</v>
      </c>
      <c r="I560" s="206"/>
      <c r="J560" s="255"/>
      <c r="K560" s="262" t="s">
        <v>1472</v>
      </c>
      <c r="L560" s="255"/>
      <c r="M560" s="255"/>
      <c r="N560" s="255"/>
      <c r="O560" s="208"/>
      <c r="P560" s="167"/>
      <c r="Q560" s="181">
        <f>H560</f>
        <v>54</v>
      </c>
      <c r="R560" s="172" t="str">
        <f>CONCATENATE("II-",TEXT(Q560,"0000"))</f>
        <v>II-0054</v>
      </c>
      <c r="S560" s="182" t="str">
        <f>K560</f>
        <v>MOVILIDAD PARA EL PERSONAL AUXILIAR DE SUPERVISION</v>
      </c>
    </row>
    <row r="561" spans="1:19">
      <c r="A561" s="173">
        <v>1</v>
      </c>
      <c r="B561" s="174" t="str">
        <f>CONCATENATE($B$560,".",TEXT(A561,"0000"))</f>
        <v>II-0054.0001</v>
      </c>
      <c r="C561" s="163" t="str">
        <f>K561</f>
        <v xml:space="preserve">CUOTA FIJA </v>
      </c>
      <c r="D561" s="172" t="s">
        <v>1473</v>
      </c>
      <c r="G561" s="167"/>
      <c r="H561" s="183"/>
      <c r="I561" s="184" t="s">
        <v>1019</v>
      </c>
      <c r="J561" s="225"/>
      <c r="K561" s="242" t="s">
        <v>1474</v>
      </c>
      <c r="L561" s="242"/>
      <c r="M561" s="242"/>
      <c r="N561" s="225"/>
      <c r="O561" s="241" t="s">
        <v>1473</v>
      </c>
      <c r="P561" s="167"/>
      <c r="Q561" s="167"/>
      <c r="R561" s="167"/>
      <c r="S561" s="167"/>
    </row>
    <row r="562" spans="1:19" ht="15.75" thickBot="1">
      <c r="A562" s="173">
        <v>2</v>
      </c>
      <c r="B562" s="174" t="str">
        <f>CONCATENATE($B$560,".",TEXT(A562,"0000"))</f>
        <v>II-0054.0002</v>
      </c>
      <c r="C562" s="163" t="str">
        <f>K562</f>
        <v>ADICIONAL POR KM</v>
      </c>
      <c r="D562" s="172" t="s">
        <v>1475</v>
      </c>
      <c r="G562" s="167"/>
      <c r="H562" s="198"/>
      <c r="I562" s="200" t="s">
        <v>1046</v>
      </c>
      <c r="J562" s="201"/>
      <c r="K562" s="202" t="s">
        <v>1476</v>
      </c>
      <c r="L562" s="202"/>
      <c r="M562" s="202"/>
      <c r="N562" s="201"/>
      <c r="O562" s="263" t="s">
        <v>1475</v>
      </c>
      <c r="P562" s="167"/>
      <c r="Q562" s="167"/>
      <c r="R562" s="167"/>
      <c r="S562" s="167"/>
    </row>
    <row r="563" spans="1:19" ht="16.5" thickTop="1" thickBot="1">
      <c r="A563" s="173">
        <v>55</v>
      </c>
      <c r="B563" s="163" t="s">
        <v>1477</v>
      </c>
      <c r="C563" s="163" t="s">
        <v>1478</v>
      </c>
      <c r="D563" s="172" t="s">
        <v>4</v>
      </c>
      <c r="G563" s="167"/>
      <c r="H563" s="205">
        <v>55</v>
      </c>
      <c r="I563" s="207"/>
      <c r="J563" s="217"/>
      <c r="K563" s="262" t="s">
        <v>1478</v>
      </c>
      <c r="L563" s="217"/>
      <c r="M563" s="217"/>
      <c r="N563" s="217"/>
      <c r="O563" s="227" t="s">
        <v>4</v>
      </c>
      <c r="P563" s="167"/>
      <c r="Q563" s="181">
        <f t="shared" ref="Q563:Q564" si="51">H563</f>
        <v>55</v>
      </c>
      <c r="R563" s="172" t="str">
        <f t="shared" ref="R563:R564" si="52">CONCATENATE("II-",TEXT(Q563,"0000"))</f>
        <v>II-0055</v>
      </c>
      <c r="S563" s="182" t="str">
        <f t="shared" ref="S563:S564" si="53">K563</f>
        <v>MOVILIZACION DE OBRA</v>
      </c>
    </row>
    <row r="564" spans="1:19" ht="15.75" thickTop="1">
      <c r="A564" s="173">
        <v>56</v>
      </c>
      <c r="B564" s="163" t="s">
        <v>1479</v>
      </c>
      <c r="C564" s="163" t="s">
        <v>1480</v>
      </c>
      <c r="D564" s="172"/>
      <c r="G564" s="167"/>
      <c r="H564" s="250">
        <v>56</v>
      </c>
      <c r="I564" s="206"/>
      <c r="J564" s="255"/>
      <c r="K564" s="256" t="s">
        <v>1480</v>
      </c>
      <c r="L564" s="255"/>
      <c r="M564" s="255"/>
      <c r="N564" s="255"/>
      <c r="O564" s="208"/>
      <c r="P564" s="167"/>
      <c r="Q564" s="181">
        <f t="shared" si="51"/>
        <v>56</v>
      </c>
      <c r="R564" s="172" t="str">
        <f t="shared" si="52"/>
        <v>II-0056</v>
      </c>
      <c r="S564" s="182" t="str">
        <f t="shared" si="53"/>
        <v xml:space="preserve">PASARELA </v>
      </c>
    </row>
    <row r="565" spans="1:19">
      <c r="A565" s="173"/>
      <c r="B565" s="163"/>
      <c r="C565" s="163"/>
      <c r="D565" s="172" t="s">
        <v>995</v>
      </c>
      <c r="G565" s="167"/>
      <c r="H565" s="183"/>
      <c r="I565" s="286" t="s">
        <v>1019</v>
      </c>
      <c r="J565" s="167"/>
      <c r="K565" s="182" t="s">
        <v>1243</v>
      </c>
      <c r="L565" s="167"/>
      <c r="M565" s="167"/>
      <c r="N565" s="167"/>
      <c r="O565" s="219" t="s">
        <v>995</v>
      </c>
      <c r="P565" s="167"/>
      <c r="Q565" s="167"/>
      <c r="R565" s="167"/>
      <c r="S565" s="167"/>
    </row>
    <row r="566" spans="1:19">
      <c r="A566" s="173"/>
      <c r="B566" s="163"/>
      <c r="C566" s="163"/>
      <c r="D566" s="172"/>
      <c r="G566" s="167"/>
      <c r="H566" s="183"/>
      <c r="I566" s="184" t="s">
        <v>1046</v>
      </c>
      <c r="J566" s="187"/>
      <c r="K566" s="196" t="s">
        <v>1244</v>
      </c>
      <c r="L566" s="187"/>
      <c r="M566" s="187"/>
      <c r="N566" s="187"/>
      <c r="O566" s="228"/>
      <c r="P566" s="167"/>
      <c r="Q566" s="167"/>
      <c r="R566" s="167"/>
      <c r="S566" s="167"/>
    </row>
    <row r="567" spans="1:19">
      <c r="A567" s="173"/>
      <c r="B567" s="163"/>
      <c r="C567" s="163"/>
      <c r="D567" s="172" t="s">
        <v>1255</v>
      </c>
      <c r="G567" s="167"/>
      <c r="H567" s="183"/>
      <c r="I567" s="172"/>
      <c r="J567" s="189">
        <v>1</v>
      </c>
      <c r="K567" s="167"/>
      <c r="L567" s="182" t="s">
        <v>1481</v>
      </c>
      <c r="M567" s="167"/>
      <c r="N567" s="167"/>
      <c r="O567" s="219" t="s">
        <v>1255</v>
      </c>
      <c r="P567" s="167"/>
      <c r="Q567" s="167"/>
      <c r="R567" s="167"/>
      <c r="S567" s="167"/>
    </row>
    <row r="568" spans="1:19">
      <c r="A568" s="173"/>
      <c r="B568" s="163"/>
      <c r="C568" s="163"/>
      <c r="D568" s="172" t="s">
        <v>1255</v>
      </c>
      <c r="G568" s="167"/>
      <c r="H568" s="183"/>
      <c r="I568" s="172"/>
      <c r="J568" s="189">
        <v>2</v>
      </c>
      <c r="K568" s="167"/>
      <c r="L568" s="182" t="s">
        <v>1482</v>
      </c>
      <c r="M568" s="167"/>
      <c r="N568" s="167"/>
      <c r="O568" s="219" t="s">
        <v>1255</v>
      </c>
      <c r="P568" s="167"/>
      <c r="Q568" s="167"/>
      <c r="R568" s="167"/>
      <c r="S568" s="167"/>
    </row>
    <row r="569" spans="1:19">
      <c r="A569" s="173"/>
      <c r="B569" s="163"/>
      <c r="C569" s="163"/>
      <c r="D569" s="172" t="s">
        <v>995</v>
      </c>
      <c r="G569" s="167"/>
      <c r="H569" s="183"/>
      <c r="I569" s="197"/>
      <c r="J569" s="192">
        <v>3</v>
      </c>
      <c r="K569" s="193"/>
      <c r="L569" s="194" t="s">
        <v>1483</v>
      </c>
      <c r="M569" s="193"/>
      <c r="N569" s="193"/>
      <c r="O569" s="237" t="s">
        <v>995</v>
      </c>
      <c r="P569" s="167"/>
      <c r="Q569" s="167"/>
      <c r="R569" s="167"/>
      <c r="S569" s="167"/>
    </row>
    <row r="570" spans="1:19" ht="15.75" thickBot="1">
      <c r="A570" s="173"/>
      <c r="B570" s="163"/>
      <c r="C570" s="163"/>
      <c r="D570" s="172" t="s">
        <v>995</v>
      </c>
      <c r="G570" s="167"/>
      <c r="H570" s="183"/>
      <c r="I570" s="200" t="s">
        <v>1056</v>
      </c>
      <c r="J570" s="167"/>
      <c r="K570" s="182" t="s">
        <v>1484</v>
      </c>
      <c r="L570" s="167"/>
      <c r="M570" s="167"/>
      <c r="N570" s="167"/>
      <c r="O570" s="219" t="s">
        <v>995</v>
      </c>
      <c r="P570" s="167"/>
      <c r="Q570" s="167"/>
      <c r="R570" s="167"/>
      <c r="S570" s="167"/>
    </row>
    <row r="571" spans="1:19" ht="15.75" thickTop="1">
      <c r="A571" s="173">
        <v>57</v>
      </c>
      <c r="B571" s="163" t="s">
        <v>1485</v>
      </c>
      <c r="C571" s="163" t="s">
        <v>1486</v>
      </c>
      <c r="D571" s="172"/>
      <c r="G571" s="167"/>
      <c r="H571" s="250">
        <v>57</v>
      </c>
      <c r="I571" s="206"/>
      <c r="J571" s="255"/>
      <c r="K571" s="256" t="s">
        <v>1486</v>
      </c>
      <c r="L571" s="255"/>
      <c r="M571" s="255"/>
      <c r="N571" s="255"/>
      <c r="O571" s="208"/>
      <c r="P571" s="167"/>
      <c r="Q571" s="181">
        <f>H571</f>
        <v>57</v>
      </c>
      <c r="R571" s="172" t="str">
        <f>CONCATENATE("II-",TEXT(Q571,"0000"))</f>
        <v>II-0057</v>
      </c>
      <c r="S571" s="182" t="str">
        <f>K571</f>
        <v>PASO A NIVEL</v>
      </c>
    </row>
    <row r="572" spans="1:19" ht="15.75" thickBot="1">
      <c r="A572" s="173"/>
      <c r="B572" s="163"/>
      <c r="C572" s="163"/>
      <c r="D572" s="172" t="s">
        <v>4</v>
      </c>
      <c r="G572" s="167"/>
      <c r="H572" s="209"/>
      <c r="I572" s="211" t="s">
        <v>1019</v>
      </c>
      <c r="J572" s="213"/>
      <c r="K572" s="244" t="s">
        <v>1487</v>
      </c>
      <c r="L572" s="244"/>
      <c r="M572" s="244"/>
      <c r="N572" s="244"/>
      <c r="O572" s="245" t="s">
        <v>4</v>
      </c>
      <c r="P572" s="167"/>
      <c r="Q572" s="167"/>
      <c r="R572" s="167"/>
      <c r="S572" s="167"/>
    </row>
    <row r="573" spans="1:19" ht="15.75" thickTop="1">
      <c r="A573" s="173">
        <v>58</v>
      </c>
      <c r="B573" s="163" t="s">
        <v>1488</v>
      </c>
      <c r="C573" s="163" t="s">
        <v>1489</v>
      </c>
      <c r="D573" s="172"/>
      <c r="G573" s="167"/>
      <c r="H573" s="250">
        <v>58</v>
      </c>
      <c r="I573" s="206"/>
      <c r="J573" s="255"/>
      <c r="K573" s="256" t="s">
        <v>1489</v>
      </c>
      <c r="L573" s="256"/>
      <c r="M573" s="256"/>
      <c r="N573" s="256"/>
      <c r="O573" s="208"/>
      <c r="P573" s="167"/>
      <c r="Q573" s="181">
        <f>H573</f>
        <v>58</v>
      </c>
      <c r="R573" s="172" t="str">
        <f>CONCATENATE("II-",TEXT(Q573,"0000"))</f>
        <v>II-0058</v>
      </c>
      <c r="S573" s="182" t="str">
        <f>K573</f>
        <v>PAVIMENTO DE HORMIGON</v>
      </c>
    </row>
    <row r="574" spans="1:19">
      <c r="A574" s="173"/>
      <c r="B574" s="163"/>
      <c r="C574" s="163"/>
      <c r="D574" s="172" t="s">
        <v>1213</v>
      </c>
      <c r="G574" s="167"/>
      <c r="H574" s="183"/>
      <c r="I574" s="286" t="s">
        <v>1019</v>
      </c>
      <c r="J574" s="167"/>
      <c r="K574" s="182" t="s">
        <v>1490</v>
      </c>
      <c r="L574" s="182"/>
      <c r="M574" s="182"/>
      <c r="N574" s="182"/>
      <c r="O574" s="219" t="s">
        <v>1213</v>
      </c>
      <c r="P574" s="167"/>
      <c r="Q574" s="167"/>
      <c r="R574" s="167"/>
      <c r="S574" s="167"/>
    </row>
    <row r="575" spans="1:19">
      <c r="A575" s="173"/>
      <c r="B575" s="163"/>
      <c r="C575" s="163"/>
      <c r="D575" s="172" t="s">
        <v>1213</v>
      </c>
      <c r="G575" s="167"/>
      <c r="H575" s="183"/>
      <c r="I575" s="184" t="s">
        <v>1046</v>
      </c>
      <c r="J575" s="225"/>
      <c r="K575" s="242" t="s">
        <v>1489</v>
      </c>
      <c r="L575" s="242"/>
      <c r="M575" s="242"/>
      <c r="N575" s="242"/>
      <c r="O575" s="241" t="s">
        <v>1213</v>
      </c>
      <c r="P575" s="167"/>
      <c r="Q575" s="167"/>
      <c r="R575" s="167"/>
      <c r="S575" s="167"/>
    </row>
    <row r="576" spans="1:19">
      <c r="A576" s="173"/>
      <c r="B576" s="163"/>
      <c r="C576" s="163"/>
      <c r="D576" s="172" t="s">
        <v>1213</v>
      </c>
      <c r="G576" s="167"/>
      <c r="H576" s="183"/>
      <c r="I576" s="192" t="s">
        <v>1056</v>
      </c>
      <c r="J576" s="193"/>
      <c r="K576" s="242" t="s">
        <v>1491</v>
      </c>
      <c r="L576" s="194"/>
      <c r="M576" s="194"/>
      <c r="N576" s="194"/>
      <c r="O576" s="237" t="s">
        <v>1213</v>
      </c>
      <c r="P576" s="167"/>
      <c r="Q576" s="167"/>
      <c r="R576" s="167"/>
      <c r="S576" s="167"/>
    </row>
    <row r="577" spans="1:19">
      <c r="A577" s="173"/>
      <c r="B577" s="163"/>
      <c r="C577" s="163"/>
      <c r="D577" s="172" t="s">
        <v>1213</v>
      </c>
      <c r="G577" s="167"/>
      <c r="H577" s="183"/>
      <c r="I577" s="189" t="s">
        <v>1082</v>
      </c>
      <c r="J577" s="167"/>
      <c r="K577" s="196" t="s">
        <v>1133</v>
      </c>
      <c r="L577" s="182"/>
      <c r="M577" s="182"/>
      <c r="N577" s="182"/>
      <c r="O577" s="219" t="s">
        <v>1213</v>
      </c>
      <c r="P577" s="167"/>
      <c r="Q577" s="167"/>
      <c r="R577" s="167"/>
      <c r="S577" s="167"/>
    </row>
    <row r="578" spans="1:19" ht="15.75" thickBot="1">
      <c r="A578" s="173">
        <v>59</v>
      </c>
      <c r="B578" s="163" t="s">
        <v>1492</v>
      </c>
      <c r="C578" s="163" t="s">
        <v>1493</v>
      </c>
      <c r="D578" s="172" t="s">
        <v>1130</v>
      </c>
      <c r="G578" s="167"/>
      <c r="H578" s="271">
        <v>59</v>
      </c>
      <c r="I578" s="272"/>
      <c r="J578" s="273"/>
      <c r="K578" s="295" t="s">
        <v>1493</v>
      </c>
      <c r="L578" s="273"/>
      <c r="M578" s="273"/>
      <c r="N578" s="273"/>
      <c r="O578" s="275" t="s">
        <v>1130</v>
      </c>
      <c r="P578" s="167"/>
      <c r="Q578" s="181">
        <f t="shared" ref="Q578:Q579" si="54">H578</f>
        <v>59</v>
      </c>
      <c r="R578" s="172" t="str">
        <f t="shared" ref="R578:R579" si="55">CONCATENATE("II-",TEXT(Q578,"0000"))</f>
        <v>II-0059</v>
      </c>
      <c r="S578" s="182" t="str">
        <f t="shared" ref="S578:S579" si="56">K578</f>
        <v>PEDRAPLEN</v>
      </c>
    </row>
    <row r="579" spans="1:19" ht="15.75" thickTop="1">
      <c r="A579" s="173">
        <v>60</v>
      </c>
      <c r="B579" s="163" t="s">
        <v>1494</v>
      </c>
      <c r="C579" s="163" t="s">
        <v>1495</v>
      </c>
      <c r="D579" s="172"/>
      <c r="G579" s="167"/>
      <c r="H579" s="205">
        <v>60</v>
      </c>
      <c r="I579" s="207"/>
      <c r="J579" s="217"/>
      <c r="K579" s="262" t="s">
        <v>1495</v>
      </c>
      <c r="L579" s="217"/>
      <c r="M579" s="217"/>
      <c r="N579" s="217"/>
      <c r="O579" s="227"/>
      <c r="P579" s="167"/>
      <c r="Q579" s="181">
        <f t="shared" si="54"/>
        <v>60</v>
      </c>
      <c r="R579" s="172" t="str">
        <f t="shared" si="55"/>
        <v>II-0060</v>
      </c>
      <c r="S579" s="182" t="str">
        <f t="shared" si="56"/>
        <v>PERFILADO</v>
      </c>
    </row>
    <row r="580" spans="1:19">
      <c r="A580" s="173"/>
      <c r="B580" s="163"/>
      <c r="C580" s="163"/>
      <c r="D580" s="172" t="s">
        <v>1213</v>
      </c>
      <c r="G580" s="167"/>
      <c r="H580" s="183"/>
      <c r="I580" s="286" t="s">
        <v>1019</v>
      </c>
      <c r="J580" s="167"/>
      <c r="K580" s="182" t="s">
        <v>1496</v>
      </c>
      <c r="L580" s="167"/>
      <c r="M580" s="167"/>
      <c r="N580" s="167"/>
      <c r="O580" s="219" t="s">
        <v>1213</v>
      </c>
      <c r="P580" s="167"/>
      <c r="Q580" s="167"/>
      <c r="R580" s="167"/>
      <c r="S580" s="167"/>
    </row>
    <row r="581" spans="1:19">
      <c r="A581" s="173"/>
      <c r="B581" s="163"/>
      <c r="C581" s="163"/>
      <c r="D581" s="172" t="s">
        <v>1213</v>
      </c>
      <c r="G581" s="167"/>
      <c r="H581" s="183"/>
      <c r="I581" s="184" t="s">
        <v>1046</v>
      </c>
      <c r="J581" s="225"/>
      <c r="K581" s="242" t="s">
        <v>1339</v>
      </c>
      <c r="L581" s="225"/>
      <c r="M581" s="225"/>
      <c r="N581" s="225"/>
      <c r="O581" s="241" t="s">
        <v>1213</v>
      </c>
      <c r="P581" s="167"/>
      <c r="Q581" s="167"/>
      <c r="R581" s="167"/>
      <c r="S581" s="167"/>
    </row>
    <row r="582" spans="1:19" ht="15.75" thickBot="1">
      <c r="A582" s="173"/>
      <c r="B582" s="163"/>
      <c r="C582" s="163"/>
      <c r="D582" s="172" t="s">
        <v>1213</v>
      </c>
      <c r="G582" s="167"/>
      <c r="H582" s="183"/>
      <c r="I582" s="200" t="s">
        <v>1056</v>
      </c>
      <c r="J582" s="167"/>
      <c r="K582" s="182" t="s">
        <v>1458</v>
      </c>
      <c r="L582" s="167"/>
      <c r="M582" s="167"/>
      <c r="N582" s="167"/>
      <c r="O582" s="219" t="s">
        <v>1213</v>
      </c>
      <c r="P582" s="167"/>
      <c r="Q582" s="167"/>
      <c r="R582" s="167"/>
      <c r="S582" s="167"/>
    </row>
    <row r="583" spans="1:19" ht="16.5" thickTop="1" thickBot="1">
      <c r="A583" s="173">
        <v>61</v>
      </c>
      <c r="B583" s="163" t="s">
        <v>1497</v>
      </c>
      <c r="C583" s="163" t="s">
        <v>1498</v>
      </c>
      <c r="D583" s="172" t="s">
        <v>1213</v>
      </c>
      <c r="G583" s="167"/>
      <c r="H583" s="276">
        <v>61</v>
      </c>
      <c r="I583" s="277"/>
      <c r="J583" s="278"/>
      <c r="K583" s="279" t="s">
        <v>1498</v>
      </c>
      <c r="L583" s="278"/>
      <c r="M583" s="278"/>
      <c r="N583" s="278"/>
      <c r="O583" s="280" t="s">
        <v>1213</v>
      </c>
      <c r="P583" s="167"/>
      <c r="Q583" s="181">
        <f t="shared" ref="Q583:Q584" si="57">H583</f>
        <v>61</v>
      </c>
      <c r="R583" s="172" t="str">
        <f t="shared" ref="R583:R584" si="58">CONCATENATE("II-",TEXT(Q583,"0000"))</f>
        <v>II-0061</v>
      </c>
      <c r="S583" s="182" t="str">
        <f t="shared" ref="S583:S584" si="59">K583</f>
        <v>PIEDRA COLOCADA</v>
      </c>
    </row>
    <row r="584" spans="1:19" ht="15.75" thickTop="1">
      <c r="A584" s="173">
        <v>62</v>
      </c>
      <c r="B584" s="163" t="s">
        <v>1499</v>
      </c>
      <c r="C584" s="163" t="s">
        <v>1500</v>
      </c>
      <c r="D584" s="172"/>
      <c r="G584" s="167"/>
      <c r="H584" s="205">
        <v>62</v>
      </c>
      <c r="I584" s="207"/>
      <c r="J584" s="217"/>
      <c r="K584" s="262" t="s">
        <v>1500</v>
      </c>
      <c r="L584" s="217"/>
      <c r="M584" s="217"/>
      <c r="N584" s="217"/>
      <c r="O584" s="227"/>
      <c r="P584" s="167"/>
      <c r="Q584" s="181">
        <f t="shared" si="57"/>
        <v>62</v>
      </c>
      <c r="R584" s="172" t="str">
        <f t="shared" si="58"/>
        <v>II-0062</v>
      </c>
      <c r="S584" s="182" t="str">
        <f t="shared" si="59"/>
        <v>PRADERIZACION</v>
      </c>
    </row>
    <row r="585" spans="1:19">
      <c r="A585" s="173"/>
      <c r="B585" s="163"/>
      <c r="C585" s="163"/>
      <c r="D585" s="172" t="s">
        <v>1213</v>
      </c>
      <c r="G585" s="167"/>
      <c r="H585" s="183"/>
      <c r="I585" s="286" t="s">
        <v>1019</v>
      </c>
      <c r="J585" s="167"/>
      <c r="K585" s="182" t="s">
        <v>1501</v>
      </c>
      <c r="L585" s="167"/>
      <c r="M585" s="167"/>
      <c r="N585" s="167"/>
      <c r="O585" s="219" t="s">
        <v>1213</v>
      </c>
      <c r="P585" s="167"/>
      <c r="Q585" s="167"/>
      <c r="R585" s="167"/>
      <c r="S585" s="167"/>
    </row>
    <row r="586" spans="1:19">
      <c r="A586" s="173"/>
      <c r="B586" s="163"/>
      <c r="C586" s="163"/>
      <c r="D586" s="172" t="s">
        <v>1213</v>
      </c>
      <c r="G586" s="167"/>
      <c r="H586" s="183"/>
      <c r="I586" s="184" t="s">
        <v>1046</v>
      </c>
      <c r="J586" s="225"/>
      <c r="K586" s="242" t="s">
        <v>1502</v>
      </c>
      <c r="L586" s="225"/>
      <c r="M586" s="225"/>
      <c r="N586" s="225"/>
      <c r="O586" s="241" t="s">
        <v>1213</v>
      </c>
      <c r="P586" s="167"/>
      <c r="Q586" s="167"/>
      <c r="R586" s="167"/>
      <c r="S586" s="167"/>
    </row>
    <row r="587" spans="1:19" ht="15.75" thickBot="1">
      <c r="A587" s="173"/>
      <c r="B587" s="163"/>
      <c r="C587" s="163"/>
      <c r="D587" s="172" t="s">
        <v>1503</v>
      </c>
      <c r="G587" s="167"/>
      <c r="H587" s="183"/>
      <c r="I587" s="200" t="s">
        <v>1056</v>
      </c>
      <c r="J587" s="167"/>
      <c r="K587" s="182" t="s">
        <v>1504</v>
      </c>
      <c r="L587" s="167"/>
      <c r="M587" s="167"/>
      <c r="N587" s="167"/>
      <c r="O587" s="219" t="s">
        <v>1503</v>
      </c>
      <c r="P587" s="167"/>
      <c r="Q587" s="167"/>
      <c r="R587" s="167"/>
      <c r="S587" s="167"/>
    </row>
    <row r="588" spans="1:19" ht="15.75" thickTop="1">
      <c r="A588" s="173">
        <v>63</v>
      </c>
      <c r="B588" s="163" t="s">
        <v>1505</v>
      </c>
      <c r="C588" s="163" t="s">
        <v>1506</v>
      </c>
      <c r="D588" s="172"/>
      <c r="G588" s="167"/>
      <c r="H588" s="250">
        <v>63</v>
      </c>
      <c r="I588" s="206"/>
      <c r="J588" s="255"/>
      <c r="K588" s="256" t="s">
        <v>1506</v>
      </c>
      <c r="L588" s="255"/>
      <c r="M588" s="255"/>
      <c r="N588" s="255"/>
      <c r="O588" s="208"/>
      <c r="P588" s="167"/>
      <c r="Q588" s="181">
        <f>H588</f>
        <v>63</v>
      </c>
      <c r="R588" s="172" t="str">
        <f>CONCATENATE("II-",TEXT(Q588,"0000"))</f>
        <v>II-0063</v>
      </c>
      <c r="S588" s="182" t="str">
        <f>K588</f>
        <v>PRETILES</v>
      </c>
    </row>
    <row r="589" spans="1:19">
      <c r="A589" s="173"/>
      <c r="B589" s="163"/>
      <c r="C589" s="163"/>
      <c r="D589" s="172" t="s">
        <v>1247</v>
      </c>
      <c r="G589" s="167"/>
      <c r="H589" s="183"/>
      <c r="I589" s="184" t="s">
        <v>1019</v>
      </c>
      <c r="J589" s="225"/>
      <c r="K589" s="296" t="s">
        <v>1507</v>
      </c>
      <c r="L589" s="297"/>
      <c r="M589" s="297"/>
      <c r="N589" s="225"/>
      <c r="O589" s="241" t="s">
        <v>1247</v>
      </c>
      <c r="P589" s="167"/>
      <c r="Q589" s="167"/>
      <c r="R589" s="167"/>
      <c r="S589" s="167"/>
    </row>
    <row r="590" spans="1:19" ht="15.75" thickBot="1">
      <c r="A590" s="173"/>
      <c r="B590" s="163"/>
      <c r="C590" s="163"/>
      <c r="D590" s="172" t="s">
        <v>1247</v>
      </c>
      <c r="G590" s="167"/>
      <c r="H590" s="198"/>
      <c r="I590" s="200" t="s">
        <v>1046</v>
      </c>
      <c r="J590" s="201"/>
      <c r="K590" s="298" t="s">
        <v>1508</v>
      </c>
      <c r="L590" s="299"/>
      <c r="M590" s="299"/>
      <c r="N590" s="201"/>
      <c r="O590" s="263" t="s">
        <v>1247</v>
      </c>
      <c r="P590" s="167"/>
      <c r="Q590" s="167"/>
      <c r="R590" s="167"/>
      <c r="S590" s="167"/>
    </row>
    <row r="591" spans="1:19" ht="15.75" thickTop="1">
      <c r="A591" s="173">
        <v>64</v>
      </c>
      <c r="B591" s="163" t="s">
        <v>1509</v>
      </c>
      <c r="C591" s="163" t="s">
        <v>1510</v>
      </c>
      <c r="D591" s="172"/>
      <c r="G591" s="167"/>
      <c r="H591" s="205">
        <v>64</v>
      </c>
      <c r="I591" s="207"/>
      <c r="J591" s="217"/>
      <c r="K591" s="262" t="s">
        <v>1510</v>
      </c>
      <c r="L591" s="217"/>
      <c r="M591" s="217"/>
      <c r="N591" s="217"/>
      <c r="O591" s="227"/>
      <c r="P591" s="167"/>
      <c r="Q591" s="181">
        <f>H591</f>
        <v>64</v>
      </c>
      <c r="R591" s="172" t="str">
        <f>CONCATENATE("II-",TEXT(Q591,"0000"))</f>
        <v>II-0064</v>
      </c>
      <c r="S591" s="182" t="str">
        <f>K591</f>
        <v>PROTECCION DE DUCTOS</v>
      </c>
    </row>
    <row r="592" spans="1:19" ht="15.75" thickBot="1">
      <c r="A592" s="173"/>
      <c r="B592" s="163"/>
      <c r="C592" s="163"/>
      <c r="D592" s="172" t="s">
        <v>1255</v>
      </c>
      <c r="G592" s="167"/>
      <c r="H592" s="183"/>
      <c r="I592" s="210" t="s">
        <v>1019</v>
      </c>
      <c r="J592" s="167"/>
      <c r="K592" s="182" t="s">
        <v>1511</v>
      </c>
      <c r="L592" s="182"/>
      <c r="M592" s="182"/>
      <c r="N592" s="167"/>
      <c r="O592" s="219" t="s">
        <v>1255</v>
      </c>
      <c r="P592" s="167"/>
      <c r="Q592" s="167"/>
      <c r="R592" s="167"/>
      <c r="S592" s="167"/>
    </row>
    <row r="593" spans="1:19" ht="15.75" thickTop="1">
      <c r="A593" s="173">
        <v>65</v>
      </c>
      <c r="B593" s="163" t="s">
        <v>1512</v>
      </c>
      <c r="C593" s="163" t="s">
        <v>1513</v>
      </c>
      <c r="D593" s="172"/>
      <c r="G593" s="167"/>
      <c r="H593" s="250">
        <v>65</v>
      </c>
      <c r="I593" s="206"/>
      <c r="J593" s="255"/>
      <c r="K593" s="256" t="s">
        <v>1513</v>
      </c>
      <c r="L593" s="255"/>
      <c r="M593" s="255"/>
      <c r="N593" s="255"/>
      <c r="O593" s="208"/>
      <c r="P593" s="167"/>
      <c r="Q593" s="181">
        <f>H593</f>
        <v>65</v>
      </c>
      <c r="R593" s="172" t="str">
        <f>CONCATENATE("II-",TEXT(Q593,"0000"))</f>
        <v>II-0065</v>
      </c>
      <c r="S593" s="182" t="str">
        <f>K593</f>
        <v xml:space="preserve">PUENTE </v>
      </c>
    </row>
    <row r="594" spans="1:19">
      <c r="A594" s="173"/>
      <c r="B594" s="163"/>
      <c r="C594" s="163"/>
      <c r="D594" s="172" t="s">
        <v>1130</v>
      </c>
      <c r="G594" s="167"/>
      <c r="H594" s="300"/>
      <c r="I594" s="286" t="s">
        <v>1019</v>
      </c>
      <c r="J594" s="167"/>
      <c r="K594" s="182" t="s">
        <v>1514</v>
      </c>
      <c r="L594" s="182"/>
      <c r="M594" s="182"/>
      <c r="N594" s="167"/>
      <c r="O594" s="219" t="s">
        <v>1130</v>
      </c>
      <c r="P594" s="167"/>
      <c r="Q594" s="167"/>
      <c r="R594" s="167"/>
      <c r="S594" s="167"/>
    </row>
    <row r="595" spans="1:19">
      <c r="A595" s="173"/>
      <c r="B595" s="163"/>
      <c r="C595" s="163"/>
      <c r="D595" s="172" t="s">
        <v>1130</v>
      </c>
      <c r="G595" s="167"/>
      <c r="H595" s="300"/>
      <c r="I595" s="184" t="s">
        <v>1046</v>
      </c>
      <c r="J595" s="225"/>
      <c r="K595" s="242" t="s">
        <v>1129</v>
      </c>
      <c r="L595" s="242"/>
      <c r="M595" s="242"/>
      <c r="N595" s="225"/>
      <c r="O595" s="241" t="s">
        <v>1130</v>
      </c>
      <c r="P595" s="167"/>
      <c r="Q595" s="167"/>
      <c r="R595" s="167"/>
      <c r="S595" s="167"/>
    </row>
    <row r="596" spans="1:19">
      <c r="A596" s="173"/>
      <c r="B596" s="163"/>
      <c r="C596" s="163"/>
      <c r="D596" s="172" t="s">
        <v>1023</v>
      </c>
      <c r="G596" s="167"/>
      <c r="H596" s="300"/>
      <c r="I596" s="184" t="s">
        <v>1056</v>
      </c>
      <c r="J596" s="225"/>
      <c r="K596" s="242" t="s">
        <v>1133</v>
      </c>
      <c r="L596" s="242"/>
      <c r="M596" s="242"/>
      <c r="N596" s="225"/>
      <c r="O596" s="241" t="s">
        <v>1023</v>
      </c>
      <c r="P596" s="167"/>
      <c r="Q596" s="167"/>
      <c r="R596" s="167"/>
      <c r="S596" s="167"/>
    </row>
    <row r="597" spans="1:19">
      <c r="A597" s="173"/>
      <c r="B597" s="163"/>
      <c r="C597" s="163"/>
      <c r="D597" s="172"/>
      <c r="G597" s="167"/>
      <c r="H597" s="300"/>
      <c r="I597" s="184" t="s">
        <v>1082</v>
      </c>
      <c r="J597" s="187"/>
      <c r="K597" s="182" t="s">
        <v>1515</v>
      </c>
      <c r="L597" s="182"/>
      <c r="M597" s="182"/>
      <c r="N597" s="167"/>
      <c r="O597" s="219"/>
      <c r="P597" s="167"/>
      <c r="Q597" s="167"/>
      <c r="R597" s="167"/>
      <c r="S597" s="167"/>
    </row>
    <row r="598" spans="1:19">
      <c r="A598" s="173"/>
      <c r="B598" s="163"/>
      <c r="C598" s="163"/>
      <c r="D598" s="172" t="s">
        <v>1213</v>
      </c>
      <c r="G598" s="167"/>
      <c r="H598" s="300"/>
      <c r="I598" s="172"/>
      <c r="J598" s="301">
        <v>1</v>
      </c>
      <c r="K598" s="182"/>
      <c r="L598" s="182" t="s">
        <v>1123</v>
      </c>
      <c r="M598" s="182"/>
      <c r="N598" s="167"/>
      <c r="O598" s="219" t="s">
        <v>1213</v>
      </c>
      <c r="P598" s="167"/>
      <c r="Q598" s="167"/>
      <c r="R598" s="167"/>
      <c r="S598" s="167"/>
    </row>
    <row r="599" spans="1:19" ht="15.75" thickBot="1">
      <c r="A599" s="173"/>
      <c r="B599" s="163"/>
      <c r="C599" s="163"/>
      <c r="D599" s="172" t="s">
        <v>1516</v>
      </c>
      <c r="G599" s="167"/>
      <c r="H599" s="302"/>
      <c r="I599" s="199"/>
      <c r="J599" s="303">
        <v>2</v>
      </c>
      <c r="K599" s="202"/>
      <c r="L599" s="202" t="s">
        <v>1517</v>
      </c>
      <c r="M599" s="202"/>
      <c r="N599" s="201"/>
      <c r="O599" s="263" t="s">
        <v>1516</v>
      </c>
      <c r="P599" s="167"/>
      <c r="Q599" s="167"/>
      <c r="R599" s="167"/>
      <c r="S599" s="167"/>
    </row>
    <row r="600" spans="1:19" ht="15.75" thickTop="1">
      <c r="A600" s="173">
        <v>66</v>
      </c>
      <c r="B600" s="163" t="s">
        <v>1518</v>
      </c>
      <c r="C600" s="163" t="s">
        <v>1519</v>
      </c>
      <c r="D600" s="172"/>
      <c r="G600" s="167"/>
      <c r="H600" s="205">
        <v>66</v>
      </c>
      <c r="I600" s="207"/>
      <c r="J600" s="217"/>
      <c r="K600" s="262" t="s">
        <v>1519</v>
      </c>
      <c r="L600" s="217"/>
      <c r="M600" s="217"/>
      <c r="N600" s="217"/>
      <c r="O600" s="227"/>
      <c r="P600" s="167"/>
      <c r="Q600" s="181">
        <f>H600</f>
        <v>66</v>
      </c>
      <c r="R600" s="172" t="str">
        <f>CONCATENATE("II-",TEXT(Q600,"0000"))</f>
        <v>II-0066</v>
      </c>
      <c r="S600" s="182" t="str">
        <f>K600</f>
        <v>PUENTE BAYLEY / FM</v>
      </c>
    </row>
    <row r="601" spans="1:19">
      <c r="A601" s="173"/>
      <c r="B601" s="163"/>
      <c r="C601" s="163"/>
      <c r="D601" s="172" t="s">
        <v>1255</v>
      </c>
      <c r="G601" s="167"/>
      <c r="H601" s="183"/>
      <c r="I601" s="286" t="s">
        <v>1019</v>
      </c>
      <c r="J601" s="167"/>
      <c r="K601" s="182" t="s">
        <v>1520</v>
      </c>
      <c r="L601" s="167"/>
      <c r="M601" s="167"/>
      <c r="N601" s="167"/>
      <c r="O601" s="219" t="s">
        <v>1255</v>
      </c>
      <c r="P601" s="167"/>
      <c r="Q601" s="167"/>
      <c r="R601" s="167"/>
      <c r="S601" s="167"/>
    </row>
    <row r="602" spans="1:19">
      <c r="A602" s="173"/>
      <c r="B602" s="163"/>
      <c r="C602" s="163"/>
      <c r="D602" s="172" t="s">
        <v>1255</v>
      </c>
      <c r="G602" s="167"/>
      <c r="H602" s="183"/>
      <c r="I602" s="184" t="s">
        <v>1046</v>
      </c>
      <c r="J602" s="225"/>
      <c r="K602" s="242" t="s">
        <v>1521</v>
      </c>
      <c r="L602" s="225"/>
      <c r="M602" s="225"/>
      <c r="N602" s="225"/>
      <c r="O602" s="241" t="s">
        <v>1255</v>
      </c>
      <c r="P602" s="167"/>
      <c r="Q602" s="167"/>
      <c r="R602" s="167"/>
      <c r="S602" s="167"/>
    </row>
    <row r="603" spans="1:19">
      <c r="A603" s="173"/>
      <c r="B603" s="163"/>
      <c r="C603" s="163"/>
      <c r="D603" s="172" t="s">
        <v>1255</v>
      </c>
      <c r="G603" s="167"/>
      <c r="H603" s="183"/>
      <c r="I603" s="184" t="s">
        <v>1056</v>
      </c>
      <c r="J603" s="167"/>
      <c r="K603" s="242" t="s">
        <v>1133</v>
      </c>
      <c r="L603" s="225"/>
      <c r="M603" s="225"/>
      <c r="N603" s="225"/>
      <c r="O603" s="241" t="s">
        <v>1255</v>
      </c>
      <c r="P603" s="167"/>
      <c r="Q603" s="167"/>
      <c r="R603" s="167"/>
      <c r="S603" s="167"/>
    </row>
    <row r="604" spans="1:19">
      <c r="A604" s="173"/>
      <c r="B604" s="163"/>
      <c r="C604" s="163"/>
      <c r="D604" s="172"/>
      <c r="G604" s="167"/>
      <c r="H604" s="183"/>
      <c r="I604" s="192" t="s">
        <v>1082</v>
      </c>
      <c r="J604" s="187"/>
      <c r="K604" s="182" t="s">
        <v>1515</v>
      </c>
      <c r="L604" s="182"/>
      <c r="M604" s="182"/>
      <c r="N604" s="167"/>
      <c r="O604" s="219"/>
      <c r="P604" s="167"/>
      <c r="Q604" s="167"/>
      <c r="R604" s="167"/>
      <c r="S604" s="167"/>
    </row>
    <row r="605" spans="1:19" ht="15.75" thickBot="1">
      <c r="A605" s="173"/>
      <c r="B605" s="163"/>
      <c r="C605" s="163"/>
      <c r="D605" s="172" t="s">
        <v>995</v>
      </c>
      <c r="G605" s="167"/>
      <c r="H605" s="183"/>
      <c r="I605" s="172"/>
      <c r="J605" s="301">
        <v>1</v>
      </c>
      <c r="K605" s="182"/>
      <c r="L605" s="182" t="s">
        <v>1123</v>
      </c>
      <c r="M605" s="182"/>
      <c r="N605" s="167"/>
      <c r="O605" s="219" t="s">
        <v>995</v>
      </c>
      <c r="P605" s="167"/>
      <c r="Q605" s="167"/>
      <c r="R605" s="167"/>
      <c r="S605" s="167"/>
    </row>
    <row r="606" spans="1:19" ht="15.75" thickTop="1">
      <c r="A606" s="173">
        <v>67</v>
      </c>
      <c r="B606" s="163" t="s">
        <v>1522</v>
      </c>
      <c r="C606" s="163" t="s">
        <v>1523</v>
      </c>
      <c r="D606" s="172"/>
      <c r="G606" s="167"/>
      <c r="H606" s="250">
        <v>67</v>
      </c>
      <c r="I606" s="206"/>
      <c r="J606" s="255"/>
      <c r="K606" s="256" t="s">
        <v>1523</v>
      </c>
      <c r="L606" s="255"/>
      <c r="M606" s="255"/>
      <c r="N606" s="255"/>
      <c r="O606" s="208"/>
      <c r="P606" s="167"/>
      <c r="Q606" s="181">
        <f>H606</f>
        <v>67</v>
      </c>
      <c r="R606" s="172" t="str">
        <f>CONCATENATE("II-",TEXT(Q606,"0000"))</f>
        <v>II-0067</v>
      </c>
      <c r="S606" s="182" t="str">
        <f>K606</f>
        <v>PUENTE CANAL</v>
      </c>
    </row>
    <row r="607" spans="1:19" ht="15.75" thickBot="1">
      <c r="A607" s="173"/>
      <c r="B607" s="163"/>
      <c r="C607" s="163"/>
      <c r="D607" s="172" t="s">
        <v>1255</v>
      </c>
      <c r="G607" s="167"/>
      <c r="H607" s="209"/>
      <c r="I607" s="210" t="s">
        <v>1019</v>
      </c>
      <c r="J607" s="213"/>
      <c r="K607" s="244" t="s">
        <v>1524</v>
      </c>
      <c r="L607" s="213"/>
      <c r="M607" s="213"/>
      <c r="N607" s="213"/>
      <c r="O607" s="245" t="s">
        <v>1255</v>
      </c>
      <c r="P607" s="167"/>
      <c r="Q607" s="167"/>
      <c r="R607" s="167"/>
      <c r="S607" s="167"/>
    </row>
    <row r="608" spans="1:19" ht="15.75" thickTop="1">
      <c r="A608" s="173">
        <v>68</v>
      </c>
      <c r="B608" s="163" t="s">
        <v>1525</v>
      </c>
      <c r="C608" s="163" t="s">
        <v>1526</v>
      </c>
      <c r="D608" s="172"/>
      <c r="G608" s="167"/>
      <c r="H608" s="205">
        <v>68</v>
      </c>
      <c r="I608" s="207"/>
      <c r="J608" s="217"/>
      <c r="K608" s="262" t="s">
        <v>1526</v>
      </c>
      <c r="L608" s="217"/>
      <c r="M608" s="217"/>
      <c r="N608" s="217"/>
      <c r="O608" s="227"/>
      <c r="P608" s="167"/>
      <c r="Q608" s="181">
        <f>H608</f>
        <v>68</v>
      </c>
      <c r="R608" s="172" t="str">
        <f>CONCATENATE("II-",TEXT(Q608,"0000"))</f>
        <v>II-0068</v>
      </c>
      <c r="S608" s="182" t="str">
        <f>K608</f>
        <v>REACONDICIONAMIENTO</v>
      </c>
    </row>
    <row r="609" spans="1:19">
      <c r="A609" s="173"/>
      <c r="B609" s="163"/>
      <c r="C609" s="163"/>
      <c r="D609" s="172" t="s">
        <v>1255</v>
      </c>
      <c r="G609" s="167"/>
      <c r="H609" s="183"/>
      <c r="I609" s="286" t="s">
        <v>1019</v>
      </c>
      <c r="J609" s="167"/>
      <c r="K609" s="182" t="s">
        <v>1072</v>
      </c>
      <c r="L609" s="167"/>
      <c r="M609" s="167"/>
      <c r="N609" s="167"/>
      <c r="O609" s="219" t="s">
        <v>1255</v>
      </c>
      <c r="P609" s="167"/>
      <c r="Q609" s="167"/>
      <c r="R609" s="167"/>
      <c r="S609" s="167"/>
    </row>
    <row r="610" spans="1:19">
      <c r="A610" s="173"/>
      <c r="B610" s="163"/>
      <c r="C610" s="163"/>
      <c r="D610" s="172" t="s">
        <v>1130</v>
      </c>
      <c r="G610" s="167"/>
      <c r="H610" s="183"/>
      <c r="I610" s="184" t="s">
        <v>1046</v>
      </c>
      <c r="J610" s="225"/>
      <c r="K610" s="242" t="s">
        <v>1527</v>
      </c>
      <c r="L610" s="225"/>
      <c r="M610" s="225"/>
      <c r="N610" s="225"/>
      <c r="O610" s="241" t="s">
        <v>1130</v>
      </c>
      <c r="P610" s="167"/>
      <c r="Q610" s="167"/>
      <c r="R610" s="167"/>
      <c r="S610" s="167"/>
    </row>
    <row r="611" spans="1:19" ht="15.75" thickBot="1">
      <c r="A611" s="173"/>
      <c r="B611" s="163"/>
      <c r="C611" s="163"/>
      <c r="D611" s="172" t="s">
        <v>1255</v>
      </c>
      <c r="G611" s="167"/>
      <c r="H611" s="183"/>
      <c r="I611" s="200" t="s">
        <v>1056</v>
      </c>
      <c r="J611" s="167"/>
      <c r="K611" s="182" t="s">
        <v>1528</v>
      </c>
      <c r="L611" s="167"/>
      <c r="M611" s="167"/>
      <c r="N611" s="167"/>
      <c r="O611" s="219" t="s">
        <v>1255</v>
      </c>
      <c r="P611" s="167"/>
      <c r="Q611" s="167"/>
      <c r="R611" s="167"/>
      <c r="S611" s="167"/>
    </row>
    <row r="612" spans="1:19" ht="15.75" thickTop="1">
      <c r="A612" s="173">
        <v>69</v>
      </c>
      <c r="B612" s="163" t="s">
        <v>1529</v>
      </c>
      <c r="C612" s="163" t="s">
        <v>1530</v>
      </c>
      <c r="D612" s="172"/>
      <c r="G612" s="167"/>
      <c r="H612" s="250">
        <v>69</v>
      </c>
      <c r="I612" s="206"/>
      <c r="J612" s="255"/>
      <c r="K612" s="256" t="s">
        <v>1530</v>
      </c>
      <c r="L612" s="255"/>
      <c r="M612" s="255"/>
      <c r="N612" s="255"/>
      <c r="O612" s="208"/>
      <c r="P612" s="167"/>
      <c r="Q612" s="181">
        <f>H612</f>
        <v>69</v>
      </c>
      <c r="R612" s="172" t="str">
        <f>CONCATENATE("II-",TEXT(Q612,"0000"))</f>
        <v>II-0069</v>
      </c>
      <c r="S612" s="182" t="str">
        <f>K612</f>
        <v>RECICLADO DE PAVIMENTO</v>
      </c>
    </row>
    <row r="613" spans="1:19">
      <c r="A613" s="173"/>
      <c r="B613" s="163"/>
      <c r="C613" s="163"/>
      <c r="D613" s="172" t="s">
        <v>1130</v>
      </c>
      <c r="G613" s="167"/>
      <c r="H613" s="300"/>
      <c r="I613" s="192" t="s">
        <v>1019</v>
      </c>
      <c r="J613" s="225"/>
      <c r="K613" s="242" t="s">
        <v>1531</v>
      </c>
      <c r="L613" s="242"/>
      <c r="M613" s="242"/>
      <c r="N613" s="225"/>
      <c r="O613" s="241" t="s">
        <v>1130</v>
      </c>
      <c r="P613" s="167"/>
      <c r="Q613" s="167"/>
      <c r="R613" s="167"/>
      <c r="S613" s="167"/>
    </row>
    <row r="614" spans="1:19">
      <c r="A614" s="173"/>
      <c r="B614" s="163"/>
      <c r="C614" s="163"/>
      <c r="D614" s="172"/>
      <c r="G614" s="167"/>
      <c r="H614" s="300"/>
      <c r="I614" s="184" t="s">
        <v>1046</v>
      </c>
      <c r="J614" s="172"/>
      <c r="K614" s="182" t="s">
        <v>1532</v>
      </c>
      <c r="L614" s="182"/>
      <c r="M614" s="182"/>
      <c r="N614" s="167"/>
      <c r="O614" s="219"/>
      <c r="P614" s="167"/>
      <c r="Q614" s="167"/>
      <c r="R614" s="167"/>
      <c r="S614" s="167"/>
    </row>
    <row r="615" spans="1:19">
      <c r="A615" s="173"/>
      <c r="B615" s="163"/>
      <c r="C615" s="163"/>
      <c r="D615" s="172" t="s">
        <v>1130</v>
      </c>
      <c r="G615" s="167"/>
      <c r="H615" s="300"/>
      <c r="I615" s="172"/>
      <c r="J615" s="189">
        <v>1</v>
      </c>
      <c r="K615" s="182"/>
      <c r="L615" s="182" t="s">
        <v>1533</v>
      </c>
      <c r="M615" s="167"/>
      <c r="N615" s="167"/>
      <c r="O615" s="219" t="s">
        <v>1130</v>
      </c>
      <c r="P615" s="167"/>
      <c r="Q615" s="167"/>
      <c r="R615" s="167"/>
      <c r="S615" s="167"/>
    </row>
    <row r="616" spans="1:19" ht="15.75" thickBot="1">
      <c r="A616" s="173"/>
      <c r="B616" s="163"/>
      <c r="C616" s="163"/>
      <c r="D616" s="172" t="s">
        <v>1130</v>
      </c>
      <c r="G616" s="167"/>
      <c r="H616" s="302"/>
      <c r="I616" s="199"/>
      <c r="J616" s="200">
        <v>2</v>
      </c>
      <c r="K616" s="202"/>
      <c r="L616" s="202" t="s">
        <v>1534</v>
      </c>
      <c r="M616" s="201"/>
      <c r="N616" s="201"/>
      <c r="O616" s="263" t="s">
        <v>1130</v>
      </c>
      <c r="P616" s="167"/>
      <c r="Q616" s="167"/>
      <c r="R616" s="167"/>
      <c r="S616" s="167"/>
    </row>
    <row r="617" spans="1:19" ht="16.5" thickTop="1" thickBot="1">
      <c r="A617" s="173">
        <v>70</v>
      </c>
      <c r="B617" s="163" t="s">
        <v>1535</v>
      </c>
      <c r="C617" s="163" t="s">
        <v>1536</v>
      </c>
      <c r="D617" s="172" t="s">
        <v>1213</v>
      </c>
      <c r="G617" s="167"/>
      <c r="H617" s="205">
        <v>70</v>
      </c>
      <c r="I617" s="207"/>
      <c r="J617" s="217"/>
      <c r="K617" s="262" t="s">
        <v>1536</v>
      </c>
      <c r="L617" s="217"/>
      <c r="M617" s="217"/>
      <c r="N617" s="217"/>
      <c r="O617" s="227" t="s">
        <v>1213</v>
      </c>
      <c r="P617" s="167"/>
      <c r="Q617" s="181">
        <f t="shared" ref="Q617:Q618" si="60">H617</f>
        <v>70</v>
      </c>
      <c r="R617" s="172" t="str">
        <f t="shared" ref="R617:R618" si="61">CONCATENATE("II-",TEXT(Q617,"0000"))</f>
        <v>II-0070</v>
      </c>
      <c r="S617" s="182" t="str">
        <f t="shared" ref="S617:S618" si="62">K617</f>
        <v>RECLAMADO</v>
      </c>
    </row>
    <row r="618" spans="1:19" ht="15.75" thickTop="1">
      <c r="A618" s="173">
        <v>71</v>
      </c>
      <c r="B618" s="163" t="s">
        <v>1537</v>
      </c>
      <c r="C618" s="163" t="s">
        <v>1538</v>
      </c>
      <c r="D618" s="172"/>
      <c r="G618" s="167"/>
      <c r="H618" s="250">
        <v>71</v>
      </c>
      <c r="I618" s="206"/>
      <c r="J618" s="255"/>
      <c r="K618" s="294" t="s">
        <v>1538</v>
      </c>
      <c r="L618" s="255"/>
      <c r="M618" s="255"/>
      <c r="N618" s="255"/>
      <c r="O618" s="208"/>
      <c r="P618" s="167"/>
      <c r="Q618" s="181">
        <f t="shared" si="60"/>
        <v>71</v>
      </c>
      <c r="R618" s="172" t="str">
        <f t="shared" si="61"/>
        <v>II-0071</v>
      </c>
      <c r="S618" s="182" t="str">
        <f t="shared" si="62"/>
        <v>RECUBRIMIENTO VEGETAL</v>
      </c>
    </row>
    <row r="619" spans="1:19">
      <c r="A619" s="173"/>
      <c r="B619" s="163"/>
      <c r="C619" s="163"/>
      <c r="D619" s="172" t="s">
        <v>1213</v>
      </c>
      <c r="G619" s="167"/>
      <c r="H619" s="183"/>
      <c r="I619" s="184" t="s">
        <v>1019</v>
      </c>
      <c r="J619" s="225"/>
      <c r="K619" s="242" t="s">
        <v>1319</v>
      </c>
      <c r="L619" s="242"/>
      <c r="M619" s="242"/>
      <c r="N619" s="225"/>
      <c r="O619" s="241" t="s">
        <v>1213</v>
      </c>
      <c r="P619" s="167"/>
      <c r="Q619" s="167"/>
      <c r="R619" s="167"/>
      <c r="S619" s="167"/>
    </row>
    <row r="620" spans="1:19" ht="15.75" thickBot="1">
      <c r="A620" s="173"/>
      <c r="B620" s="163"/>
      <c r="C620" s="163"/>
      <c r="D620" s="172" t="s">
        <v>996</v>
      </c>
      <c r="G620" s="167"/>
      <c r="H620" s="183"/>
      <c r="I620" s="200" t="s">
        <v>1046</v>
      </c>
      <c r="J620" s="167"/>
      <c r="K620" s="202" t="s">
        <v>1321</v>
      </c>
      <c r="L620" s="182"/>
      <c r="M620" s="182"/>
      <c r="N620" s="167"/>
      <c r="O620" s="219" t="s">
        <v>996</v>
      </c>
      <c r="P620" s="167"/>
      <c r="Q620" s="167"/>
      <c r="R620" s="167"/>
      <c r="S620" s="167"/>
    </row>
    <row r="621" spans="1:19" ht="16.5" thickTop="1" thickBot="1">
      <c r="A621" s="173">
        <v>72</v>
      </c>
      <c r="B621" s="163" t="s">
        <v>1539</v>
      </c>
      <c r="C621" s="163" t="s">
        <v>1540</v>
      </c>
      <c r="D621" s="172" t="s">
        <v>4</v>
      </c>
      <c r="G621" s="167"/>
      <c r="H621" s="257">
        <v>72</v>
      </c>
      <c r="I621" s="258"/>
      <c r="J621" s="259"/>
      <c r="K621" s="260" t="s">
        <v>1540</v>
      </c>
      <c r="L621" s="259"/>
      <c r="M621" s="259"/>
      <c r="N621" s="259"/>
      <c r="O621" s="261" t="s">
        <v>4</v>
      </c>
      <c r="P621" s="167"/>
      <c r="Q621" s="181">
        <f>H621</f>
        <v>72</v>
      </c>
      <c r="R621" s="172" t="str">
        <f>CONCATENATE("II-",TEXT(Q621,"0000"))</f>
        <v>II-0072</v>
      </c>
      <c r="S621" s="182" t="str">
        <f>K621</f>
        <v>RESTITUCION DE GALIVO</v>
      </c>
    </row>
    <row r="622" spans="1:19">
      <c r="A622" s="173"/>
      <c r="B622" s="163"/>
      <c r="C622" s="163"/>
      <c r="D622" s="172"/>
      <c r="G622" s="167"/>
      <c r="H622" s="235"/>
      <c r="I622" s="172"/>
      <c r="J622" s="167"/>
      <c r="K622" s="182"/>
      <c r="L622" s="167"/>
      <c r="M622" s="167"/>
      <c r="N622" s="167"/>
      <c r="O622" s="170"/>
      <c r="P622" s="167"/>
      <c r="Q622" s="167"/>
      <c r="R622" s="167"/>
      <c r="S622" s="167"/>
    </row>
    <row r="623" spans="1:19">
      <c r="A623" s="173"/>
      <c r="B623" s="163"/>
      <c r="C623" s="163"/>
      <c r="D623" s="172"/>
      <c r="G623" s="167"/>
      <c r="H623" s="235"/>
      <c r="I623" s="172"/>
      <c r="J623" s="167"/>
      <c r="K623" s="182"/>
      <c r="L623" s="167"/>
      <c r="M623" s="167"/>
      <c r="N623" s="167"/>
      <c r="O623" s="170"/>
      <c r="P623" s="167"/>
      <c r="Q623" s="167"/>
      <c r="R623" s="167"/>
      <c r="S623" s="167"/>
    </row>
    <row r="624" spans="1:19">
      <c r="A624" s="173"/>
      <c r="B624" s="163"/>
      <c r="C624" s="163"/>
      <c r="D624" s="172"/>
      <c r="G624" s="167"/>
      <c r="H624" s="205">
        <v>73</v>
      </c>
      <c r="I624" s="207"/>
      <c r="J624" s="217"/>
      <c r="K624" s="262" t="s">
        <v>1541</v>
      </c>
      <c r="L624" s="217"/>
      <c r="M624" s="217"/>
      <c r="N624" s="217"/>
      <c r="O624" s="227"/>
      <c r="P624" s="167"/>
      <c r="Q624" s="167"/>
      <c r="R624" s="167"/>
      <c r="S624" s="167"/>
    </row>
    <row r="625" spans="1:19">
      <c r="A625" s="173"/>
      <c r="B625" s="163"/>
      <c r="C625" s="163"/>
      <c r="D625" s="172"/>
      <c r="G625" s="167"/>
      <c r="H625" s="300"/>
      <c r="I625" s="184" t="s">
        <v>1019</v>
      </c>
      <c r="J625" s="187"/>
      <c r="K625" s="182" t="s">
        <v>1496</v>
      </c>
      <c r="L625" s="182"/>
      <c r="M625" s="182"/>
      <c r="N625" s="167"/>
      <c r="O625" s="219"/>
      <c r="P625" s="167"/>
      <c r="Q625" s="167"/>
      <c r="R625" s="167"/>
      <c r="S625" s="167"/>
    </row>
    <row r="626" spans="1:19">
      <c r="A626" s="173"/>
      <c r="B626" s="163"/>
      <c r="C626" s="163"/>
      <c r="D626" s="172" t="s">
        <v>1213</v>
      </c>
      <c r="G626" s="167"/>
      <c r="H626" s="300"/>
      <c r="I626" s="172"/>
      <c r="J626" s="189">
        <v>1</v>
      </c>
      <c r="K626" s="182"/>
      <c r="L626" s="182" t="s">
        <v>1324</v>
      </c>
      <c r="M626" s="182"/>
      <c r="N626" s="167"/>
      <c r="O626" s="219" t="s">
        <v>1213</v>
      </c>
      <c r="P626" s="167"/>
      <c r="Q626" s="167"/>
      <c r="R626" s="167"/>
      <c r="S626" s="167"/>
    </row>
    <row r="627" spans="1:19">
      <c r="A627" s="173"/>
      <c r="B627" s="163"/>
      <c r="C627" s="163"/>
      <c r="D627" s="172" t="s">
        <v>1213</v>
      </c>
      <c r="G627" s="167"/>
      <c r="H627" s="300"/>
      <c r="I627" s="172"/>
      <c r="J627" s="189">
        <v>2</v>
      </c>
      <c r="K627" s="182"/>
      <c r="L627" s="182" t="s">
        <v>1542</v>
      </c>
      <c r="M627" s="167"/>
      <c r="N627" s="167"/>
      <c r="O627" s="219" t="s">
        <v>1213</v>
      </c>
      <c r="P627" s="167"/>
      <c r="Q627" s="167"/>
      <c r="R627" s="167"/>
      <c r="S627" s="167"/>
    </row>
    <row r="628" spans="1:19">
      <c r="A628" s="173"/>
      <c r="B628" s="163"/>
      <c r="C628" s="163"/>
      <c r="D628" s="172" t="s">
        <v>1213</v>
      </c>
      <c r="G628" s="167"/>
      <c r="H628" s="300"/>
      <c r="I628" s="172"/>
      <c r="J628" s="189">
        <v>3</v>
      </c>
      <c r="K628" s="182"/>
      <c r="L628" s="182" t="s">
        <v>1543</v>
      </c>
      <c r="M628" s="167"/>
      <c r="N628" s="167"/>
      <c r="O628" s="219" t="s">
        <v>1213</v>
      </c>
      <c r="P628" s="167"/>
      <c r="Q628" s="167"/>
      <c r="R628" s="167"/>
      <c r="S628" s="167"/>
    </row>
    <row r="629" spans="1:19">
      <c r="A629" s="173"/>
      <c r="B629" s="163"/>
      <c r="C629" s="163"/>
      <c r="D629" s="172" t="s">
        <v>1213</v>
      </c>
      <c r="G629" s="167"/>
      <c r="H629" s="300"/>
      <c r="I629" s="172"/>
      <c r="J629" s="189">
        <v>4</v>
      </c>
      <c r="K629" s="182"/>
      <c r="L629" s="182" t="s">
        <v>1544</v>
      </c>
      <c r="M629" s="167"/>
      <c r="N629" s="167"/>
      <c r="O629" s="219" t="s">
        <v>1213</v>
      </c>
      <c r="P629" s="167"/>
      <c r="Q629" s="167"/>
      <c r="R629" s="167"/>
      <c r="S629" s="167"/>
    </row>
    <row r="630" spans="1:19">
      <c r="A630" s="173"/>
      <c r="B630" s="163"/>
      <c r="C630" s="163"/>
      <c r="D630" s="172" t="s">
        <v>1213</v>
      </c>
      <c r="G630" s="167"/>
      <c r="H630" s="300"/>
      <c r="I630" s="172"/>
      <c r="J630" s="189">
        <v>5</v>
      </c>
      <c r="K630" s="182"/>
      <c r="L630" s="182" t="s">
        <v>1545</v>
      </c>
      <c r="M630" s="167"/>
      <c r="N630" s="167"/>
      <c r="O630" s="219" t="s">
        <v>1213</v>
      </c>
      <c r="P630" s="167"/>
      <c r="Q630" s="167"/>
      <c r="R630" s="167"/>
      <c r="S630" s="167"/>
    </row>
    <row r="631" spans="1:19">
      <c r="A631" s="173"/>
      <c r="B631" s="163"/>
      <c r="C631" s="163"/>
      <c r="D631" s="172" t="s">
        <v>1213</v>
      </c>
      <c r="G631" s="167"/>
      <c r="H631" s="300"/>
      <c r="I631" s="184" t="s">
        <v>1046</v>
      </c>
      <c r="J631" s="225"/>
      <c r="K631" s="242" t="s">
        <v>1318</v>
      </c>
      <c r="L631" s="225"/>
      <c r="M631" s="225"/>
      <c r="N631" s="225"/>
      <c r="O631" s="241" t="s">
        <v>1213</v>
      </c>
      <c r="P631" s="167"/>
      <c r="Q631" s="182"/>
      <c r="R631" s="167"/>
      <c r="S631" s="167"/>
    </row>
    <row r="632" spans="1:19">
      <c r="A632" s="173"/>
      <c r="B632" s="163"/>
      <c r="C632" s="163"/>
      <c r="D632" s="172"/>
      <c r="G632" s="167"/>
      <c r="H632" s="300"/>
      <c r="I632" s="184" t="s">
        <v>1056</v>
      </c>
      <c r="J632" s="172"/>
      <c r="K632" s="182" t="s">
        <v>1339</v>
      </c>
      <c r="L632" s="182"/>
      <c r="M632" s="167"/>
      <c r="N632" s="167"/>
      <c r="O632" s="219"/>
      <c r="P632" s="167"/>
      <c r="Q632" s="167"/>
      <c r="R632" s="167"/>
      <c r="S632" s="167"/>
    </row>
    <row r="633" spans="1:19">
      <c r="A633" s="173"/>
      <c r="B633" s="163"/>
      <c r="C633" s="163"/>
      <c r="D633" s="172" t="s">
        <v>1213</v>
      </c>
      <c r="G633" s="167"/>
      <c r="H633" s="300"/>
      <c r="I633" s="172"/>
      <c r="J633" s="189">
        <v>1</v>
      </c>
      <c r="K633" s="182"/>
      <c r="L633" s="182" t="s">
        <v>1324</v>
      </c>
      <c r="M633" s="167"/>
      <c r="N633" s="167"/>
      <c r="O633" s="219" t="s">
        <v>1213</v>
      </c>
      <c r="P633" s="167"/>
      <c r="Q633" s="167"/>
      <c r="R633" s="167"/>
      <c r="S633" s="167"/>
    </row>
    <row r="634" spans="1:19">
      <c r="A634" s="173"/>
      <c r="B634" s="163"/>
      <c r="C634" s="163"/>
      <c r="D634" s="172" t="s">
        <v>1213</v>
      </c>
      <c r="G634" s="167"/>
      <c r="H634" s="300"/>
      <c r="I634" s="172"/>
      <c r="J634" s="189">
        <v>2</v>
      </c>
      <c r="K634" s="182"/>
      <c r="L634" s="182" t="s">
        <v>1542</v>
      </c>
      <c r="M634" s="167"/>
      <c r="N634" s="167"/>
      <c r="O634" s="219" t="s">
        <v>1213</v>
      </c>
      <c r="P634" s="167"/>
      <c r="Q634" s="167"/>
      <c r="R634" s="167"/>
      <c r="S634" s="167"/>
    </row>
    <row r="635" spans="1:19">
      <c r="A635" s="173"/>
      <c r="B635" s="163"/>
      <c r="C635" s="163"/>
      <c r="D635" s="172" t="s">
        <v>1213</v>
      </c>
      <c r="G635" s="167"/>
      <c r="H635" s="300"/>
      <c r="I635" s="172"/>
      <c r="J635" s="189">
        <v>3</v>
      </c>
      <c r="K635" s="182"/>
      <c r="L635" s="182" t="s">
        <v>1543</v>
      </c>
      <c r="M635" s="167"/>
      <c r="N635" s="167"/>
      <c r="O635" s="219" t="s">
        <v>1213</v>
      </c>
      <c r="P635" s="167"/>
      <c r="Q635" s="167"/>
      <c r="R635" s="167"/>
      <c r="S635" s="167"/>
    </row>
    <row r="636" spans="1:19">
      <c r="A636" s="173"/>
      <c r="B636" s="163"/>
      <c r="C636" s="163"/>
      <c r="D636" s="172" t="s">
        <v>1213</v>
      </c>
      <c r="G636" s="167"/>
      <c r="H636" s="300"/>
      <c r="I636" s="172"/>
      <c r="J636" s="189">
        <v>4</v>
      </c>
      <c r="K636" s="182"/>
      <c r="L636" s="182" t="s">
        <v>1544</v>
      </c>
      <c r="M636" s="167"/>
      <c r="N636" s="167"/>
      <c r="O636" s="219" t="s">
        <v>1213</v>
      </c>
      <c r="P636" s="167"/>
      <c r="Q636" s="167"/>
      <c r="R636" s="167"/>
      <c r="S636" s="167"/>
    </row>
    <row r="637" spans="1:19">
      <c r="A637" s="173"/>
      <c r="B637" s="163"/>
      <c r="C637" s="163"/>
      <c r="D637" s="172" t="s">
        <v>1213</v>
      </c>
      <c r="G637" s="167"/>
      <c r="H637" s="300"/>
      <c r="I637" s="236"/>
      <c r="J637" s="192">
        <v>5</v>
      </c>
      <c r="K637" s="194"/>
      <c r="L637" s="194" t="s">
        <v>1545</v>
      </c>
      <c r="M637" s="193"/>
      <c r="N637" s="193"/>
      <c r="O637" s="237" t="s">
        <v>1213</v>
      </c>
      <c r="P637" s="167"/>
      <c r="Q637" s="167"/>
      <c r="R637" s="167"/>
      <c r="S637" s="167"/>
    </row>
    <row r="638" spans="1:19" ht="15.75" thickBot="1">
      <c r="A638" s="173"/>
      <c r="B638" s="163"/>
      <c r="C638" s="163"/>
      <c r="D638" s="172" t="s">
        <v>1213</v>
      </c>
      <c r="G638" s="167"/>
      <c r="H638" s="300"/>
      <c r="I638" s="200" t="s">
        <v>1082</v>
      </c>
      <c r="J638" s="172"/>
      <c r="K638" s="182" t="s">
        <v>1321</v>
      </c>
      <c r="L638" s="182"/>
      <c r="M638" s="167"/>
      <c r="N638" s="167"/>
      <c r="O638" s="219" t="s">
        <v>1213</v>
      </c>
      <c r="P638" s="167"/>
      <c r="Q638" s="167"/>
      <c r="R638" s="167"/>
      <c r="S638" s="167"/>
    </row>
    <row r="639" spans="1:19" ht="15.75" thickTop="1">
      <c r="A639" s="173">
        <v>74</v>
      </c>
      <c r="B639" s="163" t="s">
        <v>1546</v>
      </c>
      <c r="C639" s="163" t="s">
        <v>1547</v>
      </c>
      <c r="D639" s="172"/>
      <c r="G639" s="167"/>
      <c r="H639" s="250">
        <v>74</v>
      </c>
      <c r="I639" s="206"/>
      <c r="J639" s="255"/>
      <c r="K639" s="256" t="s">
        <v>1547</v>
      </c>
      <c r="L639" s="255"/>
      <c r="M639" s="255"/>
      <c r="N639" s="255"/>
      <c r="O639" s="208"/>
      <c r="P639" s="167"/>
      <c r="Q639" s="181">
        <f>H639</f>
        <v>74</v>
      </c>
      <c r="R639" s="172" t="str">
        <f>CONCATENATE("II-",TEXT(Q639,"0000"))</f>
        <v>II-0074</v>
      </c>
      <c r="S639" s="182" t="str">
        <f>K639</f>
        <v>RIEGO</v>
      </c>
    </row>
    <row r="640" spans="1:19">
      <c r="A640" s="173"/>
      <c r="B640" s="163"/>
      <c r="C640" s="163"/>
      <c r="D640" s="172" t="s">
        <v>1213</v>
      </c>
      <c r="G640" s="167"/>
      <c r="H640" s="183"/>
      <c r="I640" s="184" t="s">
        <v>1019</v>
      </c>
      <c r="J640" s="225"/>
      <c r="K640" s="242" t="s">
        <v>1548</v>
      </c>
      <c r="L640" s="225"/>
      <c r="M640" s="225"/>
      <c r="N640" s="225"/>
      <c r="O640" s="241" t="s">
        <v>1213</v>
      </c>
      <c r="P640" s="167"/>
      <c r="Q640" s="167"/>
      <c r="R640" s="167"/>
      <c r="S640" s="167"/>
    </row>
    <row r="641" spans="1:19" ht="15.75" thickBot="1">
      <c r="A641" s="173"/>
      <c r="B641" s="163"/>
      <c r="C641" s="163"/>
      <c r="D641" s="172" t="s">
        <v>1213</v>
      </c>
      <c r="G641" s="167"/>
      <c r="H641" s="198"/>
      <c r="I641" s="200" t="s">
        <v>1046</v>
      </c>
      <c r="J641" s="201"/>
      <c r="K641" s="202" t="s">
        <v>1549</v>
      </c>
      <c r="L641" s="201"/>
      <c r="M641" s="201"/>
      <c r="N641" s="201"/>
      <c r="O641" s="263" t="s">
        <v>1213</v>
      </c>
      <c r="P641" s="167"/>
      <c r="Q641" s="167"/>
      <c r="R641" s="167"/>
      <c r="S641" s="167"/>
    </row>
    <row r="642" spans="1:19" ht="15.75" thickTop="1">
      <c r="A642" s="173">
        <v>75</v>
      </c>
      <c r="B642" s="163" t="s">
        <v>1550</v>
      </c>
      <c r="C642" s="163" t="s">
        <v>1551</v>
      </c>
      <c r="D642" s="172"/>
      <c r="G642" s="167"/>
      <c r="H642" s="205">
        <v>75</v>
      </c>
      <c r="I642" s="207"/>
      <c r="J642" s="217"/>
      <c r="K642" s="262" t="s">
        <v>1551</v>
      </c>
      <c r="L642" s="217"/>
      <c r="M642" s="217"/>
      <c r="N642" s="217"/>
      <c r="O642" s="227"/>
      <c r="P642" s="167"/>
      <c r="Q642" s="181">
        <f>H642</f>
        <v>75</v>
      </c>
      <c r="R642" s="172" t="str">
        <f>CONCATENATE("II-",TEXT(Q642,"0000"))</f>
        <v>II-0075</v>
      </c>
      <c r="S642" s="182" t="str">
        <f>K642</f>
        <v>SALTO</v>
      </c>
    </row>
    <row r="643" spans="1:19">
      <c r="A643" s="173"/>
      <c r="B643" s="163"/>
      <c r="C643" s="163"/>
      <c r="D643" s="172" t="s">
        <v>1255</v>
      </c>
      <c r="G643" s="167"/>
      <c r="H643" s="183"/>
      <c r="I643" s="184" t="s">
        <v>1019</v>
      </c>
      <c r="J643" s="225"/>
      <c r="K643" s="242" t="s">
        <v>1552</v>
      </c>
      <c r="L643" s="225"/>
      <c r="M643" s="225"/>
      <c r="N643" s="225"/>
      <c r="O643" s="241" t="s">
        <v>1255</v>
      </c>
      <c r="P643" s="167"/>
      <c r="Q643" s="167"/>
      <c r="R643" s="167"/>
      <c r="S643" s="167"/>
    </row>
    <row r="644" spans="1:19" ht="15.75" thickBot="1">
      <c r="A644" s="173"/>
      <c r="B644" s="163"/>
      <c r="C644" s="163"/>
      <c r="D644" s="172" t="s">
        <v>1255</v>
      </c>
      <c r="G644" s="167"/>
      <c r="H644" s="183"/>
      <c r="I644" s="200" t="s">
        <v>1046</v>
      </c>
      <c r="J644" s="167"/>
      <c r="K644" s="182" t="s">
        <v>1251</v>
      </c>
      <c r="L644" s="167"/>
      <c r="M644" s="167"/>
      <c r="N644" s="167"/>
      <c r="O644" s="219" t="s">
        <v>1255</v>
      </c>
      <c r="P644" s="167"/>
      <c r="Q644" s="167"/>
      <c r="R644" s="167"/>
      <c r="S644" s="167"/>
    </row>
    <row r="645" spans="1:19" ht="16.5" thickTop="1" thickBot="1">
      <c r="A645" s="173">
        <v>76</v>
      </c>
      <c r="B645" s="163" t="s">
        <v>1553</v>
      </c>
      <c r="C645" s="163" t="s">
        <v>1554</v>
      </c>
      <c r="D645" s="172" t="s">
        <v>713</v>
      </c>
      <c r="G645" s="167"/>
      <c r="H645" s="250">
        <v>76</v>
      </c>
      <c r="I645" s="206"/>
      <c r="J645" s="255"/>
      <c r="K645" s="256" t="s">
        <v>1554</v>
      </c>
      <c r="L645" s="255"/>
      <c r="M645" s="255"/>
      <c r="N645" s="255"/>
      <c r="O645" s="208" t="s">
        <v>713</v>
      </c>
      <c r="P645" s="167"/>
      <c r="Q645" s="181">
        <f t="shared" ref="Q645:Q646" si="63">H645</f>
        <v>76</v>
      </c>
      <c r="R645" s="172" t="str">
        <f t="shared" ref="R645:R646" si="64">CONCATENATE("II-",TEXT(Q645,"0000"))</f>
        <v>II-0076</v>
      </c>
      <c r="S645" s="182" t="str">
        <f t="shared" ref="S645:S646" si="65">K645</f>
        <v>SELLADO DE FISURA</v>
      </c>
    </row>
    <row r="646" spans="1:19" ht="15.75" thickTop="1">
      <c r="A646" s="173">
        <v>77</v>
      </c>
      <c r="B646" s="163" t="s">
        <v>1555</v>
      </c>
      <c r="C646" s="163" t="s">
        <v>1556</v>
      </c>
      <c r="D646" s="172"/>
      <c r="G646" s="167"/>
      <c r="H646" s="250">
        <v>77</v>
      </c>
      <c r="I646" s="206"/>
      <c r="J646" s="255"/>
      <c r="K646" s="256" t="s">
        <v>1556</v>
      </c>
      <c r="L646" s="255"/>
      <c r="M646" s="255"/>
      <c r="N646" s="255"/>
      <c r="O646" s="208"/>
      <c r="P646" s="167"/>
      <c r="Q646" s="181">
        <f t="shared" si="63"/>
        <v>77</v>
      </c>
      <c r="R646" s="172" t="str">
        <f t="shared" si="64"/>
        <v>II-0077</v>
      </c>
      <c r="S646" s="182" t="str">
        <f t="shared" si="65"/>
        <v>SIFON</v>
      </c>
    </row>
    <row r="647" spans="1:19" ht="15.75" thickBot="1">
      <c r="A647" s="173"/>
      <c r="B647" s="163"/>
      <c r="C647" s="163"/>
      <c r="D647" s="172" t="s">
        <v>4</v>
      </c>
      <c r="G647" s="167"/>
      <c r="H647" s="183"/>
      <c r="I647" s="210" t="s">
        <v>1019</v>
      </c>
      <c r="J647" s="167"/>
      <c r="K647" s="182" t="s">
        <v>1557</v>
      </c>
      <c r="L647" s="167"/>
      <c r="M647" s="167"/>
      <c r="N647" s="167"/>
      <c r="O647" s="219" t="s">
        <v>4</v>
      </c>
      <c r="P647" s="167"/>
      <c r="Q647" s="167"/>
      <c r="R647" s="167"/>
      <c r="S647" s="167"/>
    </row>
    <row r="648" spans="1:19" ht="15.75" thickTop="1">
      <c r="A648" s="173">
        <v>78</v>
      </c>
      <c r="B648" s="163" t="s">
        <v>1558</v>
      </c>
      <c r="C648" s="163" t="s">
        <v>1559</v>
      </c>
      <c r="D648" s="172"/>
      <c r="G648" s="167"/>
      <c r="H648" s="250">
        <v>78</v>
      </c>
      <c r="I648" s="206"/>
      <c r="J648" s="255"/>
      <c r="K648" s="256" t="s">
        <v>1559</v>
      </c>
      <c r="L648" s="255"/>
      <c r="M648" s="255"/>
      <c r="N648" s="255"/>
      <c r="O648" s="208"/>
      <c r="P648" s="167"/>
      <c r="Q648" s="181">
        <f>H648</f>
        <v>78</v>
      </c>
      <c r="R648" s="172" t="str">
        <f>CONCATENATE("II-",TEXT(Q648,"0000"))</f>
        <v>II-0078</v>
      </c>
      <c r="S648" s="182" t="str">
        <f>K648</f>
        <v>SUB BASE</v>
      </c>
    </row>
    <row r="649" spans="1:19">
      <c r="A649" s="173"/>
      <c r="B649" s="163"/>
      <c r="C649" s="163"/>
      <c r="D649" s="172" t="s">
        <v>1130</v>
      </c>
      <c r="G649" s="167"/>
      <c r="H649" s="183"/>
      <c r="I649" s="286" t="s">
        <v>1019</v>
      </c>
      <c r="J649" s="167"/>
      <c r="K649" s="182" t="s">
        <v>1278</v>
      </c>
      <c r="L649" s="167"/>
      <c r="M649" s="167"/>
      <c r="N649" s="167"/>
      <c r="O649" s="219" t="s">
        <v>1130</v>
      </c>
      <c r="P649" s="167"/>
      <c r="Q649" s="167"/>
      <c r="R649" s="167"/>
      <c r="S649" s="167"/>
    </row>
    <row r="650" spans="1:19">
      <c r="A650" s="173"/>
      <c r="B650" s="163"/>
      <c r="C650" s="163"/>
      <c r="D650" s="172" t="s">
        <v>1130</v>
      </c>
      <c r="G650" s="167"/>
      <c r="H650" s="183"/>
      <c r="I650" s="184" t="s">
        <v>1046</v>
      </c>
      <c r="J650" s="287"/>
      <c r="K650" s="242" t="s">
        <v>1388</v>
      </c>
      <c r="L650" s="242"/>
      <c r="M650" s="225"/>
      <c r="N650" s="225"/>
      <c r="O650" s="241" t="s">
        <v>1130</v>
      </c>
      <c r="P650" s="167"/>
      <c r="Q650" s="167"/>
      <c r="R650" s="167"/>
      <c r="S650" s="167"/>
    </row>
    <row r="651" spans="1:19">
      <c r="A651" s="173"/>
      <c r="B651" s="163"/>
      <c r="C651" s="163"/>
      <c r="D651" s="172"/>
      <c r="G651" s="167"/>
      <c r="H651" s="183"/>
      <c r="I651" s="192" t="s">
        <v>1056</v>
      </c>
      <c r="J651" s="172"/>
      <c r="K651" s="182" t="s">
        <v>1275</v>
      </c>
      <c r="L651" s="182"/>
      <c r="M651" s="167"/>
      <c r="N651" s="167"/>
      <c r="O651" s="219"/>
      <c r="P651" s="167"/>
      <c r="Q651" s="167"/>
      <c r="R651" s="167"/>
      <c r="S651" s="167"/>
    </row>
    <row r="652" spans="1:19">
      <c r="A652" s="173"/>
      <c r="B652" s="163"/>
      <c r="C652" s="163"/>
      <c r="D652" s="172" t="s">
        <v>1130</v>
      </c>
      <c r="G652" s="167"/>
      <c r="H652" s="183"/>
      <c r="I652" s="172"/>
      <c r="J652" s="189">
        <v>1</v>
      </c>
      <c r="K652" s="182"/>
      <c r="L652" s="182" t="s">
        <v>1560</v>
      </c>
      <c r="M652" s="167"/>
      <c r="N652" s="167"/>
      <c r="O652" s="219" t="s">
        <v>1130</v>
      </c>
      <c r="P652" s="167"/>
      <c r="Q652" s="167"/>
      <c r="R652" s="167"/>
      <c r="S652" s="167"/>
    </row>
    <row r="653" spans="1:19">
      <c r="A653" s="173"/>
      <c r="B653" s="163"/>
      <c r="C653" s="163"/>
      <c r="D653" s="172" t="s">
        <v>1130</v>
      </c>
      <c r="G653" s="167"/>
      <c r="H653" s="183"/>
      <c r="I653" s="172"/>
      <c r="J653" s="189">
        <v>2</v>
      </c>
      <c r="K653" s="182"/>
      <c r="L653" s="182" t="s">
        <v>1561</v>
      </c>
      <c r="M653" s="167"/>
      <c r="N653" s="167"/>
      <c r="O653" s="219" t="s">
        <v>1130</v>
      </c>
      <c r="P653" s="167"/>
      <c r="Q653" s="167"/>
      <c r="R653" s="167"/>
      <c r="S653" s="167"/>
    </row>
    <row r="654" spans="1:19">
      <c r="A654" s="173"/>
      <c r="B654" s="163"/>
      <c r="C654" s="163"/>
      <c r="D654" s="172" t="s">
        <v>1130</v>
      </c>
      <c r="G654" s="167"/>
      <c r="H654" s="183"/>
      <c r="I654" s="172"/>
      <c r="J654" s="192">
        <v>3</v>
      </c>
      <c r="K654" s="167"/>
      <c r="L654" s="182" t="s">
        <v>1275</v>
      </c>
      <c r="M654" s="167"/>
      <c r="N654" s="167"/>
      <c r="O654" s="219" t="s">
        <v>1130</v>
      </c>
      <c r="P654" s="167"/>
      <c r="Q654" s="167"/>
      <c r="R654" s="167"/>
      <c r="S654" s="167"/>
    </row>
    <row r="655" spans="1:19">
      <c r="A655" s="173"/>
      <c r="B655" s="163"/>
      <c r="C655" s="163"/>
      <c r="D655" s="172" t="s">
        <v>1130</v>
      </c>
      <c r="G655" s="167"/>
      <c r="H655" s="183"/>
      <c r="I655" s="184" t="s">
        <v>1082</v>
      </c>
      <c r="J655" s="287"/>
      <c r="K655" s="242" t="s">
        <v>1214</v>
      </c>
      <c r="L655" s="242"/>
      <c r="M655" s="225"/>
      <c r="N655" s="225"/>
      <c r="O655" s="241" t="s">
        <v>1130</v>
      </c>
      <c r="P655" s="167"/>
      <c r="Q655" s="167"/>
      <c r="R655" s="167"/>
      <c r="S655" s="167"/>
    </row>
    <row r="656" spans="1:19">
      <c r="A656" s="173"/>
      <c r="B656" s="163"/>
      <c r="C656" s="163"/>
      <c r="D656" s="172" t="s">
        <v>1130</v>
      </c>
      <c r="G656" s="167"/>
      <c r="H656" s="183"/>
      <c r="I656" s="189" t="s">
        <v>1124</v>
      </c>
      <c r="J656" s="172"/>
      <c r="K656" s="182" t="s">
        <v>1217</v>
      </c>
      <c r="L656" s="182"/>
      <c r="M656" s="167"/>
      <c r="N656" s="167"/>
      <c r="O656" s="219" t="s">
        <v>1130</v>
      </c>
      <c r="P656" s="167"/>
      <c r="Q656" s="167"/>
      <c r="R656" s="167"/>
      <c r="S656" s="167"/>
    </row>
    <row r="657" spans="1:19">
      <c r="A657" s="173"/>
      <c r="B657" s="163"/>
      <c r="C657" s="163"/>
      <c r="D657" s="172" t="s">
        <v>1130</v>
      </c>
      <c r="G657" s="167"/>
      <c r="H657" s="183"/>
      <c r="I657" s="184" t="s">
        <v>1127</v>
      </c>
      <c r="J657" s="287"/>
      <c r="K657" s="242" t="s">
        <v>1279</v>
      </c>
      <c r="L657" s="242"/>
      <c r="M657" s="225"/>
      <c r="N657" s="225"/>
      <c r="O657" s="241" t="s">
        <v>1130</v>
      </c>
      <c r="P657" s="167"/>
      <c r="Q657" s="167"/>
      <c r="R657" s="167"/>
      <c r="S657" s="167"/>
    </row>
    <row r="658" spans="1:19" ht="15.75" thickBot="1">
      <c r="A658" s="173"/>
      <c r="B658" s="163"/>
      <c r="C658" s="163"/>
      <c r="D658" s="172" t="s">
        <v>1130</v>
      </c>
      <c r="G658" s="167"/>
      <c r="H658" s="198"/>
      <c r="I658" s="200" t="s">
        <v>1131</v>
      </c>
      <c r="J658" s="199"/>
      <c r="K658" s="202" t="s">
        <v>1220</v>
      </c>
      <c r="L658" s="202"/>
      <c r="M658" s="201"/>
      <c r="N658" s="201"/>
      <c r="O658" s="263" t="s">
        <v>1130</v>
      </c>
      <c r="P658" s="167"/>
      <c r="Q658" s="167"/>
      <c r="R658" s="167"/>
      <c r="S658" s="167"/>
    </row>
    <row r="659" spans="1:19" ht="15.75" thickTop="1">
      <c r="A659" s="173">
        <v>79</v>
      </c>
      <c r="B659" s="163" t="s">
        <v>1562</v>
      </c>
      <c r="C659" s="163" t="s">
        <v>1385</v>
      </c>
      <c r="D659" s="172"/>
      <c r="G659" s="167"/>
      <c r="H659" s="205">
        <v>79</v>
      </c>
      <c r="I659" s="207"/>
      <c r="J659" s="217"/>
      <c r="K659" s="253" t="s">
        <v>1385</v>
      </c>
      <c r="L659" s="217"/>
      <c r="M659" s="217"/>
      <c r="N659" s="217"/>
      <c r="O659" s="227"/>
      <c r="P659" s="167"/>
      <c r="Q659" s="181">
        <f>H659</f>
        <v>79</v>
      </c>
      <c r="R659" s="172" t="str">
        <f>CONCATENATE("II-",TEXT(Q659,"0000"))</f>
        <v>II-0079</v>
      </c>
      <c r="S659" s="182" t="str">
        <f>K659</f>
        <v>SUELO</v>
      </c>
    </row>
    <row r="660" spans="1:19">
      <c r="A660" s="173"/>
      <c r="B660" s="163"/>
      <c r="C660" s="163"/>
      <c r="D660" s="172" t="s">
        <v>1130</v>
      </c>
      <c r="G660" s="167"/>
      <c r="H660" s="183"/>
      <c r="I660" s="286" t="s">
        <v>1019</v>
      </c>
      <c r="J660" s="167"/>
      <c r="K660" s="242" t="s">
        <v>1563</v>
      </c>
      <c r="L660" s="182"/>
      <c r="M660" s="182"/>
      <c r="N660" s="167"/>
      <c r="O660" s="219" t="s">
        <v>1130</v>
      </c>
      <c r="P660" s="167"/>
      <c r="Q660" s="167"/>
      <c r="R660" s="167"/>
      <c r="S660" s="167"/>
    </row>
    <row r="661" spans="1:19">
      <c r="A661" s="173"/>
      <c r="B661" s="163"/>
      <c r="C661" s="163"/>
      <c r="D661" s="172" t="s">
        <v>1130</v>
      </c>
      <c r="G661" s="167"/>
      <c r="H661" s="183"/>
      <c r="I661" s="184" t="s">
        <v>1046</v>
      </c>
      <c r="J661" s="225"/>
      <c r="K661" s="182" t="s">
        <v>1564</v>
      </c>
      <c r="L661" s="242"/>
      <c r="M661" s="242"/>
      <c r="N661" s="225"/>
      <c r="O661" s="241" t="s">
        <v>1130</v>
      </c>
      <c r="P661" s="167"/>
      <c r="Q661" s="167"/>
      <c r="R661" s="167"/>
      <c r="S661" s="167"/>
    </row>
    <row r="662" spans="1:19" ht="15.75" thickBot="1">
      <c r="A662" s="173"/>
      <c r="B662" s="163"/>
      <c r="C662" s="163"/>
      <c r="D662" s="172" t="s">
        <v>1130</v>
      </c>
      <c r="G662" s="167"/>
      <c r="H662" s="183"/>
      <c r="I662" s="200" t="s">
        <v>1056</v>
      </c>
      <c r="J662" s="167"/>
      <c r="K662" s="244" t="s">
        <v>1565</v>
      </c>
      <c r="L662" s="182"/>
      <c r="M662" s="182"/>
      <c r="N662" s="167"/>
      <c r="O662" s="219" t="s">
        <v>1130</v>
      </c>
      <c r="P662" s="167"/>
      <c r="Q662" s="167"/>
      <c r="R662" s="167"/>
      <c r="S662" s="167"/>
    </row>
    <row r="663" spans="1:19" ht="15.75" thickTop="1">
      <c r="A663" s="173">
        <v>80</v>
      </c>
      <c r="B663" s="163" t="s">
        <v>1566</v>
      </c>
      <c r="C663" s="163" t="s">
        <v>1567</v>
      </c>
      <c r="D663" s="172"/>
      <c r="G663" s="167"/>
      <c r="H663" s="250">
        <v>80</v>
      </c>
      <c r="I663" s="206"/>
      <c r="J663" s="255"/>
      <c r="K663" s="262" t="s">
        <v>1567</v>
      </c>
      <c r="L663" s="255"/>
      <c r="M663" s="255"/>
      <c r="N663" s="255"/>
      <c r="O663" s="208"/>
      <c r="P663" s="167"/>
      <c r="Q663" s="181">
        <f>H663</f>
        <v>80</v>
      </c>
      <c r="R663" s="172" t="str">
        <f>CONCATENATE("II-",TEXT(Q663,"0000"))</f>
        <v>II-0080</v>
      </c>
      <c r="S663" s="182" t="str">
        <f>K663</f>
        <v>SUMIDEROS</v>
      </c>
    </row>
    <row r="664" spans="1:19">
      <c r="A664" s="173"/>
      <c r="B664" s="163"/>
      <c r="C664" s="163"/>
      <c r="D664" s="172" t="s">
        <v>4</v>
      </c>
      <c r="G664" s="167"/>
      <c r="H664" s="183"/>
      <c r="I664" s="189" t="s">
        <v>1019</v>
      </c>
      <c r="J664" s="167"/>
      <c r="K664" s="182" t="s">
        <v>1568</v>
      </c>
      <c r="L664" s="182"/>
      <c r="M664" s="182"/>
      <c r="N664" s="167"/>
      <c r="O664" s="219" t="s">
        <v>4</v>
      </c>
      <c r="P664" s="167"/>
      <c r="Q664" s="167"/>
      <c r="R664" s="167"/>
      <c r="S664" s="167"/>
    </row>
    <row r="665" spans="1:19">
      <c r="A665" s="173"/>
      <c r="B665" s="163"/>
      <c r="C665" s="163"/>
      <c r="D665" s="172" t="s">
        <v>4</v>
      </c>
      <c r="G665" s="167"/>
      <c r="H665" s="183"/>
      <c r="I665" s="184" t="s">
        <v>1046</v>
      </c>
      <c r="J665" s="225"/>
      <c r="K665" s="242" t="s">
        <v>1569</v>
      </c>
      <c r="L665" s="242"/>
      <c r="M665" s="242"/>
      <c r="N665" s="225"/>
      <c r="O665" s="241" t="s">
        <v>4</v>
      </c>
      <c r="P665" s="167"/>
      <c r="Q665" s="167"/>
      <c r="R665" s="167"/>
      <c r="S665" s="167"/>
    </row>
    <row r="666" spans="1:19">
      <c r="A666" s="173"/>
      <c r="B666" s="163"/>
      <c r="C666" s="163"/>
      <c r="D666" s="172" t="s">
        <v>4</v>
      </c>
      <c r="G666" s="167"/>
      <c r="H666" s="183"/>
      <c r="I666" s="184" t="s">
        <v>1056</v>
      </c>
      <c r="J666" s="225"/>
      <c r="K666" s="242" t="s">
        <v>1570</v>
      </c>
      <c r="L666" s="242"/>
      <c r="M666" s="242"/>
      <c r="N666" s="225"/>
      <c r="O666" s="241" t="s">
        <v>4</v>
      </c>
      <c r="P666" s="167"/>
      <c r="Q666" s="167"/>
      <c r="R666" s="167"/>
      <c r="S666" s="167"/>
    </row>
    <row r="667" spans="1:19" ht="15.75" thickBot="1">
      <c r="A667" s="173"/>
      <c r="B667" s="163"/>
      <c r="C667" s="163"/>
      <c r="D667" s="172" t="s">
        <v>4</v>
      </c>
      <c r="G667" s="167"/>
      <c r="H667" s="229"/>
      <c r="I667" s="231" t="s">
        <v>1082</v>
      </c>
      <c r="J667" s="232"/>
      <c r="K667" s="233" t="s">
        <v>1571</v>
      </c>
      <c r="L667" s="233"/>
      <c r="M667" s="233"/>
      <c r="N667" s="232"/>
      <c r="O667" s="265" t="s">
        <v>4</v>
      </c>
      <c r="P667" s="167"/>
      <c r="Q667" s="167"/>
      <c r="R667" s="167"/>
      <c r="S667" s="167"/>
    </row>
    <row r="668" spans="1:19">
      <c r="A668" s="173"/>
      <c r="B668" s="163"/>
      <c r="C668" s="163"/>
      <c r="D668" s="172"/>
      <c r="G668" s="167"/>
      <c r="H668" s="235"/>
      <c r="I668" s="172"/>
      <c r="J668" s="167"/>
      <c r="K668" s="182"/>
      <c r="L668" s="182"/>
      <c r="M668" s="182"/>
      <c r="N668" s="167"/>
      <c r="O668" s="170"/>
      <c r="P668" s="167"/>
      <c r="Q668" s="167"/>
      <c r="R668" s="167"/>
      <c r="S668" s="167"/>
    </row>
    <row r="669" spans="1:19">
      <c r="A669" s="173"/>
      <c r="B669" s="163"/>
      <c r="C669" s="163"/>
      <c r="D669" s="172"/>
      <c r="G669" s="167"/>
      <c r="H669" s="235"/>
      <c r="I669" s="172"/>
      <c r="J669" s="167"/>
      <c r="K669" s="182"/>
      <c r="L669" s="182"/>
      <c r="M669" s="182"/>
      <c r="N669" s="167"/>
      <c r="O669" s="170"/>
      <c r="P669" s="167"/>
      <c r="Q669" s="167"/>
      <c r="R669" s="167"/>
      <c r="S669" s="167"/>
    </row>
    <row r="670" spans="1:19">
      <c r="A670" s="173"/>
      <c r="B670" s="163"/>
      <c r="C670" s="163"/>
      <c r="D670" s="172"/>
      <c r="G670" s="167"/>
      <c r="H670" s="235"/>
      <c r="I670" s="172"/>
      <c r="J670" s="167"/>
      <c r="K670" s="182"/>
      <c r="L670" s="182"/>
      <c r="M670" s="182"/>
      <c r="N670" s="167"/>
      <c r="O670" s="170"/>
      <c r="P670" s="167"/>
      <c r="Q670" s="167"/>
      <c r="R670" s="167"/>
      <c r="S670" s="167"/>
    </row>
    <row r="671" spans="1:19">
      <c r="A671" s="173">
        <v>81</v>
      </c>
      <c r="B671" s="163" t="s">
        <v>1572</v>
      </c>
      <c r="C671" s="163" t="s">
        <v>1573</v>
      </c>
      <c r="D671" s="172"/>
      <c r="G671" s="304"/>
      <c r="H671" s="205">
        <v>81</v>
      </c>
      <c r="I671" s="207"/>
      <c r="J671" s="217"/>
      <c r="K671" s="262" t="s">
        <v>1573</v>
      </c>
      <c r="L671" s="217"/>
      <c r="M671" s="217"/>
      <c r="N671" s="217"/>
      <c r="O671" s="227"/>
      <c r="P671" s="167"/>
      <c r="Q671" s="181">
        <f>H671</f>
        <v>81</v>
      </c>
      <c r="R671" s="172" t="str">
        <f>CONCATENATE("II-",TEXT(Q671,"0000"))</f>
        <v>II-0081</v>
      </c>
      <c r="S671" s="182" t="str">
        <f>K671</f>
        <v>TERRAPLEN</v>
      </c>
    </row>
    <row r="672" spans="1:19">
      <c r="A672" s="173"/>
      <c r="B672" s="163"/>
      <c r="C672" s="163"/>
      <c r="D672" s="172"/>
      <c r="G672" s="167"/>
      <c r="H672" s="183"/>
      <c r="I672" s="184" t="s">
        <v>1019</v>
      </c>
      <c r="J672" s="167"/>
      <c r="K672" s="182" t="s">
        <v>1574</v>
      </c>
      <c r="L672" s="167"/>
      <c r="M672" s="167"/>
      <c r="N672" s="167"/>
      <c r="O672" s="219"/>
      <c r="P672" s="167"/>
      <c r="Q672" s="167"/>
      <c r="R672" s="167"/>
      <c r="S672" s="167"/>
    </row>
    <row r="673" spans="1:19">
      <c r="A673" s="173"/>
      <c r="B673" s="163"/>
      <c r="C673" s="163"/>
      <c r="D673" s="172" t="s">
        <v>1130</v>
      </c>
      <c r="G673" s="167"/>
      <c r="H673" s="183"/>
      <c r="I673" s="172"/>
      <c r="J673" s="189">
        <v>1</v>
      </c>
      <c r="K673" s="167"/>
      <c r="L673" s="182" t="s">
        <v>1575</v>
      </c>
      <c r="M673" s="167"/>
      <c r="N673" s="167"/>
      <c r="O673" s="219" t="s">
        <v>1130</v>
      </c>
      <c r="P673" s="167"/>
      <c r="Q673" s="167"/>
      <c r="R673" s="167"/>
      <c r="S673" s="167"/>
    </row>
    <row r="674" spans="1:19">
      <c r="A674" s="173"/>
      <c r="B674" s="163"/>
      <c r="C674" s="163"/>
      <c r="D674" s="172" t="s">
        <v>1130</v>
      </c>
      <c r="G674" s="167"/>
      <c r="H674" s="183"/>
      <c r="I674" s="197"/>
      <c r="J674" s="192">
        <v>2</v>
      </c>
      <c r="K674" s="193"/>
      <c r="L674" s="194" t="s">
        <v>1576</v>
      </c>
      <c r="M674" s="193"/>
      <c r="N674" s="193"/>
      <c r="O674" s="237" t="s">
        <v>1130</v>
      </c>
      <c r="P674" s="167"/>
      <c r="Q674" s="167"/>
      <c r="R674" s="167"/>
      <c r="S674" s="167"/>
    </row>
    <row r="675" spans="1:19">
      <c r="A675" s="173"/>
      <c r="B675" s="163"/>
      <c r="C675" s="163"/>
      <c r="D675" s="172"/>
      <c r="G675" s="167"/>
      <c r="H675" s="183"/>
      <c r="I675" s="184" t="s">
        <v>1046</v>
      </c>
      <c r="J675" s="167"/>
      <c r="K675" s="182" t="s">
        <v>1577</v>
      </c>
      <c r="L675" s="167"/>
      <c r="M675" s="167"/>
      <c r="N675" s="167"/>
      <c r="O675" s="219"/>
      <c r="P675" s="167"/>
      <c r="Q675" s="167"/>
      <c r="R675" s="167"/>
      <c r="S675" s="167"/>
    </row>
    <row r="676" spans="1:19">
      <c r="A676" s="173"/>
      <c r="B676" s="163"/>
      <c r="C676" s="163"/>
      <c r="D676" s="172" t="s">
        <v>1130</v>
      </c>
      <c r="G676" s="167"/>
      <c r="H676" s="183"/>
      <c r="I676" s="172"/>
      <c r="J676" s="189">
        <v>1</v>
      </c>
      <c r="K676" s="167"/>
      <c r="L676" s="182" t="s">
        <v>1578</v>
      </c>
      <c r="M676" s="167"/>
      <c r="N676" s="167"/>
      <c r="O676" s="219" t="s">
        <v>1130</v>
      </c>
      <c r="P676" s="167"/>
      <c r="Q676" s="167"/>
      <c r="R676" s="167"/>
      <c r="S676" s="167"/>
    </row>
    <row r="677" spans="1:19" ht="15.75" thickBot="1">
      <c r="A677" s="173"/>
      <c r="B677" s="163"/>
      <c r="C677" s="163"/>
      <c r="D677" s="172" t="s">
        <v>1130</v>
      </c>
      <c r="G677" s="167"/>
      <c r="H677" s="183"/>
      <c r="I677" s="172"/>
      <c r="J677" s="200">
        <v>2</v>
      </c>
      <c r="K677" s="167"/>
      <c r="L677" s="182" t="s">
        <v>1576</v>
      </c>
      <c r="M677" s="167"/>
      <c r="N677" s="167"/>
      <c r="O677" s="219" t="s">
        <v>1130</v>
      </c>
      <c r="P677" s="167"/>
      <c r="Q677" s="167"/>
      <c r="R677" s="167"/>
      <c r="S677" s="167"/>
    </row>
    <row r="678" spans="1:19" ht="16.5" thickTop="1" thickBot="1">
      <c r="A678" s="173">
        <v>82</v>
      </c>
      <c r="B678" s="163" t="s">
        <v>1579</v>
      </c>
      <c r="C678" s="163" t="s">
        <v>1580</v>
      </c>
      <c r="D678" s="172" t="s">
        <v>1213</v>
      </c>
      <c r="G678" s="167"/>
      <c r="H678" s="276">
        <v>82</v>
      </c>
      <c r="I678" s="277"/>
      <c r="J678" s="278"/>
      <c r="K678" s="279" t="s">
        <v>1580</v>
      </c>
      <c r="L678" s="278"/>
      <c r="M678" s="278"/>
      <c r="N678" s="278"/>
      <c r="O678" s="280" t="s">
        <v>1213</v>
      </c>
      <c r="P678" s="167"/>
      <c r="Q678" s="181">
        <f t="shared" ref="Q678:Q679" si="66">H678</f>
        <v>82</v>
      </c>
      <c r="R678" s="172" t="str">
        <f t="shared" ref="R678:R679" si="67">CONCATENATE("II-",TEXT(Q678,"0000"))</f>
        <v>II-0082</v>
      </c>
      <c r="S678" s="182" t="str">
        <f t="shared" ref="S678:S679" si="68">K678</f>
        <v>TEXTURIZADO (SUPERFICIE DE RODAMIENTO)</v>
      </c>
    </row>
    <row r="679" spans="1:19" ht="15.75" thickTop="1">
      <c r="A679" s="173">
        <v>83</v>
      </c>
      <c r="B679" s="163" t="s">
        <v>1581</v>
      </c>
      <c r="C679" s="163" t="s">
        <v>1582</v>
      </c>
      <c r="D679" s="172"/>
      <c r="G679" s="167"/>
      <c r="H679" s="205">
        <v>83</v>
      </c>
      <c r="I679" s="207"/>
      <c r="J679" s="207"/>
      <c r="K679" s="216" t="s">
        <v>1582</v>
      </c>
      <c r="L679" s="217"/>
      <c r="M679" s="217"/>
      <c r="N679" s="217"/>
      <c r="O679" s="227"/>
      <c r="P679" s="167"/>
      <c r="Q679" s="181">
        <f t="shared" si="66"/>
        <v>83</v>
      </c>
      <c r="R679" s="172" t="str">
        <f t="shared" si="67"/>
        <v>II-0083</v>
      </c>
      <c r="S679" s="182" t="str">
        <f t="shared" si="68"/>
        <v>TRABAJOS NO ESPECIFICADOS O DE EMERGENCIA</v>
      </c>
    </row>
    <row r="680" spans="1:19">
      <c r="A680" s="173"/>
      <c r="B680" s="163"/>
      <c r="C680" s="163"/>
      <c r="D680" s="172" t="s">
        <v>907</v>
      </c>
      <c r="G680" s="167"/>
      <c r="H680" s="183"/>
      <c r="I680" s="286" t="s">
        <v>1019</v>
      </c>
      <c r="J680" s="172"/>
      <c r="K680" s="215" t="s">
        <v>1583</v>
      </c>
      <c r="L680" s="167"/>
      <c r="M680" s="167"/>
      <c r="N680" s="167"/>
      <c r="O680" s="219" t="s">
        <v>907</v>
      </c>
      <c r="P680" s="167"/>
      <c r="Q680" s="167"/>
      <c r="R680" s="167"/>
      <c r="S680" s="167"/>
    </row>
    <row r="681" spans="1:19">
      <c r="A681" s="173"/>
      <c r="B681" s="163"/>
      <c r="C681" s="163"/>
      <c r="D681" s="172" t="s">
        <v>907</v>
      </c>
      <c r="G681" s="167"/>
      <c r="H681" s="183"/>
      <c r="I681" s="184" t="s">
        <v>1046</v>
      </c>
      <c r="J681" s="287"/>
      <c r="K681" s="242" t="s">
        <v>1584</v>
      </c>
      <c r="L681" s="242"/>
      <c r="M681" s="225"/>
      <c r="N681" s="225"/>
      <c r="O681" s="241" t="s">
        <v>907</v>
      </c>
      <c r="P681" s="167"/>
      <c r="Q681" s="167"/>
      <c r="R681" s="167"/>
      <c r="S681" s="167"/>
    </row>
    <row r="682" spans="1:19">
      <c r="A682" s="173"/>
      <c r="B682" s="163"/>
      <c r="C682" s="163"/>
      <c r="D682" s="172" t="s">
        <v>907</v>
      </c>
      <c r="G682" s="167"/>
      <c r="H682" s="183"/>
      <c r="I682" s="189" t="s">
        <v>1056</v>
      </c>
      <c r="J682" s="172"/>
      <c r="K682" s="215" t="s">
        <v>1585</v>
      </c>
      <c r="L682" s="182"/>
      <c r="M682" s="167"/>
      <c r="N682" s="167"/>
      <c r="O682" s="219" t="s">
        <v>907</v>
      </c>
      <c r="P682" s="167"/>
      <c r="Q682" s="167"/>
      <c r="R682" s="167"/>
      <c r="S682" s="167"/>
    </row>
    <row r="683" spans="1:19">
      <c r="A683" s="173"/>
      <c r="B683" s="163"/>
      <c r="C683" s="163"/>
      <c r="D683" s="172" t="s">
        <v>907</v>
      </c>
      <c r="G683" s="167"/>
      <c r="H683" s="183"/>
      <c r="I683" s="184" t="s">
        <v>1082</v>
      </c>
      <c r="J683" s="287"/>
      <c r="K683" s="224" t="s">
        <v>1586</v>
      </c>
      <c r="L683" s="242"/>
      <c r="M683" s="225"/>
      <c r="N683" s="225"/>
      <c r="O683" s="241" t="s">
        <v>907</v>
      </c>
      <c r="P683" s="167"/>
      <c r="Q683" s="167"/>
      <c r="R683" s="167"/>
      <c r="S683" s="167"/>
    </row>
    <row r="684" spans="1:19">
      <c r="A684" s="173"/>
      <c r="B684" s="163"/>
      <c r="C684" s="163"/>
      <c r="D684" s="172" t="s">
        <v>907</v>
      </c>
      <c r="G684" s="167"/>
      <c r="H684" s="183"/>
      <c r="I684" s="189" t="s">
        <v>1124</v>
      </c>
      <c r="J684" s="172"/>
      <c r="K684" s="215" t="s">
        <v>1587</v>
      </c>
      <c r="L684" s="182"/>
      <c r="M684" s="167"/>
      <c r="N684" s="167"/>
      <c r="O684" s="219" t="s">
        <v>907</v>
      </c>
      <c r="P684" s="167"/>
      <c r="Q684" s="167"/>
      <c r="R684" s="167"/>
      <c r="S684" s="167"/>
    </row>
    <row r="685" spans="1:19" ht="15.75" thickBot="1">
      <c r="A685" s="173"/>
      <c r="B685" s="163"/>
      <c r="C685" s="163"/>
      <c r="D685" s="172" t="s">
        <v>907</v>
      </c>
      <c r="G685" s="167"/>
      <c r="H685" s="198"/>
      <c r="I685" s="210" t="s">
        <v>1127</v>
      </c>
      <c r="J685" s="211"/>
      <c r="K685" s="212" t="s">
        <v>1588</v>
      </c>
      <c r="L685" s="244"/>
      <c r="M685" s="213"/>
      <c r="N685" s="213"/>
      <c r="O685" s="245" t="s">
        <v>907</v>
      </c>
      <c r="P685" s="167"/>
      <c r="Q685" s="167"/>
      <c r="R685" s="167"/>
      <c r="S685" s="167"/>
    </row>
    <row r="686" spans="1:19" ht="15.75" thickTop="1">
      <c r="A686" s="173">
        <v>84</v>
      </c>
      <c r="B686" s="163" t="s">
        <v>1589</v>
      </c>
      <c r="C686" s="163" t="s">
        <v>1590</v>
      </c>
      <c r="D686" s="172"/>
      <c r="G686" s="167"/>
      <c r="H686" s="205">
        <v>84</v>
      </c>
      <c r="I686" s="207"/>
      <c r="J686" s="217"/>
      <c r="K686" s="262" t="s">
        <v>1590</v>
      </c>
      <c r="L686" s="217"/>
      <c r="M686" s="217"/>
      <c r="N686" s="217"/>
      <c r="O686" s="227"/>
      <c r="P686" s="167"/>
      <c r="Q686" s="181">
        <f>H686</f>
        <v>84</v>
      </c>
      <c r="R686" s="172" t="str">
        <f>CONCATENATE("II-",TEXT(Q686,"0000"))</f>
        <v>II-0084</v>
      </c>
      <c r="S686" s="182" t="str">
        <f>K686</f>
        <v xml:space="preserve">TRANSPORTE </v>
      </c>
    </row>
    <row r="687" spans="1:19">
      <c r="A687" s="173"/>
      <c r="B687" s="163"/>
      <c r="C687" s="163"/>
      <c r="D687" s="172" t="s">
        <v>1591</v>
      </c>
      <c r="G687" s="167"/>
      <c r="H687" s="183"/>
      <c r="I687" s="184" t="s">
        <v>1019</v>
      </c>
      <c r="J687" s="287"/>
      <c r="K687" s="242" t="s">
        <v>1384</v>
      </c>
      <c r="L687" s="225"/>
      <c r="M687" s="225"/>
      <c r="N687" s="225"/>
      <c r="O687" s="241" t="s">
        <v>1591</v>
      </c>
      <c r="P687" s="167"/>
      <c r="Q687" s="167"/>
      <c r="R687" s="167"/>
      <c r="S687" s="167"/>
    </row>
    <row r="688" spans="1:19" ht="15.75" thickBot="1">
      <c r="A688" s="173"/>
      <c r="B688" s="163"/>
      <c r="C688" s="163"/>
      <c r="D688" s="172" t="s">
        <v>1592</v>
      </c>
      <c r="G688" s="167"/>
      <c r="H688" s="183"/>
      <c r="I688" s="200" t="s">
        <v>1046</v>
      </c>
      <c r="J688" s="172"/>
      <c r="K688" s="182" t="s">
        <v>1385</v>
      </c>
      <c r="L688" s="167"/>
      <c r="M688" s="167"/>
      <c r="N688" s="167"/>
      <c r="O688" s="219" t="s">
        <v>1592</v>
      </c>
      <c r="P688" s="167"/>
      <c r="Q688" s="167"/>
      <c r="R688" s="167"/>
      <c r="S688" s="167"/>
    </row>
    <row r="689" spans="1:19" ht="15.75" thickTop="1">
      <c r="A689" s="173">
        <v>85</v>
      </c>
      <c r="B689" s="163" t="s">
        <v>1593</v>
      </c>
      <c r="C689" s="163" t="s">
        <v>1594</v>
      </c>
      <c r="D689" s="172"/>
      <c r="G689" s="167"/>
      <c r="H689" s="250">
        <v>85</v>
      </c>
      <c r="I689" s="206"/>
      <c r="J689" s="255"/>
      <c r="K689" s="256" t="s">
        <v>1594</v>
      </c>
      <c r="L689" s="255"/>
      <c r="M689" s="255"/>
      <c r="N689" s="255"/>
      <c r="O689" s="208"/>
      <c r="P689" s="167"/>
      <c r="Q689" s="181">
        <f>H689</f>
        <v>85</v>
      </c>
      <c r="R689" s="172" t="str">
        <f>CONCATENATE("II-",TEXT(Q689,"0000"))</f>
        <v>II-0085</v>
      </c>
      <c r="S689" s="182" t="str">
        <f>K689</f>
        <v>TRANQUERA</v>
      </c>
    </row>
    <row r="690" spans="1:19">
      <c r="A690" s="173">
        <v>1</v>
      </c>
      <c r="B690" s="174" t="str">
        <f>CONCATENATE($B$689,".",TEXT(A690,"0000"))</f>
        <v>II-0085.0001</v>
      </c>
      <c r="C690" s="163" t="s">
        <v>1595</v>
      </c>
      <c r="D690" s="172" t="s">
        <v>1247</v>
      </c>
      <c r="G690" s="167"/>
      <c r="H690" s="183"/>
      <c r="I690" s="184" t="s">
        <v>1019</v>
      </c>
      <c r="J690" s="225"/>
      <c r="K690" s="242" t="s">
        <v>1596</v>
      </c>
      <c r="L690" s="242"/>
      <c r="M690" s="242"/>
      <c r="N690" s="242"/>
      <c r="O690" s="241" t="s">
        <v>1247</v>
      </c>
      <c r="P690" s="167"/>
      <c r="Q690" s="167"/>
      <c r="R690" s="167"/>
      <c r="S690" s="167"/>
    </row>
    <row r="691" spans="1:19" ht="15.75" thickBot="1">
      <c r="A691" s="173">
        <v>2</v>
      </c>
      <c r="B691" s="174" t="str">
        <f>CONCATENATE($B$689,".",TEXT(A691,"0000"))</f>
        <v>II-0085.0002</v>
      </c>
      <c r="C691" s="163" t="s">
        <v>1597</v>
      </c>
      <c r="D691" s="172" t="s">
        <v>1247</v>
      </c>
      <c r="G691" s="167"/>
      <c r="H691" s="198"/>
      <c r="I691" s="200" t="s">
        <v>1046</v>
      </c>
      <c r="J691" s="201"/>
      <c r="K691" s="202" t="s">
        <v>1598</v>
      </c>
      <c r="L691" s="202"/>
      <c r="M691" s="202"/>
      <c r="N691" s="202"/>
      <c r="O691" s="263" t="s">
        <v>1247</v>
      </c>
      <c r="P691" s="167"/>
      <c r="Q691" s="167"/>
      <c r="R691" s="167"/>
      <c r="S691" s="167"/>
    </row>
    <row r="692" spans="1:19" ht="15.75" thickTop="1">
      <c r="A692" s="173">
        <v>86</v>
      </c>
      <c r="B692" s="163" t="s">
        <v>1599</v>
      </c>
      <c r="C692" s="163" t="s">
        <v>1600</v>
      </c>
      <c r="D692" s="172"/>
      <c r="G692" s="167"/>
      <c r="H692" s="250">
        <v>86</v>
      </c>
      <c r="I692" s="206"/>
      <c r="J692" s="255"/>
      <c r="K692" s="256" t="s">
        <v>1600</v>
      </c>
      <c r="L692" s="255"/>
      <c r="M692" s="255"/>
      <c r="N692" s="255"/>
      <c r="O692" s="208"/>
      <c r="P692" s="167"/>
      <c r="Q692" s="181">
        <f>H692</f>
        <v>86</v>
      </c>
      <c r="R692" s="172" t="str">
        <f>CONCATENATE("II-",TEXT(Q692,"0000"))</f>
        <v>II-0086</v>
      </c>
      <c r="S692" s="182" t="str">
        <f>K692</f>
        <v>TRATAMIENTO BITUMINOSO</v>
      </c>
    </row>
    <row r="693" spans="1:19">
      <c r="A693" s="173"/>
      <c r="B693" s="163"/>
      <c r="C693" s="163"/>
      <c r="D693" s="172" t="s">
        <v>1213</v>
      </c>
      <c r="G693" s="167"/>
      <c r="H693" s="183"/>
      <c r="I693" s="184" t="s">
        <v>1019</v>
      </c>
      <c r="J693" s="225"/>
      <c r="K693" s="242" t="s">
        <v>1601</v>
      </c>
      <c r="L693" s="225"/>
      <c r="M693" s="225"/>
      <c r="N693" s="225"/>
      <c r="O693" s="241" t="s">
        <v>1213</v>
      </c>
      <c r="P693" s="167"/>
      <c r="Q693" s="167"/>
      <c r="R693" s="167"/>
      <c r="S693" s="167"/>
    </row>
    <row r="694" spans="1:19">
      <c r="A694" s="173"/>
      <c r="B694" s="163"/>
      <c r="C694" s="163"/>
      <c r="D694" s="172" t="s">
        <v>1213</v>
      </c>
      <c r="G694" s="167"/>
      <c r="H694" s="183"/>
      <c r="I694" s="189" t="s">
        <v>1046</v>
      </c>
      <c r="J694" s="167"/>
      <c r="K694" s="182" t="s">
        <v>1602</v>
      </c>
      <c r="L694" s="167"/>
      <c r="M694" s="167"/>
      <c r="N694" s="167"/>
      <c r="O694" s="219" t="s">
        <v>1213</v>
      </c>
      <c r="P694" s="167"/>
      <c r="Q694" s="167"/>
      <c r="R694" s="167"/>
      <c r="S694" s="167"/>
    </row>
    <row r="695" spans="1:19">
      <c r="A695" s="173"/>
      <c r="B695" s="163"/>
      <c r="C695" s="163"/>
      <c r="D695" s="172" t="s">
        <v>1213</v>
      </c>
      <c r="G695" s="167"/>
      <c r="H695" s="183"/>
      <c r="I695" s="184" t="s">
        <v>1056</v>
      </c>
      <c r="J695" s="225"/>
      <c r="K695" s="242" t="s">
        <v>1603</v>
      </c>
      <c r="L695" s="225"/>
      <c r="M695" s="225"/>
      <c r="N695" s="225"/>
      <c r="O695" s="241" t="s">
        <v>1213</v>
      </c>
      <c r="P695" s="167"/>
      <c r="Q695" s="167"/>
      <c r="R695" s="167"/>
      <c r="S695" s="167"/>
    </row>
    <row r="696" spans="1:19">
      <c r="A696" s="173"/>
      <c r="B696" s="163"/>
      <c r="C696" s="163"/>
      <c r="D696" s="172" t="s">
        <v>1213</v>
      </c>
      <c r="G696" s="167"/>
      <c r="H696" s="183"/>
      <c r="I696" s="189" t="s">
        <v>1082</v>
      </c>
      <c r="J696" s="167"/>
      <c r="K696" s="182" t="s">
        <v>1312</v>
      </c>
      <c r="L696" s="167"/>
      <c r="M696" s="167"/>
      <c r="N696" s="167"/>
      <c r="O696" s="219" t="s">
        <v>1213</v>
      </c>
      <c r="P696" s="167"/>
      <c r="Q696" s="167"/>
      <c r="R696" s="167"/>
      <c r="S696" s="167"/>
    </row>
    <row r="697" spans="1:19">
      <c r="A697" s="173"/>
      <c r="B697" s="163"/>
      <c r="C697" s="163"/>
      <c r="D697" s="172" t="s">
        <v>1213</v>
      </c>
      <c r="G697" s="167"/>
      <c r="H697" s="183"/>
      <c r="I697" s="184" t="s">
        <v>1124</v>
      </c>
      <c r="J697" s="225"/>
      <c r="K697" s="242" t="s">
        <v>1604</v>
      </c>
      <c r="L697" s="225"/>
      <c r="M697" s="225"/>
      <c r="N697" s="225"/>
      <c r="O697" s="241" t="s">
        <v>1213</v>
      </c>
      <c r="P697" s="167"/>
      <c r="Q697" s="167"/>
      <c r="R697" s="167"/>
      <c r="S697" s="167"/>
    </row>
    <row r="698" spans="1:19">
      <c r="A698" s="173"/>
      <c r="B698" s="163"/>
      <c r="C698" s="163"/>
      <c r="D698" s="172" t="s">
        <v>1213</v>
      </c>
      <c r="G698" s="167"/>
      <c r="H698" s="183"/>
      <c r="I698" s="184" t="s">
        <v>1127</v>
      </c>
      <c r="J698" s="225"/>
      <c r="K698" s="242" t="s">
        <v>1605</v>
      </c>
      <c r="L698" s="225"/>
      <c r="M698" s="225"/>
      <c r="N698" s="225"/>
      <c r="O698" s="241" t="s">
        <v>1213</v>
      </c>
      <c r="P698" s="167"/>
      <c r="Q698" s="167"/>
      <c r="R698" s="167"/>
      <c r="S698" s="167"/>
    </row>
    <row r="699" spans="1:19" ht="15.75" thickBot="1">
      <c r="A699" s="173"/>
      <c r="B699" s="163"/>
      <c r="C699" s="163"/>
      <c r="D699" s="172" t="s">
        <v>1213</v>
      </c>
      <c r="G699" s="167"/>
      <c r="H699" s="183"/>
      <c r="I699" s="200" t="s">
        <v>1131</v>
      </c>
      <c r="J699" s="167"/>
      <c r="K699" s="182" t="s">
        <v>1606</v>
      </c>
      <c r="L699" s="167"/>
      <c r="M699" s="167"/>
      <c r="N699" s="167"/>
      <c r="O699" s="219" t="s">
        <v>1213</v>
      </c>
      <c r="P699" s="167"/>
      <c r="Q699" s="167"/>
      <c r="R699" s="167"/>
      <c r="S699" s="167"/>
    </row>
    <row r="700" spans="1:19" ht="15.75" thickTop="1">
      <c r="A700" s="173">
        <v>87</v>
      </c>
      <c r="B700" s="163" t="s">
        <v>1607</v>
      </c>
      <c r="C700" s="163" t="s">
        <v>1608</v>
      </c>
      <c r="D700" s="172"/>
      <c r="G700" s="167"/>
      <c r="H700" s="250">
        <v>87</v>
      </c>
      <c r="I700" s="251"/>
      <c r="J700" s="252"/>
      <c r="K700" s="294" t="s">
        <v>1608</v>
      </c>
      <c r="L700" s="252"/>
      <c r="M700" s="252"/>
      <c r="N700" s="252"/>
      <c r="O700" s="254"/>
      <c r="P700" s="167"/>
      <c r="Q700" s="181">
        <f>H700</f>
        <v>87</v>
      </c>
      <c r="R700" s="172" t="str">
        <f>CONCATENATE("II-",TEXT(Q700,"0000"))</f>
        <v>II-0087</v>
      </c>
      <c r="S700" s="182" t="str">
        <f>K700</f>
        <v>TOMA DE JUNTA</v>
      </c>
    </row>
    <row r="701" spans="1:19">
      <c r="A701" s="173"/>
      <c r="B701" s="163"/>
      <c r="C701" s="163"/>
      <c r="D701" s="172" t="s">
        <v>1255</v>
      </c>
      <c r="G701" s="167"/>
      <c r="H701" s="183"/>
      <c r="I701" s="184" t="s">
        <v>1019</v>
      </c>
      <c r="J701" s="225"/>
      <c r="K701" s="242" t="s">
        <v>1609</v>
      </c>
      <c r="L701" s="242"/>
      <c r="M701" s="242"/>
      <c r="N701" s="242"/>
      <c r="O701" s="241" t="s">
        <v>1255</v>
      </c>
      <c r="P701" s="167"/>
      <c r="Q701" s="167"/>
      <c r="R701" s="167"/>
      <c r="S701" s="167"/>
    </row>
    <row r="702" spans="1:19" ht="15.75" thickBot="1">
      <c r="A702" s="173"/>
      <c r="B702" s="163"/>
      <c r="C702" s="163"/>
      <c r="D702" s="172" t="s">
        <v>1255</v>
      </c>
      <c r="G702" s="167"/>
      <c r="H702" s="243"/>
      <c r="I702" s="200" t="s">
        <v>1046</v>
      </c>
      <c r="J702" s="201"/>
      <c r="K702" s="202" t="s">
        <v>1435</v>
      </c>
      <c r="L702" s="202"/>
      <c r="M702" s="202"/>
      <c r="N702" s="202"/>
      <c r="O702" s="263" t="s">
        <v>1255</v>
      </c>
      <c r="P702" s="167"/>
      <c r="Q702" s="167"/>
      <c r="R702" s="167"/>
      <c r="S702" s="167"/>
    </row>
    <row r="703" spans="1:19" ht="16.5" thickTop="1" thickBot="1">
      <c r="A703" s="173">
        <v>88</v>
      </c>
      <c r="B703" s="163" t="s">
        <v>1610</v>
      </c>
      <c r="C703" s="163" t="s">
        <v>1611</v>
      </c>
      <c r="D703" s="172" t="s">
        <v>1130</v>
      </c>
      <c r="G703" s="167"/>
      <c r="H703" s="205">
        <v>88</v>
      </c>
      <c r="I703" s="207"/>
      <c r="J703" s="217"/>
      <c r="K703" s="262" t="s">
        <v>1611</v>
      </c>
      <c r="L703" s="217"/>
      <c r="M703" s="217"/>
      <c r="N703" s="217"/>
      <c r="O703" s="227" t="s">
        <v>1130</v>
      </c>
      <c r="P703" s="167"/>
      <c r="Q703" s="181">
        <f t="shared" ref="Q703:Q704" si="69">H703</f>
        <v>88</v>
      </c>
      <c r="R703" s="172" t="str">
        <f t="shared" ref="R703:R704" si="70">CONCATENATE("II-",TEXT(Q703,"0000"))</f>
        <v>II-0088</v>
      </c>
      <c r="S703" s="182" t="str">
        <f t="shared" ref="S703:S704" si="71">K703</f>
        <v>TOSCAPLEN</v>
      </c>
    </row>
    <row r="704" spans="1:19" ht="16.5" thickTop="1" thickBot="1">
      <c r="A704" s="173">
        <v>89</v>
      </c>
      <c r="B704" s="163" t="s">
        <v>1612</v>
      </c>
      <c r="C704" s="163" t="s">
        <v>1613</v>
      </c>
      <c r="D704" s="172" t="s">
        <v>1473</v>
      </c>
      <c r="G704" s="167"/>
      <c r="H704" s="257">
        <v>89</v>
      </c>
      <c r="I704" s="258"/>
      <c r="J704" s="259"/>
      <c r="K704" s="260" t="s">
        <v>1613</v>
      </c>
      <c r="L704" s="259"/>
      <c r="M704" s="259"/>
      <c r="N704" s="259"/>
      <c r="O704" s="261" t="s">
        <v>1473</v>
      </c>
      <c r="P704" s="167"/>
      <c r="Q704" s="181">
        <f t="shared" si="69"/>
        <v>89</v>
      </c>
      <c r="R704" s="172" t="str">
        <f t="shared" si="70"/>
        <v>II-0089</v>
      </c>
      <c r="S704" s="182" t="str">
        <f t="shared" si="71"/>
        <v>VIVENDA PERSONAL DE SUPERVICION</v>
      </c>
    </row>
    <row r="705" spans="1:19">
      <c r="A705" s="173"/>
      <c r="B705" s="163"/>
      <c r="C705" s="163"/>
      <c r="D705" s="172"/>
      <c r="G705" s="167"/>
      <c r="H705" s="235"/>
      <c r="I705" s="172"/>
      <c r="J705" s="167"/>
      <c r="K705" s="167"/>
      <c r="L705" s="167"/>
      <c r="M705" s="167"/>
      <c r="N705" s="167"/>
      <c r="O705" s="170"/>
      <c r="P705" s="167"/>
      <c r="Q705" s="167"/>
      <c r="R705" s="167"/>
      <c r="S705" s="167"/>
    </row>
    <row r="706" spans="1:19">
      <c r="A706" s="173"/>
      <c r="B706" s="163"/>
      <c r="C706" s="163"/>
      <c r="D706" s="172"/>
      <c r="G706" s="167"/>
      <c r="H706" s="235"/>
      <c r="I706" s="172"/>
      <c r="J706" s="167"/>
      <c r="K706" s="167"/>
      <c r="L706" s="167"/>
      <c r="M706" s="167"/>
      <c r="N706" s="167"/>
      <c r="O706" s="170"/>
      <c r="P706" s="167"/>
      <c r="Q706" s="167"/>
      <c r="R706" s="167"/>
      <c r="S706" s="167"/>
    </row>
    <row r="707" spans="1:19">
      <c r="A707" s="173"/>
      <c r="B707" s="163"/>
      <c r="C707" s="163"/>
      <c r="D707" s="172"/>
      <c r="G707" s="167"/>
      <c r="H707" s="235"/>
      <c r="I707" s="172"/>
      <c r="J707" s="167"/>
      <c r="K707" s="167"/>
      <c r="L707" s="167"/>
      <c r="M707" s="167"/>
      <c r="N707" s="167"/>
      <c r="O707" s="170"/>
      <c r="P707" s="167"/>
      <c r="Q707" s="167"/>
      <c r="R707" s="167"/>
      <c r="S707" s="167"/>
    </row>
    <row r="708" spans="1:19">
      <c r="A708" s="173"/>
      <c r="B708" s="163"/>
      <c r="C708" s="163"/>
      <c r="D708" s="172"/>
      <c r="G708" s="167"/>
      <c r="H708" s="235"/>
      <c r="I708" s="172"/>
      <c r="J708" s="167"/>
      <c r="K708" s="167"/>
      <c r="L708" s="167"/>
      <c r="M708" s="167"/>
      <c r="N708" s="167"/>
      <c r="O708" s="170"/>
      <c r="P708" s="167"/>
      <c r="Q708" s="167"/>
      <c r="R708" s="167"/>
      <c r="S708" s="167"/>
    </row>
    <row r="709" spans="1:19">
      <c r="A709" s="173"/>
      <c r="B709" s="163"/>
      <c r="C709" s="163"/>
      <c r="D709" s="172"/>
      <c r="G709" s="167"/>
      <c r="H709" s="235"/>
      <c r="I709" s="172"/>
      <c r="J709" s="167"/>
      <c r="K709" s="167"/>
      <c r="L709" s="167"/>
      <c r="M709" s="167"/>
      <c r="N709" s="167"/>
      <c r="O709" s="170"/>
      <c r="P709" s="167"/>
      <c r="Q709" s="167"/>
      <c r="R709" s="167"/>
      <c r="S709" s="167"/>
    </row>
    <row r="710" spans="1:19">
      <c r="A710" s="173"/>
      <c r="B710" s="163"/>
      <c r="C710" s="163"/>
      <c r="D710" s="172"/>
      <c r="G710" s="167"/>
      <c r="H710" s="235"/>
      <c r="I710" s="172"/>
      <c r="J710" s="167"/>
      <c r="K710" s="167"/>
      <c r="L710" s="167"/>
      <c r="M710" s="167"/>
      <c r="N710" s="167"/>
      <c r="O710" s="170"/>
      <c r="P710" s="167"/>
      <c r="Q710" s="167"/>
      <c r="R710" s="167"/>
      <c r="S710" s="167"/>
    </row>
    <row r="711" spans="1:19">
      <c r="A711" s="173"/>
      <c r="B711" s="163"/>
      <c r="C711" s="163"/>
      <c r="D711" s="172"/>
      <c r="G711" s="167"/>
      <c r="H711" s="235"/>
      <c r="I711" s="172"/>
      <c r="J711" s="167"/>
      <c r="K711" s="167"/>
      <c r="L711" s="167"/>
      <c r="M711" s="167"/>
      <c r="N711" s="167"/>
      <c r="O711" s="170"/>
      <c r="P711" s="167"/>
      <c r="Q711" s="167"/>
      <c r="R711" s="167"/>
      <c r="S711" s="167"/>
    </row>
    <row r="712" spans="1:19">
      <c r="A712" s="173"/>
      <c r="B712" s="163"/>
      <c r="C712" s="163"/>
      <c r="D712" s="172"/>
      <c r="G712" s="167"/>
      <c r="H712" s="235"/>
      <c r="I712" s="172"/>
      <c r="J712" s="167"/>
      <c r="K712" s="167"/>
      <c r="L712" s="167"/>
      <c r="M712" s="167"/>
      <c r="N712" s="167"/>
      <c r="O712" s="170"/>
      <c r="P712" s="167"/>
      <c r="Q712" s="167"/>
      <c r="R712" s="167"/>
      <c r="S712" s="167"/>
    </row>
    <row r="713" spans="1:19">
      <c r="A713" s="173"/>
      <c r="B713" s="163"/>
      <c r="C713" s="163"/>
      <c r="D713" s="172"/>
      <c r="G713" s="167"/>
      <c r="H713" s="235"/>
      <c r="I713" s="172"/>
      <c r="J713" s="167"/>
      <c r="K713" s="167"/>
      <c r="L713" s="167"/>
      <c r="M713" s="167"/>
      <c r="N713" s="167"/>
      <c r="O713" s="170"/>
      <c r="P713" s="167"/>
      <c r="Q713" s="167"/>
      <c r="R713" s="167"/>
      <c r="S713" s="167"/>
    </row>
    <row r="714" spans="1:19">
      <c r="A714" s="173"/>
      <c r="B714" s="163"/>
      <c r="C714" s="163"/>
      <c r="D714" s="172"/>
      <c r="G714" s="167"/>
      <c r="H714" s="235"/>
      <c r="I714" s="172"/>
      <c r="J714" s="167"/>
      <c r="K714" s="167"/>
      <c r="L714" s="167"/>
      <c r="M714" s="167"/>
      <c r="N714" s="167"/>
      <c r="O714" s="170"/>
      <c r="P714" s="167"/>
      <c r="Q714" s="167"/>
      <c r="R714" s="167"/>
      <c r="S714" s="167"/>
    </row>
    <row r="715" spans="1:19">
      <c r="A715" s="173"/>
      <c r="B715" s="163"/>
      <c r="C715" s="163"/>
      <c r="D715" s="172"/>
      <c r="G715" s="167"/>
      <c r="H715" s="235"/>
      <c r="I715" s="172"/>
      <c r="J715" s="167"/>
      <c r="K715" s="167"/>
      <c r="L715" s="167"/>
      <c r="M715" s="167"/>
      <c r="N715" s="167"/>
      <c r="O715" s="170"/>
      <c r="P715" s="167"/>
      <c r="Q715" s="167"/>
      <c r="R715" s="167"/>
      <c r="S715" s="167"/>
    </row>
    <row r="716" spans="1:19">
      <c r="A716" s="173"/>
      <c r="B716" s="163"/>
      <c r="C716" s="163"/>
      <c r="D716" s="172"/>
      <c r="G716" s="167"/>
      <c r="H716" s="235"/>
      <c r="I716" s="172"/>
      <c r="J716" s="167"/>
      <c r="K716" s="167"/>
      <c r="L716" s="167"/>
      <c r="M716" s="167"/>
      <c r="N716" s="167"/>
      <c r="O716" s="170"/>
      <c r="P716" s="167"/>
      <c r="Q716" s="167"/>
      <c r="R716" s="167"/>
      <c r="S716" s="167"/>
    </row>
    <row r="717" spans="1:19">
      <c r="A717" s="173"/>
      <c r="B717" s="163"/>
      <c r="C717" s="163"/>
      <c r="D717" s="172"/>
      <c r="G717" s="167"/>
      <c r="H717" s="235"/>
      <c r="I717" s="172"/>
      <c r="J717" s="167"/>
      <c r="K717" s="167"/>
      <c r="L717" s="167"/>
      <c r="M717" s="167"/>
      <c r="N717" s="167"/>
      <c r="O717" s="170"/>
      <c r="P717" s="167"/>
      <c r="Q717" s="167"/>
      <c r="R717" s="167"/>
      <c r="S717" s="167"/>
    </row>
    <row r="718" spans="1:19">
      <c r="A718" s="173"/>
      <c r="B718" s="163"/>
      <c r="C718" s="163"/>
      <c r="D718" s="172"/>
      <c r="G718" s="167"/>
      <c r="H718" s="235"/>
      <c r="I718" s="172"/>
      <c r="J718" s="167"/>
      <c r="K718" s="167"/>
      <c r="L718" s="167"/>
      <c r="M718" s="167"/>
      <c r="N718" s="167"/>
      <c r="O718" s="170"/>
      <c r="P718" s="167"/>
      <c r="Q718" s="167"/>
      <c r="R718" s="167"/>
      <c r="S718" s="167"/>
    </row>
    <row r="719" spans="1:19">
      <c r="A719" s="173"/>
      <c r="B719" s="163"/>
      <c r="C719" s="163"/>
      <c r="D719" s="172"/>
      <c r="G719" s="167"/>
      <c r="H719" s="235"/>
      <c r="I719" s="172"/>
      <c r="J719" s="167"/>
      <c r="K719" s="167"/>
      <c r="L719" s="167"/>
      <c r="M719" s="167"/>
      <c r="N719" s="167"/>
      <c r="O719" s="170"/>
      <c r="P719" s="167"/>
      <c r="Q719" s="167"/>
      <c r="R719" s="167"/>
      <c r="S719" s="167"/>
    </row>
    <row r="720" spans="1:19">
      <c r="A720" s="173"/>
      <c r="B720" s="163"/>
      <c r="C720" s="163"/>
      <c r="D720" s="172"/>
      <c r="G720" s="167"/>
      <c r="H720" s="235"/>
      <c r="I720" s="172"/>
      <c r="J720" s="167"/>
      <c r="K720" s="167"/>
      <c r="L720" s="167"/>
      <c r="M720" s="167"/>
      <c r="N720" s="167"/>
      <c r="O720" s="170"/>
      <c r="P720" s="167"/>
      <c r="Q720" s="167"/>
      <c r="R720" s="167"/>
      <c r="S720" s="167"/>
    </row>
    <row r="721" spans="1:19">
      <c r="A721" s="173"/>
      <c r="B721" s="163"/>
      <c r="C721" s="163"/>
      <c r="D721" s="172"/>
      <c r="G721" s="167"/>
      <c r="H721" s="235"/>
      <c r="I721" s="172"/>
      <c r="J721" s="167"/>
      <c r="K721" s="167"/>
      <c r="L721" s="167"/>
      <c r="M721" s="167"/>
      <c r="N721" s="167"/>
      <c r="O721" s="170"/>
      <c r="P721" s="167"/>
      <c r="Q721" s="167"/>
      <c r="R721" s="167"/>
      <c r="S721" s="167"/>
    </row>
    <row r="722" spans="1:19">
      <c r="A722" s="173"/>
      <c r="B722" s="163"/>
      <c r="C722" s="163"/>
      <c r="D722" s="172"/>
      <c r="G722" s="167"/>
      <c r="H722" s="235"/>
      <c r="I722" s="172"/>
      <c r="J722" s="167"/>
      <c r="K722" s="167"/>
      <c r="L722" s="167"/>
      <c r="M722" s="167"/>
      <c r="N722" s="167"/>
      <c r="O722" s="170"/>
      <c r="P722" s="167"/>
      <c r="Q722" s="167"/>
      <c r="R722" s="167"/>
      <c r="S722" s="167"/>
    </row>
    <row r="723" spans="1:19">
      <c r="A723" s="173"/>
      <c r="B723" s="163"/>
      <c r="C723" s="163"/>
      <c r="D723" s="172"/>
      <c r="G723" s="167"/>
      <c r="H723" s="235"/>
      <c r="I723" s="172"/>
      <c r="J723" s="167"/>
      <c r="K723" s="167"/>
      <c r="L723" s="167"/>
      <c r="M723" s="167"/>
      <c r="N723" s="167"/>
      <c r="O723" s="170"/>
      <c r="P723" s="167"/>
      <c r="Q723" s="167"/>
      <c r="R723" s="167"/>
      <c r="S723" s="167"/>
    </row>
    <row r="724" spans="1:19">
      <c r="A724" s="173"/>
      <c r="B724" s="163"/>
      <c r="C724" s="163"/>
      <c r="D724" s="172"/>
      <c r="G724" s="167"/>
      <c r="H724" s="235"/>
      <c r="I724" s="172"/>
      <c r="J724" s="167"/>
      <c r="K724" s="167"/>
      <c r="L724" s="167"/>
      <c r="M724" s="167"/>
      <c r="N724" s="167"/>
      <c r="O724" s="170"/>
      <c r="P724" s="167"/>
      <c r="Q724" s="167"/>
      <c r="R724" s="167"/>
      <c r="S724" s="167"/>
    </row>
    <row r="725" spans="1:19">
      <c r="A725" s="173"/>
      <c r="B725" s="163"/>
      <c r="C725" s="163"/>
      <c r="D725" s="172"/>
      <c r="G725" s="167"/>
      <c r="H725" s="235"/>
      <c r="I725" s="172"/>
      <c r="J725" s="167"/>
      <c r="K725" s="167"/>
      <c r="L725" s="167"/>
      <c r="M725" s="167"/>
      <c r="N725" s="167"/>
      <c r="O725" s="170"/>
      <c r="P725" s="167"/>
      <c r="Q725" s="167"/>
      <c r="R725" s="167"/>
      <c r="S725" s="167"/>
    </row>
    <row r="726" spans="1:19">
      <c r="A726" s="173"/>
      <c r="B726" s="163"/>
      <c r="C726" s="163"/>
      <c r="D726" s="172"/>
      <c r="G726" s="167"/>
      <c r="H726" s="235"/>
      <c r="I726" s="172"/>
      <c r="J726" s="167"/>
      <c r="K726" s="167"/>
      <c r="L726" s="167"/>
      <c r="M726" s="167"/>
      <c r="N726" s="167"/>
      <c r="O726" s="170"/>
      <c r="P726" s="167"/>
      <c r="Q726" s="167"/>
      <c r="R726" s="167"/>
      <c r="S726" s="167"/>
    </row>
    <row r="727" spans="1:19">
      <c r="A727" s="173"/>
      <c r="B727" s="163"/>
      <c r="C727" s="163"/>
      <c r="D727" s="172"/>
      <c r="G727" s="167"/>
      <c r="H727" s="235"/>
      <c r="I727" s="172"/>
      <c r="J727" s="167"/>
      <c r="K727" s="167"/>
      <c r="L727" s="167"/>
      <c r="M727" s="167"/>
      <c r="N727" s="167"/>
      <c r="O727" s="170"/>
      <c r="P727" s="167"/>
      <c r="Q727" s="167"/>
      <c r="R727" s="167"/>
      <c r="S727" s="167"/>
    </row>
    <row r="728" spans="1:19">
      <c r="A728" s="173"/>
      <c r="B728" s="163"/>
      <c r="C728" s="163"/>
      <c r="D728" s="172"/>
      <c r="G728" s="167"/>
      <c r="H728" s="235"/>
      <c r="I728" s="172"/>
      <c r="J728" s="167"/>
      <c r="K728" s="167"/>
      <c r="L728" s="167"/>
      <c r="M728" s="167"/>
      <c r="N728" s="167"/>
      <c r="O728" s="170"/>
      <c r="P728" s="167"/>
      <c r="Q728" s="167"/>
      <c r="R728" s="167"/>
      <c r="S728" s="167"/>
    </row>
    <row r="729" spans="1:19">
      <c r="A729" s="173"/>
      <c r="B729" s="163"/>
      <c r="C729" s="163"/>
      <c r="D729" s="172"/>
      <c r="G729" s="167"/>
      <c r="H729" s="235"/>
      <c r="I729" s="172"/>
      <c r="J729" s="167"/>
      <c r="K729" s="167"/>
      <c r="L729" s="167"/>
      <c r="M729" s="167"/>
      <c r="N729" s="167"/>
      <c r="O729" s="170"/>
      <c r="P729" s="167"/>
      <c r="Q729" s="167"/>
      <c r="R729" s="167"/>
      <c r="S729" s="167"/>
    </row>
    <row r="730" spans="1:19">
      <c r="A730" s="173"/>
      <c r="B730" s="163"/>
      <c r="C730" s="163"/>
      <c r="D730" s="172"/>
      <c r="G730" s="167"/>
      <c r="H730" s="235"/>
      <c r="I730" s="172"/>
      <c r="J730" s="167"/>
      <c r="K730" s="167"/>
      <c r="L730" s="167"/>
      <c r="M730" s="167"/>
      <c r="N730" s="167"/>
      <c r="O730" s="170"/>
      <c r="P730" s="167"/>
      <c r="Q730" s="167"/>
      <c r="R730" s="167"/>
      <c r="S730" s="167"/>
    </row>
    <row r="731" spans="1:19">
      <c r="A731" s="173"/>
      <c r="B731" s="163"/>
      <c r="C731" s="163"/>
      <c r="D731" s="172"/>
      <c r="G731" s="167"/>
      <c r="H731" s="235"/>
      <c r="I731" s="172"/>
      <c r="J731" s="167"/>
      <c r="K731" s="167"/>
      <c r="L731" s="167"/>
      <c r="M731" s="167"/>
      <c r="N731" s="167"/>
      <c r="O731" s="170"/>
      <c r="P731" s="167"/>
      <c r="Q731" s="167"/>
      <c r="R731" s="167"/>
      <c r="S731" s="167"/>
    </row>
    <row r="732" spans="1:19">
      <c r="A732" s="173"/>
      <c r="B732" s="163"/>
      <c r="C732" s="163"/>
      <c r="D732" s="172"/>
      <c r="G732" s="167"/>
      <c r="H732" s="235"/>
      <c r="I732" s="172"/>
      <c r="J732" s="167"/>
      <c r="K732" s="167"/>
      <c r="L732" s="167"/>
      <c r="M732" s="167"/>
      <c r="N732" s="167"/>
      <c r="O732" s="170"/>
      <c r="P732" s="167"/>
      <c r="Q732" s="167"/>
      <c r="R732" s="167"/>
      <c r="S732" s="167"/>
    </row>
    <row r="733" spans="1:19">
      <c r="A733" s="173"/>
      <c r="B733" s="163"/>
      <c r="C733" s="163"/>
      <c r="D733" s="172"/>
      <c r="G733" s="167"/>
      <c r="H733" s="235"/>
      <c r="I733" s="172"/>
      <c r="J733" s="167"/>
      <c r="K733" s="167"/>
      <c r="L733" s="167"/>
      <c r="M733" s="167"/>
      <c r="N733" s="167"/>
      <c r="O733" s="170"/>
      <c r="P733" s="167"/>
      <c r="Q733" s="167"/>
      <c r="R733" s="167"/>
      <c r="S733" s="167"/>
    </row>
    <row r="734" spans="1:19">
      <c r="A734" s="173"/>
      <c r="B734" s="163"/>
      <c r="C734" s="163"/>
      <c r="D734" s="172"/>
      <c r="G734" s="167"/>
      <c r="H734" s="235"/>
      <c r="I734" s="172"/>
      <c r="J734" s="167"/>
      <c r="K734" s="167"/>
      <c r="L734" s="167"/>
      <c r="M734" s="167"/>
      <c r="N734" s="167"/>
      <c r="O734" s="170"/>
      <c r="P734" s="167"/>
      <c r="Q734" s="167"/>
      <c r="R734" s="167"/>
      <c r="S734" s="167"/>
    </row>
    <row r="735" spans="1:19">
      <c r="A735" s="173"/>
      <c r="B735" s="163"/>
      <c r="C735" s="163"/>
      <c r="D735" s="172"/>
      <c r="G735" s="167"/>
      <c r="H735" s="235"/>
      <c r="I735" s="172"/>
      <c r="J735" s="167"/>
      <c r="K735" s="167"/>
      <c r="L735" s="167"/>
      <c r="M735" s="167"/>
      <c r="N735" s="167"/>
      <c r="O735" s="170"/>
      <c r="P735" s="167"/>
      <c r="Q735" s="167"/>
      <c r="R735" s="167"/>
      <c r="S735" s="167"/>
    </row>
    <row r="736" spans="1:19">
      <c r="A736" s="173"/>
      <c r="B736" s="163"/>
      <c r="C736" s="163"/>
      <c r="D736" s="172"/>
      <c r="G736" s="167"/>
      <c r="H736" s="235"/>
      <c r="I736" s="172"/>
      <c r="J736" s="167"/>
      <c r="K736" s="167"/>
      <c r="L736" s="167"/>
      <c r="M736" s="167"/>
      <c r="N736" s="167"/>
      <c r="O736" s="170"/>
      <c r="P736" s="167"/>
      <c r="Q736" s="167"/>
      <c r="R736" s="167"/>
      <c r="S736" s="167"/>
    </row>
    <row r="737" spans="1:19">
      <c r="A737" s="173"/>
      <c r="B737" s="163"/>
      <c r="C737" s="163"/>
      <c r="D737" s="172"/>
      <c r="G737" s="167"/>
      <c r="H737" s="235"/>
      <c r="I737" s="172"/>
      <c r="J737" s="167"/>
      <c r="K737" s="167"/>
      <c r="L737" s="167"/>
      <c r="M737" s="167"/>
      <c r="N737" s="167"/>
      <c r="O737" s="170"/>
      <c r="P737" s="167"/>
      <c r="Q737" s="167"/>
      <c r="R737" s="167"/>
      <c r="S737" s="167"/>
    </row>
    <row r="738" spans="1:19">
      <c r="A738" s="173"/>
      <c r="B738" s="163"/>
      <c r="C738" s="163"/>
      <c r="D738" s="172"/>
      <c r="G738" s="167"/>
      <c r="H738" s="235"/>
      <c r="I738" s="172"/>
      <c r="J738" s="167"/>
      <c r="K738" s="167"/>
      <c r="L738" s="167"/>
      <c r="M738" s="167"/>
      <c r="N738" s="167"/>
      <c r="O738" s="170"/>
      <c r="P738" s="167"/>
      <c r="Q738" s="167"/>
      <c r="R738" s="167"/>
      <c r="S738" s="167"/>
    </row>
    <row r="739" spans="1:19">
      <c r="A739" s="173"/>
      <c r="B739" s="163"/>
      <c r="C739" s="163"/>
      <c r="D739" s="172"/>
      <c r="G739" s="167"/>
      <c r="H739" s="235"/>
      <c r="I739" s="172"/>
      <c r="J739" s="167"/>
      <c r="K739" s="167"/>
      <c r="L739" s="167"/>
      <c r="M739" s="167"/>
      <c r="N739" s="167"/>
      <c r="O739" s="170"/>
      <c r="P739" s="167"/>
      <c r="Q739" s="167"/>
      <c r="R739" s="167"/>
      <c r="S739" s="167"/>
    </row>
    <row r="740" spans="1:19">
      <c r="A740" s="173"/>
      <c r="B740" s="163"/>
      <c r="C740" s="163"/>
      <c r="D740" s="172"/>
      <c r="G740" s="167"/>
      <c r="H740" s="235"/>
      <c r="I740" s="172"/>
      <c r="J740" s="167"/>
      <c r="K740" s="167"/>
      <c r="L740" s="167"/>
      <c r="M740" s="167"/>
      <c r="N740" s="167"/>
      <c r="O740" s="170"/>
      <c r="P740" s="167"/>
      <c r="Q740" s="167"/>
      <c r="R740" s="167"/>
      <c r="S740" s="167"/>
    </row>
    <row r="741" spans="1:19">
      <c r="A741" s="173"/>
      <c r="B741" s="163"/>
      <c r="C741" s="163"/>
      <c r="D741" s="172"/>
      <c r="G741" s="167"/>
      <c r="H741" s="235"/>
      <c r="I741" s="172"/>
      <c r="J741" s="167"/>
      <c r="K741" s="167"/>
      <c r="L741" s="167"/>
      <c r="M741" s="167"/>
      <c r="N741" s="167"/>
      <c r="O741" s="170"/>
      <c r="P741" s="167"/>
      <c r="Q741" s="167"/>
      <c r="R741" s="167"/>
      <c r="S741" s="167"/>
    </row>
    <row r="742" spans="1:19">
      <c r="A742" s="173"/>
      <c r="B742" s="163"/>
      <c r="C742" s="163"/>
      <c r="D742" s="172"/>
      <c r="G742" s="167"/>
      <c r="H742" s="235"/>
      <c r="I742" s="172"/>
      <c r="J742" s="167"/>
      <c r="K742" s="167"/>
      <c r="L742" s="167"/>
      <c r="M742" s="167"/>
      <c r="N742" s="167"/>
      <c r="O742" s="170"/>
      <c r="P742" s="167"/>
      <c r="Q742" s="167"/>
      <c r="R742" s="167"/>
      <c r="S742" s="167"/>
    </row>
    <row r="743" spans="1:19">
      <c r="A743" s="173"/>
      <c r="B743" s="163"/>
      <c r="C743" s="163"/>
      <c r="D743" s="172"/>
      <c r="G743" s="167"/>
      <c r="H743" s="235"/>
      <c r="I743" s="172"/>
      <c r="J743" s="167"/>
      <c r="K743" s="167"/>
      <c r="L743" s="167"/>
      <c r="M743" s="167"/>
      <c r="N743" s="167"/>
      <c r="O743" s="170"/>
      <c r="P743" s="167"/>
      <c r="Q743" s="167"/>
      <c r="R743" s="167"/>
      <c r="S743" s="167"/>
    </row>
    <row r="744" spans="1:19">
      <c r="A744" s="173"/>
      <c r="B744" s="163"/>
      <c r="C744" s="163"/>
      <c r="D744" s="172"/>
      <c r="G744" s="167"/>
      <c r="H744" s="235"/>
      <c r="I744" s="172"/>
      <c r="J744" s="167"/>
      <c r="K744" s="167"/>
      <c r="L744" s="167"/>
      <c r="M744" s="167"/>
      <c r="N744" s="167"/>
      <c r="O744" s="170"/>
      <c r="P744" s="167"/>
      <c r="Q744" s="167"/>
      <c r="R744" s="167"/>
      <c r="S744" s="167"/>
    </row>
    <row r="745" spans="1:19">
      <c r="A745" s="173"/>
      <c r="B745" s="163"/>
      <c r="C745" s="163"/>
      <c r="D745" s="172"/>
      <c r="G745" s="167"/>
      <c r="H745" s="235"/>
      <c r="I745" s="172"/>
      <c r="J745" s="167"/>
      <c r="K745" s="167"/>
      <c r="L745" s="167"/>
      <c r="M745" s="167"/>
      <c r="N745" s="167"/>
      <c r="O745" s="170"/>
      <c r="P745" s="167"/>
      <c r="Q745" s="167"/>
      <c r="R745" s="167"/>
      <c r="S745" s="167"/>
    </row>
    <row r="746" spans="1:19">
      <c r="A746" s="173"/>
      <c r="B746" s="163"/>
      <c r="C746" s="163"/>
      <c r="D746" s="172"/>
      <c r="G746" s="167"/>
      <c r="H746" s="235"/>
      <c r="I746" s="172"/>
      <c r="J746" s="167"/>
      <c r="K746" s="167"/>
      <c r="L746" s="167"/>
      <c r="M746" s="167"/>
      <c r="N746" s="167"/>
      <c r="O746" s="170"/>
      <c r="P746" s="167"/>
      <c r="Q746" s="167"/>
      <c r="R746" s="167"/>
      <c r="S746" s="167"/>
    </row>
    <row r="747" spans="1:19">
      <c r="A747" s="173"/>
      <c r="B747" s="163"/>
      <c r="C747" s="163"/>
      <c r="D747" s="172"/>
      <c r="G747" s="167"/>
      <c r="H747" s="235"/>
      <c r="I747" s="172"/>
      <c r="J747" s="167"/>
      <c r="K747" s="167"/>
      <c r="L747" s="167"/>
      <c r="M747" s="167"/>
      <c r="N747" s="167"/>
      <c r="O747" s="170"/>
      <c r="P747" s="167"/>
      <c r="Q747" s="167"/>
      <c r="R747" s="167"/>
      <c r="S747" s="167"/>
    </row>
    <row r="748" spans="1:19">
      <c r="A748" s="173"/>
      <c r="B748" s="163"/>
      <c r="C748" s="163"/>
      <c r="D748" s="172"/>
      <c r="G748" s="167"/>
      <c r="H748" s="235"/>
      <c r="I748" s="172"/>
      <c r="J748" s="167"/>
      <c r="K748" s="167"/>
      <c r="L748" s="167"/>
      <c r="M748" s="167"/>
      <c r="N748" s="167"/>
      <c r="O748" s="170"/>
      <c r="P748" s="167"/>
      <c r="Q748" s="167"/>
      <c r="R748" s="167"/>
      <c r="S748" s="167"/>
    </row>
    <row r="749" spans="1:19">
      <c r="A749" s="173"/>
      <c r="B749" s="163"/>
      <c r="C749" s="163"/>
      <c r="D749" s="172"/>
      <c r="G749" s="167"/>
      <c r="H749" s="235"/>
      <c r="I749" s="172"/>
      <c r="J749" s="167"/>
      <c r="K749" s="167"/>
      <c r="L749" s="167"/>
      <c r="M749" s="167"/>
      <c r="N749" s="167"/>
      <c r="O749" s="170"/>
      <c r="P749" s="167"/>
      <c r="Q749" s="167"/>
      <c r="R749" s="167"/>
      <c r="S749" s="167"/>
    </row>
    <row r="750" spans="1:19">
      <c r="A750" s="173"/>
      <c r="B750" s="163"/>
      <c r="C750" s="163"/>
      <c r="D750" s="172"/>
      <c r="G750" s="167"/>
      <c r="H750" s="235"/>
      <c r="I750" s="172"/>
      <c r="J750" s="167"/>
      <c r="K750" s="167"/>
      <c r="L750" s="167"/>
      <c r="M750" s="167"/>
      <c r="N750" s="167"/>
      <c r="O750" s="170"/>
      <c r="P750" s="167"/>
      <c r="Q750" s="167"/>
      <c r="R750" s="167"/>
      <c r="S750" s="167"/>
    </row>
    <row r="751" spans="1:19">
      <c r="A751" s="173"/>
      <c r="B751" s="163"/>
      <c r="C751" s="163"/>
      <c r="D751" s="172"/>
      <c r="G751" s="167"/>
      <c r="H751" s="235"/>
      <c r="I751" s="172"/>
      <c r="J751" s="167"/>
      <c r="K751" s="167"/>
      <c r="L751" s="167"/>
      <c r="M751" s="167"/>
      <c r="N751" s="167"/>
      <c r="O751" s="170"/>
      <c r="P751" s="167"/>
      <c r="Q751" s="167"/>
      <c r="R751" s="167"/>
      <c r="S751" s="167"/>
    </row>
    <row r="752" spans="1:19">
      <c r="A752" s="173"/>
      <c r="B752" s="163"/>
      <c r="C752" s="163"/>
      <c r="D752" s="172"/>
      <c r="G752" s="167"/>
      <c r="H752" s="235"/>
      <c r="I752" s="172"/>
      <c r="J752" s="167"/>
      <c r="K752" s="167"/>
      <c r="L752" s="167"/>
      <c r="M752" s="167"/>
      <c r="N752" s="167"/>
      <c r="O752" s="170"/>
      <c r="P752" s="167"/>
      <c r="Q752" s="167"/>
      <c r="R752" s="167"/>
      <c r="S752" s="167"/>
    </row>
    <row r="753" spans="1:19">
      <c r="A753" s="173"/>
      <c r="B753" s="163"/>
      <c r="C753" s="163"/>
      <c r="D753" s="172"/>
      <c r="G753" s="167"/>
      <c r="H753" s="235"/>
      <c r="I753" s="172"/>
      <c r="J753" s="167"/>
      <c r="K753" s="167"/>
      <c r="L753" s="167"/>
      <c r="M753" s="167"/>
      <c r="N753" s="167"/>
      <c r="O753" s="170"/>
      <c r="P753" s="167"/>
      <c r="Q753" s="167"/>
      <c r="R753" s="167"/>
      <c r="S753" s="167"/>
    </row>
    <row r="754" spans="1:19">
      <c r="A754" s="173"/>
      <c r="B754" s="163"/>
      <c r="C754" s="163"/>
      <c r="D754" s="172"/>
      <c r="G754" s="167"/>
      <c r="H754" s="235"/>
      <c r="I754" s="172"/>
      <c r="J754" s="167"/>
      <c r="K754" s="167"/>
      <c r="L754" s="167"/>
      <c r="M754" s="167"/>
      <c r="N754" s="167"/>
      <c r="O754" s="170"/>
      <c r="P754" s="167"/>
      <c r="Q754" s="167"/>
      <c r="R754" s="167"/>
      <c r="S754" s="167"/>
    </row>
    <row r="755" spans="1:19">
      <c r="A755" s="173"/>
      <c r="B755" s="163"/>
      <c r="C755" s="163"/>
      <c r="D755" s="172"/>
      <c r="G755" s="167"/>
      <c r="H755" s="235"/>
      <c r="I755" s="172"/>
      <c r="J755" s="167"/>
      <c r="K755" s="167"/>
      <c r="L755" s="167"/>
      <c r="M755" s="167"/>
      <c r="N755" s="167"/>
      <c r="O755" s="170"/>
      <c r="P755" s="167"/>
      <c r="Q755" s="167"/>
      <c r="R755" s="167"/>
      <c r="S755" s="167"/>
    </row>
    <row r="756" spans="1:19">
      <c r="A756" s="173"/>
      <c r="B756" s="163"/>
      <c r="C756" s="163"/>
      <c r="D756" s="172"/>
      <c r="G756" s="167"/>
      <c r="H756" s="235"/>
      <c r="I756" s="172"/>
      <c r="J756" s="167"/>
      <c r="K756" s="167"/>
      <c r="L756" s="167"/>
      <c r="M756" s="167"/>
      <c r="N756" s="167"/>
      <c r="O756" s="170"/>
      <c r="P756" s="167"/>
      <c r="Q756" s="167"/>
      <c r="R756" s="167"/>
      <c r="S756" s="167"/>
    </row>
    <row r="757" spans="1:19">
      <c r="A757" s="173"/>
      <c r="B757" s="163"/>
      <c r="C757" s="163"/>
      <c r="D757" s="172"/>
      <c r="G757" s="167"/>
      <c r="H757" s="235"/>
      <c r="I757" s="172"/>
      <c r="J757" s="167"/>
      <c r="K757" s="167"/>
      <c r="L757" s="167"/>
      <c r="M757" s="167"/>
      <c r="N757" s="167"/>
      <c r="O757" s="170"/>
      <c r="P757" s="167"/>
      <c r="Q757" s="167"/>
      <c r="R757" s="167"/>
      <c r="S757" s="167"/>
    </row>
    <row r="758" spans="1:19">
      <c r="A758" s="173"/>
      <c r="B758" s="163"/>
      <c r="C758" s="163"/>
      <c r="D758" s="172"/>
      <c r="G758" s="167"/>
      <c r="H758" s="235"/>
      <c r="I758" s="172"/>
      <c r="J758" s="167"/>
      <c r="K758" s="167"/>
      <c r="L758" s="167"/>
      <c r="M758" s="167"/>
      <c r="N758" s="167"/>
      <c r="O758" s="170"/>
      <c r="P758" s="167"/>
      <c r="Q758" s="167"/>
      <c r="R758" s="167"/>
      <c r="S758" s="167"/>
    </row>
    <row r="759" spans="1:19">
      <c r="A759" s="173"/>
      <c r="B759" s="163"/>
      <c r="C759" s="163"/>
      <c r="D759" s="172"/>
      <c r="G759" s="167"/>
      <c r="H759" s="235"/>
      <c r="I759" s="172"/>
      <c r="J759" s="167"/>
      <c r="K759" s="167"/>
      <c r="L759" s="167"/>
      <c r="M759" s="167"/>
      <c r="N759" s="167"/>
      <c r="O759" s="170"/>
      <c r="P759" s="167"/>
      <c r="Q759" s="167"/>
      <c r="R759" s="167"/>
      <c r="S759" s="167"/>
    </row>
    <row r="760" spans="1:19">
      <c r="A760" s="173"/>
      <c r="B760" s="163"/>
      <c r="C760" s="163"/>
      <c r="D760" s="172"/>
      <c r="G760" s="167"/>
      <c r="H760" s="235"/>
      <c r="I760" s="172"/>
      <c r="J760" s="167"/>
      <c r="K760" s="167"/>
      <c r="L760" s="167"/>
      <c r="M760" s="167"/>
      <c r="N760" s="167"/>
      <c r="O760" s="170"/>
      <c r="P760" s="167"/>
      <c r="Q760" s="167"/>
      <c r="R760" s="167"/>
      <c r="S760" s="167"/>
    </row>
    <row r="761" spans="1:19">
      <c r="A761" s="173"/>
      <c r="B761" s="163"/>
      <c r="C761" s="163"/>
      <c r="D761" s="172"/>
      <c r="G761" s="167"/>
      <c r="H761" s="235"/>
      <c r="I761" s="172"/>
      <c r="J761" s="167"/>
      <c r="K761" s="167"/>
      <c r="L761" s="167"/>
      <c r="M761" s="167"/>
      <c r="N761" s="167"/>
      <c r="O761" s="170"/>
      <c r="P761" s="167"/>
      <c r="Q761" s="167"/>
      <c r="R761" s="167"/>
      <c r="S761" s="167"/>
    </row>
    <row r="762" spans="1:19">
      <c r="A762" s="173"/>
      <c r="B762" s="163"/>
      <c r="C762" s="163"/>
      <c r="D762" s="172"/>
      <c r="G762" s="167"/>
      <c r="H762" s="235"/>
      <c r="I762" s="172"/>
      <c r="J762" s="167"/>
      <c r="K762" s="167"/>
      <c r="L762" s="167"/>
      <c r="M762" s="167"/>
      <c r="N762" s="167"/>
      <c r="O762" s="170"/>
      <c r="P762" s="167"/>
      <c r="Q762" s="167"/>
      <c r="R762" s="167"/>
      <c r="S762" s="167"/>
    </row>
    <row r="763" spans="1:19">
      <c r="A763" s="173"/>
      <c r="B763" s="163"/>
      <c r="C763" s="163"/>
      <c r="D763" s="172"/>
      <c r="G763" s="167"/>
      <c r="H763" s="235"/>
      <c r="I763" s="172"/>
      <c r="J763" s="167"/>
      <c r="K763" s="167"/>
      <c r="L763" s="167"/>
      <c r="M763" s="167"/>
      <c r="N763" s="167"/>
      <c r="O763" s="170"/>
      <c r="P763" s="167"/>
      <c r="Q763" s="167"/>
      <c r="R763" s="167"/>
      <c r="S763" s="167"/>
    </row>
    <row r="764" spans="1:19">
      <c r="A764" s="173"/>
      <c r="B764" s="163"/>
      <c r="C764" s="163"/>
      <c r="D764" s="172"/>
      <c r="G764" s="167"/>
      <c r="H764" s="235"/>
      <c r="I764" s="172"/>
      <c r="J764" s="167"/>
      <c r="K764" s="167"/>
      <c r="L764" s="167"/>
      <c r="M764" s="167"/>
      <c r="N764" s="167"/>
      <c r="O764" s="170"/>
      <c r="P764" s="167"/>
      <c r="Q764" s="167"/>
      <c r="R764" s="167"/>
      <c r="S764" s="167"/>
    </row>
    <row r="765" spans="1:19">
      <c r="A765" s="173"/>
      <c r="B765" s="163"/>
      <c r="C765" s="163"/>
      <c r="D765" s="172"/>
      <c r="G765" s="167"/>
      <c r="H765" s="235"/>
      <c r="I765" s="172"/>
      <c r="J765" s="167"/>
      <c r="K765" s="167"/>
      <c r="L765" s="167"/>
      <c r="M765" s="167"/>
      <c r="N765" s="167"/>
      <c r="O765" s="170"/>
      <c r="P765" s="167"/>
      <c r="Q765" s="167"/>
      <c r="R765" s="167"/>
      <c r="S765" s="167"/>
    </row>
    <row r="766" spans="1:19">
      <c r="A766" s="173"/>
      <c r="B766" s="163"/>
      <c r="C766" s="163"/>
      <c r="D766" s="172"/>
      <c r="G766" s="167"/>
      <c r="H766" s="171"/>
      <c r="I766" s="172"/>
      <c r="J766" s="167"/>
      <c r="K766" s="167"/>
      <c r="L766" s="167"/>
      <c r="M766" s="167"/>
      <c r="N766" s="167"/>
      <c r="O766" s="170"/>
      <c r="P766" s="167"/>
      <c r="Q766" s="167"/>
      <c r="R766" s="167"/>
      <c r="S766" s="167"/>
    </row>
    <row r="767" spans="1:19">
      <c r="A767" s="173"/>
      <c r="B767" s="163"/>
      <c r="C767" s="163"/>
      <c r="D767" s="172"/>
      <c r="G767" s="167"/>
      <c r="H767" s="171"/>
      <c r="I767" s="172"/>
      <c r="J767" s="167"/>
      <c r="K767" s="167"/>
      <c r="L767" s="167"/>
      <c r="M767" s="167"/>
      <c r="N767" s="167"/>
      <c r="O767" s="170"/>
      <c r="P767" s="167"/>
      <c r="Q767" s="167"/>
      <c r="R767" s="167"/>
      <c r="S767" s="167"/>
    </row>
    <row r="768" spans="1:19">
      <c r="A768" s="173"/>
      <c r="B768" s="163"/>
      <c r="C768" s="163"/>
      <c r="D768" s="172"/>
      <c r="G768" s="167"/>
      <c r="H768" s="171"/>
      <c r="I768" s="172"/>
      <c r="J768" s="167"/>
      <c r="K768" s="167"/>
      <c r="L768" s="167"/>
      <c r="M768" s="167"/>
      <c r="N768" s="167"/>
      <c r="O768" s="170"/>
      <c r="P768" s="167"/>
      <c r="Q768" s="167"/>
      <c r="R768" s="167"/>
      <c r="S768" s="167"/>
    </row>
    <row r="769" spans="1:19">
      <c r="A769" s="173"/>
      <c r="B769" s="163"/>
      <c r="C769" s="163"/>
      <c r="D769" s="172"/>
      <c r="G769" s="167"/>
      <c r="H769" s="171"/>
      <c r="I769" s="172"/>
      <c r="J769" s="167"/>
      <c r="K769" s="167"/>
      <c r="L769" s="167"/>
      <c r="M769" s="167"/>
      <c r="N769" s="167"/>
      <c r="O769" s="170"/>
      <c r="P769" s="167"/>
      <c r="Q769" s="167"/>
      <c r="R769" s="167"/>
      <c r="S769" s="167"/>
    </row>
    <row r="770" spans="1:19">
      <c r="A770" s="173"/>
      <c r="B770" s="163"/>
      <c r="C770" s="163"/>
      <c r="D770" s="172"/>
      <c r="G770" s="167"/>
      <c r="H770" s="171"/>
      <c r="I770" s="172"/>
      <c r="J770" s="167"/>
      <c r="K770" s="167"/>
      <c r="L770" s="167"/>
      <c r="M770" s="167"/>
      <c r="N770" s="167"/>
      <c r="O770" s="170"/>
      <c r="P770" s="167"/>
      <c r="Q770" s="167"/>
      <c r="R770" s="167"/>
      <c r="S770" s="167"/>
    </row>
    <row r="771" spans="1:19">
      <c r="A771" s="173"/>
      <c r="B771" s="163"/>
      <c r="C771" s="163"/>
      <c r="D771" s="172"/>
      <c r="G771" s="167"/>
      <c r="H771" s="171"/>
      <c r="I771" s="172"/>
      <c r="J771" s="167"/>
      <c r="K771" s="167"/>
      <c r="L771" s="167"/>
      <c r="M771" s="167"/>
      <c r="N771" s="167"/>
      <c r="O771" s="170"/>
      <c r="P771" s="167"/>
      <c r="Q771" s="167"/>
      <c r="R771" s="167"/>
      <c r="S771" s="167"/>
    </row>
    <row r="772" spans="1:19">
      <c r="A772" s="173"/>
      <c r="B772" s="163"/>
      <c r="C772" s="163"/>
      <c r="D772" s="172"/>
      <c r="G772" s="167"/>
      <c r="H772" s="171"/>
      <c r="I772" s="172"/>
      <c r="J772" s="167"/>
      <c r="K772" s="167"/>
      <c r="L772" s="167"/>
      <c r="M772" s="167"/>
      <c r="N772" s="167"/>
      <c r="O772" s="170"/>
      <c r="P772" s="167"/>
      <c r="Q772" s="167"/>
      <c r="R772" s="167"/>
      <c r="S772" s="167"/>
    </row>
    <row r="773" spans="1:19">
      <c r="A773" s="173"/>
      <c r="B773" s="163"/>
      <c r="C773" s="163"/>
      <c r="D773" s="172"/>
      <c r="G773" s="167"/>
      <c r="H773" s="171"/>
      <c r="I773" s="172"/>
      <c r="J773" s="167"/>
      <c r="K773" s="167"/>
      <c r="L773" s="167"/>
      <c r="M773" s="167"/>
      <c r="N773" s="167"/>
      <c r="O773" s="170"/>
      <c r="P773" s="167"/>
      <c r="Q773" s="167"/>
      <c r="R773" s="167"/>
      <c r="S773" s="167"/>
    </row>
    <row r="774" spans="1:19">
      <c r="A774" s="173"/>
      <c r="B774" s="163"/>
      <c r="C774" s="163"/>
      <c r="D774" s="172"/>
      <c r="G774" s="167"/>
      <c r="H774" s="171"/>
      <c r="I774" s="172"/>
      <c r="J774" s="167"/>
      <c r="K774" s="167"/>
      <c r="L774" s="167"/>
      <c r="M774" s="167"/>
      <c r="N774" s="167"/>
      <c r="O774" s="170"/>
      <c r="P774" s="167"/>
      <c r="Q774" s="167"/>
      <c r="R774" s="167"/>
      <c r="S774" s="167"/>
    </row>
    <row r="775" spans="1:19">
      <c r="A775" s="173"/>
      <c r="B775" s="163"/>
      <c r="C775" s="163"/>
      <c r="D775" s="172"/>
      <c r="G775" s="167"/>
      <c r="H775" s="171"/>
      <c r="I775" s="172"/>
      <c r="J775" s="167"/>
      <c r="K775" s="167"/>
      <c r="L775" s="167"/>
      <c r="M775" s="167"/>
      <c r="N775" s="167"/>
      <c r="O775" s="170"/>
      <c r="P775" s="167"/>
      <c r="Q775" s="167"/>
      <c r="R775" s="167"/>
      <c r="S775" s="167"/>
    </row>
    <row r="776" spans="1:19">
      <c r="A776" s="173"/>
      <c r="B776" s="163"/>
      <c r="C776" s="163"/>
      <c r="D776" s="172"/>
      <c r="G776" s="167"/>
      <c r="H776" s="171"/>
      <c r="I776" s="172"/>
      <c r="J776" s="167"/>
      <c r="K776" s="167"/>
      <c r="L776" s="167"/>
      <c r="M776" s="167"/>
      <c r="N776" s="167"/>
      <c r="O776" s="170"/>
      <c r="P776" s="167"/>
      <c r="Q776" s="167"/>
      <c r="R776" s="167"/>
      <c r="S776" s="167"/>
    </row>
    <row r="777" spans="1:19">
      <c r="A777" s="173"/>
      <c r="B777" s="163"/>
      <c r="C777" s="163"/>
      <c r="D777" s="172"/>
      <c r="G777" s="167"/>
      <c r="H777" s="171"/>
      <c r="I777" s="172"/>
      <c r="J777" s="167"/>
      <c r="K777" s="167"/>
      <c r="L777" s="167"/>
      <c r="M777" s="167"/>
      <c r="N777" s="167"/>
      <c r="O777" s="170"/>
      <c r="P777" s="167"/>
      <c r="Q777" s="167"/>
      <c r="R777" s="167"/>
      <c r="S777" s="167"/>
    </row>
    <row r="778" spans="1:19">
      <c r="A778" s="173"/>
      <c r="B778" s="163"/>
      <c r="C778" s="163"/>
      <c r="D778" s="172"/>
      <c r="G778" s="167"/>
      <c r="H778" s="171"/>
      <c r="I778" s="172"/>
      <c r="J778" s="167"/>
      <c r="K778" s="167"/>
      <c r="L778" s="167"/>
      <c r="M778" s="167"/>
      <c r="N778" s="167"/>
      <c r="O778" s="170"/>
      <c r="P778" s="167"/>
      <c r="Q778" s="167"/>
      <c r="R778" s="167"/>
      <c r="S778" s="167"/>
    </row>
    <row r="779" spans="1:19">
      <c r="A779" s="173"/>
      <c r="B779" s="163"/>
      <c r="C779" s="163"/>
      <c r="D779" s="172"/>
      <c r="G779" s="167"/>
      <c r="H779" s="171"/>
      <c r="I779" s="172"/>
      <c r="J779" s="167"/>
      <c r="K779" s="167"/>
      <c r="L779" s="167"/>
      <c r="M779" s="167"/>
      <c r="N779" s="167"/>
      <c r="O779" s="170"/>
      <c r="P779" s="167"/>
      <c r="Q779" s="167"/>
      <c r="R779" s="167"/>
      <c r="S779" s="167"/>
    </row>
    <row r="780" spans="1:19">
      <c r="A780" s="173"/>
      <c r="B780" s="163"/>
      <c r="C780" s="163"/>
      <c r="D780" s="172"/>
      <c r="G780" s="167"/>
      <c r="H780" s="171"/>
      <c r="I780" s="172"/>
      <c r="J780" s="167"/>
      <c r="K780" s="167"/>
      <c r="L780" s="167"/>
      <c r="M780" s="167"/>
      <c r="N780" s="167"/>
      <c r="O780" s="170"/>
      <c r="P780" s="167"/>
      <c r="Q780" s="167"/>
      <c r="R780" s="167"/>
      <c r="S780" s="167"/>
    </row>
    <row r="781" spans="1:19">
      <c r="A781" s="173"/>
      <c r="B781" s="163"/>
      <c r="C781" s="163"/>
      <c r="D781" s="172"/>
      <c r="G781" s="167"/>
      <c r="H781" s="171"/>
      <c r="I781" s="172"/>
      <c r="J781" s="167"/>
      <c r="K781" s="167"/>
      <c r="L781" s="167"/>
      <c r="M781" s="167"/>
      <c r="N781" s="167"/>
      <c r="O781" s="170"/>
      <c r="P781" s="167"/>
      <c r="Q781" s="167"/>
      <c r="R781" s="167"/>
      <c r="S781" s="167"/>
    </row>
    <row r="782" spans="1:19">
      <c r="A782" s="173"/>
      <c r="B782" s="163"/>
      <c r="C782" s="163"/>
      <c r="D782" s="172"/>
      <c r="G782" s="167"/>
      <c r="H782" s="171"/>
      <c r="I782" s="172"/>
      <c r="J782" s="167"/>
      <c r="K782" s="167"/>
      <c r="L782" s="167"/>
      <c r="M782" s="167"/>
      <c r="N782" s="167"/>
      <c r="O782" s="170"/>
      <c r="P782" s="167"/>
      <c r="Q782" s="167"/>
      <c r="R782" s="167"/>
      <c r="S782" s="167"/>
    </row>
    <row r="783" spans="1:19">
      <c r="A783" s="173"/>
      <c r="B783" s="163"/>
      <c r="C783" s="163"/>
      <c r="D783" s="172"/>
      <c r="G783" s="167"/>
      <c r="H783" s="171"/>
      <c r="I783" s="172"/>
      <c r="J783" s="167"/>
      <c r="K783" s="167"/>
      <c r="L783" s="167"/>
      <c r="M783" s="167"/>
      <c r="N783" s="167"/>
      <c r="O783" s="170"/>
      <c r="P783" s="167"/>
      <c r="Q783" s="167"/>
      <c r="R783" s="167"/>
      <c r="S783" s="167"/>
    </row>
    <row r="784" spans="1:19">
      <c r="A784" s="173"/>
      <c r="B784" s="163"/>
      <c r="C784" s="163"/>
      <c r="D784" s="172"/>
      <c r="G784" s="167"/>
      <c r="H784" s="171"/>
      <c r="I784" s="172"/>
      <c r="J784" s="167"/>
      <c r="K784" s="167"/>
      <c r="L784" s="167"/>
      <c r="M784" s="167"/>
      <c r="N784" s="167"/>
      <c r="O784" s="170"/>
      <c r="P784" s="167"/>
      <c r="Q784" s="167"/>
      <c r="R784" s="167"/>
      <c r="S784" s="167"/>
    </row>
    <row r="785" spans="1:19">
      <c r="A785" s="173"/>
      <c r="B785" s="163"/>
      <c r="C785" s="163"/>
      <c r="D785" s="172"/>
      <c r="G785" s="167"/>
      <c r="H785" s="171"/>
      <c r="I785" s="172"/>
      <c r="J785" s="167"/>
      <c r="K785" s="167"/>
      <c r="L785" s="167"/>
      <c r="M785" s="167"/>
      <c r="N785" s="167"/>
      <c r="O785" s="170"/>
      <c r="P785" s="167"/>
      <c r="Q785" s="167"/>
      <c r="R785" s="167"/>
      <c r="S785" s="167"/>
    </row>
    <row r="786" spans="1:19">
      <c r="A786" s="173"/>
      <c r="B786" s="163"/>
      <c r="C786" s="163"/>
      <c r="D786" s="172"/>
      <c r="G786" s="167"/>
      <c r="H786" s="171"/>
      <c r="I786" s="172"/>
      <c r="J786" s="167"/>
      <c r="K786" s="167"/>
      <c r="L786" s="167"/>
      <c r="M786" s="167"/>
      <c r="N786" s="167"/>
      <c r="O786" s="170"/>
      <c r="P786" s="167"/>
      <c r="Q786" s="167"/>
      <c r="R786" s="167"/>
      <c r="S786" s="167"/>
    </row>
    <row r="787" spans="1:19">
      <c r="A787" s="173"/>
      <c r="B787" s="163"/>
      <c r="C787" s="163"/>
      <c r="D787" s="172"/>
      <c r="G787" s="167"/>
      <c r="H787" s="171"/>
      <c r="I787" s="172"/>
      <c r="J787" s="167"/>
      <c r="K787" s="167"/>
      <c r="L787" s="167"/>
      <c r="M787" s="167"/>
      <c r="N787" s="167"/>
      <c r="O787" s="170"/>
      <c r="P787" s="167"/>
      <c r="Q787" s="167"/>
      <c r="R787" s="167"/>
      <c r="S787" s="167"/>
    </row>
    <row r="788" spans="1:19">
      <c r="A788" s="173"/>
      <c r="B788" s="163"/>
      <c r="C788" s="163"/>
      <c r="D788" s="172"/>
      <c r="G788" s="167"/>
      <c r="H788" s="171"/>
      <c r="I788" s="172"/>
      <c r="J788" s="167"/>
      <c r="K788" s="167"/>
      <c r="L788" s="167"/>
      <c r="M788" s="167"/>
      <c r="N788" s="167"/>
      <c r="O788" s="170"/>
      <c r="P788" s="167"/>
      <c r="Q788" s="167"/>
      <c r="R788" s="167"/>
      <c r="S788" s="167"/>
    </row>
    <row r="789" spans="1:19">
      <c r="A789" s="173"/>
      <c r="B789" s="163"/>
      <c r="C789" s="163"/>
      <c r="D789" s="172"/>
      <c r="G789" s="167"/>
      <c r="H789" s="171"/>
      <c r="I789" s="172"/>
      <c r="J789" s="167"/>
      <c r="K789" s="167"/>
      <c r="L789" s="167"/>
      <c r="M789" s="167"/>
      <c r="N789" s="167"/>
      <c r="O789" s="170"/>
      <c r="P789" s="167"/>
      <c r="Q789" s="167"/>
      <c r="R789" s="167"/>
      <c r="S789" s="167"/>
    </row>
    <row r="790" spans="1:19">
      <c r="A790" s="173"/>
      <c r="B790" s="163"/>
      <c r="C790" s="163"/>
      <c r="D790" s="172"/>
      <c r="G790" s="167"/>
      <c r="H790" s="171"/>
      <c r="I790" s="172"/>
      <c r="J790" s="167"/>
      <c r="K790" s="167"/>
      <c r="L790" s="167"/>
      <c r="M790" s="167"/>
      <c r="N790" s="167"/>
      <c r="O790" s="170"/>
      <c r="P790" s="167"/>
      <c r="Q790" s="167"/>
      <c r="R790" s="167"/>
      <c r="S790" s="167"/>
    </row>
    <row r="791" spans="1:19">
      <c r="A791" s="173"/>
      <c r="B791" s="163"/>
      <c r="C791" s="163"/>
      <c r="D791" s="172"/>
      <c r="G791" s="167"/>
      <c r="H791" s="171"/>
      <c r="I791" s="172"/>
      <c r="J791" s="167"/>
      <c r="K791" s="167"/>
      <c r="L791" s="167"/>
      <c r="M791" s="167"/>
      <c r="N791" s="167"/>
      <c r="O791" s="170"/>
      <c r="P791" s="167"/>
      <c r="Q791" s="167"/>
      <c r="R791" s="167"/>
      <c r="S791" s="167"/>
    </row>
    <row r="792" spans="1:19">
      <c r="A792" s="173"/>
      <c r="B792" s="163"/>
      <c r="C792" s="163"/>
      <c r="D792" s="172"/>
      <c r="G792" s="167"/>
      <c r="H792" s="171"/>
      <c r="I792" s="172"/>
      <c r="J792" s="167"/>
      <c r="K792" s="167"/>
      <c r="L792" s="167"/>
      <c r="M792" s="167"/>
      <c r="N792" s="167"/>
      <c r="O792" s="170"/>
      <c r="P792" s="167"/>
      <c r="Q792" s="167"/>
      <c r="R792" s="167"/>
      <c r="S792" s="167"/>
    </row>
    <row r="793" spans="1:19">
      <c r="A793" s="173"/>
      <c r="B793" s="163"/>
      <c r="C793" s="163"/>
      <c r="D793" s="172"/>
      <c r="G793" s="167"/>
      <c r="H793" s="171"/>
      <c r="I793" s="172"/>
      <c r="J793" s="167"/>
      <c r="K793" s="167"/>
      <c r="L793" s="167"/>
      <c r="M793" s="167"/>
      <c r="N793" s="167"/>
      <c r="O793" s="170"/>
      <c r="P793" s="167"/>
      <c r="Q793" s="167"/>
      <c r="R793" s="167"/>
      <c r="S793" s="167"/>
    </row>
    <row r="794" spans="1:19">
      <c r="A794" s="173"/>
      <c r="B794" s="163"/>
      <c r="C794" s="163"/>
      <c r="D794" s="172"/>
      <c r="G794" s="167"/>
      <c r="H794" s="171"/>
      <c r="I794" s="172"/>
      <c r="J794" s="167"/>
      <c r="K794" s="167"/>
      <c r="L794" s="167"/>
      <c r="M794" s="167"/>
      <c r="N794" s="167"/>
      <c r="O794" s="170"/>
      <c r="P794" s="167"/>
      <c r="Q794" s="167"/>
      <c r="R794" s="167"/>
      <c r="S794" s="167"/>
    </row>
    <row r="795" spans="1:19">
      <c r="A795" s="173"/>
      <c r="B795" s="163"/>
      <c r="C795" s="163"/>
      <c r="D795" s="172"/>
      <c r="G795" s="167"/>
      <c r="H795" s="171"/>
      <c r="I795" s="172"/>
      <c r="J795" s="167"/>
      <c r="K795" s="167"/>
      <c r="L795" s="167"/>
      <c r="M795" s="167"/>
      <c r="N795" s="167"/>
      <c r="O795" s="170"/>
      <c r="P795" s="167"/>
      <c r="Q795" s="167"/>
      <c r="R795" s="167"/>
      <c r="S795" s="167"/>
    </row>
    <row r="796" spans="1:19">
      <c r="A796" s="173"/>
      <c r="B796" s="163"/>
      <c r="C796" s="163"/>
      <c r="D796" s="172"/>
      <c r="G796" s="167"/>
      <c r="H796" s="171"/>
      <c r="I796" s="172"/>
      <c r="J796" s="167"/>
      <c r="K796" s="167"/>
      <c r="L796" s="167"/>
      <c r="M796" s="167"/>
      <c r="N796" s="167"/>
      <c r="O796" s="170"/>
      <c r="P796" s="167"/>
      <c r="Q796" s="167"/>
      <c r="R796" s="167"/>
      <c r="S796" s="167"/>
    </row>
    <row r="797" spans="1:19">
      <c r="A797" s="173"/>
      <c r="B797" s="163"/>
      <c r="C797" s="163"/>
      <c r="D797" s="172"/>
      <c r="G797" s="167"/>
      <c r="H797" s="171"/>
      <c r="I797" s="172"/>
      <c r="J797" s="167"/>
      <c r="K797" s="167"/>
      <c r="L797" s="167"/>
      <c r="M797" s="167"/>
      <c r="N797" s="167"/>
      <c r="O797" s="170"/>
      <c r="P797" s="167"/>
      <c r="Q797" s="167"/>
      <c r="R797" s="167"/>
      <c r="S797" s="167"/>
    </row>
    <row r="798" spans="1:19">
      <c r="A798" s="173"/>
      <c r="B798" s="163"/>
      <c r="C798" s="163"/>
      <c r="D798" s="172"/>
      <c r="G798" s="167"/>
      <c r="H798" s="171"/>
      <c r="I798" s="172"/>
      <c r="J798" s="167"/>
      <c r="K798" s="167"/>
      <c r="L798" s="167"/>
      <c r="M798" s="167"/>
      <c r="N798" s="167"/>
      <c r="O798" s="170"/>
      <c r="P798" s="167"/>
      <c r="Q798" s="167"/>
      <c r="R798" s="167"/>
      <c r="S798" s="167"/>
    </row>
    <row r="799" spans="1:19">
      <c r="A799" s="173"/>
      <c r="B799" s="163"/>
      <c r="C799" s="163"/>
      <c r="D799" s="172"/>
      <c r="G799" s="167"/>
      <c r="H799" s="171"/>
      <c r="I799" s="172"/>
      <c r="J799" s="167"/>
      <c r="K799" s="167"/>
      <c r="L799" s="167"/>
      <c r="M799" s="167"/>
      <c r="N799" s="167"/>
      <c r="O799" s="170"/>
      <c r="P799" s="167"/>
      <c r="Q799" s="167"/>
      <c r="R799" s="167"/>
      <c r="S799" s="167"/>
    </row>
    <row r="800" spans="1:19">
      <c r="A800" s="173"/>
      <c r="B800" s="163"/>
      <c r="C800" s="163"/>
      <c r="D800" s="172"/>
      <c r="G800" s="167"/>
      <c r="H800" s="171"/>
      <c r="I800" s="172"/>
      <c r="J800" s="167"/>
      <c r="K800" s="167"/>
      <c r="L800" s="167"/>
      <c r="M800" s="167"/>
      <c r="N800" s="167"/>
      <c r="O800" s="170"/>
      <c r="P800" s="167"/>
      <c r="Q800" s="167"/>
      <c r="R800" s="167"/>
      <c r="S800" s="167"/>
    </row>
    <row r="801" spans="1:19">
      <c r="A801" s="173"/>
      <c r="B801" s="163"/>
      <c r="C801" s="163"/>
      <c r="D801" s="172"/>
      <c r="G801" s="167"/>
      <c r="H801" s="171"/>
      <c r="I801" s="172"/>
      <c r="J801" s="167"/>
      <c r="K801" s="167"/>
      <c r="L801" s="167"/>
      <c r="M801" s="167"/>
      <c r="N801" s="167"/>
      <c r="O801" s="170"/>
      <c r="P801" s="167"/>
      <c r="Q801" s="167"/>
      <c r="R801" s="167"/>
      <c r="S801" s="167"/>
    </row>
    <row r="802" spans="1:19">
      <c r="A802" s="173"/>
      <c r="B802" s="163"/>
      <c r="C802" s="163"/>
      <c r="D802" s="172"/>
      <c r="G802" s="167"/>
      <c r="H802" s="171"/>
      <c r="I802" s="172"/>
      <c r="J802" s="167"/>
      <c r="K802" s="167"/>
      <c r="L802" s="167"/>
      <c r="M802" s="167"/>
      <c r="N802" s="167"/>
      <c r="O802" s="170"/>
      <c r="P802" s="167"/>
      <c r="Q802" s="167"/>
      <c r="R802" s="167"/>
      <c r="S802" s="167"/>
    </row>
    <row r="803" spans="1:19">
      <c r="A803" s="173"/>
      <c r="B803" s="163"/>
      <c r="C803" s="163"/>
      <c r="D803" s="172"/>
      <c r="G803" s="167"/>
      <c r="H803" s="171"/>
      <c r="I803" s="172"/>
      <c r="J803" s="167"/>
      <c r="K803" s="167"/>
      <c r="L803" s="167"/>
      <c r="M803" s="167"/>
      <c r="N803" s="167"/>
      <c r="O803" s="170"/>
      <c r="P803" s="167"/>
      <c r="Q803" s="167"/>
      <c r="R803" s="167"/>
      <c r="S803" s="167"/>
    </row>
    <row r="804" spans="1:19">
      <c r="A804" s="173"/>
      <c r="B804" s="163"/>
      <c r="C804" s="163"/>
      <c r="D804" s="172"/>
      <c r="G804" s="167"/>
      <c r="H804" s="171"/>
      <c r="I804" s="172"/>
      <c r="J804" s="167"/>
      <c r="K804" s="167"/>
      <c r="L804" s="167"/>
      <c r="M804" s="167"/>
      <c r="N804" s="167"/>
      <c r="O804" s="170"/>
      <c r="P804" s="167"/>
      <c r="Q804" s="167"/>
      <c r="R804" s="167"/>
      <c r="S804" s="167"/>
    </row>
    <row r="805" spans="1:19">
      <c r="A805" s="173"/>
      <c r="B805" s="163"/>
      <c r="C805" s="163"/>
      <c r="D805" s="172"/>
      <c r="G805" s="167"/>
      <c r="H805" s="171"/>
      <c r="I805" s="172"/>
      <c r="J805" s="167"/>
      <c r="K805" s="167"/>
      <c r="L805" s="167"/>
      <c r="M805" s="167"/>
      <c r="N805" s="167"/>
      <c r="O805" s="170"/>
      <c r="P805" s="167"/>
      <c r="Q805" s="167"/>
      <c r="R805" s="167"/>
      <c r="S805" s="167"/>
    </row>
    <row r="806" spans="1:19">
      <c r="A806" s="173"/>
      <c r="B806" s="163"/>
      <c r="C806" s="163"/>
      <c r="D806" s="172"/>
      <c r="G806" s="167"/>
      <c r="H806" s="171"/>
      <c r="I806" s="172"/>
      <c r="J806" s="167"/>
      <c r="K806" s="167"/>
      <c r="L806" s="167"/>
      <c r="M806" s="167"/>
      <c r="N806" s="167"/>
      <c r="O806" s="170"/>
      <c r="P806" s="167"/>
      <c r="Q806" s="167"/>
      <c r="R806" s="167"/>
      <c r="S806" s="167"/>
    </row>
    <row r="807" spans="1:19">
      <c r="A807" s="173"/>
      <c r="B807" s="163"/>
      <c r="C807" s="163"/>
      <c r="D807" s="172"/>
      <c r="G807" s="167"/>
      <c r="H807" s="171"/>
      <c r="I807" s="172"/>
      <c r="J807" s="167"/>
      <c r="K807" s="167"/>
      <c r="L807" s="167"/>
      <c r="M807" s="167"/>
      <c r="N807" s="167"/>
      <c r="O807" s="170"/>
      <c r="P807" s="167"/>
      <c r="Q807" s="167"/>
      <c r="R807" s="167"/>
      <c r="S807" s="167"/>
    </row>
    <row r="808" spans="1:19">
      <c r="A808" s="173"/>
      <c r="B808" s="163"/>
      <c r="C808" s="163"/>
      <c r="D808" s="172"/>
      <c r="G808" s="167"/>
      <c r="H808" s="171"/>
      <c r="I808" s="172"/>
      <c r="J808" s="167"/>
      <c r="K808" s="167"/>
      <c r="L808" s="167"/>
      <c r="M808" s="167"/>
      <c r="N808" s="167"/>
      <c r="O808" s="170"/>
      <c r="P808" s="167"/>
      <c r="Q808" s="167"/>
      <c r="R808" s="167"/>
      <c r="S808" s="167"/>
    </row>
    <row r="809" spans="1:19">
      <c r="A809" s="173"/>
      <c r="B809" s="163"/>
      <c r="C809" s="163"/>
      <c r="D809" s="163"/>
      <c r="G809" s="167"/>
      <c r="H809" s="171"/>
      <c r="I809" s="172"/>
      <c r="J809" s="167"/>
      <c r="K809" s="167"/>
      <c r="L809" s="167"/>
      <c r="M809" s="167"/>
      <c r="N809" s="167"/>
      <c r="O809" s="170"/>
      <c r="P809" s="167"/>
      <c r="Q809" s="167"/>
      <c r="R809" s="167"/>
      <c r="S809" s="167"/>
    </row>
    <row r="810" spans="1:19">
      <c r="A810" s="173"/>
      <c r="B810" s="163"/>
      <c r="C810" s="163"/>
      <c r="D810" s="163"/>
      <c r="G810" s="167"/>
      <c r="H810" s="171"/>
      <c r="I810" s="172"/>
      <c r="J810" s="167"/>
      <c r="K810" s="167"/>
      <c r="L810" s="167"/>
      <c r="M810" s="167"/>
      <c r="N810" s="167"/>
      <c r="O810" s="170"/>
      <c r="P810" s="167"/>
      <c r="Q810" s="167"/>
      <c r="R810" s="167"/>
      <c r="S810" s="167"/>
    </row>
    <row r="811" spans="1:19">
      <c r="A811" s="173"/>
      <c r="B811" s="163"/>
      <c r="C811" s="163"/>
      <c r="D811" s="163"/>
      <c r="G811" s="167"/>
      <c r="H811" s="171"/>
      <c r="I811" s="172"/>
      <c r="J811" s="167"/>
      <c r="K811" s="167"/>
      <c r="L811" s="167"/>
      <c r="M811" s="167"/>
      <c r="N811" s="167"/>
      <c r="O811" s="170"/>
      <c r="P811" s="167"/>
      <c r="Q811" s="167"/>
      <c r="R811" s="167"/>
      <c r="S811" s="167"/>
    </row>
    <row r="812" spans="1:19">
      <c r="A812" s="173"/>
      <c r="B812" s="163"/>
      <c r="C812" s="163"/>
      <c r="D812" s="163"/>
      <c r="G812" s="167"/>
      <c r="H812" s="171"/>
      <c r="I812" s="172"/>
      <c r="J812" s="167"/>
      <c r="K812" s="167"/>
      <c r="L812" s="167"/>
      <c r="M812" s="167"/>
      <c r="N812" s="167"/>
      <c r="O812" s="170"/>
      <c r="P812" s="167"/>
      <c r="Q812" s="167"/>
      <c r="R812" s="167"/>
      <c r="S812" s="167"/>
    </row>
    <row r="813" spans="1:19">
      <c r="A813" s="173"/>
      <c r="B813" s="163"/>
      <c r="C813" s="163"/>
      <c r="D813" s="163"/>
      <c r="G813" s="167"/>
      <c r="H813" s="171"/>
      <c r="I813" s="172"/>
      <c r="J813" s="167"/>
      <c r="K813" s="167"/>
      <c r="L813" s="167"/>
      <c r="M813" s="167"/>
      <c r="N813" s="167"/>
      <c r="O813" s="170"/>
      <c r="P813" s="167"/>
      <c r="Q813" s="167"/>
      <c r="R813" s="167"/>
      <c r="S813" s="167"/>
    </row>
    <row r="814" spans="1:19">
      <c r="A814" s="173"/>
      <c r="B814" s="163"/>
      <c r="C814" s="163"/>
      <c r="D814" s="163"/>
      <c r="G814" s="167"/>
      <c r="H814" s="171"/>
      <c r="I814" s="172"/>
      <c r="J814" s="167"/>
      <c r="K814" s="167"/>
      <c r="L814" s="167"/>
      <c r="M814" s="167"/>
      <c r="N814" s="167"/>
      <c r="O814" s="170"/>
      <c r="P814" s="167"/>
      <c r="Q814" s="167"/>
      <c r="R814" s="167"/>
      <c r="S814" s="167"/>
    </row>
    <row r="815" spans="1:19">
      <c r="A815" s="173"/>
      <c r="B815" s="163"/>
      <c r="C815" s="163"/>
      <c r="D815" s="163"/>
      <c r="G815" s="167"/>
      <c r="H815" s="171"/>
      <c r="I815" s="172"/>
      <c r="J815" s="167"/>
      <c r="K815" s="167"/>
      <c r="L815" s="167"/>
      <c r="M815" s="167"/>
      <c r="N815" s="167"/>
      <c r="O815" s="170"/>
      <c r="P815" s="167"/>
      <c r="Q815" s="167"/>
      <c r="R815" s="167"/>
      <c r="S815" s="167"/>
    </row>
    <row r="816" spans="1:19">
      <c r="A816" s="173"/>
      <c r="B816" s="163"/>
      <c r="C816" s="163"/>
      <c r="D816" s="163"/>
      <c r="G816" s="167"/>
      <c r="H816" s="171"/>
      <c r="I816" s="172"/>
      <c r="J816" s="167"/>
      <c r="K816" s="167"/>
      <c r="L816" s="167"/>
      <c r="M816" s="167"/>
      <c r="N816" s="167"/>
      <c r="O816" s="170"/>
      <c r="P816" s="167"/>
      <c r="Q816" s="167"/>
      <c r="R816" s="167"/>
      <c r="S816" s="167"/>
    </row>
    <row r="817" spans="1:19">
      <c r="A817" s="173"/>
      <c r="B817" s="163"/>
      <c r="C817" s="163"/>
      <c r="D817" s="163"/>
      <c r="G817" s="167"/>
      <c r="H817" s="171"/>
      <c r="I817" s="172"/>
      <c r="J817" s="167"/>
      <c r="K817" s="167"/>
      <c r="L817" s="167"/>
      <c r="M817" s="167"/>
      <c r="N817" s="167"/>
      <c r="O817" s="170"/>
      <c r="P817" s="167"/>
      <c r="Q817" s="167"/>
      <c r="R817" s="167"/>
      <c r="S817" s="167"/>
    </row>
    <row r="818" spans="1:19">
      <c r="A818" s="173"/>
      <c r="B818" s="163"/>
      <c r="C818" s="163"/>
      <c r="D818" s="163"/>
      <c r="G818" s="167"/>
      <c r="H818" s="171"/>
      <c r="I818" s="172"/>
      <c r="J818" s="167"/>
      <c r="K818" s="167"/>
      <c r="L818" s="167"/>
      <c r="M818" s="167"/>
      <c r="N818" s="167"/>
      <c r="O818" s="170"/>
      <c r="P818" s="167"/>
      <c r="Q818" s="167"/>
      <c r="R818" s="167"/>
      <c r="S818" s="167"/>
    </row>
    <row r="819" spans="1:19">
      <c r="A819" s="163"/>
      <c r="B819" s="163"/>
      <c r="C819" s="163"/>
      <c r="D819" s="163"/>
      <c r="G819" s="167"/>
      <c r="H819" s="171"/>
      <c r="I819" s="172"/>
      <c r="J819" s="167"/>
      <c r="K819" s="167"/>
      <c r="L819" s="167"/>
      <c r="M819" s="167"/>
      <c r="N819" s="167"/>
      <c r="O819" s="170"/>
      <c r="P819" s="167"/>
      <c r="Q819" s="167"/>
      <c r="R819" s="167"/>
      <c r="S819" s="167"/>
    </row>
    <row r="820" spans="1:19">
      <c r="A820" s="163"/>
      <c r="B820" s="163"/>
      <c r="C820" s="163"/>
      <c r="D820" s="163"/>
      <c r="G820" s="167"/>
      <c r="H820" s="171"/>
      <c r="I820" s="172"/>
      <c r="J820" s="167"/>
      <c r="K820" s="167"/>
      <c r="L820" s="167"/>
      <c r="M820" s="167"/>
      <c r="N820" s="167"/>
      <c r="O820" s="170"/>
      <c r="P820" s="167"/>
      <c r="Q820" s="167"/>
      <c r="R820" s="167"/>
      <c r="S820" s="167"/>
    </row>
    <row r="821" spans="1:19">
      <c r="A821" s="163"/>
      <c r="B821" s="163"/>
      <c r="C821" s="163"/>
      <c r="D821" s="163"/>
      <c r="G821" s="167"/>
      <c r="H821" s="171"/>
      <c r="I821" s="172"/>
      <c r="J821" s="167"/>
      <c r="K821" s="167"/>
      <c r="L821" s="167"/>
      <c r="M821" s="167"/>
      <c r="N821" s="167"/>
      <c r="O821" s="170"/>
      <c r="P821" s="167"/>
      <c r="Q821" s="167"/>
      <c r="R821" s="167"/>
      <c r="S821" s="167"/>
    </row>
    <row r="822" spans="1:19">
      <c r="A822" s="163"/>
      <c r="B822" s="163"/>
      <c r="C822" s="163"/>
      <c r="D822" s="163"/>
      <c r="G822" s="167"/>
      <c r="H822" s="171"/>
      <c r="I822" s="172"/>
      <c r="J822" s="167"/>
      <c r="K822" s="167"/>
      <c r="L822" s="167"/>
      <c r="M822" s="167"/>
      <c r="N822" s="167"/>
      <c r="O822" s="170"/>
      <c r="P822" s="167"/>
      <c r="Q822" s="167"/>
      <c r="R822" s="167"/>
      <c r="S822" s="167"/>
    </row>
    <row r="823" spans="1:19">
      <c r="A823" s="163"/>
      <c r="B823" s="163"/>
      <c r="C823" s="163"/>
      <c r="D823" s="163"/>
      <c r="G823" s="167"/>
      <c r="H823" s="171"/>
      <c r="I823" s="172"/>
      <c r="J823" s="167"/>
      <c r="K823" s="167"/>
      <c r="L823" s="167"/>
      <c r="M823" s="167"/>
      <c r="N823" s="167"/>
      <c r="O823" s="170"/>
      <c r="P823" s="167"/>
      <c r="Q823" s="167"/>
      <c r="R823" s="167"/>
      <c r="S823" s="167"/>
    </row>
    <row r="824" spans="1:19">
      <c r="A824" s="163"/>
      <c r="B824" s="163"/>
      <c r="C824" s="163"/>
      <c r="D824" s="163"/>
      <c r="G824" s="167"/>
      <c r="H824" s="171"/>
      <c r="I824" s="172"/>
      <c r="J824" s="167"/>
      <c r="K824" s="167"/>
      <c r="L824" s="167"/>
      <c r="M824" s="167"/>
      <c r="N824" s="167"/>
      <c r="O824" s="170"/>
      <c r="P824" s="167"/>
      <c r="Q824" s="167"/>
      <c r="R824" s="167"/>
      <c r="S824" s="167"/>
    </row>
    <row r="825" spans="1:19">
      <c r="A825" s="163"/>
      <c r="B825" s="163"/>
      <c r="C825" s="163"/>
      <c r="D825" s="163"/>
      <c r="G825" s="167"/>
      <c r="H825" s="171"/>
      <c r="I825" s="172"/>
      <c r="J825" s="167"/>
      <c r="K825" s="167"/>
      <c r="L825" s="167"/>
      <c r="M825" s="167"/>
      <c r="N825" s="167"/>
      <c r="O825" s="170"/>
      <c r="P825" s="167"/>
      <c r="Q825" s="167"/>
      <c r="R825" s="167"/>
      <c r="S825" s="167"/>
    </row>
    <row r="826" spans="1:19">
      <c r="A826" s="163"/>
      <c r="B826" s="163"/>
      <c r="C826" s="163"/>
      <c r="D826" s="163"/>
      <c r="G826" s="167"/>
      <c r="H826" s="171"/>
      <c r="I826" s="172"/>
      <c r="J826" s="167"/>
      <c r="K826" s="167"/>
      <c r="L826" s="167"/>
      <c r="M826" s="167"/>
      <c r="N826" s="167"/>
      <c r="O826" s="170"/>
      <c r="P826" s="167"/>
      <c r="Q826" s="167"/>
      <c r="R826" s="167"/>
      <c r="S826" s="167"/>
    </row>
    <row r="827" spans="1:19">
      <c r="A827" s="163"/>
      <c r="B827" s="163"/>
      <c r="C827" s="163"/>
      <c r="D827" s="163"/>
      <c r="G827" s="167"/>
      <c r="H827" s="171"/>
      <c r="I827" s="172"/>
      <c r="J827" s="167"/>
      <c r="K827" s="167"/>
      <c r="L827" s="167"/>
      <c r="M827" s="167"/>
      <c r="N827" s="167"/>
      <c r="O827" s="170"/>
      <c r="P827" s="167"/>
      <c r="Q827" s="167"/>
      <c r="R827" s="167"/>
      <c r="S827" s="167"/>
    </row>
    <row r="828" spans="1:19">
      <c r="A828" s="163"/>
      <c r="B828" s="163"/>
      <c r="C828" s="163"/>
      <c r="D828" s="163"/>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5"/>
  <sheetViews>
    <sheetView showGridLines="0" showZeros="0" tabSelected="1" zoomScale="90" zoomScaleNormal="90" zoomScaleSheetLayoutView="90" workbookViewId="0">
      <selection activeCell="C11" sqref="C11"/>
    </sheetView>
  </sheetViews>
  <sheetFormatPr baseColWidth="10" defaultColWidth="11.42578125" defaultRowHeight="20.100000000000001" customHeight="1"/>
  <cols>
    <col min="1" max="1" width="11.140625" style="579" customWidth="1"/>
    <col min="2" max="2" width="19" style="65" customWidth="1"/>
    <col min="3" max="3" width="78.28515625" style="65" customWidth="1"/>
    <col min="4" max="4" width="9.140625" style="95" customWidth="1"/>
    <col min="5" max="5" width="11" style="65" customWidth="1"/>
    <col min="6" max="6" width="15.7109375" style="65" customWidth="1"/>
    <col min="7" max="7" width="55.140625" style="65" customWidth="1"/>
    <col min="8" max="8" width="9.42578125" style="65" customWidth="1"/>
    <col min="9" max="9" width="13.42578125" style="65" customWidth="1"/>
    <col min="10" max="10" width="41" style="67" customWidth="1"/>
    <col min="11" max="11" width="24.85546875" style="65" customWidth="1"/>
    <col min="12" max="16384" width="11.42578125" style="65"/>
  </cols>
  <sheetData>
    <row r="1" spans="1:10" ht="20.100000000000001" customHeight="1">
      <c r="A1" s="618" t="s">
        <v>941</v>
      </c>
      <c r="B1" s="619"/>
      <c r="C1" s="619"/>
      <c r="D1" s="620"/>
      <c r="E1" s="70"/>
      <c r="F1" s="70"/>
      <c r="I1" s="67"/>
      <c r="J1" s="65"/>
    </row>
    <row r="2" spans="1:10" ht="20.100000000000001" customHeight="1">
      <c r="A2" s="64" t="s">
        <v>7</v>
      </c>
      <c r="C2" s="64" t="s">
        <v>2079</v>
      </c>
      <c r="D2" s="64"/>
      <c r="E2" s="64"/>
      <c r="F2" s="64"/>
      <c r="I2" s="67"/>
      <c r="J2" s="65"/>
    </row>
    <row r="3" spans="1:10" s="75" customFormat="1" ht="12.75">
      <c r="A3" s="74" t="s">
        <v>8</v>
      </c>
      <c r="C3" s="601" t="s">
        <v>2082</v>
      </c>
      <c r="D3" s="77"/>
      <c r="E3" s="74"/>
      <c r="F3" s="77"/>
      <c r="I3" s="166"/>
    </row>
    <row r="4" spans="1:10" s="72" customFormat="1" ht="19.5" customHeight="1">
      <c r="A4" s="142" t="s">
        <v>981</v>
      </c>
      <c r="C4" s="143"/>
      <c r="D4" s="5"/>
      <c r="E4" s="76"/>
      <c r="F4" s="72" t="s">
        <v>2060</v>
      </c>
      <c r="I4" s="431"/>
    </row>
    <row r="5" spans="1:10" s="72" customFormat="1" ht="19.5" hidden="1" customHeight="1">
      <c r="A5" s="142" t="s">
        <v>982</v>
      </c>
      <c r="C5" s="143"/>
      <c r="D5" s="5"/>
      <c r="E5" s="5"/>
      <c r="I5" s="431"/>
    </row>
    <row r="6" spans="1:10" s="72" customFormat="1" ht="19.5" hidden="1" customHeight="1">
      <c r="A6" s="142" t="s">
        <v>983</v>
      </c>
      <c r="C6" s="143"/>
      <c r="D6" s="5"/>
      <c r="I6" s="431"/>
    </row>
    <row r="7" spans="1:10" s="72" customFormat="1" ht="19.5" hidden="1" customHeight="1">
      <c r="A7" s="142" t="s">
        <v>984</v>
      </c>
      <c r="C7" s="143"/>
      <c r="D7" s="5"/>
      <c r="I7" s="431"/>
    </row>
    <row r="8" spans="1:10" s="75" customFormat="1" ht="20.100000000000001" customHeight="1">
      <c r="A8" s="74" t="s">
        <v>12</v>
      </c>
      <c r="C8" s="78" t="s">
        <v>2083</v>
      </c>
      <c r="D8" s="77"/>
      <c r="I8" s="166"/>
    </row>
    <row r="9" spans="1:10" s="75" customFormat="1" ht="20.100000000000001" customHeight="1">
      <c r="A9" s="74" t="s">
        <v>2080</v>
      </c>
      <c r="C9" s="614">
        <v>1</v>
      </c>
      <c r="E9" s="441"/>
      <c r="F9" s="72" t="s">
        <v>2061</v>
      </c>
      <c r="I9" s="166"/>
    </row>
    <row r="10" spans="1:10" s="75" customFormat="1" ht="20.100000000000001" customHeight="1">
      <c r="A10" s="74" t="s">
        <v>29</v>
      </c>
      <c r="C10" s="79" t="s">
        <v>2084</v>
      </c>
      <c r="E10" s="5"/>
      <c r="F10" s="72"/>
      <c r="I10" s="166"/>
    </row>
    <row r="11" spans="1:10" s="75" customFormat="1" ht="20.100000000000001" customHeight="1">
      <c r="A11" s="74" t="s">
        <v>14</v>
      </c>
      <c r="C11" s="80">
        <v>11373000</v>
      </c>
      <c r="E11" s="584"/>
      <c r="F11" s="72" t="s">
        <v>2062</v>
      </c>
      <c r="I11" s="166"/>
    </row>
    <row r="12" spans="1:10" s="75" customFormat="1" ht="20.100000000000001" customHeight="1">
      <c r="A12" s="74" t="s">
        <v>892</v>
      </c>
      <c r="C12" s="81">
        <v>0</v>
      </c>
      <c r="I12" s="166"/>
    </row>
    <row r="13" spans="1:10" s="75" customFormat="1" ht="20.100000000000001" customHeight="1">
      <c r="A13" s="74" t="s">
        <v>891</v>
      </c>
      <c r="C13" s="82"/>
      <c r="I13" s="166"/>
    </row>
    <row r="14" spans="1:10" s="75" customFormat="1" ht="20.100000000000001" customHeight="1">
      <c r="A14" s="74" t="s">
        <v>13</v>
      </c>
      <c r="C14" s="83">
        <v>120</v>
      </c>
      <c r="I14" s="166"/>
    </row>
    <row r="15" spans="1:10" s="75" customFormat="1" ht="20.100000000000001" customHeight="1">
      <c r="A15" s="74"/>
      <c r="B15" s="84"/>
      <c r="I15" s="166"/>
    </row>
    <row r="16" spans="1:10" ht="20.100000000000001" customHeight="1">
      <c r="A16" s="621" t="s">
        <v>942</v>
      </c>
      <c r="B16" s="621"/>
      <c r="C16" s="621"/>
      <c r="D16" s="621"/>
      <c r="E16" s="621"/>
      <c r="F16" s="70"/>
      <c r="I16" s="67"/>
      <c r="J16" s="65"/>
    </row>
    <row r="17" spans="1:11" s="75" customFormat="1" ht="20.100000000000001" customHeight="1">
      <c r="A17" s="74" t="s">
        <v>9</v>
      </c>
      <c r="C17" s="441"/>
      <c r="D17" s="96"/>
      <c r="I17" s="166"/>
    </row>
    <row r="18" spans="1:11" s="72" customFormat="1" ht="20.100000000000001" customHeight="1">
      <c r="A18" s="142" t="s">
        <v>1843</v>
      </c>
      <c r="B18" s="437"/>
      <c r="C18" s="441"/>
      <c r="D18" s="5"/>
      <c r="E18" s="5"/>
      <c r="I18" s="431"/>
    </row>
    <row r="19" spans="1:11" s="72" customFormat="1" ht="20.100000000000001" customHeight="1">
      <c r="A19" s="142" t="s">
        <v>1844</v>
      </c>
      <c r="B19" s="437"/>
      <c r="C19" s="441"/>
      <c r="D19" s="5"/>
      <c r="E19" s="5"/>
      <c r="I19" s="431"/>
    </row>
    <row r="20" spans="1:11" s="72" customFormat="1" ht="20.100000000000001" customHeight="1">
      <c r="A20" s="142" t="s">
        <v>1845</v>
      </c>
      <c r="B20" s="437"/>
      <c r="C20" s="441"/>
      <c r="D20" s="5"/>
      <c r="E20" s="5"/>
      <c r="I20" s="431"/>
    </row>
    <row r="21" spans="1:11" s="72" customFormat="1" ht="20.100000000000001" customHeight="1">
      <c r="A21" s="142" t="s">
        <v>1844</v>
      </c>
      <c r="B21" s="437"/>
      <c r="C21" s="441"/>
      <c r="D21" s="5"/>
      <c r="E21" s="5"/>
      <c r="I21" s="431"/>
    </row>
    <row r="22" spans="1:11" s="72" customFormat="1" ht="20.100000000000001" customHeight="1">
      <c r="A22" s="142" t="s">
        <v>1845</v>
      </c>
      <c r="B22" s="437"/>
      <c r="C22" s="441"/>
      <c r="D22" s="5"/>
      <c r="E22" s="5"/>
      <c r="I22" s="431"/>
    </row>
    <row r="23" spans="1:11" s="72" customFormat="1" ht="20.100000000000001" customHeight="1">
      <c r="A23" s="142" t="s">
        <v>1844</v>
      </c>
      <c r="B23" s="437"/>
      <c r="C23" s="441"/>
      <c r="D23" s="5"/>
      <c r="E23" s="5"/>
      <c r="I23" s="431"/>
    </row>
    <row r="24" spans="1:11" s="72" customFormat="1" ht="20.100000000000001" customHeight="1">
      <c r="A24" s="142" t="s">
        <v>1845</v>
      </c>
      <c r="B24" s="437"/>
      <c r="C24" s="441"/>
      <c r="D24" s="5"/>
      <c r="E24" s="5"/>
      <c r="I24" s="431"/>
    </row>
    <row r="25" spans="1:11" s="72" customFormat="1" ht="20.100000000000001" customHeight="1">
      <c r="A25" s="74" t="s">
        <v>1842</v>
      </c>
      <c r="C25" s="606"/>
      <c r="D25" s="96"/>
      <c r="E25" s="605"/>
      <c r="F25" s="75"/>
      <c r="G25" s="75"/>
      <c r="H25" s="75"/>
      <c r="I25" s="431"/>
    </row>
    <row r="26" spans="1:11" s="72" customFormat="1" ht="20.100000000000001" customHeight="1">
      <c r="A26" s="74" t="s">
        <v>936</v>
      </c>
      <c r="C26" s="606"/>
      <c r="D26" s="97"/>
      <c r="E26" s="605"/>
      <c r="F26" s="94"/>
      <c r="G26" s="65"/>
      <c r="H26" s="65"/>
      <c r="I26" s="431"/>
    </row>
    <row r="27" spans="1:11" s="72" customFormat="1" ht="20.100000000000001" customHeight="1">
      <c r="A27" s="74" t="s">
        <v>935</v>
      </c>
      <c r="B27" s="65"/>
      <c r="C27" s="606"/>
      <c r="D27" s="97"/>
      <c r="E27" s="605"/>
      <c r="F27" s="65"/>
      <c r="G27" s="65"/>
      <c r="H27" s="65"/>
      <c r="I27" s="431"/>
    </row>
    <row r="28" spans="1:11" s="72" customFormat="1" ht="20.100000000000001" customHeight="1">
      <c r="A28" s="74" t="s">
        <v>961</v>
      </c>
      <c r="C28" s="607"/>
      <c r="D28" s="97"/>
      <c r="E28" s="65"/>
      <c r="F28" s="65"/>
      <c r="G28" s="65"/>
      <c r="H28" s="65"/>
      <c r="I28" s="431"/>
    </row>
    <row r="29" spans="1:11" s="72" customFormat="1" ht="20.100000000000001" customHeight="1">
      <c r="A29" s="74" t="s">
        <v>934</v>
      </c>
      <c r="B29" s="65"/>
      <c r="C29" s="608"/>
      <c r="D29" s="97"/>
      <c r="E29" s="65"/>
      <c r="F29" s="65"/>
      <c r="G29" s="65"/>
      <c r="H29" s="65"/>
      <c r="I29" s="431"/>
    </row>
    <row r="30" spans="1:11" ht="20.100000000000001" customHeight="1">
      <c r="A30" s="74" t="s">
        <v>938</v>
      </c>
      <c r="C30" s="583">
        <f>PrecioUnitario(1,Costo_Financiero,Gasto_Generales_Porcentaje,Beneficio,Ingresos_Brutos,IVA)</f>
        <v>1</v>
      </c>
      <c r="I30" s="67"/>
      <c r="J30" s="85"/>
    </row>
    <row r="31" spans="1:11" ht="20.100000000000001" customHeight="1">
      <c r="D31" s="67"/>
      <c r="E31" s="95"/>
      <c r="K31" s="85"/>
    </row>
    <row r="32" spans="1:11" ht="20.100000000000001" customHeight="1">
      <c r="B32" s="618" t="s">
        <v>960</v>
      </c>
      <c r="C32" s="619"/>
      <c r="D32" s="619"/>
      <c r="E32" s="620"/>
      <c r="F32" s="70"/>
      <c r="I32" s="67"/>
      <c r="J32" s="85"/>
    </row>
    <row r="33" spans="1:11" ht="20.100000000000001" customHeight="1">
      <c r="G33" s="617" t="s">
        <v>962</v>
      </c>
      <c r="H33" s="617"/>
      <c r="I33" s="67"/>
      <c r="J33" s="85"/>
    </row>
    <row r="34" spans="1:11" ht="27.75" customHeight="1">
      <c r="B34" s="445" t="s">
        <v>893</v>
      </c>
      <c r="C34" s="442" t="s">
        <v>0</v>
      </c>
      <c r="D34" s="446" t="s">
        <v>1</v>
      </c>
      <c r="E34" s="445" t="s">
        <v>2</v>
      </c>
      <c r="F34" s="100"/>
      <c r="G34" s="445" t="s">
        <v>963</v>
      </c>
      <c r="H34" s="445" t="s">
        <v>1</v>
      </c>
      <c r="I34" s="67"/>
      <c r="J34" s="445" t="s">
        <v>1846</v>
      </c>
    </row>
    <row r="35" spans="1:11" ht="20.100000000000001" customHeight="1">
      <c r="B35" s="62"/>
      <c r="C35" s="436"/>
      <c r="D35" s="98"/>
      <c r="E35" s="62"/>
      <c r="F35" s="100"/>
      <c r="G35" s="595"/>
      <c r="H35" s="595"/>
      <c r="I35" s="67"/>
      <c r="J35" s="65"/>
    </row>
    <row r="36" spans="1:11" ht="20.100000000000001" customHeight="1">
      <c r="A36" s="579">
        <f>IF(D36=0,A35,A35+1)</f>
        <v>0</v>
      </c>
      <c r="B36" s="101">
        <v>1</v>
      </c>
      <c r="C36" s="63" t="str">
        <f t="shared" ref="C36:C40" si="0">IFERROR(VLOOKUP(J36,T_Código_Items,2,FALSE),G36)</f>
        <v>PERFORACION PROPIAMENTE DICHA</v>
      </c>
      <c r="D36" s="99">
        <f t="shared" ref="D36:D40" si="1">IFERROR(VLOOKUP(J36,T_Código_Items,3,FALSE),H36)</f>
        <v>0</v>
      </c>
      <c r="E36" s="581"/>
      <c r="F36" s="138"/>
      <c r="G36" s="139" t="s">
        <v>2093</v>
      </c>
      <c r="H36" s="580"/>
      <c r="I36" s="67"/>
      <c r="J36" s="65"/>
    </row>
    <row r="37" spans="1:11" ht="20.100000000000001" customHeight="1">
      <c r="A37" s="579">
        <f t="shared" ref="A37:A100" si="2">IF(D37=0,A36,A36+1)</f>
        <v>1</v>
      </c>
      <c r="B37" s="613">
        <v>1.1000000000000001</v>
      </c>
      <c r="C37" s="63" t="str">
        <f t="shared" si="0"/>
        <v>Limpieza, replanteo y nivelacion</v>
      </c>
      <c r="D37" s="99" t="str">
        <f t="shared" si="1"/>
        <v>m2</v>
      </c>
      <c r="E37" s="582">
        <v>22.5</v>
      </c>
      <c r="F37" s="140"/>
      <c r="G37" s="139" t="s">
        <v>2085</v>
      </c>
      <c r="H37" s="580" t="s">
        <v>5</v>
      </c>
      <c r="I37" s="438"/>
      <c r="J37" s="65"/>
    </row>
    <row r="38" spans="1:11" ht="20.100000000000001" customHeight="1">
      <c r="A38" s="579">
        <f t="shared" si="2"/>
        <v>2</v>
      </c>
      <c r="B38" s="613">
        <v>1.2</v>
      </c>
      <c r="C38" s="63" t="str">
        <f t="shared" si="0"/>
        <v>Perfilaje, limpieza, ensayos y desarrollo</v>
      </c>
      <c r="D38" s="99" t="str">
        <f t="shared" si="1"/>
        <v>m</v>
      </c>
      <c r="E38" s="582">
        <v>100</v>
      </c>
      <c r="F38" s="140"/>
      <c r="G38" s="139" t="s">
        <v>2086</v>
      </c>
      <c r="H38" s="580" t="s">
        <v>995</v>
      </c>
      <c r="I38" s="439"/>
      <c r="J38" s="65"/>
    </row>
    <row r="39" spans="1:11" ht="20.100000000000001" customHeight="1">
      <c r="A39" s="579">
        <f t="shared" si="2"/>
        <v>3</v>
      </c>
      <c r="B39" s="613">
        <v>1.3</v>
      </c>
      <c r="C39" s="63" t="str">
        <f t="shared" si="0"/>
        <v>Provision e instalacion filtros 12"</v>
      </c>
      <c r="D39" s="99" t="str">
        <f t="shared" si="1"/>
        <v>m</v>
      </c>
      <c r="E39" s="582">
        <v>40</v>
      </c>
      <c r="F39" s="140"/>
      <c r="G39" s="139" t="s">
        <v>2087</v>
      </c>
      <c r="H39" s="580" t="s">
        <v>995</v>
      </c>
      <c r="I39" s="67"/>
      <c r="J39" s="65"/>
    </row>
    <row r="40" spans="1:11" ht="20.100000000000001" customHeight="1">
      <c r="A40" s="579">
        <f t="shared" si="2"/>
        <v>4</v>
      </c>
      <c r="B40" s="613">
        <v>1.4</v>
      </c>
      <c r="C40" s="63" t="str">
        <f t="shared" si="0"/>
        <v>Engravado para proteccion de filtros</v>
      </c>
      <c r="D40" s="99" t="str">
        <f t="shared" si="1"/>
        <v>m3</v>
      </c>
      <c r="E40" s="582">
        <v>4.5</v>
      </c>
      <c r="F40" s="140"/>
      <c r="G40" s="139" t="s">
        <v>2088</v>
      </c>
      <c r="H40" s="580" t="s">
        <v>2074</v>
      </c>
      <c r="I40" s="440"/>
      <c r="J40" s="163"/>
    </row>
    <row r="41" spans="1:11" ht="20.100000000000001" customHeight="1">
      <c r="A41" s="579">
        <f t="shared" si="2"/>
        <v>5</v>
      </c>
      <c r="B41" s="616">
        <v>1.5</v>
      </c>
      <c r="C41" s="63" t="str">
        <f t="shared" ref="C41:C61" si="3">IFERROR(VLOOKUP(J41,T_Código_Items,2,FALSE),G41)</f>
        <v>Provision en instalacion cañeria 12"</v>
      </c>
      <c r="D41" s="99" t="str">
        <f t="shared" ref="D41:D60" si="4">IFERROR(VLOOKUP(J41,T_Código_Items,3,FALSE),H41)</f>
        <v>m</v>
      </c>
      <c r="E41" s="582">
        <v>100</v>
      </c>
      <c r="F41" s="140"/>
      <c r="G41" s="139" t="s">
        <v>2089</v>
      </c>
      <c r="H41" s="580" t="s">
        <v>995</v>
      </c>
      <c r="I41" s="440"/>
      <c r="J41" s="65"/>
    </row>
    <row r="42" spans="1:11" ht="20.100000000000001" customHeight="1">
      <c r="A42" s="579">
        <f t="shared" si="2"/>
        <v>6</v>
      </c>
      <c r="B42" s="616">
        <v>1.6</v>
      </c>
      <c r="C42" s="63" t="str">
        <f t="shared" si="3"/>
        <v>Cementado para proteccion perforacion</v>
      </c>
      <c r="D42" s="99" t="str">
        <f t="shared" si="4"/>
        <v>m3</v>
      </c>
      <c r="E42" s="582">
        <v>4.5</v>
      </c>
      <c r="F42" s="140"/>
      <c r="G42" s="139" t="s">
        <v>2090</v>
      </c>
      <c r="H42" s="580" t="s">
        <v>2074</v>
      </c>
      <c r="I42" s="440"/>
      <c r="J42" s="65"/>
      <c r="K42" s="86"/>
    </row>
    <row r="43" spans="1:11" ht="20.100000000000001" customHeight="1">
      <c r="A43" s="579">
        <f t="shared" si="2"/>
        <v>7</v>
      </c>
      <c r="B43" s="616">
        <v>1.7</v>
      </c>
      <c r="C43" s="63" t="str">
        <f t="shared" si="3"/>
        <v>Limpieza final</v>
      </c>
      <c r="D43" s="99" t="str">
        <f t="shared" si="4"/>
        <v>m2</v>
      </c>
      <c r="E43" s="582">
        <v>22.5</v>
      </c>
      <c r="F43" s="140"/>
      <c r="G43" s="139" t="s">
        <v>2091</v>
      </c>
      <c r="H43" s="580" t="s">
        <v>5</v>
      </c>
      <c r="I43" s="440"/>
      <c r="J43" s="65"/>
      <c r="K43" s="86"/>
    </row>
    <row r="44" spans="1:11" ht="20.100000000000001" customHeight="1">
      <c r="A44" s="579">
        <f t="shared" si="2"/>
        <v>7</v>
      </c>
      <c r="B44" s="101">
        <v>2</v>
      </c>
      <c r="C44" s="63" t="str">
        <f t="shared" si="3"/>
        <v>INSTALACIONES ELECTROMECANICAS</v>
      </c>
      <c r="D44" s="99">
        <f t="shared" si="4"/>
        <v>0</v>
      </c>
      <c r="E44" s="582"/>
      <c r="F44" s="140"/>
      <c r="G44" s="139" t="s">
        <v>2092</v>
      </c>
      <c r="H44" s="580"/>
      <c r="I44" s="440"/>
      <c r="J44" s="65"/>
      <c r="K44" s="86"/>
    </row>
    <row r="45" spans="1:11" ht="20.100000000000001" customHeight="1">
      <c r="A45" s="579">
        <f t="shared" si="2"/>
        <v>8</v>
      </c>
      <c r="B45" s="101">
        <v>2.1</v>
      </c>
      <c r="C45" s="63" t="str">
        <f t="shared" si="3"/>
        <v>Provision en instalacion electromba de 50HP</v>
      </c>
      <c r="D45" s="99" t="str">
        <f t="shared" si="4"/>
        <v>gl</v>
      </c>
      <c r="E45" s="582">
        <v>1</v>
      </c>
      <c r="F45" s="140"/>
      <c r="G45" s="139" t="s">
        <v>2094</v>
      </c>
      <c r="H45" s="580" t="s">
        <v>4</v>
      </c>
      <c r="I45" s="440"/>
      <c r="J45" s="65"/>
      <c r="K45" s="86"/>
    </row>
    <row r="46" spans="1:11" ht="20.100000000000001" customHeight="1">
      <c r="A46" s="579">
        <f t="shared" si="2"/>
        <v>9</v>
      </c>
      <c r="B46" s="101">
        <v>2.2000000000000002</v>
      </c>
      <c r="C46" s="63" t="str">
        <f t="shared" si="3"/>
        <v>Provsion e instalacion cañeria impulsion 6"</v>
      </c>
      <c r="D46" s="99" t="str">
        <f t="shared" si="4"/>
        <v>m</v>
      </c>
      <c r="E46" s="582">
        <v>52</v>
      </c>
      <c r="F46" s="140"/>
      <c r="G46" s="139" t="s">
        <v>2095</v>
      </c>
      <c r="H46" s="580" t="s">
        <v>995</v>
      </c>
      <c r="I46" s="440"/>
      <c r="J46" s="65"/>
      <c r="K46" s="86"/>
    </row>
    <row r="47" spans="1:11" ht="20.100000000000001" customHeight="1">
      <c r="A47" s="579">
        <f t="shared" si="2"/>
        <v>10</v>
      </c>
      <c r="B47" s="616">
        <v>2.2999999999999998</v>
      </c>
      <c r="C47" s="63" t="str">
        <f t="shared" si="3"/>
        <v>Instalacion tablero de potencia y control de electrobomba sumergible con control de velocidad, sistema de iluminacion monitoreo remoto de presion y caudal</v>
      </c>
      <c r="D47" s="99" t="str">
        <f t="shared" si="4"/>
        <v>gl</v>
      </c>
      <c r="E47" s="582">
        <v>1</v>
      </c>
      <c r="F47" s="140"/>
      <c r="G47" s="693" t="s">
        <v>2096</v>
      </c>
      <c r="H47" s="580" t="s">
        <v>4</v>
      </c>
      <c r="I47" s="440"/>
      <c r="J47" s="65"/>
      <c r="K47" s="86"/>
    </row>
    <row r="48" spans="1:11" ht="20.100000000000001" customHeight="1">
      <c r="A48" s="579">
        <f t="shared" si="2"/>
        <v>11</v>
      </c>
      <c r="B48" s="616">
        <v>2.4</v>
      </c>
      <c r="C48" s="63" t="str">
        <f t="shared" si="3"/>
        <v>Construccion caseta para tablero y aprobaciones</v>
      </c>
      <c r="D48" s="99" t="str">
        <f t="shared" si="4"/>
        <v>gl</v>
      </c>
      <c r="E48" s="582">
        <v>1</v>
      </c>
      <c r="F48" s="140"/>
      <c r="G48" s="139" t="s">
        <v>2097</v>
      </c>
      <c r="H48" s="580" t="s">
        <v>4</v>
      </c>
      <c r="I48" s="440"/>
      <c r="J48" s="65"/>
      <c r="K48" s="86"/>
    </row>
    <row r="49" spans="1:11" ht="20.100000000000001" customHeight="1">
      <c r="A49" s="579">
        <f t="shared" si="2"/>
        <v>11</v>
      </c>
      <c r="B49" s="101">
        <v>3</v>
      </c>
      <c r="C49" s="63" t="str">
        <f t="shared" si="3"/>
        <v>CAMARA SUBTERRANEA PARA PERFORACION</v>
      </c>
      <c r="D49" s="99">
        <f t="shared" si="4"/>
        <v>0</v>
      </c>
      <c r="E49" s="582"/>
      <c r="F49" s="140"/>
      <c r="G49" s="139" t="s">
        <v>2098</v>
      </c>
      <c r="H49" s="580"/>
      <c r="I49" s="440"/>
      <c r="J49" s="65"/>
      <c r="K49" s="86"/>
    </row>
    <row r="50" spans="1:11" ht="20.100000000000001" customHeight="1">
      <c r="A50" s="579">
        <f t="shared" si="2"/>
        <v>12</v>
      </c>
      <c r="B50" s="101">
        <v>3.1</v>
      </c>
      <c r="C50" s="63" t="str">
        <f t="shared" si="3"/>
        <v>Limpieza, replanteo y nivelacion</v>
      </c>
      <c r="D50" s="99" t="str">
        <f t="shared" si="4"/>
        <v>m</v>
      </c>
      <c r="E50" s="582">
        <v>6</v>
      </c>
      <c r="F50" s="140"/>
      <c r="G50" s="139" t="s">
        <v>2085</v>
      </c>
      <c r="H50" s="580" t="s">
        <v>995</v>
      </c>
      <c r="I50" s="440"/>
      <c r="J50" s="65"/>
      <c r="K50" s="86"/>
    </row>
    <row r="51" spans="1:11" ht="20.100000000000001" customHeight="1">
      <c r="A51" s="579">
        <f t="shared" si="2"/>
        <v>13</v>
      </c>
      <c r="B51" s="101">
        <v>3.2</v>
      </c>
      <c r="C51" s="63" t="str">
        <f t="shared" si="3"/>
        <v>Excavacion de zanja para camara subterranea</v>
      </c>
      <c r="D51" s="99" t="str">
        <f t="shared" si="4"/>
        <v>m3</v>
      </c>
      <c r="E51" s="582">
        <v>12.77</v>
      </c>
      <c r="F51" s="140"/>
      <c r="G51" s="139" t="s">
        <v>2099</v>
      </c>
      <c r="H51" s="580" t="s">
        <v>2074</v>
      </c>
      <c r="I51" s="440"/>
      <c r="J51" s="65"/>
      <c r="K51" s="86"/>
    </row>
    <row r="52" spans="1:11" ht="20.100000000000001" customHeight="1">
      <c r="A52" s="579">
        <f t="shared" si="2"/>
        <v>14</v>
      </c>
      <c r="B52" s="616">
        <v>3.3</v>
      </c>
      <c r="C52" s="63" t="str">
        <f t="shared" si="3"/>
        <v>Construccion de losa de fundacion H°A° H17</v>
      </c>
      <c r="D52" s="99" t="str">
        <f t="shared" si="4"/>
        <v>m3</v>
      </c>
      <c r="E52" s="582">
        <v>0.9</v>
      </c>
      <c r="F52" s="140"/>
      <c r="G52" s="139" t="s">
        <v>2100</v>
      </c>
      <c r="H52" s="580" t="s">
        <v>2074</v>
      </c>
      <c r="I52" s="440"/>
      <c r="J52" s="65"/>
      <c r="K52" s="86"/>
    </row>
    <row r="53" spans="1:11" ht="20.100000000000001" customHeight="1">
      <c r="A53" s="579">
        <f t="shared" si="2"/>
        <v>15</v>
      </c>
      <c r="B53" s="616">
        <v>3.4</v>
      </c>
      <c r="C53" s="63" t="str">
        <f t="shared" si="3"/>
        <v>Muros de H°A° H17</v>
      </c>
      <c r="D53" s="99" t="str">
        <f t="shared" si="4"/>
        <v>m3</v>
      </c>
      <c r="E53" s="582">
        <v>3.33</v>
      </c>
      <c r="F53" s="140"/>
      <c r="G53" s="139" t="s">
        <v>2101</v>
      </c>
      <c r="H53" s="580" t="s">
        <v>2074</v>
      </c>
      <c r="I53" s="440"/>
      <c r="J53" s="65"/>
      <c r="K53" s="86"/>
    </row>
    <row r="54" spans="1:11" ht="20.100000000000001" customHeight="1">
      <c r="A54" s="579">
        <f t="shared" si="2"/>
        <v>16</v>
      </c>
      <c r="B54" s="616">
        <v>3.5</v>
      </c>
      <c r="C54" s="63" t="str">
        <f t="shared" si="3"/>
        <v>Construccion de losa superior H°A° H17</v>
      </c>
      <c r="D54" s="99" t="str">
        <f t="shared" si="4"/>
        <v>m3</v>
      </c>
      <c r="E54" s="582">
        <v>0.9</v>
      </c>
      <c r="F54" s="140"/>
      <c r="G54" s="139" t="s">
        <v>2103</v>
      </c>
      <c r="H54" s="580" t="s">
        <v>2074</v>
      </c>
      <c r="I54" s="440"/>
      <c r="J54" s="65"/>
      <c r="K54" s="86"/>
    </row>
    <row r="55" spans="1:11" ht="20.100000000000001" customHeight="1">
      <c r="A55" s="579">
        <f t="shared" si="2"/>
        <v>17</v>
      </c>
      <c r="B55" s="616">
        <v>3.6</v>
      </c>
      <c r="C55" s="63" t="str">
        <f t="shared" si="3"/>
        <v>Tapa hermetica de ingreso</v>
      </c>
      <c r="D55" s="99" t="str">
        <f t="shared" si="4"/>
        <v>gl</v>
      </c>
      <c r="E55" s="582">
        <v>1</v>
      </c>
      <c r="F55" s="140"/>
      <c r="G55" s="139" t="s">
        <v>2102</v>
      </c>
      <c r="H55" s="580" t="s">
        <v>4</v>
      </c>
      <c r="I55" s="440"/>
      <c r="J55" s="65"/>
      <c r="K55" s="86"/>
    </row>
    <row r="56" spans="1:11" ht="20.100000000000001" customHeight="1">
      <c r="A56" s="579">
        <f t="shared" si="2"/>
        <v>18</v>
      </c>
      <c r="B56" s="616">
        <v>3.7</v>
      </c>
      <c r="C56" s="63" t="str">
        <f t="shared" si="3"/>
        <v>Limpieza Final</v>
      </c>
      <c r="D56" s="99" t="str">
        <f t="shared" si="4"/>
        <v>m2</v>
      </c>
      <c r="E56" s="582">
        <v>6</v>
      </c>
      <c r="F56" s="140"/>
      <c r="G56" s="139" t="s">
        <v>2104</v>
      </c>
      <c r="H56" s="580" t="s">
        <v>5</v>
      </c>
      <c r="I56" s="440"/>
      <c r="J56" s="65"/>
      <c r="K56" s="86"/>
    </row>
    <row r="57" spans="1:11" ht="20.100000000000001" customHeight="1">
      <c r="A57" s="579">
        <f t="shared" si="2"/>
        <v>18</v>
      </c>
      <c r="B57" s="101">
        <v>4</v>
      </c>
      <c r="C57" s="63" t="str">
        <f t="shared" si="3"/>
        <v>CUENCO DE VERTIDO</v>
      </c>
      <c r="D57" s="99">
        <f t="shared" si="4"/>
        <v>0</v>
      </c>
      <c r="E57" s="582"/>
      <c r="F57" s="140"/>
      <c r="G57" s="139" t="s">
        <v>2105</v>
      </c>
      <c r="H57" s="580"/>
      <c r="I57" s="440"/>
      <c r="J57" s="65"/>
      <c r="K57" s="86"/>
    </row>
    <row r="58" spans="1:11" ht="20.100000000000001" customHeight="1">
      <c r="A58" s="579">
        <f t="shared" si="2"/>
        <v>19</v>
      </c>
      <c r="B58" s="101">
        <v>4.0999999999999996</v>
      </c>
      <c r="C58" s="63" t="str">
        <f t="shared" si="3"/>
        <v>Estructura de Hormigon Armado H17</v>
      </c>
      <c r="D58" s="99" t="str">
        <f t="shared" si="4"/>
        <v>m3</v>
      </c>
      <c r="E58" s="582">
        <v>1.62</v>
      </c>
      <c r="F58" s="140"/>
      <c r="G58" s="139" t="s">
        <v>2106</v>
      </c>
      <c r="H58" s="580" t="s">
        <v>2074</v>
      </c>
      <c r="I58" s="440"/>
      <c r="J58" s="65"/>
      <c r="K58" s="86"/>
    </row>
    <row r="59" spans="1:11" ht="20.100000000000001" customHeight="1">
      <c r="A59" s="579">
        <f t="shared" si="2"/>
        <v>20</v>
      </c>
      <c r="B59" s="101">
        <v>4.2</v>
      </c>
      <c r="C59" s="63" t="str">
        <f t="shared" si="3"/>
        <v>Hormigon de limpieza</v>
      </c>
      <c r="D59" s="99" t="str">
        <f t="shared" si="4"/>
        <v>m2</v>
      </c>
      <c r="E59" s="582">
        <v>3.57</v>
      </c>
      <c r="F59" s="140"/>
      <c r="G59" s="139" t="s">
        <v>2107</v>
      </c>
      <c r="H59" s="580" t="s">
        <v>5</v>
      </c>
      <c r="I59" s="440"/>
      <c r="J59" s="65"/>
    </row>
    <row r="60" spans="1:11" ht="20.100000000000001" customHeight="1">
      <c r="A60" s="579">
        <f t="shared" si="2"/>
        <v>21</v>
      </c>
      <c r="B60" s="101">
        <v>4.3</v>
      </c>
      <c r="C60" s="63" t="str">
        <f t="shared" si="3"/>
        <v>Excavacion</v>
      </c>
      <c r="D60" s="99" t="str">
        <f t="shared" si="4"/>
        <v>m3</v>
      </c>
      <c r="E60" s="582">
        <v>2.2000000000000002</v>
      </c>
      <c r="F60" s="140"/>
      <c r="G60" s="139" t="s">
        <v>2108</v>
      </c>
      <c r="H60" s="580" t="s">
        <v>2074</v>
      </c>
      <c r="I60" s="440"/>
      <c r="J60" s="65"/>
    </row>
    <row r="61" spans="1:11" ht="20.100000000000001" customHeight="1">
      <c r="A61" s="579">
        <f t="shared" si="2"/>
        <v>21</v>
      </c>
      <c r="B61" s="101"/>
      <c r="C61" s="63">
        <f t="shared" si="3"/>
        <v>0</v>
      </c>
      <c r="D61" s="99"/>
      <c r="E61" s="582"/>
      <c r="F61" s="140"/>
      <c r="G61" s="139"/>
      <c r="H61" s="580"/>
      <c r="I61" s="440"/>
      <c r="J61" s="65"/>
    </row>
    <row r="62" spans="1:11" ht="20.100000000000001" customHeight="1">
      <c r="A62" s="579">
        <f t="shared" si="2"/>
        <v>21</v>
      </c>
      <c r="B62" s="101"/>
      <c r="C62" s="63"/>
      <c r="D62" s="99"/>
      <c r="E62" s="582"/>
      <c r="F62" s="140"/>
      <c r="G62" s="139"/>
      <c r="H62" s="580"/>
      <c r="I62" s="440"/>
      <c r="J62" s="65"/>
    </row>
    <row r="63" spans="1:11" ht="20.100000000000001" customHeight="1">
      <c r="A63" s="579">
        <f t="shared" si="2"/>
        <v>21</v>
      </c>
      <c r="B63" s="101"/>
      <c r="C63" s="63"/>
      <c r="D63" s="99"/>
      <c r="E63" s="582"/>
      <c r="F63" s="140"/>
      <c r="G63" s="139"/>
      <c r="H63" s="580"/>
      <c r="I63" s="440"/>
      <c r="J63" s="65"/>
    </row>
    <row r="64" spans="1:11" ht="20.100000000000001" customHeight="1">
      <c r="A64" s="579">
        <f t="shared" si="2"/>
        <v>21</v>
      </c>
      <c r="B64" s="101"/>
      <c r="C64" s="63"/>
      <c r="D64" s="99"/>
      <c r="E64" s="582"/>
      <c r="F64" s="140"/>
      <c r="G64" s="139"/>
      <c r="H64" s="580"/>
      <c r="I64" s="440"/>
      <c r="J64" s="65"/>
    </row>
    <row r="65" spans="1:10" ht="20.100000000000001" customHeight="1">
      <c r="A65" s="579">
        <f t="shared" si="2"/>
        <v>21</v>
      </c>
      <c r="B65" s="101"/>
      <c r="C65" s="63"/>
      <c r="D65" s="99"/>
      <c r="E65" s="582"/>
      <c r="F65" s="140"/>
      <c r="G65" s="139"/>
      <c r="H65" s="580"/>
      <c r="I65" s="440"/>
      <c r="J65" s="65"/>
    </row>
    <row r="66" spans="1:10" ht="20.100000000000001" customHeight="1">
      <c r="A66" s="579">
        <f t="shared" si="2"/>
        <v>21</v>
      </c>
      <c r="B66" s="101"/>
      <c r="C66" s="63"/>
      <c r="D66" s="99"/>
      <c r="E66" s="582"/>
      <c r="F66" s="140"/>
      <c r="G66" s="139"/>
      <c r="H66" s="580"/>
      <c r="I66" s="440"/>
      <c r="J66" s="65"/>
    </row>
    <row r="67" spans="1:10" ht="20.100000000000001" customHeight="1">
      <c r="A67" s="579">
        <f t="shared" si="2"/>
        <v>21</v>
      </c>
      <c r="B67" s="604"/>
      <c r="C67" s="63"/>
      <c r="D67" s="99"/>
      <c r="E67" s="582"/>
      <c r="F67" s="140"/>
      <c r="G67" s="139"/>
      <c r="H67" s="580"/>
      <c r="I67" s="440"/>
      <c r="J67" s="65"/>
    </row>
    <row r="68" spans="1:10" ht="20.100000000000001" customHeight="1">
      <c r="A68" s="579">
        <f t="shared" si="2"/>
        <v>21</v>
      </c>
      <c r="B68" s="101"/>
      <c r="C68" s="63"/>
      <c r="D68" s="99"/>
      <c r="E68" s="582"/>
      <c r="F68" s="140"/>
      <c r="G68" s="139"/>
      <c r="H68" s="580"/>
      <c r="I68" s="440"/>
      <c r="J68" s="65"/>
    </row>
    <row r="69" spans="1:10" ht="20.100000000000001" customHeight="1">
      <c r="A69" s="579">
        <f t="shared" si="2"/>
        <v>21</v>
      </c>
      <c r="B69" s="101"/>
      <c r="C69" s="63"/>
      <c r="D69" s="99"/>
      <c r="E69" s="582"/>
      <c r="F69" s="140"/>
      <c r="G69" s="139"/>
      <c r="H69" s="580"/>
      <c r="I69" s="440"/>
      <c r="J69" s="65"/>
    </row>
    <row r="70" spans="1:10" ht="20.100000000000001" customHeight="1">
      <c r="A70" s="579">
        <f t="shared" si="2"/>
        <v>21</v>
      </c>
      <c r="B70" s="101"/>
      <c r="C70" s="63"/>
      <c r="D70" s="99"/>
      <c r="E70" s="582"/>
      <c r="F70" s="140"/>
      <c r="G70" s="139"/>
      <c r="H70" s="580"/>
      <c r="I70" s="440"/>
      <c r="J70" s="65"/>
    </row>
    <row r="71" spans="1:10" ht="20.100000000000001" customHeight="1">
      <c r="A71" s="579">
        <f t="shared" si="2"/>
        <v>21</v>
      </c>
      <c r="B71" s="101"/>
      <c r="C71" s="63"/>
      <c r="D71" s="99"/>
      <c r="E71" s="582"/>
      <c r="F71" s="140"/>
      <c r="G71" s="139"/>
      <c r="H71" s="580"/>
      <c r="I71" s="440"/>
      <c r="J71" s="65"/>
    </row>
    <row r="72" spans="1:10" ht="20.100000000000001" customHeight="1">
      <c r="A72" s="579">
        <f t="shared" si="2"/>
        <v>21</v>
      </c>
      <c r="B72" s="101"/>
      <c r="C72" s="63"/>
      <c r="D72" s="99"/>
      <c r="E72" s="582"/>
      <c r="F72" s="140"/>
      <c r="G72" s="139"/>
      <c r="H72" s="580"/>
      <c r="I72" s="440"/>
      <c r="J72" s="65"/>
    </row>
    <row r="73" spans="1:10" ht="20.100000000000001" customHeight="1">
      <c r="A73" s="579">
        <f t="shared" si="2"/>
        <v>21</v>
      </c>
      <c r="B73" s="101"/>
      <c r="C73" s="63"/>
      <c r="D73" s="99"/>
      <c r="E73" s="582"/>
      <c r="F73" s="140"/>
      <c r="G73" s="139"/>
      <c r="H73" s="580"/>
      <c r="I73" s="440"/>
      <c r="J73" s="65"/>
    </row>
    <row r="74" spans="1:10" ht="20.100000000000001" customHeight="1">
      <c r="A74" s="579">
        <f t="shared" si="2"/>
        <v>21</v>
      </c>
      <c r="B74" s="101"/>
      <c r="C74" s="63"/>
      <c r="D74" s="99"/>
      <c r="E74" s="582"/>
      <c r="F74" s="140"/>
      <c r="G74" s="139"/>
      <c r="H74" s="580"/>
      <c r="I74" s="440"/>
      <c r="J74" s="65"/>
    </row>
    <row r="75" spans="1:10" ht="20.100000000000001" customHeight="1">
      <c r="A75" s="579">
        <f t="shared" si="2"/>
        <v>21</v>
      </c>
      <c r="B75" s="101"/>
      <c r="C75" s="63"/>
      <c r="D75" s="99"/>
      <c r="E75" s="582"/>
      <c r="F75" s="140"/>
      <c r="G75" s="139"/>
      <c r="H75" s="580"/>
      <c r="I75" s="440"/>
      <c r="J75" s="65"/>
    </row>
    <row r="76" spans="1:10" ht="20.100000000000001" customHeight="1">
      <c r="A76" s="579">
        <f t="shared" si="2"/>
        <v>21</v>
      </c>
      <c r="B76" s="101"/>
      <c r="C76" s="63"/>
      <c r="D76" s="99"/>
      <c r="E76" s="582"/>
      <c r="F76" s="140"/>
      <c r="G76" s="139"/>
      <c r="H76" s="580"/>
      <c r="I76" s="440"/>
      <c r="J76" s="65"/>
    </row>
    <row r="77" spans="1:10" ht="20.100000000000001" customHeight="1">
      <c r="A77" s="579">
        <f t="shared" si="2"/>
        <v>21</v>
      </c>
      <c r="B77" s="101"/>
      <c r="C77" s="63"/>
      <c r="D77" s="99"/>
      <c r="E77" s="582"/>
      <c r="F77" s="140"/>
      <c r="G77" s="139"/>
      <c r="H77" s="580"/>
      <c r="I77" s="440"/>
      <c r="J77" s="65"/>
    </row>
    <row r="78" spans="1:10" ht="20.100000000000001" customHeight="1">
      <c r="A78" s="579">
        <f t="shared" si="2"/>
        <v>21</v>
      </c>
      <c r="B78" s="101"/>
      <c r="C78" s="63"/>
      <c r="D78" s="99"/>
      <c r="E78" s="582"/>
      <c r="F78" s="140"/>
      <c r="G78" s="139"/>
      <c r="H78" s="580"/>
      <c r="I78" s="440"/>
      <c r="J78" s="65"/>
    </row>
    <row r="79" spans="1:10" ht="20.100000000000001" customHeight="1">
      <c r="A79" s="579">
        <f t="shared" si="2"/>
        <v>21</v>
      </c>
      <c r="B79" s="101"/>
      <c r="C79" s="63"/>
      <c r="D79" s="99"/>
      <c r="E79" s="582"/>
      <c r="F79" s="140"/>
      <c r="G79" s="139"/>
      <c r="H79" s="580"/>
      <c r="I79" s="440"/>
      <c r="J79" s="65"/>
    </row>
    <row r="80" spans="1:10" ht="20.100000000000001" customHeight="1">
      <c r="A80" s="579">
        <f t="shared" si="2"/>
        <v>21</v>
      </c>
      <c r="B80" s="101"/>
      <c r="C80" s="63"/>
      <c r="D80" s="99"/>
      <c r="E80" s="582"/>
      <c r="F80" s="140"/>
      <c r="G80" s="139"/>
      <c r="H80" s="580"/>
      <c r="I80" s="440"/>
      <c r="J80" s="65"/>
    </row>
    <row r="81" spans="1:10" ht="20.100000000000001" customHeight="1">
      <c r="A81" s="579">
        <f t="shared" si="2"/>
        <v>21</v>
      </c>
      <c r="B81" s="101"/>
      <c r="C81" s="63"/>
      <c r="D81" s="99"/>
      <c r="E81" s="582"/>
      <c r="F81" s="140"/>
      <c r="G81" s="139"/>
      <c r="H81" s="580"/>
      <c r="I81" s="440"/>
      <c r="J81" s="65"/>
    </row>
    <row r="82" spans="1:10" ht="20.100000000000001" customHeight="1">
      <c r="A82" s="579">
        <f t="shared" si="2"/>
        <v>21</v>
      </c>
      <c r="B82" s="101"/>
      <c r="C82" s="63"/>
      <c r="D82" s="99"/>
      <c r="E82" s="582"/>
      <c r="F82" s="140"/>
      <c r="G82" s="139"/>
      <c r="H82" s="580"/>
      <c r="I82" s="440"/>
      <c r="J82" s="65"/>
    </row>
    <row r="83" spans="1:10" ht="20.100000000000001" customHeight="1">
      <c r="A83" s="579">
        <f t="shared" si="2"/>
        <v>21</v>
      </c>
      <c r="B83" s="101"/>
      <c r="C83" s="63"/>
      <c r="D83" s="99"/>
      <c r="E83" s="582"/>
      <c r="F83" s="140"/>
      <c r="G83" s="139"/>
      <c r="H83" s="580"/>
      <c r="I83" s="440"/>
      <c r="J83" s="65"/>
    </row>
    <row r="84" spans="1:10" ht="20.100000000000001" customHeight="1">
      <c r="A84" s="579">
        <f t="shared" si="2"/>
        <v>21</v>
      </c>
      <c r="B84" s="101"/>
      <c r="C84" s="63">
        <f t="shared" ref="C84:C98" si="5">IFERROR(VLOOKUP(J84,T_Código_Items,2,FALSE),G84)</f>
        <v>0</v>
      </c>
      <c r="D84" s="99">
        <f t="shared" ref="D84:D98" si="6">IFERROR(VLOOKUP(J84,T_Código_Items,3,FALSE),H84)</f>
        <v>0</v>
      </c>
      <c r="E84" s="582"/>
      <c r="F84" s="140"/>
      <c r="G84" s="139"/>
      <c r="H84" s="580"/>
      <c r="I84" s="440"/>
      <c r="J84" s="65"/>
    </row>
    <row r="85" spans="1:10" ht="20.100000000000001" customHeight="1">
      <c r="A85" s="579">
        <f t="shared" si="2"/>
        <v>21</v>
      </c>
      <c r="B85" s="101"/>
      <c r="C85" s="63">
        <f t="shared" si="5"/>
        <v>0</v>
      </c>
      <c r="D85" s="99">
        <f t="shared" si="6"/>
        <v>0</v>
      </c>
      <c r="E85" s="582"/>
      <c r="F85" s="140"/>
      <c r="G85" s="139"/>
      <c r="H85" s="580"/>
      <c r="I85" s="440"/>
      <c r="J85" s="65"/>
    </row>
    <row r="86" spans="1:10" ht="20.100000000000001" customHeight="1">
      <c r="A86" s="579">
        <f t="shared" si="2"/>
        <v>21</v>
      </c>
      <c r="B86" s="101"/>
      <c r="C86" s="63">
        <f t="shared" si="5"/>
        <v>0</v>
      </c>
      <c r="D86" s="99">
        <f t="shared" si="6"/>
        <v>0</v>
      </c>
      <c r="E86" s="582"/>
      <c r="F86" s="140"/>
      <c r="G86" s="139"/>
      <c r="H86" s="580"/>
      <c r="I86" s="440"/>
      <c r="J86" s="65"/>
    </row>
    <row r="87" spans="1:10" ht="20.100000000000001" customHeight="1">
      <c r="A87" s="579">
        <f t="shared" si="2"/>
        <v>21</v>
      </c>
      <c r="B87" s="101"/>
      <c r="C87" s="63">
        <f t="shared" si="5"/>
        <v>0</v>
      </c>
      <c r="D87" s="99">
        <f t="shared" si="6"/>
        <v>0</v>
      </c>
      <c r="E87" s="582"/>
      <c r="F87" s="140"/>
      <c r="G87" s="139"/>
      <c r="H87" s="580"/>
      <c r="I87" s="440"/>
      <c r="J87" s="65"/>
    </row>
    <row r="88" spans="1:10" ht="20.100000000000001" customHeight="1">
      <c r="A88" s="579">
        <f t="shared" si="2"/>
        <v>21</v>
      </c>
      <c r="B88" s="101"/>
      <c r="C88" s="63">
        <f t="shared" si="5"/>
        <v>0</v>
      </c>
      <c r="D88" s="99">
        <f t="shared" si="6"/>
        <v>0</v>
      </c>
      <c r="E88" s="582"/>
      <c r="F88" s="140"/>
      <c r="G88" s="139"/>
      <c r="H88" s="580"/>
      <c r="I88" s="440"/>
      <c r="J88" s="65"/>
    </row>
    <row r="89" spans="1:10" ht="20.100000000000001" customHeight="1">
      <c r="A89" s="579">
        <f t="shared" si="2"/>
        <v>21</v>
      </c>
      <c r="B89" s="101"/>
      <c r="C89" s="63">
        <f t="shared" si="5"/>
        <v>0</v>
      </c>
      <c r="D89" s="99">
        <f t="shared" si="6"/>
        <v>0</v>
      </c>
      <c r="E89" s="582"/>
      <c r="F89" s="140"/>
      <c r="G89" s="139"/>
      <c r="H89" s="580"/>
      <c r="I89" s="440"/>
      <c r="J89" s="65"/>
    </row>
    <row r="90" spans="1:10" ht="20.100000000000001" customHeight="1">
      <c r="A90" s="579">
        <f t="shared" si="2"/>
        <v>21</v>
      </c>
      <c r="B90" s="101"/>
      <c r="C90" s="63">
        <f t="shared" si="5"/>
        <v>0</v>
      </c>
      <c r="D90" s="99">
        <f t="shared" si="6"/>
        <v>0</v>
      </c>
      <c r="E90" s="582"/>
      <c r="F90" s="140"/>
      <c r="G90" s="139"/>
      <c r="H90" s="580"/>
      <c r="I90" s="440"/>
      <c r="J90" s="65"/>
    </row>
    <row r="91" spans="1:10" ht="20.100000000000001" customHeight="1">
      <c r="A91" s="579">
        <f t="shared" si="2"/>
        <v>21</v>
      </c>
      <c r="B91" s="101"/>
      <c r="C91" s="63">
        <f t="shared" si="5"/>
        <v>0</v>
      </c>
      <c r="D91" s="99">
        <f t="shared" si="6"/>
        <v>0</v>
      </c>
      <c r="E91" s="582"/>
      <c r="F91" s="140"/>
      <c r="G91" s="139"/>
      <c r="H91" s="580"/>
      <c r="I91" s="440"/>
      <c r="J91" s="65"/>
    </row>
    <row r="92" spans="1:10" ht="20.100000000000001" customHeight="1">
      <c r="A92" s="579">
        <f t="shared" si="2"/>
        <v>21</v>
      </c>
      <c r="B92" s="101"/>
      <c r="C92" s="63">
        <f t="shared" si="5"/>
        <v>0</v>
      </c>
      <c r="D92" s="99">
        <f t="shared" si="6"/>
        <v>0</v>
      </c>
      <c r="E92" s="582"/>
      <c r="F92" s="140"/>
      <c r="G92" s="139"/>
      <c r="H92" s="580"/>
      <c r="I92" s="440"/>
      <c r="J92" s="65"/>
    </row>
    <row r="93" spans="1:10" ht="20.100000000000001" customHeight="1">
      <c r="A93" s="579">
        <f t="shared" si="2"/>
        <v>21</v>
      </c>
      <c r="B93" s="101"/>
      <c r="C93" s="63">
        <f t="shared" si="5"/>
        <v>0</v>
      </c>
      <c r="D93" s="99">
        <f t="shared" si="6"/>
        <v>0</v>
      </c>
      <c r="E93" s="582"/>
      <c r="F93" s="140"/>
      <c r="G93" s="139"/>
      <c r="H93" s="580"/>
      <c r="I93" s="440"/>
      <c r="J93" s="65"/>
    </row>
    <row r="94" spans="1:10" ht="20.100000000000001" customHeight="1">
      <c r="A94" s="579">
        <f t="shared" si="2"/>
        <v>21</v>
      </c>
      <c r="B94" s="101"/>
      <c r="C94" s="63">
        <f t="shared" si="5"/>
        <v>0</v>
      </c>
      <c r="D94" s="99">
        <f t="shared" si="6"/>
        <v>0</v>
      </c>
      <c r="E94" s="582"/>
      <c r="F94" s="140"/>
      <c r="G94" s="139"/>
      <c r="H94" s="580"/>
      <c r="I94" s="440"/>
      <c r="J94" s="65"/>
    </row>
    <row r="95" spans="1:10" ht="20.100000000000001" customHeight="1">
      <c r="A95" s="579">
        <f t="shared" si="2"/>
        <v>21</v>
      </c>
      <c r="B95" s="101"/>
      <c r="C95" s="63">
        <f t="shared" si="5"/>
        <v>0</v>
      </c>
      <c r="D95" s="99">
        <f t="shared" si="6"/>
        <v>0</v>
      </c>
      <c r="E95" s="582"/>
      <c r="F95" s="140"/>
      <c r="G95" s="139"/>
      <c r="H95" s="580"/>
      <c r="I95" s="440"/>
      <c r="J95" s="65"/>
    </row>
    <row r="96" spans="1:10" ht="20.100000000000001" customHeight="1">
      <c r="A96" s="579">
        <f t="shared" si="2"/>
        <v>21</v>
      </c>
      <c r="B96" s="101"/>
      <c r="C96" s="63">
        <f t="shared" si="5"/>
        <v>0</v>
      </c>
      <c r="D96" s="99">
        <f t="shared" si="6"/>
        <v>0</v>
      </c>
      <c r="E96" s="582"/>
      <c r="F96" s="140"/>
      <c r="G96" s="139"/>
      <c r="H96" s="580"/>
      <c r="I96" s="440"/>
      <c r="J96" s="65"/>
    </row>
    <row r="97" spans="1:10" ht="20.100000000000001" customHeight="1">
      <c r="A97" s="579">
        <f t="shared" si="2"/>
        <v>21</v>
      </c>
      <c r="B97" s="101"/>
      <c r="C97" s="63">
        <f t="shared" si="5"/>
        <v>0</v>
      </c>
      <c r="D97" s="99">
        <f t="shared" si="6"/>
        <v>0</v>
      </c>
      <c r="E97" s="582"/>
      <c r="F97" s="140"/>
      <c r="G97" s="139"/>
      <c r="H97" s="580"/>
      <c r="I97" s="440"/>
      <c r="J97" s="65"/>
    </row>
    <row r="98" spans="1:10" ht="20.100000000000001" customHeight="1">
      <c r="A98" s="579">
        <f t="shared" si="2"/>
        <v>21</v>
      </c>
      <c r="B98" s="101"/>
      <c r="C98" s="63">
        <f t="shared" si="5"/>
        <v>0</v>
      </c>
      <c r="D98" s="99">
        <f t="shared" si="6"/>
        <v>0</v>
      </c>
      <c r="E98" s="582"/>
      <c r="F98" s="140"/>
      <c r="G98" s="139"/>
      <c r="H98" s="580"/>
      <c r="I98" s="440"/>
      <c r="J98" s="65"/>
    </row>
    <row r="99" spans="1:10" ht="20.100000000000001" customHeight="1">
      <c r="A99" s="579">
        <f t="shared" si="2"/>
        <v>21</v>
      </c>
      <c r="B99" s="101"/>
      <c r="C99" s="63">
        <f t="shared" ref="C99:C130" si="7">IFERROR(VLOOKUP(J99,T_Código_Items,2,FALSE),G99)</f>
        <v>0</v>
      </c>
      <c r="D99" s="99">
        <f t="shared" ref="D99:D130" si="8">IFERROR(VLOOKUP(J99,T_Código_Items,3,FALSE),H99)</f>
        <v>0</v>
      </c>
      <c r="E99" s="582"/>
      <c r="F99" s="140"/>
      <c r="G99" s="139"/>
      <c r="H99" s="580"/>
      <c r="I99" s="440"/>
      <c r="J99" s="65"/>
    </row>
    <row r="100" spans="1:10" ht="20.100000000000001" customHeight="1">
      <c r="A100" s="579">
        <f t="shared" si="2"/>
        <v>21</v>
      </c>
      <c r="B100" s="101"/>
      <c r="C100" s="63">
        <f t="shared" si="7"/>
        <v>0</v>
      </c>
      <c r="D100" s="99">
        <f t="shared" si="8"/>
        <v>0</v>
      </c>
      <c r="E100" s="582"/>
      <c r="F100" s="140"/>
      <c r="G100" s="139"/>
      <c r="H100" s="580"/>
      <c r="I100" s="440"/>
      <c r="J100" s="65"/>
    </row>
    <row r="101" spans="1:10" ht="20.100000000000001" customHeight="1">
      <c r="A101" s="579">
        <f t="shared" ref="A101:A164" si="9">IF(D101=0,A100,A100+1)</f>
        <v>21</v>
      </c>
      <c r="B101" s="101"/>
      <c r="C101" s="63">
        <f t="shared" si="7"/>
        <v>0</v>
      </c>
      <c r="D101" s="99">
        <f t="shared" si="8"/>
        <v>0</v>
      </c>
      <c r="E101" s="582"/>
      <c r="F101" s="140"/>
      <c r="G101" s="139"/>
      <c r="H101" s="580"/>
      <c r="I101" s="440"/>
      <c r="J101" s="65"/>
    </row>
    <row r="102" spans="1:10" ht="20.100000000000001" customHeight="1">
      <c r="A102" s="579">
        <f t="shared" si="9"/>
        <v>21</v>
      </c>
      <c r="B102" s="101"/>
      <c r="C102" s="63">
        <f t="shared" si="7"/>
        <v>0</v>
      </c>
      <c r="D102" s="99">
        <f t="shared" si="8"/>
        <v>0</v>
      </c>
      <c r="E102" s="582"/>
      <c r="F102" s="140"/>
      <c r="G102" s="139"/>
      <c r="H102" s="580"/>
      <c r="I102" s="440"/>
      <c r="J102" s="65"/>
    </row>
    <row r="103" spans="1:10" ht="20.100000000000001" customHeight="1">
      <c r="A103" s="579">
        <f t="shared" si="9"/>
        <v>21</v>
      </c>
      <c r="B103" s="101"/>
      <c r="C103" s="63">
        <f t="shared" si="7"/>
        <v>0</v>
      </c>
      <c r="D103" s="99">
        <f t="shared" si="8"/>
        <v>0</v>
      </c>
      <c r="E103" s="582"/>
      <c r="F103" s="140"/>
      <c r="G103" s="139"/>
      <c r="H103" s="580"/>
      <c r="I103" s="440"/>
      <c r="J103" s="65"/>
    </row>
    <row r="104" spans="1:10" ht="20.100000000000001" customHeight="1">
      <c r="A104" s="579">
        <f t="shared" si="9"/>
        <v>21</v>
      </c>
      <c r="B104" s="101"/>
      <c r="C104" s="63">
        <f t="shared" si="7"/>
        <v>0</v>
      </c>
      <c r="D104" s="99">
        <f t="shared" si="8"/>
        <v>0</v>
      </c>
      <c r="E104" s="582"/>
      <c r="F104" s="140"/>
      <c r="G104" s="139"/>
      <c r="H104" s="580"/>
      <c r="I104" s="440"/>
      <c r="J104" s="65"/>
    </row>
    <row r="105" spans="1:10" ht="20.100000000000001" customHeight="1">
      <c r="A105" s="579">
        <f t="shared" si="9"/>
        <v>21</v>
      </c>
      <c r="B105" s="101"/>
      <c r="C105" s="63">
        <f t="shared" si="7"/>
        <v>0</v>
      </c>
      <c r="D105" s="99">
        <f t="shared" si="8"/>
        <v>0</v>
      </c>
      <c r="E105" s="582"/>
      <c r="F105" s="140"/>
      <c r="G105" s="139"/>
      <c r="H105" s="580"/>
      <c r="I105" s="440"/>
      <c r="J105" s="65"/>
    </row>
    <row r="106" spans="1:10" ht="20.100000000000001" customHeight="1">
      <c r="A106" s="579">
        <f t="shared" si="9"/>
        <v>21</v>
      </c>
      <c r="B106" s="101"/>
      <c r="C106" s="63">
        <f t="shared" si="7"/>
        <v>0</v>
      </c>
      <c r="D106" s="99">
        <f t="shared" si="8"/>
        <v>0</v>
      </c>
      <c r="E106" s="582"/>
      <c r="F106" s="140"/>
      <c r="G106" s="139"/>
      <c r="H106" s="580"/>
      <c r="I106" s="440"/>
      <c r="J106" s="65"/>
    </row>
    <row r="107" spans="1:10" ht="20.100000000000001" customHeight="1">
      <c r="A107" s="579">
        <f t="shared" si="9"/>
        <v>21</v>
      </c>
      <c r="B107" s="101"/>
      <c r="C107" s="63">
        <f t="shared" si="7"/>
        <v>0</v>
      </c>
      <c r="D107" s="99">
        <f t="shared" si="8"/>
        <v>0</v>
      </c>
      <c r="E107" s="582"/>
      <c r="F107" s="140"/>
      <c r="G107" s="139"/>
      <c r="H107" s="580"/>
      <c r="I107" s="440"/>
      <c r="J107" s="65"/>
    </row>
    <row r="108" spans="1:10" ht="20.100000000000001" customHeight="1">
      <c r="A108" s="579">
        <f t="shared" si="9"/>
        <v>21</v>
      </c>
      <c r="B108" s="101"/>
      <c r="C108" s="63">
        <f t="shared" si="7"/>
        <v>0</v>
      </c>
      <c r="D108" s="99">
        <f t="shared" si="8"/>
        <v>0</v>
      </c>
      <c r="E108" s="582"/>
      <c r="F108" s="140"/>
      <c r="G108" s="139"/>
      <c r="H108" s="580"/>
      <c r="I108" s="440"/>
      <c r="J108" s="65"/>
    </row>
    <row r="109" spans="1:10" ht="20.100000000000001" customHeight="1">
      <c r="A109" s="579">
        <f t="shared" si="9"/>
        <v>21</v>
      </c>
      <c r="B109" s="101"/>
      <c r="C109" s="63">
        <f t="shared" si="7"/>
        <v>0</v>
      </c>
      <c r="D109" s="99">
        <f t="shared" si="8"/>
        <v>0</v>
      </c>
      <c r="E109" s="582"/>
      <c r="F109" s="140"/>
      <c r="G109" s="139"/>
      <c r="H109" s="580"/>
      <c r="I109" s="440"/>
      <c r="J109" s="65"/>
    </row>
    <row r="110" spans="1:10" ht="20.100000000000001" customHeight="1">
      <c r="A110" s="579">
        <f t="shared" si="9"/>
        <v>21</v>
      </c>
      <c r="B110" s="101"/>
      <c r="C110" s="63">
        <f t="shared" si="7"/>
        <v>0</v>
      </c>
      <c r="D110" s="99">
        <f t="shared" si="8"/>
        <v>0</v>
      </c>
      <c r="E110" s="582"/>
      <c r="F110" s="140"/>
      <c r="G110" s="139"/>
      <c r="H110" s="580"/>
      <c r="I110" s="440"/>
      <c r="J110" s="65"/>
    </row>
    <row r="111" spans="1:10" ht="20.100000000000001" customHeight="1">
      <c r="A111" s="579">
        <f t="shared" si="9"/>
        <v>21</v>
      </c>
      <c r="B111" s="101"/>
      <c r="C111" s="63">
        <f t="shared" si="7"/>
        <v>0</v>
      </c>
      <c r="D111" s="99">
        <f t="shared" si="8"/>
        <v>0</v>
      </c>
      <c r="E111" s="582"/>
      <c r="F111" s="140"/>
      <c r="G111" s="139"/>
      <c r="H111" s="580"/>
      <c r="I111" s="440"/>
      <c r="J111" s="65"/>
    </row>
    <row r="112" spans="1:10" ht="20.100000000000001" customHeight="1">
      <c r="A112" s="579">
        <f t="shared" si="9"/>
        <v>21</v>
      </c>
      <c r="B112" s="101"/>
      <c r="C112" s="63">
        <f t="shared" si="7"/>
        <v>0</v>
      </c>
      <c r="D112" s="99">
        <f t="shared" si="8"/>
        <v>0</v>
      </c>
      <c r="E112" s="582"/>
      <c r="F112" s="140"/>
      <c r="G112" s="139"/>
      <c r="H112" s="580"/>
      <c r="I112" s="440"/>
      <c r="J112" s="65"/>
    </row>
    <row r="113" spans="1:10" ht="20.100000000000001" customHeight="1">
      <c r="A113" s="579">
        <f t="shared" si="9"/>
        <v>21</v>
      </c>
      <c r="B113" s="101"/>
      <c r="C113" s="63">
        <f t="shared" si="7"/>
        <v>0</v>
      </c>
      <c r="D113" s="99">
        <f t="shared" si="8"/>
        <v>0</v>
      </c>
      <c r="E113" s="582"/>
      <c r="F113" s="140"/>
      <c r="G113" s="139"/>
      <c r="H113" s="580"/>
      <c r="I113" s="440"/>
      <c r="J113" s="65"/>
    </row>
    <row r="114" spans="1:10" ht="20.100000000000001" customHeight="1">
      <c r="A114" s="579">
        <f t="shared" si="9"/>
        <v>21</v>
      </c>
      <c r="B114" s="101"/>
      <c r="C114" s="63">
        <f t="shared" si="7"/>
        <v>0</v>
      </c>
      <c r="D114" s="99">
        <f t="shared" si="8"/>
        <v>0</v>
      </c>
      <c r="E114" s="582"/>
      <c r="F114" s="140"/>
      <c r="G114" s="139"/>
      <c r="H114" s="580"/>
      <c r="I114" s="440"/>
      <c r="J114" s="65"/>
    </row>
    <row r="115" spans="1:10" ht="20.100000000000001" customHeight="1">
      <c r="A115" s="579">
        <f t="shared" si="9"/>
        <v>21</v>
      </c>
      <c r="B115" s="101"/>
      <c r="C115" s="63">
        <f t="shared" si="7"/>
        <v>0</v>
      </c>
      <c r="D115" s="99">
        <f t="shared" si="8"/>
        <v>0</v>
      </c>
      <c r="E115" s="582"/>
      <c r="F115" s="140"/>
      <c r="G115" s="139"/>
      <c r="H115" s="580"/>
      <c r="I115" s="440"/>
      <c r="J115" s="65"/>
    </row>
    <row r="116" spans="1:10" ht="20.100000000000001" customHeight="1">
      <c r="A116" s="579">
        <f t="shared" si="9"/>
        <v>21</v>
      </c>
      <c r="B116" s="101"/>
      <c r="C116" s="63">
        <f t="shared" si="7"/>
        <v>0</v>
      </c>
      <c r="D116" s="99">
        <f t="shared" si="8"/>
        <v>0</v>
      </c>
      <c r="E116" s="582"/>
      <c r="F116" s="140"/>
      <c r="G116" s="139"/>
      <c r="H116" s="580"/>
      <c r="I116" s="440"/>
      <c r="J116" s="65"/>
    </row>
    <row r="117" spans="1:10" ht="20.100000000000001" customHeight="1">
      <c r="A117" s="579">
        <f t="shared" si="9"/>
        <v>21</v>
      </c>
      <c r="B117" s="101"/>
      <c r="C117" s="63">
        <f t="shared" si="7"/>
        <v>0</v>
      </c>
      <c r="D117" s="99">
        <f t="shared" si="8"/>
        <v>0</v>
      </c>
      <c r="E117" s="582"/>
      <c r="F117" s="140"/>
      <c r="G117" s="139"/>
      <c r="H117" s="580"/>
      <c r="I117" s="440"/>
      <c r="J117" s="65"/>
    </row>
    <row r="118" spans="1:10" ht="20.100000000000001" customHeight="1">
      <c r="A118" s="579">
        <f t="shared" si="9"/>
        <v>21</v>
      </c>
      <c r="B118" s="101"/>
      <c r="C118" s="63">
        <f t="shared" si="7"/>
        <v>0</v>
      </c>
      <c r="D118" s="99">
        <f t="shared" si="8"/>
        <v>0</v>
      </c>
      <c r="E118" s="582"/>
      <c r="F118" s="140"/>
      <c r="G118" s="139"/>
      <c r="H118" s="580"/>
      <c r="I118" s="440"/>
      <c r="J118" s="65"/>
    </row>
    <row r="119" spans="1:10" ht="20.100000000000001" customHeight="1">
      <c r="A119" s="579">
        <f t="shared" si="9"/>
        <v>21</v>
      </c>
      <c r="B119" s="101"/>
      <c r="C119" s="63">
        <f t="shared" si="7"/>
        <v>0</v>
      </c>
      <c r="D119" s="99">
        <f t="shared" si="8"/>
        <v>0</v>
      </c>
      <c r="E119" s="582"/>
      <c r="F119" s="140"/>
      <c r="G119" s="139"/>
      <c r="H119" s="580"/>
      <c r="I119" s="440"/>
      <c r="J119" s="65"/>
    </row>
    <row r="120" spans="1:10" ht="20.100000000000001" customHeight="1">
      <c r="A120" s="579">
        <f t="shared" si="9"/>
        <v>21</v>
      </c>
      <c r="B120" s="101"/>
      <c r="C120" s="63">
        <f t="shared" si="7"/>
        <v>0</v>
      </c>
      <c r="D120" s="99">
        <f t="shared" si="8"/>
        <v>0</v>
      </c>
      <c r="E120" s="582"/>
      <c r="F120" s="140"/>
      <c r="G120" s="139"/>
      <c r="H120" s="580"/>
      <c r="I120" s="440"/>
      <c r="J120" s="65"/>
    </row>
    <row r="121" spans="1:10" ht="20.100000000000001" customHeight="1">
      <c r="A121" s="579">
        <f t="shared" si="9"/>
        <v>21</v>
      </c>
      <c r="B121" s="101"/>
      <c r="C121" s="63">
        <f t="shared" si="7"/>
        <v>0</v>
      </c>
      <c r="D121" s="99">
        <f t="shared" si="8"/>
        <v>0</v>
      </c>
      <c r="E121" s="582"/>
      <c r="F121" s="140"/>
      <c r="G121" s="139"/>
      <c r="H121" s="580"/>
      <c r="I121" s="440"/>
      <c r="J121" s="65"/>
    </row>
    <row r="122" spans="1:10" ht="20.100000000000001" customHeight="1">
      <c r="A122" s="579">
        <f t="shared" si="9"/>
        <v>21</v>
      </c>
      <c r="B122" s="101"/>
      <c r="C122" s="63">
        <f t="shared" si="7"/>
        <v>0</v>
      </c>
      <c r="D122" s="99">
        <f t="shared" si="8"/>
        <v>0</v>
      </c>
      <c r="E122" s="582"/>
      <c r="F122" s="140"/>
      <c r="G122" s="139"/>
      <c r="H122" s="580"/>
      <c r="I122" s="440"/>
      <c r="J122" s="65"/>
    </row>
    <row r="123" spans="1:10" ht="20.100000000000001" customHeight="1">
      <c r="A123" s="579">
        <f t="shared" si="9"/>
        <v>21</v>
      </c>
      <c r="B123" s="101"/>
      <c r="C123" s="63">
        <f t="shared" si="7"/>
        <v>0</v>
      </c>
      <c r="D123" s="99">
        <f t="shared" si="8"/>
        <v>0</v>
      </c>
      <c r="E123" s="582"/>
      <c r="F123" s="140"/>
      <c r="G123" s="139"/>
      <c r="H123" s="580"/>
      <c r="I123" s="440"/>
      <c r="J123" s="65"/>
    </row>
    <row r="124" spans="1:10" ht="20.100000000000001" customHeight="1">
      <c r="A124" s="579">
        <f t="shared" si="9"/>
        <v>21</v>
      </c>
      <c r="B124" s="101"/>
      <c r="C124" s="63">
        <f t="shared" si="7"/>
        <v>0</v>
      </c>
      <c r="D124" s="99">
        <f t="shared" si="8"/>
        <v>0</v>
      </c>
      <c r="E124" s="582"/>
      <c r="F124" s="140"/>
      <c r="G124" s="139"/>
      <c r="H124" s="580"/>
      <c r="I124" s="440"/>
      <c r="J124" s="65"/>
    </row>
    <row r="125" spans="1:10" ht="20.100000000000001" customHeight="1">
      <c r="A125" s="579">
        <f t="shared" si="9"/>
        <v>21</v>
      </c>
      <c r="B125" s="101"/>
      <c r="C125" s="63">
        <f t="shared" si="7"/>
        <v>0</v>
      </c>
      <c r="D125" s="99">
        <f t="shared" si="8"/>
        <v>0</v>
      </c>
      <c r="E125" s="582"/>
      <c r="F125" s="140"/>
      <c r="G125" s="139"/>
      <c r="H125" s="580"/>
      <c r="I125" s="440"/>
      <c r="J125" s="65"/>
    </row>
    <row r="126" spans="1:10" ht="20.100000000000001" customHeight="1">
      <c r="A126" s="579">
        <f t="shared" si="9"/>
        <v>21</v>
      </c>
      <c r="B126" s="101"/>
      <c r="C126" s="63">
        <f t="shared" si="7"/>
        <v>0</v>
      </c>
      <c r="D126" s="99">
        <f t="shared" si="8"/>
        <v>0</v>
      </c>
      <c r="E126" s="582"/>
      <c r="F126" s="140"/>
      <c r="G126" s="139"/>
      <c r="H126" s="580"/>
      <c r="I126" s="440"/>
      <c r="J126" s="65"/>
    </row>
    <row r="127" spans="1:10" ht="20.100000000000001" customHeight="1">
      <c r="A127" s="579">
        <f t="shared" si="9"/>
        <v>21</v>
      </c>
      <c r="B127" s="101"/>
      <c r="C127" s="63">
        <f t="shared" si="7"/>
        <v>0</v>
      </c>
      <c r="D127" s="99">
        <f t="shared" si="8"/>
        <v>0</v>
      </c>
      <c r="E127" s="582"/>
      <c r="F127" s="140"/>
      <c r="G127" s="139"/>
      <c r="H127" s="580"/>
      <c r="I127" s="440"/>
      <c r="J127" s="65"/>
    </row>
    <row r="128" spans="1:10" ht="20.100000000000001" customHeight="1">
      <c r="A128" s="579">
        <f t="shared" si="9"/>
        <v>21</v>
      </c>
      <c r="B128" s="101"/>
      <c r="C128" s="63">
        <f t="shared" si="7"/>
        <v>0</v>
      </c>
      <c r="D128" s="99">
        <f t="shared" si="8"/>
        <v>0</v>
      </c>
      <c r="E128" s="582"/>
      <c r="F128" s="140"/>
      <c r="G128" s="139"/>
      <c r="H128" s="580"/>
      <c r="I128" s="440"/>
      <c r="J128" s="65"/>
    </row>
    <row r="129" spans="1:10" ht="20.100000000000001" customHeight="1">
      <c r="A129" s="579">
        <f t="shared" si="9"/>
        <v>21</v>
      </c>
      <c r="B129" s="101"/>
      <c r="C129" s="63">
        <f t="shared" si="7"/>
        <v>0</v>
      </c>
      <c r="D129" s="99">
        <f t="shared" si="8"/>
        <v>0</v>
      </c>
      <c r="E129" s="582"/>
      <c r="F129" s="140"/>
      <c r="G129" s="139"/>
      <c r="H129" s="580"/>
      <c r="I129" s="440"/>
      <c r="J129" s="65"/>
    </row>
    <row r="130" spans="1:10" ht="20.100000000000001" customHeight="1">
      <c r="A130" s="579">
        <f t="shared" si="9"/>
        <v>21</v>
      </c>
      <c r="B130" s="101"/>
      <c r="C130" s="63">
        <f t="shared" si="7"/>
        <v>0</v>
      </c>
      <c r="D130" s="99">
        <f t="shared" si="8"/>
        <v>0</v>
      </c>
      <c r="E130" s="582"/>
      <c r="F130" s="140"/>
      <c r="G130" s="139"/>
      <c r="H130" s="580"/>
      <c r="I130" s="440"/>
      <c r="J130" s="65"/>
    </row>
    <row r="131" spans="1:10" ht="20.100000000000001" customHeight="1">
      <c r="A131" s="579">
        <f t="shared" si="9"/>
        <v>21</v>
      </c>
      <c r="B131" s="101"/>
      <c r="C131" s="63">
        <f t="shared" ref="C131:C162" si="10">IFERROR(VLOOKUP(J131,T_Código_Items,2,FALSE),G131)</f>
        <v>0</v>
      </c>
      <c r="D131" s="99">
        <f t="shared" ref="D131:D162" si="11">IFERROR(VLOOKUP(J131,T_Código_Items,3,FALSE),H131)</f>
        <v>0</v>
      </c>
      <c r="E131" s="582"/>
      <c r="F131" s="140"/>
      <c r="G131" s="139"/>
      <c r="H131" s="580"/>
      <c r="I131" s="440"/>
      <c r="J131" s="65"/>
    </row>
    <row r="132" spans="1:10" ht="20.100000000000001" customHeight="1">
      <c r="A132" s="579">
        <f t="shared" si="9"/>
        <v>21</v>
      </c>
      <c r="B132" s="101"/>
      <c r="C132" s="63">
        <f t="shared" si="10"/>
        <v>0</v>
      </c>
      <c r="D132" s="99">
        <f t="shared" si="11"/>
        <v>0</v>
      </c>
      <c r="E132" s="582"/>
      <c r="F132" s="140"/>
      <c r="G132" s="139"/>
      <c r="H132" s="580"/>
      <c r="I132" s="440"/>
      <c r="J132" s="65"/>
    </row>
    <row r="133" spans="1:10" ht="20.100000000000001" customHeight="1">
      <c r="A133" s="579">
        <f t="shared" si="9"/>
        <v>21</v>
      </c>
      <c r="B133" s="101"/>
      <c r="C133" s="63">
        <f t="shared" si="10"/>
        <v>0</v>
      </c>
      <c r="D133" s="99">
        <f t="shared" si="11"/>
        <v>0</v>
      </c>
      <c r="E133" s="582"/>
      <c r="F133" s="140"/>
      <c r="G133" s="139"/>
      <c r="H133" s="580"/>
      <c r="I133" s="440"/>
      <c r="J133" s="65"/>
    </row>
    <row r="134" spans="1:10" ht="20.100000000000001" customHeight="1">
      <c r="A134" s="579">
        <f t="shared" si="9"/>
        <v>21</v>
      </c>
      <c r="B134" s="101"/>
      <c r="C134" s="63">
        <f t="shared" si="10"/>
        <v>0</v>
      </c>
      <c r="D134" s="99">
        <f t="shared" si="11"/>
        <v>0</v>
      </c>
      <c r="E134" s="582"/>
      <c r="F134" s="140"/>
      <c r="G134" s="139"/>
      <c r="H134" s="580"/>
      <c r="I134" s="440"/>
      <c r="J134" s="65"/>
    </row>
    <row r="135" spans="1:10" ht="20.100000000000001" customHeight="1">
      <c r="A135" s="579">
        <f t="shared" si="9"/>
        <v>21</v>
      </c>
      <c r="B135" s="101"/>
      <c r="C135" s="63">
        <f t="shared" si="10"/>
        <v>0</v>
      </c>
      <c r="D135" s="99">
        <f t="shared" si="11"/>
        <v>0</v>
      </c>
      <c r="E135" s="582"/>
      <c r="F135" s="140"/>
      <c r="G135" s="139"/>
      <c r="H135" s="580"/>
      <c r="I135" s="440"/>
      <c r="J135" s="65"/>
    </row>
    <row r="136" spans="1:10" ht="20.100000000000001" customHeight="1">
      <c r="A136" s="579">
        <f t="shared" si="9"/>
        <v>21</v>
      </c>
      <c r="B136" s="101"/>
      <c r="C136" s="63">
        <f t="shared" si="10"/>
        <v>0</v>
      </c>
      <c r="D136" s="99">
        <f t="shared" si="11"/>
        <v>0</v>
      </c>
      <c r="E136" s="582"/>
      <c r="F136" s="140"/>
      <c r="G136" s="139"/>
      <c r="H136" s="580"/>
      <c r="I136" s="440"/>
      <c r="J136" s="65"/>
    </row>
    <row r="137" spans="1:10" ht="20.100000000000001" customHeight="1">
      <c r="A137" s="579">
        <f t="shared" si="9"/>
        <v>21</v>
      </c>
      <c r="B137" s="101"/>
      <c r="C137" s="63">
        <f t="shared" si="10"/>
        <v>0</v>
      </c>
      <c r="D137" s="99">
        <f t="shared" si="11"/>
        <v>0</v>
      </c>
      <c r="E137" s="582"/>
      <c r="F137" s="140"/>
      <c r="G137" s="139"/>
      <c r="H137" s="580"/>
      <c r="I137" s="440"/>
      <c r="J137" s="65"/>
    </row>
    <row r="138" spans="1:10" ht="20.100000000000001" customHeight="1">
      <c r="A138" s="579">
        <f t="shared" si="9"/>
        <v>21</v>
      </c>
      <c r="B138" s="101"/>
      <c r="C138" s="63">
        <f t="shared" si="10"/>
        <v>0</v>
      </c>
      <c r="D138" s="99">
        <f t="shared" si="11"/>
        <v>0</v>
      </c>
      <c r="E138" s="582"/>
      <c r="F138" s="140"/>
      <c r="G138" s="139"/>
      <c r="H138" s="580"/>
      <c r="I138" s="440"/>
      <c r="J138" s="65"/>
    </row>
    <row r="139" spans="1:10" ht="20.100000000000001" customHeight="1">
      <c r="A139" s="579">
        <f t="shared" si="9"/>
        <v>21</v>
      </c>
      <c r="B139" s="101"/>
      <c r="C139" s="63">
        <f t="shared" si="10"/>
        <v>0</v>
      </c>
      <c r="D139" s="99">
        <f t="shared" si="11"/>
        <v>0</v>
      </c>
      <c r="E139" s="582"/>
      <c r="F139" s="140"/>
      <c r="G139" s="139"/>
      <c r="H139" s="580"/>
      <c r="I139" s="440"/>
      <c r="J139" s="65"/>
    </row>
    <row r="140" spans="1:10" ht="20.100000000000001" customHeight="1">
      <c r="A140" s="579">
        <f t="shared" si="9"/>
        <v>21</v>
      </c>
      <c r="B140" s="101"/>
      <c r="C140" s="63">
        <f t="shared" si="10"/>
        <v>0</v>
      </c>
      <c r="D140" s="99">
        <f t="shared" si="11"/>
        <v>0</v>
      </c>
      <c r="E140" s="582"/>
      <c r="F140" s="140"/>
      <c r="G140" s="139"/>
      <c r="H140" s="580"/>
      <c r="I140" s="440"/>
      <c r="J140" s="65"/>
    </row>
    <row r="141" spans="1:10" ht="20.100000000000001" customHeight="1">
      <c r="A141" s="579">
        <f t="shared" si="9"/>
        <v>21</v>
      </c>
      <c r="B141" s="101"/>
      <c r="C141" s="63">
        <f t="shared" si="10"/>
        <v>0</v>
      </c>
      <c r="D141" s="99">
        <f t="shared" si="11"/>
        <v>0</v>
      </c>
      <c r="E141" s="582"/>
      <c r="F141" s="140"/>
      <c r="G141" s="139"/>
      <c r="H141" s="580"/>
      <c r="I141" s="440"/>
      <c r="J141" s="65"/>
    </row>
    <row r="142" spans="1:10" ht="20.100000000000001" customHeight="1">
      <c r="A142" s="579">
        <f t="shared" si="9"/>
        <v>21</v>
      </c>
      <c r="B142" s="101"/>
      <c r="C142" s="63">
        <f t="shared" si="10"/>
        <v>0</v>
      </c>
      <c r="D142" s="99">
        <f t="shared" si="11"/>
        <v>0</v>
      </c>
      <c r="E142" s="582"/>
      <c r="F142" s="140"/>
      <c r="G142" s="139"/>
      <c r="H142" s="580"/>
      <c r="I142" s="440"/>
      <c r="J142" s="65"/>
    </row>
    <row r="143" spans="1:10" ht="20.100000000000001" customHeight="1">
      <c r="A143" s="579">
        <f t="shared" si="9"/>
        <v>21</v>
      </c>
      <c r="B143" s="101"/>
      <c r="C143" s="63">
        <f t="shared" si="10"/>
        <v>0</v>
      </c>
      <c r="D143" s="99">
        <f t="shared" si="11"/>
        <v>0</v>
      </c>
      <c r="E143" s="582"/>
      <c r="F143" s="140"/>
      <c r="G143" s="139"/>
      <c r="H143" s="580"/>
      <c r="I143" s="440"/>
      <c r="J143" s="65"/>
    </row>
    <row r="144" spans="1:10" ht="20.100000000000001" customHeight="1">
      <c r="A144" s="579">
        <f t="shared" si="9"/>
        <v>21</v>
      </c>
      <c r="B144" s="101"/>
      <c r="C144" s="63">
        <f t="shared" si="10"/>
        <v>0</v>
      </c>
      <c r="D144" s="99">
        <f t="shared" si="11"/>
        <v>0</v>
      </c>
      <c r="E144" s="582"/>
      <c r="F144" s="140"/>
      <c r="G144" s="139"/>
      <c r="H144" s="580"/>
      <c r="I144" s="440"/>
      <c r="J144" s="65"/>
    </row>
    <row r="145" spans="1:10" ht="20.100000000000001" customHeight="1">
      <c r="A145" s="579">
        <f t="shared" si="9"/>
        <v>21</v>
      </c>
      <c r="B145" s="101"/>
      <c r="C145" s="63">
        <f t="shared" si="10"/>
        <v>0</v>
      </c>
      <c r="D145" s="99">
        <f t="shared" si="11"/>
        <v>0</v>
      </c>
      <c r="E145" s="582"/>
      <c r="F145" s="140"/>
      <c r="G145" s="139"/>
      <c r="H145" s="580"/>
      <c r="I145" s="440"/>
      <c r="J145" s="65"/>
    </row>
    <row r="146" spans="1:10" ht="20.100000000000001" customHeight="1">
      <c r="A146" s="579">
        <f t="shared" si="9"/>
        <v>21</v>
      </c>
      <c r="B146" s="101"/>
      <c r="C146" s="63">
        <f t="shared" si="10"/>
        <v>0</v>
      </c>
      <c r="D146" s="99">
        <f t="shared" si="11"/>
        <v>0</v>
      </c>
      <c r="E146" s="582"/>
      <c r="F146" s="140"/>
      <c r="G146" s="139"/>
      <c r="H146" s="580"/>
      <c r="I146" s="440"/>
      <c r="J146" s="65"/>
    </row>
    <row r="147" spans="1:10" ht="20.100000000000001" customHeight="1">
      <c r="A147" s="579">
        <f t="shared" si="9"/>
        <v>21</v>
      </c>
      <c r="B147" s="101"/>
      <c r="C147" s="63">
        <f t="shared" si="10"/>
        <v>0</v>
      </c>
      <c r="D147" s="99">
        <f t="shared" si="11"/>
        <v>0</v>
      </c>
      <c r="E147" s="582"/>
      <c r="F147" s="140"/>
      <c r="G147" s="139"/>
      <c r="H147" s="580"/>
      <c r="I147" s="440"/>
      <c r="J147" s="65"/>
    </row>
    <row r="148" spans="1:10" ht="20.100000000000001" customHeight="1">
      <c r="A148" s="579">
        <f t="shared" si="9"/>
        <v>21</v>
      </c>
      <c r="B148" s="101"/>
      <c r="C148" s="63">
        <f t="shared" si="10"/>
        <v>0</v>
      </c>
      <c r="D148" s="99">
        <f t="shared" si="11"/>
        <v>0</v>
      </c>
      <c r="E148" s="582"/>
      <c r="F148" s="140"/>
      <c r="G148" s="139"/>
      <c r="H148" s="580"/>
      <c r="I148" s="440"/>
      <c r="J148" s="65"/>
    </row>
    <row r="149" spans="1:10" ht="20.100000000000001" customHeight="1">
      <c r="A149" s="579">
        <f t="shared" si="9"/>
        <v>21</v>
      </c>
      <c r="B149" s="101"/>
      <c r="C149" s="63">
        <f t="shared" si="10"/>
        <v>0</v>
      </c>
      <c r="D149" s="99">
        <f t="shared" si="11"/>
        <v>0</v>
      </c>
      <c r="E149" s="582"/>
      <c r="F149" s="140"/>
      <c r="G149" s="139"/>
      <c r="H149" s="580"/>
      <c r="I149" s="440"/>
      <c r="J149" s="65"/>
    </row>
    <row r="150" spans="1:10" ht="20.100000000000001" customHeight="1">
      <c r="A150" s="579">
        <f t="shared" si="9"/>
        <v>21</v>
      </c>
      <c r="B150" s="101"/>
      <c r="C150" s="63">
        <f t="shared" si="10"/>
        <v>0</v>
      </c>
      <c r="D150" s="99">
        <f t="shared" si="11"/>
        <v>0</v>
      </c>
      <c r="E150" s="582"/>
      <c r="F150" s="140"/>
      <c r="G150" s="139"/>
      <c r="H150" s="580"/>
      <c r="I150" s="440"/>
      <c r="J150" s="65"/>
    </row>
    <row r="151" spans="1:10" ht="20.100000000000001" customHeight="1">
      <c r="A151" s="579">
        <f t="shared" si="9"/>
        <v>21</v>
      </c>
      <c r="B151" s="101"/>
      <c r="C151" s="63">
        <f t="shared" si="10"/>
        <v>0</v>
      </c>
      <c r="D151" s="99">
        <f t="shared" si="11"/>
        <v>0</v>
      </c>
      <c r="E151" s="582"/>
      <c r="F151" s="140"/>
      <c r="G151" s="139"/>
      <c r="H151" s="580"/>
      <c r="I151" s="440"/>
      <c r="J151" s="65"/>
    </row>
    <row r="152" spans="1:10" ht="20.100000000000001" customHeight="1">
      <c r="A152" s="579">
        <f t="shared" si="9"/>
        <v>21</v>
      </c>
      <c r="B152" s="101"/>
      <c r="C152" s="63">
        <f t="shared" si="10"/>
        <v>0</v>
      </c>
      <c r="D152" s="99">
        <f t="shared" si="11"/>
        <v>0</v>
      </c>
      <c r="E152" s="582"/>
      <c r="F152" s="140"/>
      <c r="G152" s="139"/>
      <c r="H152" s="580"/>
      <c r="I152" s="440"/>
      <c r="J152" s="65"/>
    </row>
    <row r="153" spans="1:10" ht="20.100000000000001" customHeight="1">
      <c r="A153" s="579">
        <f t="shared" si="9"/>
        <v>21</v>
      </c>
      <c r="B153" s="101"/>
      <c r="C153" s="63">
        <f t="shared" si="10"/>
        <v>0</v>
      </c>
      <c r="D153" s="99">
        <f t="shared" si="11"/>
        <v>0</v>
      </c>
      <c r="E153" s="582"/>
      <c r="F153" s="140"/>
      <c r="G153" s="139"/>
      <c r="H153" s="580"/>
      <c r="I153" s="440"/>
      <c r="J153" s="65"/>
    </row>
    <row r="154" spans="1:10" ht="20.100000000000001" customHeight="1">
      <c r="A154" s="579">
        <f t="shared" si="9"/>
        <v>21</v>
      </c>
      <c r="B154" s="101"/>
      <c r="C154" s="63">
        <f t="shared" si="10"/>
        <v>0</v>
      </c>
      <c r="D154" s="99">
        <f t="shared" si="11"/>
        <v>0</v>
      </c>
      <c r="E154" s="582"/>
      <c r="F154" s="140"/>
      <c r="G154" s="139"/>
      <c r="H154" s="580"/>
      <c r="I154" s="440"/>
      <c r="J154" s="65"/>
    </row>
    <row r="155" spans="1:10" ht="20.100000000000001" customHeight="1">
      <c r="A155" s="579">
        <f t="shared" si="9"/>
        <v>21</v>
      </c>
      <c r="B155" s="101"/>
      <c r="C155" s="63">
        <f t="shared" si="10"/>
        <v>0</v>
      </c>
      <c r="D155" s="99">
        <f t="shared" si="11"/>
        <v>0</v>
      </c>
      <c r="E155" s="582"/>
      <c r="F155" s="140"/>
      <c r="G155" s="139"/>
      <c r="H155" s="580"/>
      <c r="I155" s="440"/>
      <c r="J155" s="65"/>
    </row>
    <row r="156" spans="1:10" ht="20.100000000000001" customHeight="1">
      <c r="A156" s="579">
        <f t="shared" si="9"/>
        <v>21</v>
      </c>
      <c r="B156" s="101"/>
      <c r="C156" s="63">
        <f t="shared" si="10"/>
        <v>0</v>
      </c>
      <c r="D156" s="99">
        <f t="shared" si="11"/>
        <v>0</v>
      </c>
      <c r="E156" s="582"/>
      <c r="F156" s="140"/>
      <c r="G156" s="139"/>
      <c r="H156" s="580"/>
      <c r="I156" s="440"/>
      <c r="J156" s="65"/>
    </row>
    <row r="157" spans="1:10" ht="20.100000000000001" customHeight="1">
      <c r="A157" s="579">
        <f t="shared" si="9"/>
        <v>21</v>
      </c>
      <c r="B157" s="101"/>
      <c r="C157" s="63">
        <f t="shared" si="10"/>
        <v>0</v>
      </c>
      <c r="D157" s="99">
        <f t="shared" si="11"/>
        <v>0</v>
      </c>
      <c r="E157" s="582"/>
      <c r="F157" s="140"/>
      <c r="G157" s="139"/>
      <c r="H157" s="580"/>
      <c r="I157" s="440"/>
      <c r="J157" s="65"/>
    </row>
    <row r="158" spans="1:10" ht="20.100000000000001" customHeight="1">
      <c r="A158" s="579">
        <f t="shared" si="9"/>
        <v>21</v>
      </c>
      <c r="B158" s="101"/>
      <c r="C158" s="63">
        <f t="shared" si="10"/>
        <v>0</v>
      </c>
      <c r="D158" s="99">
        <f t="shared" si="11"/>
        <v>0</v>
      </c>
      <c r="E158" s="582"/>
      <c r="F158" s="140"/>
      <c r="G158" s="139"/>
      <c r="H158" s="580"/>
      <c r="I158" s="440"/>
      <c r="J158" s="65"/>
    </row>
    <row r="159" spans="1:10" ht="20.100000000000001" customHeight="1">
      <c r="A159" s="579">
        <f t="shared" si="9"/>
        <v>21</v>
      </c>
      <c r="B159" s="101"/>
      <c r="C159" s="63">
        <f t="shared" si="10"/>
        <v>0</v>
      </c>
      <c r="D159" s="99">
        <f t="shared" si="11"/>
        <v>0</v>
      </c>
      <c r="E159" s="582"/>
      <c r="F159" s="140"/>
      <c r="G159" s="139"/>
      <c r="H159" s="580"/>
      <c r="I159" s="440"/>
      <c r="J159" s="65"/>
    </row>
    <row r="160" spans="1:10" ht="20.100000000000001" customHeight="1">
      <c r="A160" s="579">
        <f t="shared" si="9"/>
        <v>21</v>
      </c>
      <c r="B160" s="101"/>
      <c r="C160" s="63">
        <f t="shared" si="10"/>
        <v>0</v>
      </c>
      <c r="D160" s="99">
        <f t="shared" si="11"/>
        <v>0</v>
      </c>
      <c r="E160" s="582"/>
      <c r="F160" s="140"/>
      <c r="G160" s="139"/>
      <c r="H160" s="580"/>
      <c r="I160" s="440"/>
      <c r="J160" s="65"/>
    </row>
    <row r="161" spans="1:10" ht="20.100000000000001" customHeight="1">
      <c r="A161" s="579">
        <f t="shared" si="9"/>
        <v>21</v>
      </c>
      <c r="B161" s="101"/>
      <c r="C161" s="63">
        <f t="shared" si="10"/>
        <v>0</v>
      </c>
      <c r="D161" s="99">
        <f t="shared" si="11"/>
        <v>0</v>
      </c>
      <c r="E161" s="582"/>
      <c r="F161" s="140"/>
      <c r="G161" s="139"/>
      <c r="H161" s="580"/>
      <c r="I161" s="440"/>
      <c r="J161" s="65"/>
    </row>
    <row r="162" spans="1:10" ht="20.100000000000001" customHeight="1">
      <c r="A162" s="579">
        <f t="shared" si="9"/>
        <v>21</v>
      </c>
      <c r="B162" s="101"/>
      <c r="C162" s="63">
        <f t="shared" si="10"/>
        <v>0</v>
      </c>
      <c r="D162" s="99">
        <f t="shared" si="11"/>
        <v>0</v>
      </c>
      <c r="E162" s="582"/>
      <c r="F162" s="140"/>
      <c r="G162" s="139"/>
      <c r="H162" s="580"/>
      <c r="I162" s="440"/>
      <c r="J162" s="65"/>
    </row>
    <row r="163" spans="1:10" ht="20.100000000000001" customHeight="1">
      <c r="A163" s="579">
        <f t="shared" si="9"/>
        <v>21</v>
      </c>
      <c r="B163" s="101"/>
      <c r="C163" s="63">
        <f t="shared" ref="C163:C185" si="12">IFERROR(VLOOKUP(J163,T_Código_Items,2,FALSE),G163)</f>
        <v>0</v>
      </c>
      <c r="D163" s="99">
        <f t="shared" ref="D163:D185" si="13">IFERROR(VLOOKUP(J163,T_Código_Items,3,FALSE),H163)</f>
        <v>0</v>
      </c>
      <c r="E163" s="582"/>
      <c r="F163" s="140"/>
      <c r="G163" s="139"/>
      <c r="H163" s="580"/>
      <c r="I163" s="440"/>
      <c r="J163" s="65"/>
    </row>
    <row r="164" spans="1:10" ht="20.100000000000001" customHeight="1">
      <c r="A164" s="579">
        <f t="shared" si="9"/>
        <v>21</v>
      </c>
      <c r="B164" s="101"/>
      <c r="C164" s="63">
        <f t="shared" si="12"/>
        <v>0</v>
      </c>
      <c r="D164" s="99">
        <f t="shared" si="13"/>
        <v>0</v>
      </c>
      <c r="E164" s="582"/>
      <c r="F164" s="140"/>
      <c r="G164" s="139"/>
      <c r="H164" s="580"/>
      <c r="I164" s="440"/>
      <c r="J164" s="65"/>
    </row>
    <row r="165" spans="1:10" ht="20.100000000000001" customHeight="1">
      <c r="A165" s="579">
        <f t="shared" ref="A165:A185" si="14">IF(D165=0,A164,A164+1)</f>
        <v>21</v>
      </c>
      <c r="B165" s="101"/>
      <c r="C165" s="63">
        <f t="shared" si="12"/>
        <v>0</v>
      </c>
      <c r="D165" s="99">
        <f t="shared" si="13"/>
        <v>0</v>
      </c>
      <c r="E165" s="582"/>
      <c r="F165" s="140"/>
      <c r="G165" s="139"/>
      <c r="H165" s="580"/>
      <c r="I165" s="440"/>
      <c r="J165" s="65"/>
    </row>
    <row r="166" spans="1:10" ht="20.100000000000001" customHeight="1">
      <c r="A166" s="579">
        <f t="shared" si="14"/>
        <v>21</v>
      </c>
      <c r="B166" s="101"/>
      <c r="C166" s="63">
        <f t="shared" si="12"/>
        <v>0</v>
      </c>
      <c r="D166" s="99">
        <f t="shared" si="13"/>
        <v>0</v>
      </c>
      <c r="E166" s="582"/>
      <c r="F166" s="140"/>
      <c r="G166" s="139"/>
      <c r="H166" s="580"/>
      <c r="I166" s="440"/>
      <c r="J166" s="65"/>
    </row>
    <row r="167" spans="1:10" ht="20.100000000000001" customHeight="1">
      <c r="A167" s="579">
        <f t="shared" si="14"/>
        <v>21</v>
      </c>
      <c r="B167" s="101"/>
      <c r="C167" s="63">
        <f t="shared" si="12"/>
        <v>0</v>
      </c>
      <c r="D167" s="99">
        <f t="shared" si="13"/>
        <v>0</v>
      </c>
      <c r="E167" s="582"/>
      <c r="F167" s="140"/>
      <c r="G167" s="139"/>
      <c r="H167" s="580"/>
      <c r="I167" s="440"/>
      <c r="J167" s="65"/>
    </row>
    <row r="168" spans="1:10" ht="20.100000000000001" customHeight="1">
      <c r="A168" s="579">
        <f t="shared" si="14"/>
        <v>21</v>
      </c>
      <c r="B168" s="101"/>
      <c r="C168" s="63">
        <f t="shared" si="12"/>
        <v>0</v>
      </c>
      <c r="D168" s="99">
        <f t="shared" si="13"/>
        <v>0</v>
      </c>
      <c r="E168" s="582"/>
      <c r="F168" s="140"/>
      <c r="G168" s="139"/>
      <c r="H168" s="580"/>
      <c r="I168" s="440"/>
      <c r="J168" s="65"/>
    </row>
    <row r="169" spans="1:10" ht="20.100000000000001" customHeight="1">
      <c r="A169" s="579">
        <f t="shared" si="14"/>
        <v>21</v>
      </c>
      <c r="B169" s="101"/>
      <c r="C169" s="63">
        <f t="shared" si="12"/>
        <v>0</v>
      </c>
      <c r="D169" s="99">
        <f t="shared" si="13"/>
        <v>0</v>
      </c>
      <c r="E169" s="582"/>
      <c r="F169" s="140"/>
      <c r="G169" s="139"/>
      <c r="H169" s="580"/>
      <c r="I169" s="440"/>
      <c r="J169" s="65"/>
    </row>
    <row r="170" spans="1:10" ht="20.100000000000001" customHeight="1">
      <c r="A170" s="579">
        <f t="shared" si="14"/>
        <v>21</v>
      </c>
      <c r="B170" s="101"/>
      <c r="C170" s="63">
        <f t="shared" si="12"/>
        <v>0</v>
      </c>
      <c r="D170" s="99">
        <f t="shared" si="13"/>
        <v>0</v>
      </c>
      <c r="E170" s="582"/>
      <c r="F170" s="140"/>
      <c r="G170" s="139"/>
      <c r="H170" s="580"/>
      <c r="I170" s="440"/>
      <c r="J170" s="65"/>
    </row>
    <row r="171" spans="1:10" ht="20.100000000000001" customHeight="1">
      <c r="A171" s="579">
        <f t="shared" si="14"/>
        <v>21</v>
      </c>
      <c r="B171" s="101"/>
      <c r="C171" s="63">
        <f t="shared" si="12"/>
        <v>0</v>
      </c>
      <c r="D171" s="99">
        <f t="shared" si="13"/>
        <v>0</v>
      </c>
      <c r="E171" s="582"/>
      <c r="F171" s="140"/>
      <c r="G171" s="139"/>
      <c r="H171" s="580"/>
      <c r="I171" s="440"/>
      <c r="J171" s="65"/>
    </row>
    <row r="172" spans="1:10" ht="20.100000000000001" customHeight="1">
      <c r="A172" s="579">
        <f t="shared" si="14"/>
        <v>21</v>
      </c>
      <c r="B172" s="101"/>
      <c r="C172" s="63">
        <f t="shared" si="12"/>
        <v>0</v>
      </c>
      <c r="D172" s="99">
        <f t="shared" si="13"/>
        <v>0</v>
      </c>
      <c r="E172" s="582"/>
      <c r="F172" s="140"/>
      <c r="G172" s="139"/>
      <c r="H172" s="580"/>
      <c r="I172" s="440"/>
      <c r="J172" s="65"/>
    </row>
    <row r="173" spans="1:10" ht="20.100000000000001" customHeight="1">
      <c r="A173" s="579">
        <f t="shared" si="14"/>
        <v>21</v>
      </c>
      <c r="B173" s="101"/>
      <c r="C173" s="63">
        <f t="shared" si="12"/>
        <v>0</v>
      </c>
      <c r="D173" s="99">
        <f t="shared" si="13"/>
        <v>0</v>
      </c>
      <c r="E173" s="582"/>
      <c r="F173" s="140"/>
      <c r="G173" s="139"/>
      <c r="H173" s="580"/>
      <c r="I173" s="440"/>
      <c r="J173" s="65"/>
    </row>
    <row r="174" spans="1:10" ht="20.100000000000001" customHeight="1">
      <c r="A174" s="579">
        <f t="shared" si="14"/>
        <v>21</v>
      </c>
      <c r="B174" s="101"/>
      <c r="C174" s="63">
        <f t="shared" si="12"/>
        <v>0</v>
      </c>
      <c r="D174" s="99">
        <f t="shared" si="13"/>
        <v>0</v>
      </c>
      <c r="E174" s="582"/>
      <c r="F174" s="140"/>
      <c r="G174" s="139"/>
      <c r="H174" s="580"/>
      <c r="I174" s="440"/>
      <c r="J174" s="65"/>
    </row>
    <row r="175" spans="1:10" ht="20.100000000000001" customHeight="1">
      <c r="A175" s="579">
        <f t="shared" si="14"/>
        <v>21</v>
      </c>
      <c r="B175" s="101"/>
      <c r="C175" s="63">
        <f t="shared" si="12"/>
        <v>0</v>
      </c>
      <c r="D175" s="99">
        <f t="shared" si="13"/>
        <v>0</v>
      </c>
      <c r="E175" s="582"/>
      <c r="F175" s="140"/>
      <c r="G175" s="139"/>
      <c r="H175" s="580"/>
      <c r="I175" s="440"/>
      <c r="J175" s="65"/>
    </row>
    <row r="176" spans="1:10" ht="20.100000000000001" customHeight="1">
      <c r="A176" s="579">
        <f t="shared" si="14"/>
        <v>21</v>
      </c>
      <c r="B176" s="101"/>
      <c r="C176" s="63">
        <f t="shared" si="12"/>
        <v>0</v>
      </c>
      <c r="D176" s="99">
        <f t="shared" si="13"/>
        <v>0</v>
      </c>
      <c r="E176" s="582"/>
      <c r="F176" s="140"/>
      <c r="G176" s="139"/>
      <c r="H176" s="580"/>
      <c r="I176" s="440"/>
      <c r="J176" s="65"/>
    </row>
    <row r="177" spans="1:10" ht="20.100000000000001" customHeight="1">
      <c r="A177" s="579">
        <f t="shared" si="14"/>
        <v>21</v>
      </c>
      <c r="B177" s="101"/>
      <c r="C177" s="63">
        <f t="shared" si="12"/>
        <v>0</v>
      </c>
      <c r="D177" s="99">
        <f t="shared" si="13"/>
        <v>0</v>
      </c>
      <c r="E177" s="582"/>
      <c r="F177" s="140"/>
      <c r="G177" s="139"/>
      <c r="H177" s="580"/>
      <c r="I177" s="440"/>
      <c r="J177" s="65"/>
    </row>
    <row r="178" spans="1:10" ht="20.100000000000001" customHeight="1">
      <c r="A178" s="579">
        <f t="shared" si="14"/>
        <v>21</v>
      </c>
      <c r="B178" s="101"/>
      <c r="C178" s="63">
        <f t="shared" si="12"/>
        <v>0</v>
      </c>
      <c r="D178" s="99">
        <f t="shared" si="13"/>
        <v>0</v>
      </c>
      <c r="E178" s="582"/>
      <c r="F178" s="140"/>
      <c r="G178" s="139"/>
      <c r="H178" s="580"/>
      <c r="I178" s="440"/>
      <c r="J178" s="65"/>
    </row>
    <row r="179" spans="1:10" ht="20.100000000000001" customHeight="1">
      <c r="A179" s="579">
        <f t="shared" si="14"/>
        <v>21</v>
      </c>
      <c r="B179" s="101"/>
      <c r="C179" s="63">
        <f t="shared" si="12"/>
        <v>0</v>
      </c>
      <c r="D179" s="99">
        <f t="shared" si="13"/>
        <v>0</v>
      </c>
      <c r="E179" s="582"/>
      <c r="F179" s="140"/>
      <c r="G179" s="139"/>
      <c r="H179" s="580"/>
      <c r="I179" s="440"/>
      <c r="J179" s="65"/>
    </row>
    <row r="180" spans="1:10" ht="20.100000000000001" customHeight="1">
      <c r="A180" s="579">
        <f t="shared" si="14"/>
        <v>21</v>
      </c>
      <c r="B180" s="101"/>
      <c r="C180" s="63">
        <f t="shared" si="12"/>
        <v>0</v>
      </c>
      <c r="D180" s="99">
        <f t="shared" si="13"/>
        <v>0</v>
      </c>
      <c r="E180" s="582"/>
      <c r="F180" s="140"/>
      <c r="G180" s="139"/>
      <c r="H180" s="580"/>
      <c r="I180" s="440"/>
      <c r="J180" s="65"/>
    </row>
    <row r="181" spans="1:10" ht="20.100000000000001" customHeight="1">
      <c r="A181" s="579">
        <f t="shared" si="14"/>
        <v>21</v>
      </c>
      <c r="B181" s="101"/>
      <c r="C181" s="63">
        <f t="shared" si="12"/>
        <v>0</v>
      </c>
      <c r="D181" s="99">
        <f t="shared" si="13"/>
        <v>0</v>
      </c>
      <c r="E181" s="582"/>
      <c r="F181" s="140"/>
      <c r="G181" s="139"/>
      <c r="H181" s="580"/>
      <c r="I181" s="440"/>
      <c r="J181" s="65"/>
    </row>
    <row r="182" spans="1:10" ht="20.100000000000001" customHeight="1">
      <c r="A182" s="579">
        <f t="shared" si="14"/>
        <v>21</v>
      </c>
      <c r="B182" s="101"/>
      <c r="C182" s="63">
        <f t="shared" si="12"/>
        <v>0</v>
      </c>
      <c r="D182" s="99">
        <f t="shared" si="13"/>
        <v>0</v>
      </c>
      <c r="E182" s="582"/>
      <c r="F182" s="140"/>
      <c r="G182" s="139"/>
      <c r="H182" s="580"/>
      <c r="I182" s="440"/>
      <c r="J182" s="65"/>
    </row>
    <row r="183" spans="1:10" ht="20.100000000000001" customHeight="1">
      <c r="A183" s="579">
        <f t="shared" si="14"/>
        <v>21</v>
      </c>
      <c r="B183" s="101"/>
      <c r="C183" s="63">
        <f t="shared" si="12"/>
        <v>0</v>
      </c>
      <c r="D183" s="99">
        <f t="shared" si="13"/>
        <v>0</v>
      </c>
      <c r="E183" s="582"/>
      <c r="F183" s="140"/>
      <c r="G183" s="139"/>
      <c r="H183" s="580"/>
      <c r="I183" s="440"/>
      <c r="J183" s="65"/>
    </row>
    <row r="184" spans="1:10" ht="20.100000000000001" customHeight="1">
      <c r="A184" s="579">
        <f t="shared" si="14"/>
        <v>21</v>
      </c>
      <c r="B184" s="101"/>
      <c r="C184" s="63">
        <f t="shared" si="12"/>
        <v>0</v>
      </c>
      <c r="D184" s="99">
        <f t="shared" si="13"/>
        <v>0</v>
      </c>
      <c r="E184" s="582"/>
      <c r="F184" s="140"/>
      <c r="G184" s="139"/>
      <c r="H184" s="580"/>
      <c r="I184" s="440"/>
      <c r="J184" s="65"/>
    </row>
    <row r="185" spans="1:10" ht="20.100000000000001" customHeight="1">
      <c r="A185" s="579">
        <f t="shared" si="14"/>
        <v>21</v>
      </c>
      <c r="B185" s="101"/>
      <c r="C185" s="63">
        <f t="shared" si="12"/>
        <v>0</v>
      </c>
      <c r="D185" s="99">
        <f t="shared" si="13"/>
        <v>0</v>
      </c>
      <c r="E185" s="582"/>
      <c r="F185" s="140"/>
      <c r="G185" s="139"/>
      <c r="H185" s="580"/>
      <c r="I185" s="440"/>
      <c r="J185" s="65"/>
    </row>
    <row r="186" spans="1:10" ht="20.100000000000001" customHeight="1">
      <c r="H186" s="95"/>
      <c r="I186" s="440"/>
      <c r="J186" s="65"/>
    </row>
    <row r="187" spans="1:10" ht="20.100000000000001" customHeight="1">
      <c r="H187" s="95"/>
      <c r="I187" s="440"/>
      <c r="J187" s="65"/>
    </row>
    <row r="188" spans="1:10" ht="20.100000000000001" customHeight="1">
      <c r="H188" s="95"/>
      <c r="I188" s="440"/>
      <c r="J188" s="65"/>
    </row>
    <row r="189" spans="1:10" ht="20.100000000000001" customHeight="1">
      <c r="H189" s="95"/>
      <c r="I189" s="440"/>
      <c r="J189" s="65"/>
    </row>
    <row r="190" spans="1:10" ht="20.100000000000001" customHeight="1">
      <c r="H190" s="95"/>
      <c r="I190" s="440"/>
      <c r="J190" s="65"/>
    </row>
    <row r="191" spans="1:10" ht="20.100000000000001" customHeight="1">
      <c r="H191" s="95"/>
      <c r="I191" s="440"/>
      <c r="J191" s="65"/>
    </row>
    <row r="192" spans="1:10" ht="20.100000000000001" customHeight="1">
      <c r="H192" s="95"/>
      <c r="I192" s="440"/>
      <c r="J192" s="65"/>
    </row>
    <row r="193" spans="8:10" ht="20.100000000000001" customHeight="1">
      <c r="H193" s="95"/>
      <c r="I193" s="440"/>
      <c r="J193" s="65"/>
    </row>
    <row r="194" spans="8:10" ht="20.100000000000001" customHeight="1">
      <c r="H194" s="95"/>
      <c r="I194" s="440"/>
      <c r="J194" s="65"/>
    </row>
    <row r="195" spans="8:10" ht="20.100000000000001" customHeight="1">
      <c r="H195" s="95"/>
      <c r="I195" s="440"/>
      <c r="J195" s="65"/>
    </row>
    <row r="196" spans="8:10" ht="20.100000000000001" customHeight="1">
      <c r="H196" s="95"/>
      <c r="I196" s="440"/>
      <c r="J196" s="65"/>
    </row>
    <row r="197" spans="8:10" ht="20.100000000000001" customHeight="1">
      <c r="H197" s="95"/>
      <c r="I197" s="440"/>
      <c r="J197" s="65"/>
    </row>
    <row r="198" spans="8:10" ht="20.100000000000001" customHeight="1">
      <c r="H198" s="95"/>
      <c r="I198" s="440"/>
      <c r="J198" s="65"/>
    </row>
    <row r="199" spans="8:10" ht="20.100000000000001" customHeight="1">
      <c r="H199" s="95"/>
      <c r="I199" s="440"/>
      <c r="J199" s="65"/>
    </row>
    <row r="200" spans="8:10" ht="20.100000000000001" customHeight="1">
      <c r="H200" s="95"/>
      <c r="I200" s="440"/>
      <c r="J200" s="65"/>
    </row>
    <row r="201" spans="8:10" ht="20.100000000000001" customHeight="1">
      <c r="H201" s="95"/>
      <c r="I201" s="440"/>
      <c r="J201" s="65"/>
    </row>
    <row r="202" spans="8:10" ht="20.100000000000001" customHeight="1">
      <c r="H202" s="95"/>
      <c r="I202" s="440"/>
      <c r="J202" s="65"/>
    </row>
    <row r="203" spans="8:10" ht="20.100000000000001" customHeight="1">
      <c r="H203" s="95"/>
      <c r="I203" s="440"/>
      <c r="J203" s="65"/>
    </row>
    <row r="204" spans="8:10" ht="20.100000000000001" customHeight="1">
      <c r="H204" s="95"/>
      <c r="I204" s="440"/>
      <c r="J204" s="65"/>
    </row>
    <row r="205" spans="8:10" ht="20.100000000000001" customHeight="1">
      <c r="H205" s="95"/>
      <c r="I205" s="440"/>
      <c r="J205" s="65"/>
    </row>
    <row r="206" spans="8:10" ht="20.100000000000001" customHeight="1">
      <c r="H206" s="95"/>
      <c r="I206" s="440"/>
      <c r="J206" s="65"/>
    </row>
    <row r="207" spans="8:10" ht="20.100000000000001" customHeight="1">
      <c r="H207" s="95"/>
      <c r="I207" s="440"/>
      <c r="J207" s="65"/>
    </row>
    <row r="208" spans="8:10" ht="20.100000000000001" customHeight="1">
      <c r="H208" s="95"/>
      <c r="I208" s="440"/>
      <c r="J208" s="65"/>
    </row>
    <row r="209" spans="4:10" ht="20.100000000000001" customHeight="1">
      <c r="H209" s="95"/>
      <c r="I209" s="440"/>
      <c r="J209" s="65"/>
    </row>
    <row r="210" spans="4:10" ht="20.100000000000001" customHeight="1">
      <c r="H210" s="95"/>
      <c r="I210" s="440"/>
      <c r="J210" s="65"/>
    </row>
    <row r="211" spans="4:10" ht="20.100000000000001" customHeight="1">
      <c r="H211" s="95"/>
      <c r="I211" s="440"/>
      <c r="J211" s="65"/>
    </row>
    <row r="212" spans="4:10" ht="20.100000000000001" customHeight="1">
      <c r="H212" s="95"/>
      <c r="I212" s="440"/>
      <c r="J212" s="65"/>
    </row>
    <row r="213" spans="4:10" ht="20.100000000000001" customHeight="1">
      <c r="H213" s="95"/>
      <c r="I213" s="440"/>
      <c r="J213" s="65"/>
    </row>
    <row r="214" spans="4:10" ht="20.100000000000001" customHeight="1">
      <c r="H214" s="95"/>
      <c r="I214" s="440"/>
      <c r="J214" s="65"/>
    </row>
    <row r="215" spans="4:10" ht="20.100000000000001" customHeight="1">
      <c r="H215" s="95"/>
      <c r="I215" s="440"/>
      <c r="J215" s="65"/>
    </row>
    <row r="216" spans="4:10" ht="20.100000000000001" customHeight="1">
      <c r="H216" s="95"/>
      <c r="I216" s="440"/>
      <c r="J216" s="65"/>
    </row>
    <row r="217" spans="4:10" ht="20.100000000000001" customHeight="1">
      <c r="D217" s="65"/>
      <c r="E217" s="95"/>
      <c r="I217" s="95"/>
      <c r="J217" s="440"/>
    </row>
    <row r="218" spans="4:10" ht="20.100000000000001" customHeight="1">
      <c r="D218" s="65"/>
      <c r="E218" s="95"/>
      <c r="I218" s="95"/>
      <c r="J218" s="440"/>
    </row>
    <row r="219" spans="4:10" ht="20.100000000000001" customHeight="1">
      <c r="J219" s="440"/>
    </row>
    <row r="220" spans="4:10" ht="20.100000000000001" customHeight="1">
      <c r="J220" s="440"/>
    </row>
    <row r="221" spans="4:10" ht="20.100000000000001" customHeight="1">
      <c r="J221" s="440"/>
    </row>
    <row r="222" spans="4:10" ht="20.100000000000001" customHeight="1">
      <c r="J222" s="440"/>
    </row>
    <row r="223" spans="4:10" ht="20.100000000000001" customHeight="1">
      <c r="J223" s="440"/>
    </row>
    <row r="224" spans="4:10" ht="20.100000000000001" customHeight="1">
      <c r="J224" s="440"/>
    </row>
    <row r="225" spans="10:10" ht="20.100000000000001" customHeight="1">
      <c r="J225" s="440"/>
    </row>
    <row r="226" spans="10:10" ht="20.100000000000001" customHeight="1">
      <c r="J226" s="440"/>
    </row>
    <row r="227" spans="10:10" ht="20.100000000000001" customHeight="1">
      <c r="J227" s="440"/>
    </row>
    <row r="228" spans="10:10" ht="20.100000000000001" customHeight="1">
      <c r="J228" s="440"/>
    </row>
    <row r="229" spans="10:10" ht="20.100000000000001" customHeight="1">
      <c r="J229" s="440"/>
    </row>
    <row r="230" spans="10:10" ht="20.100000000000001" customHeight="1">
      <c r="J230" s="440"/>
    </row>
    <row r="231" spans="10:10" ht="20.100000000000001" customHeight="1">
      <c r="J231" s="440"/>
    </row>
    <row r="232" spans="10:10" ht="20.100000000000001" customHeight="1">
      <c r="J232" s="440"/>
    </row>
    <row r="233" spans="10:10" ht="20.100000000000001" customHeight="1">
      <c r="J233" s="440"/>
    </row>
    <row r="234" spans="10:10" ht="20.100000000000001" customHeight="1">
      <c r="J234" s="440"/>
    </row>
    <row r="235" spans="10:10" ht="20.100000000000001" customHeight="1">
      <c r="J235" s="440"/>
    </row>
    <row r="236" spans="10:10" ht="20.100000000000001" customHeight="1">
      <c r="J236" s="440"/>
    </row>
    <row r="237" spans="10:10" ht="20.100000000000001" customHeight="1">
      <c r="J237" s="440"/>
    </row>
    <row r="238" spans="10:10" ht="20.100000000000001" customHeight="1">
      <c r="J238" s="440"/>
    </row>
    <row r="239" spans="10:10" ht="20.100000000000001" customHeight="1">
      <c r="J239" s="440"/>
    </row>
    <row r="240" spans="10:10" ht="20.100000000000001" customHeight="1">
      <c r="J240" s="440"/>
    </row>
    <row r="241" spans="10:10" ht="20.100000000000001" customHeight="1">
      <c r="J241" s="440"/>
    </row>
    <row r="242" spans="10:10" ht="20.100000000000001" customHeight="1">
      <c r="J242" s="440"/>
    </row>
    <row r="243" spans="10:10" ht="20.100000000000001" customHeight="1">
      <c r="J243" s="440"/>
    </row>
    <row r="244" spans="10:10" ht="20.100000000000001" customHeight="1">
      <c r="J244" s="440"/>
    </row>
    <row r="245" spans="10:10" ht="20.100000000000001" customHeight="1">
      <c r="J245" s="440"/>
    </row>
    <row r="246" spans="10:10" ht="20.100000000000001" customHeight="1">
      <c r="J246" s="440"/>
    </row>
    <row r="247" spans="10:10" ht="20.100000000000001" customHeight="1">
      <c r="J247" s="440"/>
    </row>
    <row r="248" spans="10:10" ht="20.100000000000001" customHeight="1">
      <c r="J248" s="440"/>
    </row>
    <row r="249" spans="10:10" ht="20.100000000000001" customHeight="1">
      <c r="J249" s="440"/>
    </row>
    <row r="250" spans="10:10" ht="20.100000000000001" customHeight="1">
      <c r="J250" s="440"/>
    </row>
    <row r="251" spans="10:10" ht="20.100000000000001" customHeight="1">
      <c r="J251" s="440"/>
    </row>
    <row r="252" spans="10:10" ht="20.100000000000001" customHeight="1">
      <c r="J252" s="440"/>
    </row>
    <row r="253" spans="10:10" ht="20.100000000000001" customHeight="1">
      <c r="J253" s="440"/>
    </row>
    <row r="254" spans="10:10" ht="20.100000000000001" customHeight="1">
      <c r="J254" s="440"/>
    </row>
    <row r="255" spans="10:10" ht="20.100000000000001" customHeight="1">
      <c r="J255" s="440"/>
    </row>
    <row r="256" spans="10:10" ht="20.100000000000001" customHeight="1">
      <c r="J256" s="440"/>
    </row>
    <row r="257" spans="3:10" ht="20.100000000000001" customHeight="1">
      <c r="J257" s="440"/>
    </row>
    <row r="258" spans="3:10" ht="20.100000000000001" customHeight="1">
      <c r="J258" s="440"/>
    </row>
    <row r="259" spans="3:10" ht="20.100000000000001" customHeight="1">
      <c r="J259" s="440"/>
    </row>
    <row r="260" spans="3:10" ht="20.100000000000001" customHeight="1">
      <c r="J260" s="440"/>
    </row>
    <row r="261" spans="3:10" ht="20.100000000000001" customHeight="1">
      <c r="J261" s="440"/>
    </row>
    <row r="262" spans="3:10" ht="20.100000000000001" customHeight="1">
      <c r="J262" s="440"/>
    </row>
    <row r="263" spans="3:10" ht="20.100000000000001" customHeight="1">
      <c r="J263" s="440"/>
    </row>
    <row r="264" spans="3:10" ht="20.100000000000001" customHeight="1">
      <c r="C264" s="65">
        <v>5</v>
      </c>
      <c r="J264" s="440"/>
    </row>
    <row r="265" spans="3:10" ht="20.100000000000001" customHeight="1">
      <c r="J265" s="440"/>
    </row>
    <row r="266" spans="3:10" ht="20.100000000000001" customHeight="1">
      <c r="J266" s="440"/>
    </row>
    <row r="267" spans="3:10" ht="20.100000000000001" customHeight="1">
      <c r="J267" s="440"/>
    </row>
    <row r="268" spans="3:10" ht="20.100000000000001" customHeight="1">
      <c r="J268" s="440"/>
    </row>
    <row r="269" spans="3:10" ht="20.100000000000001" customHeight="1">
      <c r="J269" s="440"/>
    </row>
    <row r="270" spans="3:10" ht="20.100000000000001" customHeight="1">
      <c r="J270" s="440"/>
    </row>
    <row r="271" spans="3:10" ht="20.100000000000001" customHeight="1">
      <c r="J271" s="440"/>
    </row>
    <row r="272" spans="3:10" ht="20.100000000000001" customHeight="1">
      <c r="J272" s="440"/>
    </row>
    <row r="273" spans="10:10" ht="20.100000000000001" customHeight="1">
      <c r="J273" s="440"/>
    </row>
    <row r="274" spans="10:10" ht="20.100000000000001" customHeight="1">
      <c r="J274" s="440"/>
    </row>
    <row r="275" spans="10:10" ht="20.100000000000001" customHeight="1">
      <c r="J275" s="440"/>
    </row>
    <row r="276" spans="10:10" ht="20.100000000000001" customHeight="1">
      <c r="J276" s="440"/>
    </row>
    <row r="277" spans="10:10" ht="20.100000000000001" customHeight="1">
      <c r="J277" s="440"/>
    </row>
    <row r="278" spans="10:10" ht="20.100000000000001" customHeight="1">
      <c r="J278" s="440"/>
    </row>
    <row r="279" spans="10:10" ht="20.100000000000001" customHeight="1">
      <c r="J279" s="440"/>
    </row>
    <row r="280" spans="10:10" ht="20.100000000000001" customHeight="1">
      <c r="J280" s="440"/>
    </row>
    <row r="281" spans="10:10" ht="20.100000000000001" customHeight="1">
      <c r="J281" s="440"/>
    </row>
    <row r="282" spans="10:10" ht="20.100000000000001" customHeight="1">
      <c r="J282" s="440"/>
    </row>
    <row r="283" spans="10:10" ht="20.100000000000001" customHeight="1">
      <c r="J283" s="440"/>
    </row>
    <row r="284" spans="10:10" ht="20.100000000000001" customHeight="1">
      <c r="J284" s="440"/>
    </row>
    <row r="285" spans="10:10" ht="20.100000000000001" customHeight="1">
      <c r="J285" s="440"/>
    </row>
    <row r="286" spans="10:10" ht="20.100000000000001" customHeight="1">
      <c r="J286" s="440"/>
    </row>
    <row r="287" spans="10:10" ht="20.100000000000001" customHeight="1">
      <c r="J287" s="440"/>
    </row>
    <row r="288" spans="10:10" ht="20.100000000000001" customHeight="1">
      <c r="J288" s="440"/>
    </row>
    <row r="289" spans="10:10" ht="20.100000000000001" customHeight="1">
      <c r="J289" s="440"/>
    </row>
    <row r="290" spans="10:10" ht="20.100000000000001" customHeight="1">
      <c r="J290" s="440"/>
    </row>
    <row r="291" spans="10:10" ht="20.100000000000001" customHeight="1">
      <c r="J291" s="440"/>
    </row>
    <row r="292" spans="10:10" ht="20.100000000000001" customHeight="1">
      <c r="J292" s="440"/>
    </row>
    <row r="293" spans="10:10" ht="20.100000000000001" customHeight="1">
      <c r="J293" s="440"/>
    </row>
    <row r="294" spans="10:10" ht="20.100000000000001" customHeight="1">
      <c r="J294" s="440"/>
    </row>
    <row r="295" spans="10:10" ht="20.100000000000001" customHeight="1">
      <c r="J295" s="440"/>
    </row>
    <row r="296" spans="10:10" ht="20.100000000000001" customHeight="1">
      <c r="J296" s="440"/>
    </row>
    <row r="297" spans="10:10" ht="20.100000000000001" customHeight="1">
      <c r="J297" s="440"/>
    </row>
    <row r="298" spans="10:10" ht="20.100000000000001" customHeight="1">
      <c r="J298" s="440"/>
    </row>
    <row r="299" spans="10:10" ht="20.100000000000001" customHeight="1">
      <c r="J299" s="440"/>
    </row>
    <row r="300" spans="10:10" ht="20.100000000000001" customHeight="1">
      <c r="J300" s="440"/>
    </row>
    <row r="301" spans="10:10" ht="20.100000000000001" customHeight="1">
      <c r="J301" s="440"/>
    </row>
    <row r="302" spans="10:10" ht="20.100000000000001" customHeight="1">
      <c r="J302" s="440"/>
    </row>
    <row r="303" spans="10:10" ht="20.100000000000001" customHeight="1">
      <c r="J303" s="440"/>
    </row>
    <row r="304" spans="10:10" ht="20.100000000000001" customHeight="1">
      <c r="J304" s="440"/>
    </row>
    <row r="305" spans="3:10" ht="20.100000000000001" customHeight="1">
      <c r="J305" s="440"/>
    </row>
    <row r="306" spans="3:10" ht="20.100000000000001" customHeight="1">
      <c r="J306" s="440"/>
    </row>
    <row r="307" spans="3:10" ht="20.100000000000001" customHeight="1">
      <c r="J307" s="440"/>
    </row>
    <row r="308" spans="3:10" ht="20.100000000000001" customHeight="1">
      <c r="J308" s="440"/>
    </row>
    <row r="309" spans="3:10" ht="20.100000000000001" customHeight="1">
      <c r="J309" s="440"/>
    </row>
    <row r="310" spans="3:10" ht="20.100000000000001" customHeight="1">
      <c r="J310" s="440"/>
    </row>
    <row r="311" spans="3:10" ht="20.100000000000001" customHeight="1">
      <c r="J311" s="440"/>
    </row>
    <row r="312" spans="3:10" ht="20.100000000000001" customHeight="1">
      <c r="J312" s="440"/>
    </row>
    <row r="313" spans="3:10" ht="20.100000000000001" customHeight="1">
      <c r="J313" s="440"/>
    </row>
    <row r="314" spans="3:10" ht="20.100000000000001" customHeight="1">
      <c r="C314" s="65">
        <v>5</v>
      </c>
    </row>
    <row r="364" spans="3:3" ht="20.100000000000001" customHeight="1">
      <c r="C364" s="65">
        <v>5</v>
      </c>
    </row>
    <row r="414" spans="3:3" ht="20.100000000000001" customHeight="1">
      <c r="C414" s="65">
        <v>5</v>
      </c>
    </row>
    <row r="464" spans="3:3" ht="20.100000000000001" customHeight="1">
      <c r="C464" s="65">
        <v>5</v>
      </c>
    </row>
    <row r="514" spans="3:3" ht="20.100000000000001" customHeight="1">
      <c r="C514" s="65">
        <v>5</v>
      </c>
    </row>
    <row r="564" spans="3:3" ht="20.100000000000001" customHeight="1">
      <c r="C564" s="65">
        <v>5</v>
      </c>
    </row>
    <row r="614" spans="3:3" ht="20.100000000000001" customHeight="1">
      <c r="C614" s="65">
        <v>5</v>
      </c>
    </row>
    <row r="664" spans="3:3" ht="20.100000000000001" customHeight="1">
      <c r="C664" s="65">
        <v>5</v>
      </c>
    </row>
    <row r="714" spans="3:3" ht="20.100000000000001" customHeight="1">
      <c r="C714" s="65">
        <v>5</v>
      </c>
    </row>
    <row r="764" spans="3:3" ht="20.100000000000001" customHeight="1">
      <c r="C764" s="65">
        <v>5</v>
      </c>
    </row>
    <row r="814" spans="3:3" ht="20.100000000000001" customHeight="1">
      <c r="C814" s="65">
        <v>5</v>
      </c>
    </row>
    <row r="815" spans="3:3" ht="20.100000000000001" customHeight="1">
      <c r="C815" s="65" t="e">
        <f>Datos!#REF!</f>
        <v>#REF!</v>
      </c>
    </row>
    <row r="864" spans="3:3" ht="20.100000000000001" customHeight="1">
      <c r="C864" s="65">
        <v>5</v>
      </c>
    </row>
    <row r="865" spans="3:3" ht="20.100000000000001" customHeight="1">
      <c r="C865" s="65" t="e">
        <f>Datos!#REF!</f>
        <v>#REF!</v>
      </c>
    </row>
    <row r="914" spans="3:3" ht="20.100000000000001" customHeight="1">
      <c r="C914" s="65">
        <v>5</v>
      </c>
    </row>
    <row r="915" spans="3:3" ht="20.100000000000001" customHeight="1">
      <c r="C915" s="65" t="e">
        <f>Datos!#REF!</f>
        <v>#REF!</v>
      </c>
    </row>
    <row r="964" spans="3:3" ht="20.100000000000001" customHeight="1">
      <c r="C964" s="65">
        <v>5</v>
      </c>
    </row>
    <row r="965" spans="3:3" ht="20.100000000000001" customHeight="1">
      <c r="C965" s="65" t="e">
        <f>Datos!#REF!</f>
        <v>#REF!</v>
      </c>
    </row>
    <row r="1015" spans="3:3" ht="20.100000000000001" customHeight="1">
      <c r="C1015" s="65" t="e">
        <f>Datos!#REF!</f>
        <v>#REF!</v>
      </c>
    </row>
    <row r="1064" spans="3:3" ht="20.100000000000001" customHeight="1">
      <c r="C1064" s="65">
        <v>7</v>
      </c>
    </row>
    <row r="1065" spans="3:3" ht="20.100000000000001" customHeight="1">
      <c r="C1065" s="65" t="e">
        <f>Datos!#REF!</f>
        <v>#REF!</v>
      </c>
    </row>
    <row r="1115" spans="3:3" ht="20.100000000000001" customHeight="1">
      <c r="C1115" s="65" t="e">
        <f>Datos!#REF!</f>
        <v>#REF!</v>
      </c>
    </row>
    <row r="1164" spans="3:3" ht="20.100000000000001" customHeight="1">
      <c r="C1164" s="65">
        <v>8</v>
      </c>
    </row>
    <row r="1165" spans="3:3" ht="20.100000000000001" customHeight="1">
      <c r="C1165" s="65" t="e">
        <f>Datos!#REF!</f>
        <v>#REF!</v>
      </c>
    </row>
    <row r="1214" spans="3:3" ht="20.100000000000001" customHeight="1">
      <c r="C1214" s="65">
        <v>8</v>
      </c>
    </row>
    <row r="1215" spans="3:3" ht="20.100000000000001" customHeight="1">
      <c r="C1215" s="65" t="e">
        <f>Datos!#REF!</f>
        <v>#REF!</v>
      </c>
    </row>
    <row r="1264" spans="3:3" ht="20.100000000000001" customHeight="1">
      <c r="C1264" s="65">
        <v>8</v>
      </c>
    </row>
    <row r="1265" spans="3:3" ht="20.100000000000001" customHeight="1">
      <c r="C1265" s="65" t="e">
        <f>Datos!#REF!</f>
        <v>#REF!</v>
      </c>
    </row>
    <row r="1314" spans="3:3" ht="20.100000000000001" customHeight="1">
      <c r="C1314" s="65">
        <v>8</v>
      </c>
    </row>
    <row r="1315" spans="3:3" ht="20.100000000000001" customHeight="1">
      <c r="C1315" s="65" t="e">
        <f>Datos!#REF!</f>
        <v>#REF!</v>
      </c>
    </row>
    <row r="1364" spans="3:3" ht="20.100000000000001" customHeight="1">
      <c r="C1364" s="65">
        <v>8</v>
      </c>
    </row>
    <row r="1365" spans="3:3" ht="20.100000000000001" customHeight="1">
      <c r="C1365" s="65" t="e">
        <f>Datos!#REF!</f>
        <v>#REF!</v>
      </c>
    </row>
    <row r="1415" spans="3:3" ht="20.100000000000001" customHeight="1">
      <c r="C1415" s="65" t="e">
        <f>Datos!#REF!</f>
        <v>#REF!</v>
      </c>
    </row>
    <row r="1465" spans="3:3" ht="20.100000000000001" customHeight="1">
      <c r="C1465" s="65" t="e">
        <f>Datos!#REF!</f>
        <v>#REF!</v>
      </c>
    </row>
    <row r="1515" spans="3:3" ht="20.100000000000001" customHeight="1">
      <c r="C1515" s="65" t="e">
        <f>Datos!#REF!</f>
        <v>#REF!</v>
      </c>
    </row>
    <row r="1564" spans="3:3" ht="20.100000000000001" customHeight="1">
      <c r="C1564" s="65">
        <v>12</v>
      </c>
    </row>
    <row r="1565" spans="3:3" ht="20.100000000000001" customHeight="1">
      <c r="C1565" s="65" t="e">
        <f>Datos!#REF!</f>
        <v>#REF!</v>
      </c>
    </row>
    <row r="1614" spans="3:3" ht="20.100000000000001" customHeight="1">
      <c r="C1614" s="65">
        <v>12</v>
      </c>
    </row>
    <row r="1615" spans="3:3" ht="20.100000000000001" customHeight="1">
      <c r="C1615" s="65" t="e">
        <f>Datos!#REF!</f>
        <v>#REF!</v>
      </c>
    </row>
    <row r="1664" spans="3:3" ht="20.100000000000001" customHeight="1">
      <c r="C1664" s="65">
        <v>12</v>
      </c>
    </row>
    <row r="1665" spans="3:3" ht="20.100000000000001" customHeight="1">
      <c r="C1665" s="65" t="e">
        <f>Datos!#REF!</f>
        <v>#REF!</v>
      </c>
    </row>
    <row r="1714" spans="3:3" ht="20.100000000000001" customHeight="1">
      <c r="C1714" s="65">
        <v>12</v>
      </c>
    </row>
    <row r="1715" spans="3:3" ht="20.100000000000001" customHeight="1">
      <c r="C1715" s="65" t="e">
        <f>Datos!#REF!</f>
        <v>#REF!</v>
      </c>
    </row>
    <row r="1764" spans="3:3" ht="20.100000000000001" customHeight="1">
      <c r="C1764" s="65">
        <v>12</v>
      </c>
    </row>
    <row r="1765" spans="3:3" ht="20.100000000000001" customHeight="1">
      <c r="C1765" s="65" t="e">
        <f>Datos!#REF!</f>
        <v>#REF!</v>
      </c>
    </row>
    <row r="1814" spans="3:3" ht="20.100000000000001" customHeight="1">
      <c r="C1814" s="65">
        <v>13</v>
      </c>
    </row>
    <row r="1815" spans="3:3" ht="20.100000000000001" customHeight="1">
      <c r="C1815" s="65" t="e">
        <f>Datos!#REF!</f>
        <v>#REF!</v>
      </c>
    </row>
    <row r="1864" spans="3:3" ht="20.100000000000001" customHeight="1">
      <c r="C1864" s="65">
        <v>13</v>
      </c>
    </row>
    <row r="1865" spans="3:3" ht="20.100000000000001" customHeight="1">
      <c r="C1865" s="65" t="e">
        <f>Datos!#REF!</f>
        <v>#REF!</v>
      </c>
    </row>
  </sheetData>
  <mergeCells count="4">
    <mergeCell ref="G33:H33"/>
    <mergeCell ref="A1:D1"/>
    <mergeCell ref="A16:E16"/>
    <mergeCell ref="B32:E32"/>
  </mergeCells>
  <conditionalFormatting sqref="D26:D29">
    <cfRule type="expression" dxfId="131" priority="4" stopIfTrue="1">
      <formula>#REF!=1</formula>
    </cfRule>
  </conditionalFormatting>
  <conditionalFormatting sqref="B36:B185">
    <cfRule type="expression" dxfId="130" priority="5" stopIfTrue="1">
      <formula>#REF!&gt;0</formula>
    </cfRule>
    <cfRule type="expression" dxfId="129" priority="6" stopIfTrue="1">
      <formula>#REF!&gt;0</formula>
    </cfRule>
    <cfRule type="expression" dxfId="128" priority="7" stopIfTrue="1">
      <formula>#REF!&gt;0</formula>
    </cfRule>
  </conditionalFormatting>
  <conditionalFormatting sqref="D26:D29">
    <cfRule type="expression" dxfId="127" priority="8" stopIfTrue="1">
      <formula>#REF!=1</formula>
    </cfRule>
  </conditionalFormatting>
  <conditionalFormatting sqref="C36:C185">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57"/>
  <sheetViews>
    <sheetView showGridLines="0" showZeros="0" view="pageBreakPreview" zoomScale="90" zoomScaleNormal="100" zoomScaleSheetLayoutView="90" workbookViewId="0">
      <selection activeCell="G42" sqref="G42"/>
    </sheetView>
  </sheetViews>
  <sheetFormatPr baseColWidth="10" defaultColWidth="11.42578125" defaultRowHeight="19.5" customHeight="1"/>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c r="A1" s="622" t="str">
        <f>Obra</f>
        <v>EJECUCION DE PERFORACION - SISTEMA DE RIEGO</v>
      </c>
      <c r="B1" s="622"/>
      <c r="C1" s="622"/>
      <c r="D1" s="622"/>
      <c r="E1" s="622"/>
      <c r="F1" s="622"/>
      <c r="G1" s="622"/>
    </row>
    <row r="2" spans="1:9" ht="15" customHeight="1">
      <c r="A2" s="625" t="str">
        <f>IF(Tramo=0,"","TRAMO: "&amp;Tramo)</f>
        <v/>
      </c>
      <c r="B2" s="625"/>
      <c r="C2" s="625"/>
      <c r="D2" s="625"/>
      <c r="E2" s="625"/>
      <c r="F2" s="625"/>
      <c r="G2" s="625"/>
    </row>
    <row r="3" spans="1:9" ht="15" customHeight="1">
      <c r="A3" s="625" t="str">
        <f>IF(Sección_I=0,"","SECCIÓN I: "&amp;Sección_I)</f>
        <v/>
      </c>
      <c r="B3" s="625"/>
      <c r="C3" s="625"/>
      <c r="D3" s="625"/>
      <c r="E3" s="625"/>
      <c r="F3" s="625"/>
      <c r="G3" s="625"/>
    </row>
    <row r="4" spans="1:9" ht="15" customHeight="1">
      <c r="A4" s="625" t="str">
        <f>IF(Sección_II=0,"","SECCIÓN II: "&amp;Sección_II)</f>
        <v/>
      </c>
      <c r="B4" s="625"/>
      <c r="C4" s="625"/>
      <c r="D4" s="625"/>
      <c r="E4" s="625"/>
      <c r="F4" s="625"/>
      <c r="G4" s="625"/>
    </row>
    <row r="5" spans="1:9" ht="15" customHeight="1">
      <c r="A5" s="625" t="str">
        <f>IF(Sección_III=0,"","SECCIÓN III: "&amp;Sección_III)</f>
        <v/>
      </c>
      <c r="B5" s="625"/>
      <c r="C5" s="625"/>
      <c r="D5" s="625"/>
      <c r="E5" s="625"/>
      <c r="F5" s="625"/>
      <c r="G5" s="625"/>
    </row>
    <row r="6" spans="1:9" ht="15" customHeight="1">
      <c r="A6" s="625" t="str">
        <f>IF(Ubicación=0,"","DEPARTAMENTO: "&amp;Ubicación)</f>
        <v>DEPARTAMENTO: DEPARTAMENTO CHIMBAS</v>
      </c>
      <c r="B6" s="625"/>
      <c r="C6" s="625"/>
      <c r="D6" s="625"/>
      <c r="E6" s="625"/>
      <c r="F6" s="625"/>
      <c r="G6" s="625"/>
    </row>
    <row r="7" spans="1:9" ht="19.5" customHeight="1">
      <c r="A7" s="144"/>
      <c r="B7" s="144"/>
      <c r="C7" s="144"/>
      <c r="D7" s="144"/>
      <c r="E7" s="144"/>
      <c r="F7" s="144"/>
      <c r="G7" s="144"/>
    </row>
    <row r="8" spans="1:9" ht="19.5" customHeight="1">
      <c r="A8" s="145" t="s">
        <v>985</v>
      </c>
      <c r="B8" s="146"/>
      <c r="C8" s="146"/>
      <c r="D8" s="146"/>
      <c r="E8" s="146"/>
      <c r="F8" s="146"/>
      <c r="G8" s="147"/>
    </row>
    <row r="9" spans="1:9" s="149" customFormat="1" ht="30" customHeight="1">
      <c r="A9" s="148"/>
      <c r="C9" s="150"/>
      <c r="D9" s="150"/>
      <c r="E9" s="148" t="str">
        <f>IF(Fecha_Base=0,"San Juan, ______________________"&amp;" de _____","San Juan, "&amp;TEXT(Fecha_Base,"dd")&amp;" de "&amp;TEXT(Fecha_Base,"mmmm")&amp;" de "&amp;TEXT(Fecha_Base,"yyyy"))</f>
        <v>San Juan, ______________________ de _____</v>
      </c>
    </row>
    <row r="10" spans="1:9" s="5" customFormat="1" ht="69.75" customHeight="1">
      <c r="B10" s="151" t="s">
        <v>2081</v>
      </c>
      <c r="C10" s="151"/>
      <c r="D10" s="151"/>
      <c r="E10" s="151"/>
      <c r="F10" s="151"/>
      <c r="G10" s="151"/>
    </row>
    <row r="11" spans="1:9" s="5" customFormat="1" ht="80.099999999999994" customHeight="1">
      <c r="B11" s="62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28"/>
      <c r="D11" s="628"/>
      <c r="E11" s="628"/>
      <c r="F11" s="628"/>
      <c r="G11" s="628"/>
    </row>
    <row r="12" spans="1:9" s="5" customFormat="1" ht="19.5" customHeight="1">
      <c r="A12" s="11"/>
      <c r="B12" s="12"/>
      <c r="I12" s="432" t="s">
        <v>991</v>
      </c>
    </row>
    <row r="13" spans="1:9" ht="20.100000000000001" customHeight="1">
      <c r="A13" s="623" t="s">
        <v>893</v>
      </c>
      <c r="B13" s="624" t="s">
        <v>0</v>
      </c>
      <c r="C13" s="623" t="s">
        <v>1</v>
      </c>
      <c r="D13" s="623" t="s">
        <v>2</v>
      </c>
      <c r="E13" s="624" t="s">
        <v>986</v>
      </c>
      <c r="F13" s="624"/>
      <c r="G13" s="623" t="s">
        <v>937</v>
      </c>
      <c r="I13" s="432"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c r="A14" s="623"/>
      <c r="B14" s="624"/>
      <c r="C14" s="623"/>
      <c r="D14" s="623"/>
      <c r="E14" s="430" t="s">
        <v>987</v>
      </c>
      <c r="F14" s="430" t="s">
        <v>988</v>
      </c>
      <c r="G14" s="623"/>
      <c r="I14" s="433"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c r="A15" s="152"/>
      <c r="B15" s="428"/>
      <c r="C15" s="152"/>
      <c r="D15" s="152"/>
      <c r="E15" s="428"/>
      <c r="F15" s="428"/>
    </row>
    <row r="16" spans="1:9" ht="30" customHeight="1">
      <c r="A16" s="48">
        <f ca="1">INDIRECT("Datos!B"&amp;MATCH("RUBRO ITEM",Datos!B:B,0)+ROW()-MATCH("RUBRO ITEM",A:A,0)-1)</f>
        <v>1</v>
      </c>
      <c r="B16" s="393" t="str">
        <f t="shared" ref="B16" ca="1" si="0">IFERROR(VLOOKUP(A16,T_Computo_Presupuesto,2,FALSE),"")</f>
        <v>PERFORACION PROPIAMENTE DICHA</v>
      </c>
      <c r="C16" s="153">
        <f t="shared" ref="C16" ca="1" si="1">IFERROR(VLOOKUP(A16,T_Computo_Presupuesto,4,FALSE),"")</f>
        <v>0</v>
      </c>
      <c r="D16" s="394">
        <f t="shared" ref="D16" ca="1" si="2">IFERROR(VLOOKUP(A16,T_Computo_Presupuesto,5,FALSE),"")</f>
        <v>0</v>
      </c>
      <c r="E16" s="395" t="str">
        <f t="shared" ref="E16:E17" ca="1" si="3">IF(F16=0,"",CONVERTIRNUM(F16))</f>
        <v/>
      </c>
      <c r="F16" s="396">
        <f t="shared" ref="F16:F17" ca="1" si="4">IFERROR(VLOOKUP(A16,T_Computo_Presupuesto,7,FALSE),0)</f>
        <v>0</v>
      </c>
      <c r="G16" s="396">
        <f ca="1">ROUND(D16*F16,2)</f>
        <v>0</v>
      </c>
    </row>
    <row r="17" spans="1:7" ht="35.25" customHeight="1">
      <c r="A17" s="48">
        <f ca="1">INDIRECT("Datos!B"&amp;MATCH("RUBRO ITEM",Datos!B:B,0)+ROW()-MATCH("RUBRO ITEM",A:A,0)-1)</f>
        <v>1.1000000000000001</v>
      </c>
      <c r="B17" s="393" t="str">
        <f t="shared" ref="B17:B40" ca="1" si="5">IFERROR(VLOOKUP(A17,T_Computo_Presupuesto,2,FALSE),"")</f>
        <v>Limpieza, replanteo y nivelacion</v>
      </c>
      <c r="C17" s="153" t="str">
        <f t="shared" ref="C17:C40" ca="1" si="6">IFERROR(VLOOKUP(A17,T_Computo_Presupuesto,4,FALSE),"")</f>
        <v>m2</v>
      </c>
      <c r="D17" s="394">
        <f t="shared" ref="D17:D40" ca="1" si="7">IFERROR(VLOOKUP(A17,T_Computo_Presupuesto,5,FALSE),"")</f>
        <v>22.5</v>
      </c>
      <c r="E17" s="395" t="str">
        <f t="shared" ca="1" si="3"/>
        <v/>
      </c>
      <c r="F17" s="396">
        <f t="shared" ca="1" si="4"/>
        <v>0</v>
      </c>
      <c r="G17" s="396">
        <f t="shared" ref="G17" ca="1" si="8">ROUND(D17*F17,2)</f>
        <v>0</v>
      </c>
    </row>
    <row r="18" spans="1:7" ht="30" customHeight="1">
      <c r="A18" s="48">
        <f ca="1">INDIRECT("Datos!B"&amp;MATCH("RUBRO ITEM",Datos!B:B,0)+ROW()-MATCH("RUBRO ITEM",A:A,0)-1)</f>
        <v>1.2</v>
      </c>
      <c r="B18" s="393" t="str">
        <f t="shared" ca="1" si="5"/>
        <v>Perfilaje, limpieza, ensayos y desarrollo</v>
      </c>
      <c r="C18" s="153" t="str">
        <f t="shared" ca="1" si="6"/>
        <v>m</v>
      </c>
      <c r="D18" s="394">
        <f t="shared" ca="1" si="7"/>
        <v>100</v>
      </c>
      <c r="E18" s="395" t="str">
        <f t="shared" ref="E18:E40" ca="1" si="9">IF(F18=0,"",CONVERTIRNUM(F18))</f>
        <v/>
      </c>
      <c r="F18" s="396">
        <f t="shared" ref="F18:F40" ca="1" si="10">IFERROR(VLOOKUP(A18,T_Computo_Presupuesto,7,FALSE),0)</f>
        <v>0</v>
      </c>
      <c r="G18" s="396">
        <f t="shared" ref="G18:G40" ca="1" si="11">ROUND(D18*F18,2)</f>
        <v>0</v>
      </c>
    </row>
    <row r="19" spans="1:7" ht="30" customHeight="1">
      <c r="A19" s="48">
        <f ca="1">INDIRECT("Datos!B"&amp;MATCH("RUBRO ITEM",Datos!B:B,0)+ROW()-MATCH("RUBRO ITEM",A:A,0)-1)</f>
        <v>1.3</v>
      </c>
      <c r="B19" s="393" t="str">
        <f t="shared" ca="1" si="5"/>
        <v>Provision e instalacion filtros 12"</v>
      </c>
      <c r="C19" s="153" t="str">
        <f t="shared" ca="1" si="6"/>
        <v>m</v>
      </c>
      <c r="D19" s="394">
        <f t="shared" ca="1" si="7"/>
        <v>40</v>
      </c>
      <c r="E19" s="395" t="str">
        <f t="shared" ca="1" si="9"/>
        <v/>
      </c>
      <c r="F19" s="396">
        <f t="shared" ca="1" si="10"/>
        <v>0</v>
      </c>
      <c r="G19" s="396">
        <f t="shared" ca="1" si="11"/>
        <v>0</v>
      </c>
    </row>
    <row r="20" spans="1:7" ht="30" customHeight="1">
      <c r="A20" s="48">
        <f ca="1">INDIRECT("Datos!B"&amp;MATCH("RUBRO ITEM",Datos!B:B,0)+ROW()-MATCH("RUBRO ITEM",A:A,0)-1)</f>
        <v>1.4</v>
      </c>
      <c r="B20" s="393" t="str">
        <f t="shared" ca="1" si="5"/>
        <v>Engravado para proteccion de filtros</v>
      </c>
      <c r="C20" s="153" t="str">
        <f t="shared" ca="1" si="6"/>
        <v>m3</v>
      </c>
      <c r="D20" s="394">
        <f t="shared" ca="1" si="7"/>
        <v>4.5</v>
      </c>
      <c r="E20" s="395" t="str">
        <f t="shared" ca="1" si="9"/>
        <v/>
      </c>
      <c r="F20" s="396">
        <f t="shared" ca="1" si="10"/>
        <v>0</v>
      </c>
      <c r="G20" s="396">
        <f t="shared" ca="1" si="11"/>
        <v>0</v>
      </c>
    </row>
    <row r="21" spans="1:7" ht="30" customHeight="1">
      <c r="A21" s="48">
        <f ca="1">INDIRECT("Datos!B"&amp;MATCH("RUBRO ITEM",Datos!B:B,0)+ROW()-MATCH("RUBRO ITEM",A:A,0)-1)</f>
        <v>1.5</v>
      </c>
      <c r="B21" s="393" t="str">
        <f t="shared" ca="1" si="5"/>
        <v>Provision en instalacion cañeria 12"</v>
      </c>
      <c r="C21" s="153" t="str">
        <f t="shared" ca="1" si="6"/>
        <v>m</v>
      </c>
      <c r="D21" s="394">
        <f t="shared" ca="1" si="7"/>
        <v>100</v>
      </c>
      <c r="E21" s="395" t="str">
        <f t="shared" ca="1" si="9"/>
        <v/>
      </c>
      <c r="F21" s="396">
        <f t="shared" ca="1" si="10"/>
        <v>0</v>
      </c>
      <c r="G21" s="396">
        <f t="shared" ca="1" si="11"/>
        <v>0</v>
      </c>
    </row>
    <row r="22" spans="1:7" ht="30" customHeight="1">
      <c r="A22" s="48">
        <f ca="1">INDIRECT("Datos!B"&amp;MATCH("RUBRO ITEM",Datos!B:B,0)+ROW()-MATCH("RUBRO ITEM",A:A,0)-1)</f>
        <v>1.6</v>
      </c>
      <c r="B22" s="393" t="str">
        <f t="shared" ca="1" si="5"/>
        <v>Cementado para proteccion perforacion</v>
      </c>
      <c r="C22" s="153" t="str">
        <f t="shared" ca="1" si="6"/>
        <v>m3</v>
      </c>
      <c r="D22" s="394">
        <f t="shared" ca="1" si="7"/>
        <v>4.5</v>
      </c>
      <c r="E22" s="395" t="str">
        <f t="shared" ca="1" si="9"/>
        <v/>
      </c>
      <c r="F22" s="396">
        <f t="shared" ca="1" si="10"/>
        <v>0</v>
      </c>
      <c r="G22" s="396">
        <f t="shared" ca="1" si="11"/>
        <v>0</v>
      </c>
    </row>
    <row r="23" spans="1:7" ht="30" customHeight="1">
      <c r="A23" s="48">
        <f ca="1">INDIRECT("Datos!B"&amp;MATCH("RUBRO ITEM",Datos!B:B,0)+ROW()-MATCH("RUBRO ITEM",A:A,0)-1)</f>
        <v>1.7</v>
      </c>
      <c r="B23" s="393" t="str">
        <f t="shared" ca="1" si="5"/>
        <v>Limpieza final</v>
      </c>
      <c r="C23" s="153" t="str">
        <f t="shared" ca="1" si="6"/>
        <v>m2</v>
      </c>
      <c r="D23" s="394">
        <f t="shared" ca="1" si="7"/>
        <v>22.5</v>
      </c>
      <c r="E23" s="395" t="str">
        <f t="shared" ca="1" si="9"/>
        <v/>
      </c>
      <c r="F23" s="396">
        <f t="shared" ca="1" si="10"/>
        <v>0</v>
      </c>
      <c r="G23" s="396">
        <f t="shared" ca="1" si="11"/>
        <v>0</v>
      </c>
    </row>
    <row r="24" spans="1:7" ht="30" customHeight="1">
      <c r="A24" s="48">
        <f ca="1">INDIRECT("Datos!B"&amp;MATCH("RUBRO ITEM",Datos!B:B,0)+ROW()-MATCH("RUBRO ITEM",A:A,0)-1)</f>
        <v>2</v>
      </c>
      <c r="B24" s="393" t="str">
        <f t="shared" ca="1" si="5"/>
        <v>INSTALACIONES ELECTROMECANICAS</v>
      </c>
      <c r="C24" s="153">
        <f t="shared" ca="1" si="6"/>
        <v>0</v>
      </c>
      <c r="D24" s="394">
        <f t="shared" ca="1" si="7"/>
        <v>0</v>
      </c>
      <c r="E24" s="395" t="str">
        <f t="shared" ca="1" si="9"/>
        <v/>
      </c>
      <c r="F24" s="396">
        <f t="shared" ca="1" si="10"/>
        <v>0</v>
      </c>
      <c r="G24" s="396">
        <f t="shared" ca="1" si="11"/>
        <v>0</v>
      </c>
    </row>
    <row r="25" spans="1:7" ht="30" customHeight="1">
      <c r="A25" s="48">
        <f ca="1">INDIRECT("Datos!B"&amp;MATCH("RUBRO ITEM",Datos!B:B,0)+ROW()-MATCH("RUBRO ITEM",A:A,0)-1)</f>
        <v>2.1</v>
      </c>
      <c r="B25" s="393" t="str">
        <f t="shared" ca="1" si="5"/>
        <v>Provision en instalacion electromba de 50HP</v>
      </c>
      <c r="C25" s="153" t="str">
        <f t="shared" ca="1" si="6"/>
        <v>gl</v>
      </c>
      <c r="D25" s="394">
        <f t="shared" ca="1" si="7"/>
        <v>1</v>
      </c>
      <c r="E25" s="395" t="str">
        <f t="shared" ca="1" si="9"/>
        <v/>
      </c>
      <c r="F25" s="396">
        <f t="shared" ca="1" si="10"/>
        <v>0</v>
      </c>
      <c r="G25" s="396">
        <f t="shared" ca="1" si="11"/>
        <v>0</v>
      </c>
    </row>
    <row r="26" spans="1:7" ht="30" customHeight="1">
      <c r="A26" s="48">
        <f ca="1">INDIRECT("Datos!B"&amp;MATCH("RUBRO ITEM",Datos!B:B,0)+ROW()-MATCH("RUBRO ITEM",A:A,0)-1)</f>
        <v>2.2000000000000002</v>
      </c>
      <c r="B26" s="393" t="str">
        <f t="shared" ca="1" si="5"/>
        <v>Provsion e instalacion cañeria impulsion 6"</v>
      </c>
      <c r="C26" s="153" t="str">
        <f t="shared" ca="1" si="6"/>
        <v>m</v>
      </c>
      <c r="D26" s="394">
        <f t="shared" ca="1" si="7"/>
        <v>52</v>
      </c>
      <c r="E26" s="395" t="str">
        <f t="shared" ca="1" si="9"/>
        <v/>
      </c>
      <c r="F26" s="396">
        <f t="shared" ca="1" si="10"/>
        <v>0</v>
      </c>
      <c r="G26" s="396">
        <f t="shared" ca="1" si="11"/>
        <v>0</v>
      </c>
    </row>
    <row r="27" spans="1:7" ht="30" customHeight="1">
      <c r="A27" s="48">
        <f ca="1">INDIRECT("Datos!B"&amp;MATCH("RUBRO ITEM",Datos!B:B,0)+ROW()-MATCH("RUBRO ITEM",A:A,0)-1)</f>
        <v>2.2999999999999998</v>
      </c>
      <c r="B27" s="393" t="str">
        <f t="shared" ca="1" si="5"/>
        <v>Instalacion tablero de potencia y control de electrobomba sumergible con control de velocidad, sistema de iluminacion monitoreo remoto de presion y caudal</v>
      </c>
      <c r="C27" s="153" t="str">
        <f t="shared" ca="1" si="6"/>
        <v>gl</v>
      </c>
      <c r="D27" s="394">
        <f t="shared" ca="1" si="7"/>
        <v>1</v>
      </c>
      <c r="E27" s="395" t="str">
        <f t="shared" ca="1" si="9"/>
        <v/>
      </c>
      <c r="F27" s="396">
        <f t="shared" ca="1" si="10"/>
        <v>0</v>
      </c>
      <c r="G27" s="396">
        <f t="shared" ca="1" si="11"/>
        <v>0</v>
      </c>
    </row>
    <row r="28" spans="1:7" ht="30" customHeight="1">
      <c r="A28" s="48">
        <f ca="1">INDIRECT("Datos!B"&amp;MATCH("RUBRO ITEM",Datos!B:B,0)+ROW()-MATCH("RUBRO ITEM",A:A,0)-1)</f>
        <v>2.4</v>
      </c>
      <c r="B28" s="393" t="str">
        <f t="shared" ca="1" si="5"/>
        <v>Construccion caseta para tablero y aprobaciones</v>
      </c>
      <c r="C28" s="153" t="str">
        <f t="shared" ca="1" si="6"/>
        <v>gl</v>
      </c>
      <c r="D28" s="394">
        <f t="shared" ca="1" si="7"/>
        <v>1</v>
      </c>
      <c r="E28" s="395" t="str">
        <f t="shared" ca="1" si="9"/>
        <v/>
      </c>
      <c r="F28" s="396">
        <f t="shared" ca="1" si="10"/>
        <v>0</v>
      </c>
      <c r="G28" s="396">
        <f t="shared" ca="1" si="11"/>
        <v>0</v>
      </c>
    </row>
    <row r="29" spans="1:7" ht="30" customHeight="1">
      <c r="A29" s="48">
        <f ca="1">INDIRECT("Datos!B"&amp;MATCH("RUBRO ITEM",Datos!B:B,0)+ROW()-MATCH("RUBRO ITEM",A:A,0)-1)</f>
        <v>3</v>
      </c>
      <c r="B29" s="393" t="str">
        <f t="shared" ca="1" si="5"/>
        <v>CAMARA SUBTERRANEA PARA PERFORACION</v>
      </c>
      <c r="C29" s="153">
        <f t="shared" ca="1" si="6"/>
        <v>0</v>
      </c>
      <c r="D29" s="394">
        <f t="shared" ca="1" si="7"/>
        <v>0</v>
      </c>
      <c r="E29" s="395" t="str">
        <f t="shared" ca="1" si="9"/>
        <v/>
      </c>
      <c r="F29" s="396">
        <f t="shared" ca="1" si="10"/>
        <v>0</v>
      </c>
      <c r="G29" s="396">
        <f t="shared" ca="1" si="11"/>
        <v>0</v>
      </c>
    </row>
    <row r="30" spans="1:7" ht="30" customHeight="1">
      <c r="A30" s="48">
        <f ca="1">INDIRECT("Datos!B"&amp;MATCH("RUBRO ITEM",Datos!B:B,0)+ROW()-MATCH("RUBRO ITEM",A:A,0)-1)</f>
        <v>3.1</v>
      </c>
      <c r="B30" s="393" t="str">
        <f t="shared" ca="1" si="5"/>
        <v>Limpieza, replanteo y nivelacion</v>
      </c>
      <c r="C30" s="153" t="str">
        <f t="shared" ca="1" si="6"/>
        <v>m</v>
      </c>
      <c r="D30" s="394">
        <f t="shared" ca="1" si="7"/>
        <v>6</v>
      </c>
      <c r="E30" s="395" t="str">
        <f t="shared" ca="1" si="9"/>
        <v/>
      </c>
      <c r="F30" s="396">
        <f t="shared" ca="1" si="10"/>
        <v>0</v>
      </c>
      <c r="G30" s="396">
        <f t="shared" ca="1" si="11"/>
        <v>0</v>
      </c>
    </row>
    <row r="31" spans="1:7" ht="30" customHeight="1">
      <c r="A31" s="48">
        <f ca="1">INDIRECT("Datos!B"&amp;MATCH("RUBRO ITEM",Datos!B:B,0)+ROW()-MATCH("RUBRO ITEM",A:A,0)-1)</f>
        <v>3.2</v>
      </c>
      <c r="B31" s="393" t="str">
        <f t="shared" ca="1" si="5"/>
        <v>Excavacion de zanja para camara subterranea</v>
      </c>
      <c r="C31" s="153" t="str">
        <f t="shared" ca="1" si="6"/>
        <v>m3</v>
      </c>
      <c r="D31" s="394">
        <f t="shared" ca="1" si="7"/>
        <v>12.77</v>
      </c>
      <c r="E31" s="395" t="str">
        <f t="shared" ca="1" si="9"/>
        <v/>
      </c>
      <c r="F31" s="396">
        <f t="shared" ca="1" si="10"/>
        <v>0</v>
      </c>
      <c r="G31" s="396">
        <f t="shared" ca="1" si="11"/>
        <v>0</v>
      </c>
    </row>
    <row r="32" spans="1:7" ht="30" customHeight="1">
      <c r="A32" s="48">
        <f ca="1">INDIRECT("Datos!B"&amp;MATCH("RUBRO ITEM",Datos!B:B,0)+ROW()-MATCH("RUBRO ITEM",A:A,0)-1)</f>
        <v>3.3</v>
      </c>
      <c r="B32" s="393" t="str">
        <f t="shared" ca="1" si="5"/>
        <v>Construccion de losa de fundacion H°A° H17</v>
      </c>
      <c r="C32" s="153" t="str">
        <f t="shared" ca="1" si="6"/>
        <v>m3</v>
      </c>
      <c r="D32" s="394">
        <f t="shared" ca="1" si="7"/>
        <v>0.9</v>
      </c>
      <c r="E32" s="395" t="str">
        <f t="shared" ca="1" si="9"/>
        <v/>
      </c>
      <c r="F32" s="396">
        <f t="shared" ca="1" si="10"/>
        <v>0</v>
      </c>
      <c r="G32" s="396">
        <f t="shared" ca="1" si="11"/>
        <v>0</v>
      </c>
    </row>
    <row r="33" spans="1:7" ht="30" customHeight="1">
      <c r="A33" s="48">
        <f ca="1">INDIRECT("Datos!B"&amp;MATCH("RUBRO ITEM",Datos!B:B,0)+ROW()-MATCH("RUBRO ITEM",A:A,0)-1)</f>
        <v>3.4</v>
      </c>
      <c r="B33" s="393" t="str">
        <f t="shared" ca="1" si="5"/>
        <v>Muros de H°A° H17</v>
      </c>
      <c r="C33" s="153" t="str">
        <f t="shared" ca="1" si="6"/>
        <v>m3</v>
      </c>
      <c r="D33" s="394">
        <f t="shared" ca="1" si="7"/>
        <v>3.33</v>
      </c>
      <c r="E33" s="395" t="str">
        <f t="shared" ca="1" si="9"/>
        <v/>
      </c>
      <c r="F33" s="396">
        <f t="shared" ca="1" si="10"/>
        <v>0</v>
      </c>
      <c r="G33" s="396">
        <f t="shared" ca="1" si="11"/>
        <v>0</v>
      </c>
    </row>
    <row r="34" spans="1:7" ht="30" customHeight="1">
      <c r="A34" s="48">
        <f ca="1">INDIRECT("Datos!B"&amp;MATCH("RUBRO ITEM",Datos!B:B,0)+ROW()-MATCH("RUBRO ITEM",A:A,0)-1)</f>
        <v>3.5</v>
      </c>
      <c r="B34" s="393" t="str">
        <f t="shared" ca="1" si="5"/>
        <v>Construccion de losa superior H°A° H17</v>
      </c>
      <c r="C34" s="153" t="str">
        <f t="shared" ca="1" si="6"/>
        <v>m3</v>
      </c>
      <c r="D34" s="394">
        <f t="shared" ca="1" si="7"/>
        <v>0.9</v>
      </c>
      <c r="E34" s="395" t="str">
        <f t="shared" ca="1" si="9"/>
        <v/>
      </c>
      <c r="F34" s="396">
        <f t="shared" ca="1" si="10"/>
        <v>0</v>
      </c>
      <c r="G34" s="396">
        <f t="shared" ca="1" si="11"/>
        <v>0</v>
      </c>
    </row>
    <row r="35" spans="1:7" ht="30" customHeight="1">
      <c r="A35" s="48">
        <f ca="1">INDIRECT("Datos!B"&amp;MATCH("RUBRO ITEM",Datos!B:B,0)+ROW()-MATCH("RUBRO ITEM",A:A,0)-1)</f>
        <v>3.6</v>
      </c>
      <c r="B35" s="393" t="str">
        <f t="shared" ca="1" si="5"/>
        <v>Tapa hermetica de ingreso</v>
      </c>
      <c r="C35" s="153" t="str">
        <f t="shared" ca="1" si="6"/>
        <v>gl</v>
      </c>
      <c r="D35" s="394">
        <f t="shared" ca="1" si="7"/>
        <v>1</v>
      </c>
      <c r="E35" s="395" t="str">
        <f t="shared" ca="1" si="9"/>
        <v/>
      </c>
      <c r="F35" s="396">
        <f t="shared" ca="1" si="10"/>
        <v>0</v>
      </c>
      <c r="G35" s="396">
        <f t="shared" ca="1" si="11"/>
        <v>0</v>
      </c>
    </row>
    <row r="36" spans="1:7" ht="30" customHeight="1">
      <c r="A36" s="48">
        <f ca="1">INDIRECT("Datos!B"&amp;MATCH("RUBRO ITEM",Datos!B:B,0)+ROW()-MATCH("RUBRO ITEM",A:A,0)-1)</f>
        <v>3.7</v>
      </c>
      <c r="B36" s="393" t="str">
        <f t="shared" ca="1" si="5"/>
        <v>Limpieza Final</v>
      </c>
      <c r="C36" s="153" t="str">
        <f t="shared" ca="1" si="6"/>
        <v>m2</v>
      </c>
      <c r="D36" s="394">
        <f t="shared" ca="1" si="7"/>
        <v>6</v>
      </c>
      <c r="E36" s="395" t="str">
        <f t="shared" ca="1" si="9"/>
        <v/>
      </c>
      <c r="F36" s="396">
        <f t="shared" ca="1" si="10"/>
        <v>0</v>
      </c>
      <c r="G36" s="396">
        <f t="shared" ca="1" si="11"/>
        <v>0</v>
      </c>
    </row>
    <row r="37" spans="1:7" ht="30" customHeight="1">
      <c r="A37" s="48">
        <f ca="1">INDIRECT("Datos!B"&amp;MATCH("RUBRO ITEM",Datos!B:B,0)+ROW()-MATCH("RUBRO ITEM",A:A,0)-1)</f>
        <v>4</v>
      </c>
      <c r="B37" s="393" t="str">
        <f t="shared" ca="1" si="5"/>
        <v>CUENCO DE VERTIDO</v>
      </c>
      <c r="C37" s="153">
        <f t="shared" ca="1" si="6"/>
        <v>0</v>
      </c>
      <c r="D37" s="394">
        <f t="shared" ca="1" si="7"/>
        <v>0</v>
      </c>
      <c r="E37" s="395" t="str">
        <f t="shared" ca="1" si="9"/>
        <v/>
      </c>
      <c r="F37" s="396">
        <f t="shared" ca="1" si="10"/>
        <v>0</v>
      </c>
      <c r="G37" s="396">
        <f t="shared" ca="1" si="11"/>
        <v>0</v>
      </c>
    </row>
    <row r="38" spans="1:7" ht="30" customHeight="1">
      <c r="A38" s="48">
        <f ca="1">INDIRECT("Datos!B"&amp;MATCH("RUBRO ITEM",Datos!B:B,0)+ROW()-MATCH("RUBRO ITEM",A:A,0)-1)</f>
        <v>4.0999999999999996</v>
      </c>
      <c r="B38" s="393" t="str">
        <f t="shared" ca="1" si="5"/>
        <v>Estructura de Hormigon Armado H17</v>
      </c>
      <c r="C38" s="153" t="str">
        <f t="shared" ca="1" si="6"/>
        <v>m3</v>
      </c>
      <c r="D38" s="394">
        <f t="shared" ca="1" si="7"/>
        <v>1.62</v>
      </c>
      <c r="E38" s="395" t="str">
        <f t="shared" ca="1" si="9"/>
        <v/>
      </c>
      <c r="F38" s="396">
        <f t="shared" ca="1" si="10"/>
        <v>0</v>
      </c>
      <c r="G38" s="396">
        <f t="shared" ca="1" si="11"/>
        <v>0</v>
      </c>
    </row>
    <row r="39" spans="1:7" ht="30" customHeight="1">
      <c r="A39" s="48">
        <f ca="1">INDIRECT("Datos!B"&amp;MATCH("RUBRO ITEM",Datos!B:B,0)+ROW()-MATCH("RUBRO ITEM",A:A,0)-1)</f>
        <v>4.2</v>
      </c>
      <c r="B39" s="393" t="str">
        <f t="shared" ca="1" si="5"/>
        <v>Hormigon de limpieza</v>
      </c>
      <c r="C39" s="153" t="str">
        <f t="shared" ca="1" si="6"/>
        <v>m2</v>
      </c>
      <c r="D39" s="394">
        <f t="shared" ca="1" si="7"/>
        <v>3.57</v>
      </c>
      <c r="E39" s="395" t="str">
        <f t="shared" ca="1" si="9"/>
        <v/>
      </c>
      <c r="F39" s="396">
        <f t="shared" ca="1" si="10"/>
        <v>0</v>
      </c>
      <c r="G39" s="396">
        <f t="shared" ca="1" si="11"/>
        <v>0</v>
      </c>
    </row>
    <row r="40" spans="1:7" ht="30" customHeight="1">
      <c r="A40" s="48">
        <f ca="1">INDIRECT("Datos!B"&amp;MATCH("RUBRO ITEM",Datos!B:B,0)+ROW()-MATCH("RUBRO ITEM",A:A,0)-1)</f>
        <v>4.3</v>
      </c>
      <c r="B40" s="393" t="str">
        <f t="shared" ca="1" si="5"/>
        <v>Excavacion</v>
      </c>
      <c r="C40" s="153" t="str">
        <f t="shared" ca="1" si="6"/>
        <v>m3</v>
      </c>
      <c r="D40" s="394">
        <f t="shared" ca="1" si="7"/>
        <v>2.2000000000000002</v>
      </c>
      <c r="E40" s="395" t="str">
        <f t="shared" ca="1" si="9"/>
        <v/>
      </c>
      <c r="F40" s="396">
        <f t="shared" ca="1" si="10"/>
        <v>0</v>
      </c>
      <c r="G40" s="396">
        <f t="shared" ca="1" si="11"/>
        <v>0</v>
      </c>
    </row>
    <row r="41" spans="1:7" ht="19.5" customHeight="1">
      <c r="A41" s="401"/>
      <c r="B41" s="154"/>
      <c r="C41" s="155"/>
      <c r="D41" s="397"/>
      <c r="E41" s="398"/>
      <c r="F41" s="156"/>
      <c r="G41" s="402"/>
    </row>
    <row r="42" spans="1:7" ht="19.5" customHeight="1">
      <c r="A42" s="401"/>
      <c r="B42" s="626" t="s">
        <v>989</v>
      </c>
      <c r="C42" s="626"/>
      <c r="D42" s="626"/>
      <c r="E42" s="626"/>
      <c r="F42" s="403"/>
      <c r="G42" s="157">
        <f ca="1">ROUND(SUM(G16:G41),2)</f>
        <v>0</v>
      </c>
    </row>
    <row r="43" spans="1:7" ht="19.5" customHeight="1">
      <c r="A43" s="158" t="s">
        <v>3</v>
      </c>
      <c r="F43" s="159"/>
    </row>
    <row r="44" spans="1:7" ht="37.5" customHeight="1">
      <c r="A44" s="629" t="str">
        <f ca="1">IF(Monto_Oferta=0,"IMPORTA LA PRESENTE PROPUESTA EN LA SUMA DE: _____________________","IMPORTA LA PRESENTE PROPUESTA EN LA SUMA DE: "&amp;CONVERTIRNUM(Monto_Oferta))</f>
        <v>IMPORTA LA PRESENTE PROPUESTA EN LA SUMA DE: _____________________</v>
      </c>
      <c r="B44" s="629"/>
      <c r="C44" s="629"/>
      <c r="D44" s="629"/>
      <c r="E44" s="629"/>
      <c r="F44" s="629"/>
      <c r="G44" s="629"/>
    </row>
    <row r="45" spans="1:7" ht="19.5" customHeight="1">
      <c r="A45" s="160"/>
    </row>
    <row r="46" spans="1:7" ht="19.5" customHeight="1">
      <c r="B46" s="627" t="s">
        <v>994</v>
      </c>
      <c r="C46" s="627"/>
      <c r="D46" s="627"/>
      <c r="E46" s="627"/>
      <c r="F46" s="627"/>
      <c r="G46" s="627"/>
    </row>
    <row r="47" spans="1:7" ht="19.5" customHeight="1">
      <c r="B47" s="627" t="s">
        <v>990</v>
      </c>
      <c r="C47" s="627"/>
      <c r="D47" s="627"/>
      <c r="E47" s="627"/>
      <c r="F47" s="627"/>
      <c r="G47" s="627"/>
    </row>
    <row r="48" spans="1:7" ht="19.5" customHeight="1">
      <c r="B48" s="429"/>
      <c r="C48" s="429"/>
      <c r="D48" s="429"/>
      <c r="E48" s="429"/>
      <c r="F48" s="429"/>
      <c r="G48" s="429"/>
    </row>
    <row r="49" spans="1:7" ht="19.5" customHeight="1">
      <c r="B49" s="429"/>
      <c r="C49" s="429"/>
      <c r="D49" s="429"/>
      <c r="E49" s="429"/>
      <c r="F49" s="429"/>
      <c r="G49" s="429"/>
    </row>
    <row r="50" spans="1:7" ht="19.5" customHeight="1">
      <c r="B50" s="399" t="str">
        <f>"ACLARACIÓN DE LAS FIRMAS SIN ABREVIATURAS:                                               "&amp;Contratista_Firma1&amp;"                                                               "&amp;Contratista_Firma2</f>
        <v xml:space="preserve">ACLARACIÓN DE LAS FIRMAS SIN ABREVIATURAS:                                                                                                              </v>
      </c>
      <c r="C50" s="399"/>
      <c r="D50" s="400"/>
      <c r="E50" s="399"/>
      <c r="F50" s="400"/>
      <c r="G50" s="399"/>
    </row>
    <row r="51" spans="1:7" ht="19.5" customHeight="1">
      <c r="D51" s="161">
        <v>0</v>
      </c>
      <c r="F51" s="161">
        <v>0</v>
      </c>
    </row>
    <row r="55" spans="1:7" ht="19.5" customHeight="1">
      <c r="A55" s="16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6" spans="1:7" ht="19.5" customHeight="1">
      <c r="A56" s="162" t="s">
        <v>993</v>
      </c>
    </row>
    <row r="57" spans="1:7" ht="19.5" customHeight="1">
      <c r="A57" s="162" t="s">
        <v>992</v>
      </c>
    </row>
  </sheetData>
  <sheetProtection formatCells="0" selectLockedCells="1"/>
  <mergeCells count="17">
    <mergeCell ref="B42:E42"/>
    <mergeCell ref="B46:G46"/>
    <mergeCell ref="B47:G47"/>
    <mergeCell ref="B11:G11"/>
    <mergeCell ref="G13:G14"/>
    <mergeCell ref="A44:G44"/>
    <mergeCell ref="A1:G1"/>
    <mergeCell ref="A13:A14"/>
    <mergeCell ref="B13:B14"/>
    <mergeCell ref="C13:C14"/>
    <mergeCell ref="D13:D14"/>
    <mergeCell ref="E13:F13"/>
    <mergeCell ref="A2:G2"/>
    <mergeCell ref="A3:G3"/>
    <mergeCell ref="A4:G4"/>
    <mergeCell ref="A5:G5"/>
    <mergeCell ref="A6:G6"/>
  </mergeCells>
  <conditionalFormatting sqref="A16:A43">
    <cfRule type="expression" dxfId="123" priority="28" stopIfTrue="1">
      <formula>#REF!&gt;0</formula>
    </cfRule>
    <cfRule type="expression" dxfId="122" priority="29" stopIfTrue="1">
      <formula>#REF!&gt;0</formula>
    </cfRule>
    <cfRule type="expression" dxfId="121" priority="30" stopIfTrue="1">
      <formula>#REF!&gt;0</formula>
    </cfRule>
  </conditionalFormatting>
  <conditionalFormatting sqref="B41">
    <cfRule type="expression" dxfId="120" priority="31" stopIfTrue="1">
      <formula>#REF!&gt;0</formula>
    </cfRule>
    <cfRule type="expression" dxfId="119" priority="32" stopIfTrue="1">
      <formula>#REF!&gt;0</formula>
    </cfRule>
    <cfRule type="expression" dxfId="118" priority="33" stopIfTrue="1">
      <formula>#REF!&gt;0</formula>
    </cfRule>
  </conditionalFormatting>
  <conditionalFormatting sqref="B16:B40">
    <cfRule type="expression" dxfId="117" priority="1" stopIfTrue="1">
      <formula>#REF!&gt;0</formula>
    </cfRule>
    <cfRule type="expression" dxfId="116" priority="2" stopIfTrue="1">
      <formula>#REF!&gt;0</formula>
    </cfRule>
    <cfRule type="expression" dxfId="11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T56"/>
  <sheetViews>
    <sheetView showGridLines="0" showZeros="0" view="pageBreakPreview" topLeftCell="A37" zoomScale="90" zoomScaleNormal="90" zoomScaleSheetLayoutView="90" workbookViewId="0">
      <selection activeCell="K24" sqref="K24"/>
    </sheetView>
  </sheetViews>
  <sheetFormatPr baseColWidth="10" defaultColWidth="11.42578125" defaultRowHeight="12.75"/>
  <cols>
    <col min="1" max="1" width="8.7109375" style="103" customWidth="1"/>
    <col min="2" max="3" width="30.7109375" style="103" customWidth="1"/>
    <col min="4" max="4" width="6.7109375" style="103" customWidth="1"/>
    <col min="5" max="5" width="15.28515625" style="103" customWidth="1"/>
    <col min="6" max="7" width="17.7109375" style="103" customWidth="1"/>
    <col min="8" max="8" width="22.7109375" style="103" customWidth="1"/>
    <col min="9" max="9" width="14.7109375" style="103" customWidth="1"/>
    <col min="10" max="10" width="11.42578125" style="103"/>
    <col min="11" max="11" width="11.42578125" style="103" customWidth="1"/>
    <col min="12" max="19" width="11.42578125" style="103"/>
    <col min="20" max="20" width="18" style="103" customWidth="1"/>
    <col min="21" max="16384" width="11.42578125" style="103"/>
  </cols>
  <sheetData>
    <row r="1" spans="1:9" ht="20.100000000000001" customHeight="1">
      <c r="A1" s="102" t="s">
        <v>7</v>
      </c>
      <c r="B1" s="102"/>
      <c r="C1" s="102" t="str">
        <f>Comitente</f>
        <v>DEPARTAMENTO DE HIDRAULICA</v>
      </c>
      <c r="D1" s="102"/>
      <c r="E1" s="102"/>
      <c r="F1" s="102"/>
      <c r="G1" s="102"/>
      <c r="I1" s="104"/>
    </row>
    <row r="2" spans="1:9" s="75" customFormat="1" ht="20.100000000000001" customHeight="1">
      <c r="A2" s="105" t="s">
        <v>8</v>
      </c>
      <c r="B2" s="105"/>
      <c r="C2" s="102" t="str">
        <f>Obra</f>
        <v>EJECUCION DE PERFORACION - SISTEMA DE RIEGO</v>
      </c>
      <c r="D2" s="106"/>
      <c r="E2" s="106"/>
      <c r="F2" s="106"/>
      <c r="G2" s="106"/>
      <c r="I2" s="106"/>
    </row>
    <row r="3" spans="1:9" s="75" customFormat="1" ht="20.100000000000001" customHeight="1">
      <c r="A3" s="105" t="s">
        <v>12</v>
      </c>
      <c r="B3" s="105"/>
      <c r="C3" s="107" t="str">
        <f>Ubicación</f>
        <v>DEPARTAMENTO CHIMBAS</v>
      </c>
      <c r="D3" s="107"/>
      <c r="E3" s="107"/>
      <c r="F3" s="107"/>
      <c r="G3" s="107"/>
      <c r="I3" s="107"/>
    </row>
    <row r="4" spans="1:9" s="75" customFormat="1" ht="20.100000000000001" customHeight="1">
      <c r="A4" s="105" t="s">
        <v>11</v>
      </c>
      <c r="B4" s="108"/>
      <c r="C4" s="109">
        <f>Licitación_N°</f>
        <v>1</v>
      </c>
    </row>
    <row r="5" spans="1:9" s="75" customFormat="1" ht="20.100000000000001" customHeight="1">
      <c r="A5" s="105" t="s">
        <v>29</v>
      </c>
      <c r="B5" s="108"/>
      <c r="C5" s="110" t="str">
        <f>Expediente_N°</f>
        <v>506-003103-2019</v>
      </c>
    </row>
    <row r="6" spans="1:9" s="75" customFormat="1" ht="20.100000000000001" customHeight="1">
      <c r="A6" s="105" t="s">
        <v>14</v>
      </c>
      <c r="B6" s="108"/>
      <c r="C6" s="111">
        <f>P_Oficial</f>
        <v>11373000</v>
      </c>
    </row>
    <row r="7" spans="1:9" s="75" customFormat="1" ht="20.100000000000001" customHeight="1">
      <c r="A7" s="105" t="s">
        <v>892</v>
      </c>
      <c r="B7" s="108"/>
      <c r="C7" s="112">
        <f>Anticipo_Financiero</f>
        <v>0</v>
      </c>
      <c r="F7" s="75" t="e">
        <f ca="1">INDIRECT("Datos!"&amp;MATCH("RUBRO ITEM",Datos!C:C,0)+2)</f>
        <v>#N/A</v>
      </c>
    </row>
    <row r="8" spans="1:9" s="75" customFormat="1" ht="20.100000000000001" customHeight="1">
      <c r="A8" s="105" t="s">
        <v>891</v>
      </c>
      <c r="B8" s="108"/>
      <c r="C8" s="113">
        <f>Fecha_Base</f>
        <v>0</v>
      </c>
    </row>
    <row r="9" spans="1:9" s="75" customFormat="1" ht="20.100000000000001" customHeight="1">
      <c r="A9" s="105" t="s">
        <v>13</v>
      </c>
      <c r="B9" s="108"/>
      <c r="C9" s="114">
        <f>Plazo_Obra</f>
        <v>120</v>
      </c>
    </row>
    <row r="10" spans="1:9" s="75" customFormat="1" ht="20.100000000000001" customHeight="1">
      <c r="A10" s="105" t="s">
        <v>9</v>
      </c>
      <c r="B10" s="108"/>
      <c r="C10" s="105">
        <f>Contratista</f>
        <v>0</v>
      </c>
      <c r="F10" s="75" t="e">
        <f>MATCH("RUBRO ITEM",Datos!C:C,0)</f>
        <v>#N/A</v>
      </c>
    </row>
    <row r="11" spans="1:9" s="75" customFormat="1" ht="20.100000000000001" customHeight="1">
      <c r="A11" s="105" t="s">
        <v>40</v>
      </c>
      <c r="B11" s="108"/>
      <c r="C11" s="115">
        <f ca="1">Monto_Oferta</f>
        <v>0</v>
      </c>
    </row>
    <row r="12" spans="1:9" ht="20.100000000000001" customHeight="1"/>
    <row r="13" spans="1:9" ht="20.100000000000001" customHeight="1">
      <c r="A13" s="116" t="s">
        <v>39</v>
      </c>
      <c r="B13" s="117"/>
      <c r="C13" s="117"/>
      <c r="D13" s="117"/>
      <c r="E13" s="117"/>
      <c r="F13" s="117"/>
      <c r="G13" s="117"/>
      <c r="H13" s="118"/>
      <c r="I13" s="119"/>
    </row>
    <row r="14" spans="1:9" ht="20.100000000000001" customHeight="1"/>
    <row r="15" spans="1:9" ht="42.75" customHeight="1">
      <c r="A15" s="447" t="s">
        <v>893</v>
      </c>
      <c r="B15" s="630" t="s">
        <v>0</v>
      </c>
      <c r="C15" s="631"/>
      <c r="D15" s="447" t="s">
        <v>1</v>
      </c>
      <c r="E15" s="447" t="s">
        <v>2</v>
      </c>
      <c r="F15" s="445" t="s">
        <v>958</v>
      </c>
      <c r="G15" s="445" t="s">
        <v>959</v>
      </c>
      <c r="H15" s="445" t="s">
        <v>937</v>
      </c>
      <c r="I15" s="445" t="s">
        <v>10</v>
      </c>
    </row>
    <row r="16" spans="1:9" ht="20.100000000000001" customHeight="1">
      <c r="A16" s="62"/>
      <c r="B16" s="436"/>
      <c r="C16" s="436"/>
      <c r="D16" s="62"/>
      <c r="E16" s="62"/>
      <c r="F16" s="436"/>
      <c r="G16" s="436"/>
      <c r="H16" s="65"/>
      <c r="I16" s="120"/>
    </row>
    <row r="17" spans="1:20" ht="20.100000000000001" customHeight="1">
      <c r="A17" s="101">
        <f ca="1">INDIRECT("Datos!B"&amp;MATCH("RUBRO ITEM",Datos!B:B,0)+ROW()-MATCH("RUBRO ITEM",A:A,0))</f>
        <v>1</v>
      </c>
      <c r="B17" s="63" t="str">
        <f t="shared" ref="B17:B21" ca="1" si="0">IFERROR(VLOOKUP(A17,T_Datos,2,FALSE),"")</f>
        <v>PERFORACION PROPIAMENTE DICHA</v>
      </c>
      <c r="C17" s="121"/>
      <c r="D17" s="122">
        <f t="shared" ref="D17:D41" ca="1" si="1">IFERROR(VLOOKUP(A17,T_Datos,3,FALSE),"")</f>
        <v>0</v>
      </c>
      <c r="E17" s="123">
        <f t="shared" ref="E17:E41" ca="1" si="2">IFERROR(VLOOKUP(A17,T_Datos,4,FALSE),0)</f>
        <v>0</v>
      </c>
      <c r="F17" s="124">
        <f t="shared" ref="F17" ca="1" si="3">IFERROR(VLOOKUP(A17,T_Analisis_Precios,7,FALSE),0)</f>
        <v>0</v>
      </c>
      <c r="G17" s="523"/>
      <c r="H17" s="523">
        <f ca="1">ROUND(E17*G17,2)</f>
        <v>0</v>
      </c>
      <c r="I17" s="125">
        <f t="shared" ref="I17" ca="1" si="4">IFERROR(H17/Monto_Oferta,0)</f>
        <v>0</v>
      </c>
    </row>
    <row r="18" spans="1:20" ht="20.100000000000001" customHeight="1">
      <c r="A18" s="101">
        <f ca="1">INDIRECT("Datos!B"&amp;MATCH("RUBRO ITEM",Datos!B:B,0)+ROW()-MATCH("RUBRO ITEM",A:A,0))</f>
        <v>1.1000000000000001</v>
      </c>
      <c r="B18" s="63" t="str">
        <f t="shared" ca="1" si="0"/>
        <v>Limpieza, replanteo y nivelacion</v>
      </c>
      <c r="C18" s="121"/>
      <c r="D18" s="122" t="str">
        <f t="shared" ca="1" si="1"/>
        <v>m2</v>
      </c>
      <c r="E18" s="123">
        <f t="shared" ca="1" si="2"/>
        <v>22.5</v>
      </c>
      <c r="F18" s="602">
        <f t="shared" ref="F18:F21" ca="1" si="5">IFERROR(VLOOKUP(A18,T_Analisis_Precios,7,FALSE),0)</f>
        <v>0</v>
      </c>
      <c r="G18" s="603">
        <f t="shared" ref="G18:G21" ca="1" si="6">ROUND(F18*Coeficiente_Paso,2)</f>
        <v>0</v>
      </c>
      <c r="H18" s="523">
        <f t="shared" ref="H18:H21" ca="1" si="7">ROUND(E18*G18,2)</f>
        <v>0</v>
      </c>
      <c r="I18" s="125">
        <f t="shared" ref="I18:I21" ca="1" si="8">IFERROR(H18/Monto_Oferta,0)</f>
        <v>0</v>
      </c>
      <c r="M18" s="609"/>
      <c r="T18" s="610"/>
    </row>
    <row r="19" spans="1:20" ht="20.100000000000001" customHeight="1">
      <c r="A19" s="101">
        <f ca="1">INDIRECT("Datos!B"&amp;MATCH("RUBRO ITEM",Datos!B:B,0)+ROW()-MATCH("RUBRO ITEM",A:A,0))</f>
        <v>1.2</v>
      </c>
      <c r="B19" s="63" t="str">
        <f t="shared" ca="1" si="0"/>
        <v>Perfilaje, limpieza, ensayos y desarrollo</v>
      </c>
      <c r="C19" s="121"/>
      <c r="D19" s="122" t="str">
        <f t="shared" ca="1" si="1"/>
        <v>m</v>
      </c>
      <c r="E19" s="123">
        <f t="shared" ca="1" si="2"/>
        <v>100</v>
      </c>
      <c r="F19" s="602">
        <f t="shared" ca="1" si="5"/>
        <v>0</v>
      </c>
      <c r="G19" s="523">
        <f t="shared" ca="1" si="6"/>
        <v>0</v>
      </c>
      <c r="H19" s="523">
        <f t="shared" ca="1" si="7"/>
        <v>0</v>
      </c>
      <c r="I19" s="125">
        <f t="shared" ca="1" si="8"/>
        <v>0</v>
      </c>
      <c r="M19" s="609"/>
      <c r="T19" s="610"/>
    </row>
    <row r="20" spans="1:20" ht="20.100000000000001" customHeight="1">
      <c r="A20" s="101">
        <f ca="1">INDIRECT("Datos!B"&amp;MATCH("RUBRO ITEM",Datos!B:B,0)+ROW()-MATCH("RUBRO ITEM",A:A,0))</f>
        <v>1.3</v>
      </c>
      <c r="B20" s="63" t="str">
        <f t="shared" ca="1" si="0"/>
        <v>Provision e instalacion filtros 12"</v>
      </c>
      <c r="C20" s="121"/>
      <c r="D20" s="122" t="str">
        <f t="shared" ca="1" si="1"/>
        <v>m</v>
      </c>
      <c r="E20" s="123">
        <f t="shared" ca="1" si="2"/>
        <v>40</v>
      </c>
      <c r="F20" s="602">
        <f t="shared" ca="1" si="5"/>
        <v>0</v>
      </c>
      <c r="G20" s="523">
        <f t="shared" ca="1" si="6"/>
        <v>0</v>
      </c>
      <c r="H20" s="523">
        <f t="shared" ca="1" si="7"/>
        <v>0</v>
      </c>
      <c r="I20" s="125">
        <f t="shared" ca="1" si="8"/>
        <v>0</v>
      </c>
      <c r="M20" s="609"/>
      <c r="T20" s="610"/>
    </row>
    <row r="21" spans="1:20" ht="20.100000000000001" customHeight="1">
      <c r="A21" s="101">
        <f ca="1">INDIRECT("Datos!B"&amp;MATCH("RUBRO ITEM",Datos!B:B,0)+ROW()-MATCH("RUBRO ITEM",A:A,0))</f>
        <v>1.4</v>
      </c>
      <c r="B21" s="63" t="str">
        <f t="shared" ca="1" si="0"/>
        <v>Engravado para proteccion de filtros</v>
      </c>
      <c r="C21" s="121"/>
      <c r="D21" s="122" t="str">
        <f t="shared" ca="1" si="1"/>
        <v>m3</v>
      </c>
      <c r="E21" s="123">
        <f t="shared" ca="1" si="2"/>
        <v>4.5</v>
      </c>
      <c r="F21" s="602">
        <f t="shared" ca="1" si="5"/>
        <v>0</v>
      </c>
      <c r="G21" s="603">
        <f t="shared" ca="1" si="6"/>
        <v>0</v>
      </c>
      <c r="H21" s="523">
        <f t="shared" ca="1" si="7"/>
        <v>0</v>
      </c>
      <c r="I21" s="125">
        <f t="shared" ca="1" si="8"/>
        <v>0</v>
      </c>
      <c r="M21" s="609"/>
      <c r="T21" s="610"/>
    </row>
    <row r="22" spans="1:20" ht="20.100000000000001" customHeight="1">
      <c r="A22" s="616">
        <f ca="1">INDIRECT("Datos!B"&amp;MATCH("RUBRO ITEM",Datos!B:B,0)+ROW()-MATCH("RUBRO ITEM",A:A,0))</f>
        <v>1.5</v>
      </c>
      <c r="B22" s="63" t="str">
        <f t="shared" ref="B22:B41" ca="1" si="9">IFERROR(VLOOKUP(A22,T_Datos,2,FALSE),"")</f>
        <v>Provision en instalacion cañeria 12"</v>
      </c>
      <c r="C22" s="121"/>
      <c r="D22" s="122" t="str">
        <f t="shared" ca="1" si="1"/>
        <v>m</v>
      </c>
      <c r="E22" s="123">
        <f t="shared" ca="1" si="2"/>
        <v>100</v>
      </c>
      <c r="F22" s="602">
        <f t="shared" ref="F22:F41" ca="1" si="10">IFERROR(VLOOKUP(A22,T_Analisis_Precios,7,FALSE),0)</f>
        <v>0</v>
      </c>
      <c r="G22" s="603">
        <f t="shared" ref="G22:G41" ca="1" si="11">ROUND(F22*Coeficiente_Paso,2)</f>
        <v>0</v>
      </c>
      <c r="H22" s="523">
        <f t="shared" ref="H22:H41" ca="1" si="12">ROUND(E22*G22,2)</f>
        <v>0</v>
      </c>
      <c r="I22" s="126"/>
      <c r="M22" s="609"/>
      <c r="T22" s="610"/>
    </row>
    <row r="23" spans="1:20" ht="20.100000000000001" customHeight="1">
      <c r="A23" s="616">
        <f ca="1">INDIRECT("Datos!B"&amp;MATCH("RUBRO ITEM",Datos!B:B,0)+ROW()-MATCH("RUBRO ITEM",A:A,0))</f>
        <v>1.6</v>
      </c>
      <c r="B23" s="63" t="str">
        <f t="shared" ca="1" si="9"/>
        <v>Cementado para proteccion perforacion</v>
      </c>
      <c r="C23" s="121"/>
      <c r="D23" s="122" t="str">
        <f t="shared" ca="1" si="1"/>
        <v>m3</v>
      </c>
      <c r="E23" s="123">
        <f t="shared" ca="1" si="2"/>
        <v>4.5</v>
      </c>
      <c r="F23" s="602">
        <f t="shared" ca="1" si="10"/>
        <v>0</v>
      </c>
      <c r="G23" s="603">
        <f t="shared" ca="1" si="11"/>
        <v>0</v>
      </c>
      <c r="H23" s="523">
        <f t="shared" ca="1" si="12"/>
        <v>0</v>
      </c>
      <c r="I23" s="126"/>
      <c r="M23" s="609"/>
      <c r="T23" s="610"/>
    </row>
    <row r="24" spans="1:20" ht="20.100000000000001" customHeight="1">
      <c r="A24" s="616">
        <f ca="1">INDIRECT("Datos!B"&amp;MATCH("RUBRO ITEM",Datos!B:B,0)+ROW()-MATCH("RUBRO ITEM",A:A,0))</f>
        <v>1.7</v>
      </c>
      <c r="B24" s="63" t="str">
        <f t="shared" ca="1" si="9"/>
        <v>Limpieza final</v>
      </c>
      <c r="C24" s="121"/>
      <c r="D24" s="122" t="str">
        <f t="shared" ca="1" si="1"/>
        <v>m2</v>
      </c>
      <c r="E24" s="123">
        <f t="shared" ca="1" si="2"/>
        <v>22.5</v>
      </c>
      <c r="F24" s="602">
        <f t="shared" ca="1" si="10"/>
        <v>0</v>
      </c>
      <c r="G24" s="603">
        <f t="shared" ca="1" si="11"/>
        <v>0</v>
      </c>
      <c r="H24" s="523">
        <f t="shared" ca="1" si="12"/>
        <v>0</v>
      </c>
      <c r="I24" s="126"/>
      <c r="M24" s="609"/>
      <c r="T24" s="610"/>
    </row>
    <row r="25" spans="1:20" ht="20.100000000000001" customHeight="1">
      <c r="A25" s="616">
        <f ca="1">INDIRECT("Datos!B"&amp;MATCH("RUBRO ITEM",Datos!B:B,0)+ROW()-MATCH("RUBRO ITEM",A:A,0))</f>
        <v>2</v>
      </c>
      <c r="B25" s="63" t="str">
        <f t="shared" ca="1" si="9"/>
        <v>INSTALACIONES ELECTROMECANICAS</v>
      </c>
      <c r="C25" s="121"/>
      <c r="D25" s="122">
        <f t="shared" ca="1" si="1"/>
        <v>0</v>
      </c>
      <c r="E25" s="123">
        <f t="shared" ca="1" si="2"/>
        <v>0</v>
      </c>
      <c r="F25" s="602">
        <f t="shared" ca="1" si="10"/>
        <v>0</v>
      </c>
      <c r="G25" s="603">
        <f t="shared" ca="1" si="11"/>
        <v>0</v>
      </c>
      <c r="H25" s="523">
        <f t="shared" ca="1" si="12"/>
        <v>0</v>
      </c>
      <c r="I25" s="126"/>
      <c r="M25" s="609"/>
      <c r="T25" s="610"/>
    </row>
    <row r="26" spans="1:20" ht="20.100000000000001" customHeight="1">
      <c r="A26" s="616">
        <f ca="1">INDIRECT("Datos!B"&amp;MATCH("RUBRO ITEM",Datos!B:B,0)+ROW()-MATCH("RUBRO ITEM",A:A,0))</f>
        <v>2.1</v>
      </c>
      <c r="B26" s="63" t="str">
        <f t="shared" ca="1" si="9"/>
        <v>Provision en instalacion electromba de 50HP</v>
      </c>
      <c r="C26" s="121"/>
      <c r="D26" s="122" t="str">
        <f t="shared" ca="1" si="1"/>
        <v>gl</v>
      </c>
      <c r="E26" s="123">
        <f t="shared" ca="1" si="2"/>
        <v>1</v>
      </c>
      <c r="F26" s="602">
        <f t="shared" ca="1" si="10"/>
        <v>0</v>
      </c>
      <c r="G26" s="603">
        <f t="shared" ca="1" si="11"/>
        <v>0</v>
      </c>
      <c r="H26" s="523">
        <f t="shared" ca="1" si="12"/>
        <v>0</v>
      </c>
      <c r="I26" s="126"/>
      <c r="M26" s="609"/>
      <c r="T26" s="610"/>
    </row>
    <row r="27" spans="1:20" ht="20.100000000000001" customHeight="1">
      <c r="A27" s="616">
        <f ca="1">INDIRECT("Datos!B"&amp;MATCH("RUBRO ITEM",Datos!B:B,0)+ROW()-MATCH("RUBRO ITEM",A:A,0))</f>
        <v>2.2000000000000002</v>
      </c>
      <c r="B27" s="63" t="str">
        <f t="shared" ca="1" si="9"/>
        <v>Provsion e instalacion cañeria impulsion 6"</v>
      </c>
      <c r="C27" s="121"/>
      <c r="D27" s="122" t="str">
        <f t="shared" ca="1" si="1"/>
        <v>m</v>
      </c>
      <c r="E27" s="123">
        <f t="shared" ca="1" si="2"/>
        <v>52</v>
      </c>
      <c r="F27" s="602">
        <f t="shared" ca="1" si="10"/>
        <v>0</v>
      </c>
      <c r="G27" s="603">
        <f t="shared" ca="1" si="11"/>
        <v>0</v>
      </c>
      <c r="H27" s="523">
        <f t="shared" ca="1" si="12"/>
        <v>0</v>
      </c>
      <c r="I27" s="126"/>
      <c r="M27" s="609"/>
      <c r="T27" s="610"/>
    </row>
    <row r="28" spans="1:20" ht="20.100000000000001" customHeight="1">
      <c r="A28" s="616">
        <f ca="1">INDIRECT("Datos!B"&amp;MATCH("RUBRO ITEM",Datos!B:B,0)+ROW()-MATCH("RUBRO ITEM",A:A,0))</f>
        <v>2.2999999999999998</v>
      </c>
      <c r="B28" s="63" t="str">
        <f t="shared" ca="1" si="9"/>
        <v>Instalacion tablero de potencia y control de electrobomba sumergible con control de velocidad, sistema de iluminacion monitoreo remoto de presion y caudal</v>
      </c>
      <c r="C28" s="121"/>
      <c r="D28" s="122" t="str">
        <f t="shared" ca="1" si="1"/>
        <v>gl</v>
      </c>
      <c r="E28" s="123">
        <f t="shared" ca="1" si="2"/>
        <v>1</v>
      </c>
      <c r="F28" s="602">
        <f t="shared" ca="1" si="10"/>
        <v>0</v>
      </c>
      <c r="G28" s="603">
        <f t="shared" ca="1" si="11"/>
        <v>0</v>
      </c>
      <c r="H28" s="523">
        <f t="shared" ca="1" si="12"/>
        <v>0</v>
      </c>
      <c r="I28" s="126"/>
      <c r="M28" s="609"/>
      <c r="T28" s="610"/>
    </row>
    <row r="29" spans="1:20" ht="20.100000000000001" customHeight="1">
      <c r="A29" s="616">
        <f ca="1">INDIRECT("Datos!B"&amp;MATCH("RUBRO ITEM",Datos!B:B,0)+ROW()-MATCH("RUBRO ITEM",A:A,0))</f>
        <v>2.4</v>
      </c>
      <c r="B29" s="63" t="str">
        <f t="shared" ca="1" si="9"/>
        <v>Construccion caseta para tablero y aprobaciones</v>
      </c>
      <c r="C29" s="121"/>
      <c r="D29" s="122" t="str">
        <f t="shared" ca="1" si="1"/>
        <v>gl</v>
      </c>
      <c r="E29" s="123">
        <f t="shared" ca="1" si="2"/>
        <v>1</v>
      </c>
      <c r="F29" s="602">
        <f t="shared" ca="1" si="10"/>
        <v>0</v>
      </c>
      <c r="G29" s="603">
        <f t="shared" ca="1" si="11"/>
        <v>0</v>
      </c>
      <c r="H29" s="523">
        <f t="shared" ca="1" si="12"/>
        <v>0</v>
      </c>
      <c r="I29" s="126"/>
      <c r="M29" s="609"/>
      <c r="T29" s="610"/>
    </row>
    <row r="30" spans="1:20" ht="20.100000000000001" customHeight="1">
      <c r="A30" s="616">
        <f ca="1">INDIRECT("Datos!B"&amp;MATCH("RUBRO ITEM",Datos!B:B,0)+ROW()-MATCH("RUBRO ITEM",A:A,0))</f>
        <v>3</v>
      </c>
      <c r="B30" s="63" t="str">
        <f t="shared" ca="1" si="9"/>
        <v>CAMARA SUBTERRANEA PARA PERFORACION</v>
      </c>
      <c r="C30" s="121"/>
      <c r="D30" s="122">
        <f t="shared" ca="1" si="1"/>
        <v>0</v>
      </c>
      <c r="E30" s="123">
        <f t="shared" ca="1" si="2"/>
        <v>0</v>
      </c>
      <c r="F30" s="602">
        <f t="shared" ca="1" si="10"/>
        <v>0</v>
      </c>
      <c r="G30" s="603">
        <f t="shared" ca="1" si="11"/>
        <v>0</v>
      </c>
      <c r="H30" s="523">
        <f t="shared" ca="1" si="12"/>
        <v>0</v>
      </c>
      <c r="I30" s="126"/>
      <c r="M30" s="609"/>
      <c r="T30" s="610"/>
    </row>
    <row r="31" spans="1:20" ht="20.100000000000001" customHeight="1">
      <c r="A31" s="616">
        <f ca="1">INDIRECT("Datos!B"&amp;MATCH("RUBRO ITEM",Datos!B:B,0)+ROW()-MATCH("RUBRO ITEM",A:A,0))</f>
        <v>3.1</v>
      </c>
      <c r="B31" s="63" t="str">
        <f t="shared" ca="1" si="9"/>
        <v>Limpieza, replanteo y nivelacion</v>
      </c>
      <c r="C31" s="121"/>
      <c r="D31" s="122" t="str">
        <f t="shared" ca="1" si="1"/>
        <v>m</v>
      </c>
      <c r="E31" s="123">
        <f t="shared" ca="1" si="2"/>
        <v>6</v>
      </c>
      <c r="F31" s="602">
        <f t="shared" ca="1" si="10"/>
        <v>0</v>
      </c>
      <c r="G31" s="603">
        <f t="shared" ca="1" si="11"/>
        <v>0</v>
      </c>
      <c r="H31" s="523">
        <f t="shared" ca="1" si="12"/>
        <v>0</v>
      </c>
      <c r="I31" s="126"/>
      <c r="M31" s="609"/>
      <c r="T31" s="610"/>
    </row>
    <row r="32" spans="1:20" ht="20.100000000000001" customHeight="1">
      <c r="A32" s="616">
        <f ca="1">INDIRECT("Datos!B"&amp;MATCH("RUBRO ITEM",Datos!B:B,0)+ROW()-MATCH("RUBRO ITEM",A:A,0))</f>
        <v>3.2</v>
      </c>
      <c r="B32" s="63" t="str">
        <f t="shared" ca="1" si="9"/>
        <v>Excavacion de zanja para camara subterranea</v>
      </c>
      <c r="C32" s="121"/>
      <c r="D32" s="122" t="str">
        <f t="shared" ca="1" si="1"/>
        <v>m3</v>
      </c>
      <c r="E32" s="123">
        <f t="shared" ca="1" si="2"/>
        <v>12.77</v>
      </c>
      <c r="F32" s="602">
        <f t="shared" ca="1" si="10"/>
        <v>0</v>
      </c>
      <c r="G32" s="603">
        <f t="shared" ca="1" si="11"/>
        <v>0</v>
      </c>
      <c r="H32" s="523">
        <f t="shared" ca="1" si="12"/>
        <v>0</v>
      </c>
      <c r="I32" s="126"/>
      <c r="M32" s="609"/>
      <c r="T32" s="610"/>
    </row>
    <row r="33" spans="1:20" ht="20.100000000000001" customHeight="1">
      <c r="A33" s="616">
        <f ca="1">INDIRECT("Datos!B"&amp;MATCH("RUBRO ITEM",Datos!B:B,0)+ROW()-MATCH("RUBRO ITEM",A:A,0))</f>
        <v>3.3</v>
      </c>
      <c r="B33" s="63" t="str">
        <f t="shared" ca="1" si="9"/>
        <v>Construccion de losa de fundacion H°A° H17</v>
      </c>
      <c r="C33" s="121"/>
      <c r="D33" s="122" t="str">
        <f t="shared" ca="1" si="1"/>
        <v>m3</v>
      </c>
      <c r="E33" s="123">
        <f t="shared" ca="1" si="2"/>
        <v>0.9</v>
      </c>
      <c r="F33" s="602">
        <f t="shared" ca="1" si="10"/>
        <v>0</v>
      </c>
      <c r="G33" s="603">
        <f t="shared" ca="1" si="11"/>
        <v>0</v>
      </c>
      <c r="H33" s="523">
        <f t="shared" ca="1" si="12"/>
        <v>0</v>
      </c>
      <c r="I33" s="126"/>
      <c r="M33" s="609"/>
      <c r="T33" s="610"/>
    </row>
    <row r="34" spans="1:20" ht="20.100000000000001" customHeight="1">
      <c r="A34" s="616">
        <f ca="1">INDIRECT("Datos!B"&amp;MATCH("RUBRO ITEM",Datos!B:B,0)+ROW()-MATCH("RUBRO ITEM",A:A,0))</f>
        <v>3.4</v>
      </c>
      <c r="B34" s="63" t="str">
        <f t="shared" ca="1" si="9"/>
        <v>Muros de H°A° H17</v>
      </c>
      <c r="C34" s="121"/>
      <c r="D34" s="122" t="str">
        <f t="shared" ca="1" si="1"/>
        <v>m3</v>
      </c>
      <c r="E34" s="123">
        <f t="shared" ca="1" si="2"/>
        <v>3.33</v>
      </c>
      <c r="F34" s="602">
        <f t="shared" ca="1" si="10"/>
        <v>0</v>
      </c>
      <c r="G34" s="603">
        <f t="shared" ca="1" si="11"/>
        <v>0</v>
      </c>
      <c r="H34" s="523">
        <f t="shared" ca="1" si="12"/>
        <v>0</v>
      </c>
      <c r="I34" s="126"/>
      <c r="M34" s="609"/>
      <c r="T34" s="610"/>
    </row>
    <row r="35" spans="1:20" ht="20.100000000000001" customHeight="1">
      <c r="A35" s="616">
        <f ca="1">INDIRECT("Datos!B"&amp;MATCH("RUBRO ITEM",Datos!B:B,0)+ROW()-MATCH("RUBRO ITEM",A:A,0))</f>
        <v>3.5</v>
      </c>
      <c r="B35" s="63" t="str">
        <f t="shared" ca="1" si="9"/>
        <v>Construccion de losa superior H°A° H17</v>
      </c>
      <c r="C35" s="121"/>
      <c r="D35" s="122" t="str">
        <f t="shared" ca="1" si="1"/>
        <v>m3</v>
      </c>
      <c r="E35" s="123">
        <f t="shared" ca="1" si="2"/>
        <v>0.9</v>
      </c>
      <c r="F35" s="602">
        <f t="shared" ca="1" si="10"/>
        <v>0</v>
      </c>
      <c r="G35" s="603">
        <f t="shared" ca="1" si="11"/>
        <v>0</v>
      </c>
      <c r="H35" s="523">
        <f t="shared" ca="1" si="12"/>
        <v>0</v>
      </c>
      <c r="I35" s="126"/>
      <c r="M35" s="609"/>
      <c r="T35" s="610"/>
    </row>
    <row r="36" spans="1:20" ht="20.100000000000001" customHeight="1">
      <c r="A36" s="616">
        <f ca="1">INDIRECT("Datos!B"&amp;MATCH("RUBRO ITEM",Datos!B:B,0)+ROW()-MATCH("RUBRO ITEM",A:A,0))</f>
        <v>3.6</v>
      </c>
      <c r="B36" s="63" t="str">
        <f t="shared" ca="1" si="9"/>
        <v>Tapa hermetica de ingreso</v>
      </c>
      <c r="C36" s="121"/>
      <c r="D36" s="122" t="str">
        <f t="shared" ca="1" si="1"/>
        <v>gl</v>
      </c>
      <c r="E36" s="123">
        <f t="shared" ca="1" si="2"/>
        <v>1</v>
      </c>
      <c r="F36" s="602">
        <f t="shared" ca="1" si="10"/>
        <v>0</v>
      </c>
      <c r="G36" s="603">
        <f t="shared" ca="1" si="11"/>
        <v>0</v>
      </c>
      <c r="H36" s="523">
        <f t="shared" ca="1" si="12"/>
        <v>0</v>
      </c>
      <c r="I36" s="126"/>
      <c r="M36" s="609"/>
      <c r="T36" s="610"/>
    </row>
    <row r="37" spans="1:20" ht="20.100000000000001" customHeight="1">
      <c r="A37" s="616">
        <f ca="1">INDIRECT("Datos!B"&amp;MATCH("RUBRO ITEM",Datos!B:B,0)+ROW()-MATCH("RUBRO ITEM",A:A,0))</f>
        <v>3.7</v>
      </c>
      <c r="B37" s="63" t="str">
        <f t="shared" ca="1" si="9"/>
        <v>Limpieza Final</v>
      </c>
      <c r="C37" s="121"/>
      <c r="D37" s="122" t="str">
        <f t="shared" ca="1" si="1"/>
        <v>m2</v>
      </c>
      <c r="E37" s="123">
        <f t="shared" ca="1" si="2"/>
        <v>6</v>
      </c>
      <c r="F37" s="602">
        <f t="shared" ca="1" si="10"/>
        <v>0</v>
      </c>
      <c r="G37" s="603">
        <f t="shared" ca="1" si="11"/>
        <v>0</v>
      </c>
      <c r="H37" s="523">
        <f t="shared" ca="1" si="12"/>
        <v>0</v>
      </c>
      <c r="I37" s="126"/>
      <c r="M37" s="609"/>
      <c r="T37" s="610"/>
    </row>
    <row r="38" spans="1:20" ht="20.100000000000001" customHeight="1">
      <c r="A38" s="616">
        <f ca="1">INDIRECT("Datos!B"&amp;MATCH("RUBRO ITEM",Datos!B:B,0)+ROW()-MATCH("RUBRO ITEM",A:A,0))</f>
        <v>4</v>
      </c>
      <c r="B38" s="63" t="str">
        <f t="shared" ca="1" si="9"/>
        <v>CUENCO DE VERTIDO</v>
      </c>
      <c r="C38" s="121"/>
      <c r="D38" s="122">
        <f t="shared" ca="1" si="1"/>
        <v>0</v>
      </c>
      <c r="E38" s="123">
        <f t="shared" ca="1" si="2"/>
        <v>0</v>
      </c>
      <c r="F38" s="602">
        <f t="shared" ca="1" si="10"/>
        <v>0</v>
      </c>
      <c r="G38" s="603">
        <f t="shared" ca="1" si="11"/>
        <v>0</v>
      </c>
      <c r="H38" s="523">
        <f t="shared" ca="1" si="12"/>
        <v>0</v>
      </c>
      <c r="I38" s="126"/>
      <c r="M38" s="609"/>
      <c r="T38" s="610"/>
    </row>
    <row r="39" spans="1:20" ht="20.100000000000001" customHeight="1">
      <c r="A39" s="616">
        <f ca="1">INDIRECT("Datos!B"&amp;MATCH("RUBRO ITEM",Datos!B:B,0)+ROW()-MATCH("RUBRO ITEM",A:A,0))</f>
        <v>4.0999999999999996</v>
      </c>
      <c r="B39" s="63" t="str">
        <f t="shared" ca="1" si="9"/>
        <v>Estructura de Hormigon Armado H17</v>
      </c>
      <c r="C39" s="121"/>
      <c r="D39" s="122" t="str">
        <f t="shared" ca="1" si="1"/>
        <v>m3</v>
      </c>
      <c r="E39" s="123">
        <f t="shared" ca="1" si="2"/>
        <v>1.62</v>
      </c>
      <c r="F39" s="602">
        <f t="shared" ca="1" si="10"/>
        <v>0</v>
      </c>
      <c r="G39" s="603">
        <f t="shared" ca="1" si="11"/>
        <v>0</v>
      </c>
      <c r="H39" s="523">
        <f t="shared" ca="1" si="12"/>
        <v>0</v>
      </c>
      <c r="I39" s="126"/>
      <c r="M39" s="609"/>
      <c r="T39" s="610"/>
    </row>
    <row r="40" spans="1:20" ht="20.100000000000001" customHeight="1">
      <c r="A40" s="616">
        <f ca="1">INDIRECT("Datos!B"&amp;MATCH("RUBRO ITEM",Datos!B:B,0)+ROW()-MATCH("RUBRO ITEM",A:A,0))</f>
        <v>4.2</v>
      </c>
      <c r="B40" s="63" t="str">
        <f t="shared" ca="1" si="9"/>
        <v>Hormigon de limpieza</v>
      </c>
      <c r="C40" s="121"/>
      <c r="D40" s="122" t="str">
        <f t="shared" ca="1" si="1"/>
        <v>m2</v>
      </c>
      <c r="E40" s="123">
        <f t="shared" ca="1" si="2"/>
        <v>3.57</v>
      </c>
      <c r="F40" s="602">
        <f t="shared" ca="1" si="10"/>
        <v>0</v>
      </c>
      <c r="G40" s="603">
        <f t="shared" ca="1" si="11"/>
        <v>0</v>
      </c>
      <c r="H40" s="523">
        <f t="shared" ca="1" si="12"/>
        <v>0</v>
      </c>
      <c r="I40" s="126"/>
      <c r="M40" s="609"/>
      <c r="T40" s="610"/>
    </row>
    <row r="41" spans="1:20" ht="20.100000000000001" customHeight="1">
      <c r="A41" s="616">
        <f ca="1">INDIRECT("Datos!B"&amp;MATCH("RUBRO ITEM",Datos!B:B,0)+ROW()-MATCH("RUBRO ITEM",A:A,0))</f>
        <v>4.3</v>
      </c>
      <c r="B41" s="63" t="str">
        <f t="shared" ca="1" si="9"/>
        <v>Excavacion</v>
      </c>
      <c r="C41" s="121"/>
      <c r="D41" s="122" t="str">
        <f t="shared" ca="1" si="1"/>
        <v>m3</v>
      </c>
      <c r="E41" s="123">
        <f t="shared" ca="1" si="2"/>
        <v>2.2000000000000002</v>
      </c>
      <c r="F41" s="602">
        <f t="shared" ca="1" si="10"/>
        <v>0</v>
      </c>
      <c r="G41" s="603">
        <f t="shared" ca="1" si="11"/>
        <v>0</v>
      </c>
      <c r="H41" s="523">
        <f t="shared" ca="1" si="12"/>
        <v>0</v>
      </c>
      <c r="I41" s="126"/>
      <c r="M41" s="609"/>
      <c r="T41" s="610"/>
    </row>
    <row r="42" spans="1:20" ht="20.100000000000001" customHeight="1">
      <c r="A42" s="524" t="s">
        <v>3</v>
      </c>
      <c r="B42" s="434" t="s">
        <v>1841</v>
      </c>
      <c r="C42" s="127"/>
      <c r="D42" s="127"/>
      <c r="E42" s="443" t="s">
        <v>964</v>
      </c>
      <c r="F42" s="435"/>
      <c r="G42" s="444">
        <v>0</v>
      </c>
      <c r="H42" s="358">
        <f ca="1">SUM(H17:H41)</f>
        <v>0</v>
      </c>
      <c r="I42" s="128">
        <f ca="1">SUM(I17:I41)</f>
        <v>0</v>
      </c>
    </row>
    <row r="43" spans="1:20" ht="20.100000000000001" customHeight="1">
      <c r="A43" s="65"/>
      <c r="B43" s="65"/>
      <c r="C43" s="65"/>
      <c r="D43" s="65"/>
      <c r="E43" s="65"/>
      <c r="F43" s="65"/>
      <c r="G43" s="525"/>
      <c r="H43" s="65"/>
    </row>
    <row r="44" spans="1:20" ht="20.100000000000001" customHeight="1">
      <c r="A44" s="485" t="s">
        <v>894</v>
      </c>
      <c r="B44" s="486" t="s">
        <v>1856</v>
      </c>
      <c r="C44" s="486"/>
      <c r="D44" s="487"/>
      <c r="E44" s="526"/>
      <c r="F44" s="488"/>
      <c r="G44" s="526"/>
      <c r="H44" s="489">
        <f ca="1">ROUND(Monto_Oferta/Coeficiente_Paso,2)</f>
        <v>0</v>
      </c>
      <c r="I44" s="129"/>
    </row>
    <row r="45" spans="1:20" ht="20.100000000000001" customHeight="1">
      <c r="A45" s="490" t="s">
        <v>895</v>
      </c>
      <c r="B45" s="133" t="str">
        <f>"COSTO FINANCIERO  "&amp;ROUND(Costo_Financiero*100,2)&amp;" % de ( 1 )"</f>
        <v>COSTO FINANCIERO  0 % de ( 1 )</v>
      </c>
      <c r="C45" s="133"/>
      <c r="D45" s="491"/>
      <c r="E45" s="527">
        <f>Costo_Financiero</f>
        <v>0</v>
      </c>
      <c r="F45" s="64"/>
      <c r="G45" s="65"/>
      <c r="H45" s="492">
        <f ca="1">ROUND(H44*Costo_Financiero,2)</f>
        <v>0</v>
      </c>
      <c r="I45" s="129"/>
    </row>
    <row r="46" spans="1:20" ht="20.100000000000001" customHeight="1">
      <c r="A46" s="490" t="s">
        <v>896</v>
      </c>
      <c r="B46" s="133" t="s">
        <v>1857</v>
      </c>
      <c r="C46" s="133"/>
      <c r="D46" s="491"/>
      <c r="E46" s="65"/>
      <c r="F46" s="64"/>
      <c r="G46" s="65"/>
      <c r="H46" s="492">
        <f ca="1">H44+H45</f>
        <v>0</v>
      </c>
      <c r="I46" s="129"/>
    </row>
    <row r="47" spans="1:20" ht="20.100000000000001" customHeight="1">
      <c r="A47" s="490" t="s">
        <v>897</v>
      </c>
      <c r="B47" s="130" t="str">
        <f>CONCATENATE("GASTOS GENERALES  ",ROUND(Gasto_Generales_Porcentaje*100,3)," % de ( 3 )")</f>
        <v>GASTOS GENERALES  0 % de ( 3 )</v>
      </c>
      <c r="C47" s="130"/>
      <c r="D47" s="131"/>
      <c r="E47" s="527">
        <f>Gasto_Generales_Porcentaje</f>
        <v>0</v>
      </c>
      <c r="F47" s="64"/>
      <c r="G47" s="65"/>
      <c r="H47" s="492">
        <f ca="1">ROUND(H46*E47,2)</f>
        <v>0</v>
      </c>
      <c r="I47" s="131"/>
    </row>
    <row r="48" spans="1:20" ht="20.100000000000001" customHeight="1">
      <c r="A48" s="490" t="s">
        <v>898</v>
      </c>
      <c r="B48" s="130" t="str">
        <f>CONCATENATE("BENEFICIOS  ",ROUND(Beneficio*100,2)," % de ( 3 )")</f>
        <v>BENEFICIOS  0 % de ( 3 )</v>
      </c>
      <c r="C48" s="130"/>
      <c r="D48" s="131"/>
      <c r="E48" s="527">
        <f>Beneficio</f>
        <v>0</v>
      </c>
      <c r="F48" s="64"/>
      <c r="G48" s="65"/>
      <c r="H48" s="492">
        <f ca="1">ROUND(H46*Beneficio,2)</f>
        <v>0</v>
      </c>
      <c r="I48" s="131"/>
    </row>
    <row r="49" spans="1:11" ht="20.100000000000001" customHeight="1">
      <c r="A49" s="490">
        <v>6</v>
      </c>
      <c r="B49" s="133" t="s">
        <v>1858</v>
      </c>
      <c r="C49" s="133"/>
      <c r="D49" s="131"/>
      <c r="E49" s="65"/>
      <c r="F49" s="64"/>
      <c r="G49" s="65"/>
      <c r="H49" s="492">
        <f ca="1">H46+H47+H48</f>
        <v>0</v>
      </c>
      <c r="I49" s="131"/>
    </row>
    <row r="50" spans="1:11" ht="20.100000000000001" customHeight="1">
      <c r="A50" s="490" t="s">
        <v>1859</v>
      </c>
      <c r="B50" s="130" t="str">
        <f>CONCATENATE("INGRESOS BRUTOS Y LOTE HOGAR  ",ROUND(Ingresos_Brutos*100,2)," % de ( 6 )")</f>
        <v>INGRESOS BRUTOS Y LOTE HOGAR  0 % de ( 6 )</v>
      </c>
      <c r="C50" s="130"/>
      <c r="D50" s="131"/>
      <c r="E50" s="527">
        <f>Ingresos_Brutos</f>
        <v>0</v>
      </c>
      <c r="F50" s="64"/>
      <c r="G50" s="65"/>
      <c r="H50" s="492">
        <f ca="1">ROUND(Ingresos_Brutos*H49,2)</f>
        <v>0</v>
      </c>
      <c r="I50" s="131"/>
    </row>
    <row r="51" spans="1:11" ht="20.100000000000001" customHeight="1">
      <c r="A51" s="493" t="s">
        <v>1860</v>
      </c>
      <c r="B51" s="494" t="str">
        <f>CONCATENATE("IMPUESTO AL VALOR AGREGADO ",IVA*100," % de ( 6 )")</f>
        <v>IMPUESTO AL VALOR AGREGADO 0 % de ( 6 )</v>
      </c>
      <c r="C51" s="494"/>
      <c r="D51" s="495"/>
      <c r="E51" s="528">
        <f>IVA</f>
        <v>0</v>
      </c>
      <c r="F51" s="496"/>
      <c r="G51" s="529"/>
      <c r="H51" s="497">
        <f ca="1">ROUND(IVA*H49,2)</f>
        <v>0</v>
      </c>
      <c r="I51" s="131"/>
    </row>
    <row r="52" spans="1:11" ht="20.100000000000001" customHeight="1">
      <c r="A52" s="134"/>
      <c r="B52" s="130"/>
      <c r="C52" s="130"/>
      <c r="D52" s="131"/>
      <c r="E52" s="132"/>
      <c r="F52" s="64"/>
      <c r="H52" s="135"/>
      <c r="I52" s="131"/>
    </row>
    <row r="53" spans="1:11" ht="20.100000000000001" customHeight="1">
      <c r="A53" s="136"/>
      <c r="B53" s="136" t="s">
        <v>1861</v>
      </c>
      <c r="C53" s="136"/>
      <c r="D53" s="131"/>
      <c r="F53" s="64"/>
      <c r="H53" s="530">
        <f ca="1">Monto_Oferta</f>
        <v>0</v>
      </c>
      <c r="I53" s="131"/>
      <c r="K53" s="609"/>
    </row>
    <row r="54" spans="1:11" ht="20.100000000000001" customHeight="1">
      <c r="I54" s="137"/>
    </row>
    <row r="55" spans="1:11" ht="60" customHeight="1">
      <c r="A55" s="632" t="str">
        <f ca="1">"El presente presupuesto asciende a la suma de: " &amp; UPPER(CONVERTIRNUM(Monto_Oferta))</f>
        <v>El presente presupuesto asciende a la suma de: CERO PESOS CON 00/100</v>
      </c>
      <c r="B55" s="632"/>
      <c r="C55" s="632"/>
      <c r="D55" s="632"/>
      <c r="E55" s="632"/>
      <c r="F55" s="632"/>
      <c r="G55" s="632"/>
      <c r="H55" s="632"/>
      <c r="I55" s="632"/>
    </row>
    <row r="56" spans="1:11">
      <c r="A56" s="65" t="s">
        <v>939</v>
      </c>
    </row>
  </sheetData>
  <mergeCells count="2">
    <mergeCell ref="B15:C15"/>
    <mergeCell ref="A55:I55"/>
  </mergeCells>
  <conditionalFormatting sqref="I54 A52:D53">
    <cfRule type="expression" dxfId="114" priority="316" stopIfTrue="1">
      <formula>#REF!=1</formula>
    </cfRule>
  </conditionalFormatting>
  <conditionalFormatting sqref="C17:C41">
    <cfRule type="expression" dxfId="113" priority="320" stopIfTrue="1">
      <formula>#REF!&gt;0</formula>
    </cfRule>
    <cfRule type="expression" dxfId="112" priority="321" stopIfTrue="1">
      <formula>#REF!&gt;0</formula>
    </cfRule>
    <cfRule type="expression" dxfId="111" priority="322" stopIfTrue="1">
      <formula>#REF!&gt;0</formula>
    </cfRule>
  </conditionalFormatting>
  <conditionalFormatting sqref="B52:C53 A52">
    <cfRule type="expression" dxfId="110" priority="323" stopIfTrue="1">
      <formula>#REF!=1</formula>
    </cfRule>
  </conditionalFormatting>
  <conditionalFormatting sqref="F52:F53 H52:I53 A52:D53">
    <cfRule type="expression" dxfId="109" priority="324" stopIfTrue="1">
      <formula>#REF!=1</formula>
    </cfRule>
  </conditionalFormatting>
  <conditionalFormatting sqref="I52 A52">
    <cfRule type="expression" dxfId="108" priority="314" stopIfTrue="1">
      <formula>#REF!=1</formula>
    </cfRule>
  </conditionalFormatting>
  <conditionalFormatting sqref="I53">
    <cfRule type="expression" dxfId="107" priority="311" stopIfTrue="1">
      <formula>#REF!=1</formula>
    </cfRule>
  </conditionalFormatting>
  <conditionalFormatting sqref="B17:B41 E17:E41">
    <cfRule type="expression" dxfId="106" priority="71" stopIfTrue="1">
      <formula>#REF!&gt;0</formula>
    </cfRule>
    <cfRule type="expression" dxfId="105" priority="72" stopIfTrue="1">
      <formula>#REF!&gt;0</formula>
    </cfRule>
    <cfRule type="expression" dxfId="104" priority="73" stopIfTrue="1">
      <formula>#REF!&gt;0</formula>
    </cfRule>
  </conditionalFormatting>
  <conditionalFormatting sqref="A42">
    <cfRule type="expression" dxfId="103" priority="47" stopIfTrue="1">
      <formula>#REF!&gt;0</formula>
    </cfRule>
    <cfRule type="expression" dxfId="102" priority="48" stopIfTrue="1">
      <formula>#REF!&gt;0</formula>
    </cfRule>
    <cfRule type="expression" dxfId="101" priority="49" stopIfTrue="1">
      <formula>#REF!&gt;0</formula>
    </cfRule>
  </conditionalFormatting>
  <conditionalFormatting sqref="A17:A41">
    <cfRule type="expression" dxfId="100" priority="42" stopIfTrue="1">
      <formula>#REF!&gt;0</formula>
    </cfRule>
    <cfRule type="expression" dxfId="99" priority="43" stopIfTrue="1">
      <formula>#REF!&gt;0</formula>
    </cfRule>
    <cfRule type="expression" dxfId="98" priority="44" stopIfTrue="1">
      <formula>#REF!&gt;0</formula>
    </cfRule>
  </conditionalFormatting>
  <conditionalFormatting sqref="A47:D51">
    <cfRule type="expression" dxfId="97" priority="39" stopIfTrue="1">
      <formula>#REF!=1</formula>
    </cfRule>
  </conditionalFormatting>
  <conditionalFormatting sqref="A46:D46 B47:C48 B50:C51 A48 A50">
    <cfRule type="expression" dxfId="96" priority="40" stopIfTrue="1">
      <formula>#REF!=1</formula>
    </cfRule>
  </conditionalFormatting>
  <conditionalFormatting sqref="D46:D51 B46:C48 B50:C51 A46:A51 F46:F51 H47:I48 H50:I51 I49 I46">
    <cfRule type="expression" dxfId="95" priority="41" stopIfTrue="1">
      <formula>#REF!=1</formula>
    </cfRule>
  </conditionalFormatting>
  <conditionalFormatting sqref="I47">
    <cfRule type="expression" dxfId="94" priority="38" stopIfTrue="1">
      <formula>#REF!=1</formula>
    </cfRule>
  </conditionalFormatting>
  <conditionalFormatting sqref="I49">
    <cfRule type="expression" dxfId="93" priority="37" stopIfTrue="1">
      <formula>#REF!=1</formula>
    </cfRule>
  </conditionalFormatting>
  <conditionalFormatting sqref="I51">
    <cfRule type="expression" dxfId="92" priority="36" stopIfTrue="1">
      <formula>#REF!=1</formula>
    </cfRule>
  </conditionalFormatting>
  <conditionalFormatting sqref="I50">
    <cfRule type="expression" dxfId="91" priority="35" stopIfTrue="1">
      <formula>#REF!=1</formula>
    </cfRule>
  </conditionalFormatting>
  <conditionalFormatting sqref="I48">
    <cfRule type="expression" dxfId="90" priority="34" stopIfTrue="1">
      <formula>#REF!=1</formula>
    </cfRule>
  </conditionalFormatting>
  <conditionalFormatting sqref="A46 A48 A50">
    <cfRule type="expression" dxfId="89" priority="33" stopIfTrue="1">
      <formula>#REF!=1</formula>
    </cfRule>
  </conditionalFormatting>
  <conditionalFormatting sqref="B46:C46">
    <cfRule type="expression" dxfId="88" priority="32" stopIfTrue="1">
      <formula>#REF!=1</formula>
    </cfRule>
  </conditionalFormatting>
  <conditionalFormatting sqref="B49:C49">
    <cfRule type="expression" dxfId="87" priority="31" stopIfTrue="1">
      <formula>#REF!=1</formula>
    </cfRule>
  </conditionalFormatting>
  <conditionalFormatting sqref="B51:C51">
    <cfRule type="expression" dxfId="86" priority="30" stopIfTrue="1">
      <formula>#REF!=1</formula>
    </cfRule>
  </conditionalFormatting>
  <conditionalFormatting sqref="A47 A49 A51">
    <cfRule type="expression" dxfId="85" priority="29" stopIfTrue="1">
      <formula>#REF!=1</formula>
    </cfRule>
  </conditionalFormatting>
  <conditionalFormatting sqref="A47 A49 A51">
    <cfRule type="expression" dxfId="84" priority="28" stopIfTrue="1">
      <formula>#REF!=1</formula>
    </cfRule>
  </conditionalFormatting>
  <conditionalFormatting sqref="B50:C50">
    <cfRule type="expression" dxfId="83" priority="27" stopIfTrue="1">
      <formula>#REF!=1</formula>
    </cfRule>
  </conditionalFormatting>
  <conditionalFormatting sqref="H49">
    <cfRule type="expression" dxfId="82" priority="26" stopIfTrue="1">
      <formula>#REF!=1</formula>
    </cfRule>
  </conditionalFormatting>
  <conditionalFormatting sqref="H46">
    <cfRule type="expression" dxfId="81" priority="25" stopIfTrue="1">
      <formula>#REF!=1</formula>
    </cfRule>
  </conditionalFormatting>
  <conditionalFormatting sqref="A44:D45">
    <cfRule type="expression" dxfId="80" priority="23" stopIfTrue="1">
      <formula>#REF!=1</formula>
    </cfRule>
  </conditionalFormatting>
  <conditionalFormatting sqref="A44:D45 F44:F45 I44:I45 A46">
    <cfRule type="expression" dxfId="79" priority="24" stopIfTrue="1">
      <formula>#REF!=1</formula>
    </cfRule>
  </conditionalFormatting>
  <conditionalFormatting sqref="A44:A46">
    <cfRule type="expression" dxfId="78" priority="22" stopIfTrue="1">
      <formula>#REF!=1</formula>
    </cfRule>
  </conditionalFormatting>
  <conditionalFormatting sqref="B44:C45">
    <cfRule type="expression" dxfId="77" priority="21" stopIfTrue="1">
      <formula>#REF!=1</formula>
    </cfRule>
  </conditionalFormatting>
  <conditionalFormatting sqref="H44">
    <cfRule type="expression" dxfId="76" priority="20" stopIfTrue="1">
      <formula>#REF!=1</formula>
    </cfRule>
  </conditionalFormatting>
  <conditionalFormatting sqref="H45">
    <cfRule type="expression" dxfId="75" priority="19"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L1574"/>
  <sheetViews>
    <sheetView showGridLines="0" showZeros="0" view="pageBreakPreview" zoomScaleNormal="120" zoomScaleSheetLayoutView="100" workbookViewId="0">
      <selection activeCell="C1582" sqref="C1581:C1582"/>
    </sheetView>
  </sheetViews>
  <sheetFormatPr baseColWidth="10" defaultRowHeight="19.899999999999999" customHeight="1"/>
  <cols>
    <col min="1" max="1" width="20.7109375" style="448" customWidth="1"/>
    <col min="2" max="2" width="25.7109375" style="448" customWidth="1"/>
    <col min="3" max="3" width="40.7109375" style="448" customWidth="1"/>
    <col min="4" max="4" width="10.7109375" style="448" customWidth="1"/>
    <col min="5" max="5" width="12.7109375" style="448" customWidth="1"/>
    <col min="6" max="7" width="15.7109375" style="483" customWidth="1"/>
    <col min="8" max="8" width="11.42578125" style="448"/>
    <col min="9" max="9" width="13" style="448" bestFit="1" customWidth="1"/>
    <col min="10" max="16384" width="11.42578125" style="448"/>
  </cols>
  <sheetData>
    <row r="1" spans="1:8" ht="19.899999999999999" customHeight="1">
      <c r="A1" s="633" t="s">
        <v>30</v>
      </c>
      <c r="B1" s="634"/>
      <c r="C1" s="634"/>
      <c r="D1" s="634"/>
      <c r="E1" s="634"/>
      <c r="F1" s="634"/>
      <c r="G1" s="635"/>
      <c r="H1" s="57"/>
    </row>
    <row r="2" spans="1:8" ht="19.899999999999999" customHeight="1">
      <c r="A2" s="498" t="s">
        <v>710</v>
      </c>
      <c r="B2" s="449" t="str">
        <f>Comitente</f>
        <v>DEPARTAMENTO DE HIDRAULICA</v>
      </c>
      <c r="C2" s="450"/>
      <c r="D2" s="451"/>
      <c r="E2" s="451"/>
      <c r="F2" s="452"/>
      <c r="G2" s="499"/>
      <c r="H2" s="57"/>
    </row>
    <row r="3" spans="1:8" ht="19.899999999999999" customHeight="1">
      <c r="A3" s="498" t="s">
        <v>711</v>
      </c>
      <c r="B3" s="449">
        <f>Contratista</f>
        <v>0</v>
      </c>
      <c r="C3" s="453"/>
      <c r="D3" s="453"/>
      <c r="E3" s="453"/>
      <c r="F3" s="449"/>
      <c r="G3" s="500"/>
      <c r="H3" s="57"/>
    </row>
    <row r="4" spans="1:8" ht="19.899999999999999" customHeight="1">
      <c r="A4" s="498" t="s">
        <v>20</v>
      </c>
      <c r="B4" s="449" t="str">
        <f>Obra</f>
        <v>EJECUCION DE PERFORACION - SISTEMA DE RIEGO</v>
      </c>
      <c r="C4" s="453"/>
      <c r="D4" s="453"/>
      <c r="E4" s="453"/>
      <c r="F4" s="449" t="s">
        <v>31</v>
      </c>
      <c r="G4" s="500">
        <f>Fecha_Base</f>
        <v>0</v>
      </c>
      <c r="H4" s="57"/>
    </row>
    <row r="5" spans="1:8" ht="19.899999999999999" customHeight="1">
      <c r="A5" s="501" t="s">
        <v>709</v>
      </c>
      <c r="B5" s="454" t="str">
        <f>Ubicación</f>
        <v>DEPARTAMENTO CHIMBAS</v>
      </c>
      <c r="C5" s="454"/>
      <c r="D5" s="455"/>
      <c r="E5" s="456"/>
      <c r="F5" s="457"/>
      <c r="G5" s="502"/>
      <c r="H5" s="57"/>
    </row>
    <row r="6" spans="1:8" ht="19.899999999999999" customHeight="1">
      <c r="A6" s="501" t="s">
        <v>32</v>
      </c>
      <c r="B6" s="458">
        <f>IFERROR(VALUE(LEFT(B7,FIND(".",B7)-1)),"")</f>
        <v>1</v>
      </c>
      <c r="C6" s="160" t="str">
        <f ca="1">IFERROR(VLOOKUP(B6,T_Computo_Presupuesto,2,FALSE),0)</f>
        <v>PERFORACION PROPIAMENTE DICHA</v>
      </c>
      <c r="D6" s="160"/>
      <c r="E6" s="456"/>
      <c r="F6" s="457"/>
      <c r="G6" s="502"/>
      <c r="H6" s="57"/>
    </row>
    <row r="7" spans="1:8" ht="19.899999999999999" customHeight="1">
      <c r="A7" s="501" t="s">
        <v>21</v>
      </c>
      <c r="B7" s="459">
        <f>IFERROR(VLOOKUP(COUNTIF($A$1:A7,"ANALISIS DE PRECIOS"),T_NumeroItem,2,FALSE),"")</f>
        <v>1.1000000000000001</v>
      </c>
      <c r="C7" s="636" t="str">
        <f ca="1">IFERROR(VLOOKUP(B7,T_Computo_Presupuesto,2,FALSE),0)</f>
        <v>Limpieza, replanteo y nivelacion</v>
      </c>
      <c r="D7" s="636"/>
      <c r="E7" s="636"/>
      <c r="F7" s="454" t="s">
        <v>22</v>
      </c>
      <c r="G7" s="503" t="str">
        <f ca="1">IFERROR(VLOOKUP(B7,T_Computo_Presupuesto,4,FALSE),0)</f>
        <v>m2</v>
      </c>
      <c r="H7" s="57"/>
    </row>
    <row r="8" spans="1:8" ht="19.899999999999999" customHeight="1">
      <c r="A8" s="501"/>
      <c r="B8" s="454"/>
      <c r="C8" s="160"/>
      <c r="D8" s="455"/>
      <c r="E8" s="456"/>
      <c r="F8" s="160"/>
      <c r="G8" s="504"/>
      <c r="H8" s="57"/>
    </row>
    <row r="9" spans="1:8" ht="19.899999999999999" customHeight="1">
      <c r="A9" s="505"/>
      <c r="B9" s="460"/>
      <c r="C9" s="461" t="s">
        <v>997</v>
      </c>
      <c r="D9" s="460"/>
      <c r="E9" s="460"/>
      <c r="F9" s="460"/>
      <c r="G9" s="506"/>
      <c r="H9" s="57"/>
    </row>
    <row r="10" spans="1:8" ht="19.899999999999999" customHeight="1">
      <c r="A10" s="501"/>
      <c r="B10" s="462"/>
      <c r="C10" s="160"/>
      <c r="D10" s="455"/>
      <c r="E10" s="456"/>
      <c r="F10" s="454"/>
      <c r="G10" s="503"/>
      <c r="H10" s="57"/>
    </row>
    <row r="11" spans="1:8" ht="19.899999999999999" customHeight="1">
      <c r="A11" s="501"/>
      <c r="B11" s="462"/>
      <c r="C11" s="463" t="s">
        <v>998</v>
      </c>
      <c r="D11" s="464" t="s">
        <v>23</v>
      </c>
      <c r="E11" s="464" t="s">
        <v>999</v>
      </c>
      <c r="F11" s="464" t="s">
        <v>1000</v>
      </c>
      <c r="G11" s="463" t="s">
        <v>1001</v>
      </c>
    </row>
    <row r="12" spans="1:8" ht="19.899999999999999" customHeight="1">
      <c r="A12" s="501"/>
      <c r="B12" s="462"/>
      <c r="C12" s="465"/>
      <c r="D12" s="466"/>
      <c r="E12" s="467">
        <f t="shared" ref="E12:E14" si="0">IFERROR(VLOOKUP(C12,T_Equipos,4,FALSE),0)</f>
        <v>0</v>
      </c>
      <c r="F12" s="468">
        <f t="shared" ref="F12:F16" si="1">IFERROR(VLOOKUP(C12,T_Equipos,5,FALSE),0)</f>
        <v>0</v>
      </c>
      <c r="G12" s="468">
        <f>ROUND(D12*F12,2)</f>
        <v>0</v>
      </c>
    </row>
    <row r="13" spans="1:8" ht="19.899999999999999" customHeight="1">
      <c r="A13" s="501"/>
      <c r="B13" s="462"/>
      <c r="C13" s="465"/>
      <c r="D13" s="466"/>
      <c r="E13" s="467">
        <f t="shared" si="0"/>
        <v>0</v>
      </c>
      <c r="F13" s="468">
        <f t="shared" si="1"/>
        <v>0</v>
      </c>
      <c r="G13" s="468">
        <f>ROUND(D13*F13,2)</f>
        <v>0</v>
      </c>
    </row>
    <row r="14" spans="1:8" ht="19.899999999999999" customHeight="1">
      <c r="A14" s="501"/>
      <c r="B14" s="462"/>
      <c r="C14" s="465"/>
      <c r="D14" s="466"/>
      <c r="E14" s="467">
        <f t="shared" si="0"/>
        <v>0</v>
      </c>
      <c r="F14" s="468">
        <f t="shared" si="1"/>
        <v>0</v>
      </c>
      <c r="G14" s="468">
        <f>ROUND(D14*F14,2)</f>
        <v>0</v>
      </c>
    </row>
    <row r="15" spans="1:8" ht="19.899999999999999" customHeight="1">
      <c r="A15" s="501"/>
      <c r="B15" s="462"/>
      <c r="C15" s="465"/>
      <c r="D15" s="466"/>
      <c r="E15" s="467">
        <f t="shared" ref="E15:E21" si="2">IFERROR(VLOOKUP(C15,T_Equipos,4,FALSE),0)</f>
        <v>0</v>
      </c>
      <c r="F15" s="468">
        <f t="shared" si="1"/>
        <v>0</v>
      </c>
      <c r="G15" s="468">
        <f>ROUND(D15*F15,2)</f>
        <v>0</v>
      </c>
    </row>
    <row r="16" spans="1:8" ht="19.899999999999999" customHeight="1">
      <c r="A16" s="501"/>
      <c r="B16" s="462"/>
      <c r="C16" s="465"/>
      <c r="D16" s="466"/>
      <c r="E16" s="467">
        <f t="shared" si="2"/>
        <v>0</v>
      </c>
      <c r="F16" s="468">
        <f t="shared" si="1"/>
        <v>0</v>
      </c>
      <c r="G16" s="468">
        <f t="shared" ref="G16:G21" si="3">ROUND(D16*F16,2)</f>
        <v>0</v>
      </c>
    </row>
    <row r="17" spans="1:7" ht="19.899999999999999" customHeight="1">
      <c r="A17" s="501"/>
      <c r="B17" s="462"/>
      <c r="C17" s="465"/>
      <c r="D17" s="466"/>
      <c r="E17" s="467">
        <f t="shared" si="2"/>
        <v>0</v>
      </c>
      <c r="F17" s="468">
        <f t="shared" ref="F17:F21" si="4">IFERROR(VLOOKUP(C17,T_Equipos,5,FALSE),0)</f>
        <v>0</v>
      </c>
      <c r="G17" s="468">
        <f t="shared" si="3"/>
        <v>0</v>
      </c>
    </row>
    <row r="18" spans="1:7" ht="19.899999999999999" customHeight="1">
      <c r="A18" s="501"/>
      <c r="B18" s="462"/>
      <c r="C18" s="465"/>
      <c r="D18" s="466"/>
      <c r="E18" s="467">
        <f t="shared" si="2"/>
        <v>0</v>
      </c>
      <c r="F18" s="468">
        <f t="shared" si="4"/>
        <v>0</v>
      </c>
      <c r="G18" s="468">
        <f t="shared" si="3"/>
        <v>0</v>
      </c>
    </row>
    <row r="19" spans="1:7" ht="19.899999999999999" customHeight="1">
      <c r="A19" s="501"/>
      <c r="B19" s="462"/>
      <c r="C19" s="465"/>
      <c r="D19" s="466"/>
      <c r="E19" s="467">
        <f t="shared" si="2"/>
        <v>0</v>
      </c>
      <c r="F19" s="468">
        <f t="shared" si="4"/>
        <v>0</v>
      </c>
      <c r="G19" s="468">
        <f t="shared" si="3"/>
        <v>0</v>
      </c>
    </row>
    <row r="20" spans="1:7" ht="19.899999999999999" customHeight="1">
      <c r="A20" s="501"/>
      <c r="B20" s="462"/>
      <c r="C20" s="465"/>
      <c r="D20" s="466"/>
      <c r="E20" s="467">
        <f t="shared" si="2"/>
        <v>0</v>
      </c>
      <c r="F20" s="468">
        <f t="shared" si="4"/>
        <v>0</v>
      </c>
      <c r="G20" s="468">
        <f t="shared" si="3"/>
        <v>0</v>
      </c>
    </row>
    <row r="21" spans="1:7" ht="19.899999999999999" customHeight="1">
      <c r="A21" s="501"/>
      <c r="B21" s="462"/>
      <c r="C21" s="465"/>
      <c r="D21" s="466"/>
      <c r="E21" s="467">
        <f t="shared" si="2"/>
        <v>0</v>
      </c>
      <c r="F21" s="468">
        <f t="shared" si="4"/>
        <v>0</v>
      </c>
      <c r="G21" s="468">
        <f t="shared" si="3"/>
        <v>0</v>
      </c>
    </row>
    <row r="22" spans="1:7" ht="19.899999999999999" customHeight="1">
      <c r="A22" s="501"/>
      <c r="B22" s="462"/>
      <c r="C22" s="160"/>
      <c r="D22" s="160"/>
      <c r="E22" s="469"/>
      <c r="F22" s="454"/>
      <c r="G22" s="503"/>
    </row>
    <row r="23" spans="1:7" ht="19.899999999999999" customHeight="1">
      <c r="A23" s="501"/>
      <c r="B23" s="160"/>
      <c r="C23" s="451" t="s">
        <v>1002</v>
      </c>
      <c r="D23" s="454" t="s">
        <v>999</v>
      </c>
      <c r="E23" s="600">
        <f>SUMPRODUCT(D12:D21,E12:E21)</f>
        <v>0</v>
      </c>
      <c r="F23" s="454" t="s">
        <v>1003</v>
      </c>
      <c r="G23" s="521">
        <f>SUM(G12:G21)</f>
        <v>0</v>
      </c>
    </row>
    <row r="24" spans="1:7" ht="19.899999999999999" customHeight="1">
      <c r="A24" s="501"/>
      <c r="B24" s="462"/>
      <c r="C24" s="470"/>
      <c r="D24" s="469"/>
      <c r="E24" s="456"/>
      <c r="F24" s="454"/>
      <c r="G24" s="507"/>
    </row>
    <row r="25" spans="1:7" ht="19.899999999999999" customHeight="1">
      <c r="A25" s="508"/>
      <c r="B25" s="462"/>
      <c r="C25" s="454" t="s">
        <v>1004</v>
      </c>
      <c r="D25" s="471"/>
      <c r="E25" s="472" t="str">
        <f ca="1">G7&amp;"/día"</f>
        <v>m2/día</v>
      </c>
      <c r="F25" s="448"/>
      <c r="G25" s="503"/>
    </row>
    <row r="26" spans="1:7" ht="19.899999999999999" customHeight="1">
      <c r="A26" s="501"/>
      <c r="B26" s="462"/>
      <c r="C26" s="160"/>
      <c r="D26" s="455"/>
      <c r="E26" s="456"/>
      <c r="F26" s="454"/>
      <c r="G26" s="503"/>
    </row>
    <row r="27" spans="1:7" ht="19.899999999999999" customHeight="1">
      <c r="A27" s="637" t="s">
        <v>575</v>
      </c>
      <c r="B27" s="638"/>
      <c r="C27" s="639" t="s">
        <v>0</v>
      </c>
      <c r="D27" s="647" t="s">
        <v>1863</v>
      </c>
      <c r="E27" s="647" t="s">
        <v>1862</v>
      </c>
      <c r="F27" s="643" t="s">
        <v>1005</v>
      </c>
      <c r="G27" s="645" t="s">
        <v>25</v>
      </c>
    </row>
    <row r="28" spans="1:7" ht="19.899999999999999" customHeight="1">
      <c r="A28" s="473" t="s">
        <v>576</v>
      </c>
      <c r="B28" s="473" t="s">
        <v>577</v>
      </c>
      <c r="C28" s="640"/>
      <c r="D28" s="648"/>
      <c r="E28" s="642"/>
      <c r="F28" s="644"/>
      <c r="G28" s="646"/>
    </row>
    <row r="29" spans="1:7" ht="19.899999999999999" customHeight="1">
      <c r="A29" s="509"/>
      <c r="B29" s="160"/>
      <c r="C29" s="451" t="s">
        <v>1006</v>
      </c>
      <c r="D29" s="456"/>
      <c r="E29" s="456"/>
      <c r="F29" s="160"/>
      <c r="G29" s="510"/>
    </row>
    <row r="30" spans="1:7" ht="19.899999999999999" customHeight="1">
      <c r="A30" s="511">
        <f t="shared" ref="A30:A38" si="5">IFERROR(VLOOKUP(C30,T_Insumos,4,FALSE),0)</f>
        <v>0</v>
      </c>
      <c r="B30" s="474">
        <f t="shared" ref="B30:B38" si="6">IFERROR(VLOOKUP(C30,T_Insumos,5,FALSE),0)</f>
        <v>0</v>
      </c>
      <c r="C30" s="465"/>
      <c r="D30" s="475"/>
      <c r="E30" s="468">
        <f>D30*$G$23</f>
        <v>0</v>
      </c>
      <c r="F30" s="471">
        <f>$D$25</f>
        <v>0</v>
      </c>
      <c r="G30" s="468">
        <f>IFERROR(ROUND(E30/F30,2),0)</f>
        <v>0</v>
      </c>
    </row>
    <row r="31" spans="1:7" ht="19.899999999999999" customHeight="1">
      <c r="A31" s="511"/>
      <c r="B31" s="474"/>
      <c r="C31" s="465"/>
      <c r="D31" s="475"/>
      <c r="E31" s="468">
        <f>D31*$G$23</f>
        <v>0</v>
      </c>
      <c r="F31" s="471">
        <f t="shared" ref="F31:F33" si="7">$D$25</f>
        <v>0</v>
      </c>
      <c r="G31" s="468">
        <f t="shared" ref="G31:G38" si="8">IFERROR(ROUND(E31/F31,2),0)</f>
        <v>0</v>
      </c>
    </row>
    <row r="32" spans="1:7" ht="19.899999999999999" customHeight="1">
      <c r="A32" s="511">
        <f t="shared" si="5"/>
        <v>0</v>
      </c>
      <c r="B32" s="474">
        <f t="shared" si="6"/>
        <v>0</v>
      </c>
      <c r="C32" s="476"/>
      <c r="D32" s="475"/>
      <c r="E32" s="468">
        <f>D32*$E$23</f>
        <v>0</v>
      </c>
      <c r="F32" s="471">
        <f t="shared" si="7"/>
        <v>0</v>
      </c>
      <c r="G32" s="468">
        <f t="shared" si="8"/>
        <v>0</v>
      </c>
    </row>
    <row r="33" spans="1:7" ht="19.899999999999999" customHeight="1">
      <c r="A33" s="511">
        <f t="shared" si="5"/>
        <v>0</v>
      </c>
      <c r="B33" s="474">
        <f t="shared" si="6"/>
        <v>0</v>
      </c>
      <c r="C33" s="476"/>
      <c r="D33" s="475"/>
      <c r="E33" s="468">
        <f>D33*$E$23</f>
        <v>0</v>
      </c>
      <c r="F33" s="471">
        <f t="shared" si="7"/>
        <v>0</v>
      </c>
      <c r="G33" s="468">
        <f t="shared" si="8"/>
        <v>0</v>
      </c>
    </row>
    <row r="34" spans="1:7" ht="19.899999999999999" customHeight="1">
      <c r="A34" s="511">
        <f t="shared" si="5"/>
        <v>0</v>
      </c>
      <c r="B34" s="474">
        <f t="shared" si="6"/>
        <v>0</v>
      </c>
      <c r="C34" s="476"/>
      <c r="D34" s="475">
        <f t="shared" ref="D34:D38" si="9">IFERROR(VLOOKUP(C34,T_Insumos,3,FALSE),0)</f>
        <v>0</v>
      </c>
      <c r="E34" s="468"/>
      <c r="F34" s="471">
        <f>IF(C34="",0,IFERROR(VLOOKUP(COUNTIF($A$1:A34,"ANALISIS DE PRECIOS"),T_Rendimiento_Equipo,5,FALSE),0))</f>
        <v>0</v>
      </c>
      <c r="G34" s="468">
        <f t="shared" si="8"/>
        <v>0</v>
      </c>
    </row>
    <row r="35" spans="1:7" ht="19.899999999999999" customHeight="1">
      <c r="A35" s="511">
        <f t="shared" si="5"/>
        <v>0</v>
      </c>
      <c r="B35" s="474">
        <f t="shared" si="6"/>
        <v>0</v>
      </c>
      <c r="C35" s="476"/>
      <c r="D35" s="475">
        <f t="shared" si="9"/>
        <v>0</v>
      </c>
      <c r="E35" s="468"/>
      <c r="F35" s="471">
        <f>IF(C35="",0,IFERROR(VLOOKUP(COUNTIF($A$1:A35,"ANALISIS DE PRECIOS"),T_Rendimiento_Equipo,5,FALSE),0))</f>
        <v>0</v>
      </c>
      <c r="G35" s="468">
        <f t="shared" si="8"/>
        <v>0</v>
      </c>
    </row>
    <row r="36" spans="1:7" ht="19.899999999999999" customHeight="1">
      <c r="A36" s="511">
        <f t="shared" si="5"/>
        <v>0</v>
      </c>
      <c r="B36" s="474">
        <f t="shared" si="6"/>
        <v>0</v>
      </c>
      <c r="C36" s="476"/>
      <c r="D36" s="475">
        <f t="shared" si="9"/>
        <v>0</v>
      </c>
      <c r="E36" s="468"/>
      <c r="F36" s="471">
        <f>IF(C36="",0,IFERROR(VLOOKUP(COUNTIF($A$1:A36,"ANALISIS DE PRECIOS"),T_Rendimiento_Equipo,5,FALSE),0))</f>
        <v>0</v>
      </c>
      <c r="G36" s="468">
        <f t="shared" si="8"/>
        <v>0</v>
      </c>
    </row>
    <row r="37" spans="1:7" ht="19.899999999999999" customHeight="1">
      <c r="A37" s="511">
        <f t="shared" si="5"/>
        <v>0</v>
      </c>
      <c r="B37" s="474">
        <f t="shared" si="6"/>
        <v>0</v>
      </c>
      <c r="C37" s="476"/>
      <c r="D37" s="475">
        <f t="shared" si="9"/>
        <v>0</v>
      </c>
      <c r="E37" s="468"/>
      <c r="F37" s="471">
        <f>IF(C37="",0,IFERROR(VLOOKUP(COUNTIF($A$1:A37,"ANALISIS DE PRECIOS"),T_Rendimiento_Equipo,5,FALSE),0))</f>
        <v>0</v>
      </c>
      <c r="G37" s="468">
        <f t="shared" si="8"/>
        <v>0</v>
      </c>
    </row>
    <row r="38" spans="1:7" ht="19.899999999999999" customHeight="1">
      <c r="A38" s="511">
        <f t="shared" si="5"/>
        <v>0</v>
      </c>
      <c r="B38" s="474">
        <f t="shared" si="6"/>
        <v>0</v>
      </c>
      <c r="C38" s="465"/>
      <c r="D38" s="475">
        <f t="shared" si="9"/>
        <v>0</v>
      </c>
      <c r="E38" s="468"/>
      <c r="F38" s="471">
        <f>IF(C38="",0,IFERROR(VLOOKUP(COUNTIF($A$1:A38,"ANALISIS DE PRECIOS"),T_Rendimiento_Equipo,5,FALSE),0))</f>
        <v>0</v>
      </c>
      <c r="G38" s="468">
        <f t="shared" si="8"/>
        <v>0</v>
      </c>
    </row>
    <row r="39" spans="1:7" ht="19.899999999999999" customHeight="1">
      <c r="A39" s="512"/>
      <c r="B39" s="455"/>
      <c r="C39" s="160"/>
      <c r="D39" s="455"/>
      <c r="E39" s="456"/>
      <c r="F39" s="477" t="s">
        <v>26</v>
      </c>
      <c r="G39" s="513">
        <f>SUBTOTAL(9,G30:G38)</f>
        <v>0</v>
      </c>
    </row>
    <row r="40" spans="1:7" ht="19.899999999999999" customHeight="1">
      <c r="A40" s="509"/>
      <c r="B40" s="160"/>
      <c r="C40" s="451" t="s">
        <v>712</v>
      </c>
      <c r="D40" s="455"/>
      <c r="E40" s="456"/>
      <c r="F40" s="457"/>
      <c r="G40" s="510"/>
    </row>
    <row r="41" spans="1:7" ht="19.899999999999999" customHeight="1">
      <c r="A41" s="637" t="s">
        <v>575</v>
      </c>
      <c r="B41" s="638"/>
      <c r="C41" s="639" t="s">
        <v>0</v>
      </c>
      <c r="D41" s="641" t="s">
        <v>23</v>
      </c>
      <c r="E41" s="641" t="s">
        <v>1829</v>
      </c>
      <c r="F41" s="643" t="s">
        <v>1005</v>
      </c>
      <c r="G41" s="645" t="s">
        <v>25</v>
      </c>
    </row>
    <row r="42" spans="1:7" ht="19.899999999999999" customHeight="1">
      <c r="A42" s="473" t="s">
        <v>576</v>
      </c>
      <c r="B42" s="473" t="s">
        <v>577</v>
      </c>
      <c r="C42" s="640"/>
      <c r="D42" s="642"/>
      <c r="E42" s="642"/>
      <c r="F42" s="644"/>
      <c r="G42" s="646"/>
    </row>
    <row r="43" spans="1:7" ht="19.899999999999999" customHeight="1">
      <c r="A43" s="511"/>
      <c r="B43" s="474"/>
      <c r="C43" s="478"/>
      <c r="D43" s="471"/>
      <c r="E43" s="468"/>
      <c r="F43" s="471">
        <f>$D$25</f>
        <v>0</v>
      </c>
      <c r="G43" s="468">
        <f>IFERROR(ROUND(D43*E43/F43,2),0)</f>
        <v>0</v>
      </c>
    </row>
    <row r="44" spans="1:7" ht="19.899999999999999" customHeight="1">
      <c r="A44" s="511"/>
      <c r="B44" s="474"/>
      <c r="C44" s="465"/>
      <c r="D44" s="471"/>
      <c r="E44" s="468"/>
      <c r="F44" s="471">
        <f t="shared" ref="F44:F48" si="10">$D$25</f>
        <v>0</v>
      </c>
      <c r="G44" s="468">
        <f t="shared" ref="G44:G49" si="11">IFERROR(ROUND(D44*E44/F44,2),0)</f>
        <v>0</v>
      </c>
    </row>
    <row r="45" spans="1:7" ht="19.899999999999999" customHeight="1">
      <c r="A45" s="511"/>
      <c r="B45" s="474"/>
      <c r="C45" s="465"/>
      <c r="D45" s="471"/>
      <c r="E45" s="468"/>
      <c r="F45" s="471">
        <f t="shared" si="10"/>
        <v>0</v>
      </c>
      <c r="G45" s="468">
        <f t="shared" si="11"/>
        <v>0</v>
      </c>
    </row>
    <row r="46" spans="1:7" ht="19.899999999999999" customHeight="1">
      <c r="A46" s="511"/>
      <c r="B46" s="474"/>
      <c r="C46" s="465"/>
      <c r="D46" s="471"/>
      <c r="E46" s="468"/>
      <c r="F46" s="471">
        <f t="shared" si="10"/>
        <v>0</v>
      </c>
      <c r="G46" s="468">
        <f t="shared" si="11"/>
        <v>0</v>
      </c>
    </row>
    <row r="47" spans="1:7" ht="19.899999999999999" customHeight="1">
      <c r="A47" s="511">
        <f t="shared" ref="A47:A49" si="12">IFERROR(VLOOKUP(C47,T_Insumos,4,FALSE),0)</f>
        <v>0</v>
      </c>
      <c r="B47" s="474">
        <f t="shared" ref="B47:B49" si="13">IFERROR(VLOOKUP(C47,T_Insumos,5,FALSE),0)</f>
        <v>0</v>
      </c>
      <c r="C47" s="465"/>
      <c r="D47" s="471"/>
      <c r="E47" s="468"/>
      <c r="F47" s="471">
        <f>IF(C47="",0,IFERROR(VLOOKUP(COUNTIF($A$1:A47,"ANALISIS DE PRECIOS"),T_Rendimiento_Equipo,5,FALSE),0))</f>
        <v>0</v>
      </c>
      <c r="G47" s="468">
        <f t="shared" si="11"/>
        <v>0</v>
      </c>
    </row>
    <row r="48" spans="1:7" ht="19.899999999999999" customHeight="1">
      <c r="A48" s="511">
        <f t="shared" si="12"/>
        <v>0</v>
      </c>
      <c r="B48" s="474">
        <f t="shared" si="13"/>
        <v>0</v>
      </c>
      <c r="C48" s="465"/>
      <c r="D48" s="479"/>
      <c r="E48" s="468"/>
      <c r="F48" s="471">
        <f t="shared" si="10"/>
        <v>0</v>
      </c>
      <c r="G48" s="468">
        <f t="shared" si="11"/>
        <v>0</v>
      </c>
    </row>
    <row r="49" spans="1:12" ht="19.899999999999999" customHeight="1">
      <c r="A49" s="511">
        <f t="shared" si="12"/>
        <v>0</v>
      </c>
      <c r="B49" s="474">
        <f t="shared" si="13"/>
        <v>0</v>
      </c>
      <c r="C49" s="474"/>
      <c r="D49" s="480"/>
      <c r="E49" s="468"/>
      <c r="F49" s="471">
        <f>IF(C49="",0,IFERROR(VLOOKUP(COUNTIF($A$1:A49,"ANALISIS DE PRECIOS"),T_Rendimiento_Equipo,5,FALSE),0))</f>
        <v>0</v>
      </c>
      <c r="G49" s="468">
        <f t="shared" si="11"/>
        <v>0</v>
      </c>
    </row>
    <row r="50" spans="1:12" ht="19.899999999999999" customHeight="1">
      <c r="A50" s="512"/>
      <c r="B50" s="455"/>
      <c r="C50" s="160"/>
      <c r="D50" s="455"/>
      <c r="E50" s="456">
        <f>SUM(E43:E49)</f>
        <v>0</v>
      </c>
      <c r="F50" s="477" t="s">
        <v>27</v>
      </c>
      <c r="G50" s="514">
        <f>SUBTOTAL(9,G43:G49)</f>
        <v>0</v>
      </c>
    </row>
    <row r="51" spans="1:12" ht="19.899999999999999" customHeight="1">
      <c r="A51" s="509"/>
      <c r="B51" s="160"/>
      <c r="C51" s="451" t="s">
        <v>1012</v>
      </c>
      <c r="D51" s="455"/>
      <c r="E51" s="456"/>
      <c r="F51" s="457"/>
      <c r="G51" s="510"/>
    </row>
    <row r="52" spans="1:12" ht="19.899999999999999" customHeight="1">
      <c r="A52" s="637" t="s">
        <v>575</v>
      </c>
      <c r="B52" s="638"/>
      <c r="C52" s="639" t="s">
        <v>0</v>
      </c>
      <c r="D52" s="639" t="s">
        <v>1864</v>
      </c>
      <c r="E52" s="641" t="s">
        <v>23</v>
      </c>
      <c r="F52" s="643" t="s">
        <v>24</v>
      </c>
      <c r="G52" s="645" t="s">
        <v>25</v>
      </c>
    </row>
    <row r="53" spans="1:12" ht="19.899999999999999" customHeight="1">
      <c r="A53" s="473" t="s">
        <v>576</v>
      </c>
      <c r="B53" s="473" t="s">
        <v>577</v>
      </c>
      <c r="C53" s="640"/>
      <c r="D53" s="640"/>
      <c r="E53" s="642"/>
      <c r="F53" s="644"/>
      <c r="G53" s="646"/>
    </row>
    <row r="54" spans="1:12" ht="19.899999999999999" customHeight="1">
      <c r="A54" s="511">
        <f t="shared" ref="A54:A64" si="14">IFERROR(VLOOKUP(C54,T_Insumos,4,FALSE),0)</f>
        <v>0</v>
      </c>
      <c r="B54" s="474">
        <f t="shared" ref="B54:B64" si="15">IFERROR(VLOOKUP(C54,T_Insumos,5,FALSE),0)</f>
        <v>0</v>
      </c>
      <c r="C54" s="474"/>
      <c r="D54" s="522"/>
      <c r="E54" s="466"/>
      <c r="F54" s="468"/>
      <c r="G54" s="468">
        <f>ROUND(E54*F54,2)</f>
        <v>0</v>
      </c>
      <c r="I54" s="448" t="s">
        <v>2076</v>
      </c>
      <c r="J54" s="448" t="s">
        <v>2078</v>
      </c>
      <c r="K54" s="448">
        <v>0.4</v>
      </c>
      <c r="L54" s="448">
        <v>3.8640000000000003</v>
      </c>
    </row>
    <row r="55" spans="1:12" s="481" customFormat="1" ht="19.899999999999999" customHeight="1">
      <c r="A55" s="511">
        <f t="shared" si="14"/>
        <v>0</v>
      </c>
      <c r="B55" s="474">
        <f t="shared" si="15"/>
        <v>0</v>
      </c>
      <c r="C55" s="474"/>
      <c r="D55" s="522"/>
      <c r="E55" s="466"/>
      <c r="F55" s="468"/>
      <c r="G55" s="468">
        <f t="shared" ref="G55:G64" si="16">ROUND(E55*F55,2)</f>
        <v>0</v>
      </c>
      <c r="I55" s="481" t="s">
        <v>2077</v>
      </c>
      <c r="J55" s="481" t="s">
        <v>2075</v>
      </c>
      <c r="K55" s="481">
        <v>0.04</v>
      </c>
      <c r="L55" s="481">
        <v>29.043000000000003</v>
      </c>
    </row>
    <row r="56" spans="1:12" ht="19.899999999999999" customHeight="1">
      <c r="A56" s="511">
        <f t="shared" si="14"/>
        <v>0</v>
      </c>
      <c r="B56" s="474">
        <f t="shared" si="15"/>
        <v>0</v>
      </c>
      <c r="C56" s="474"/>
      <c r="D56" s="522">
        <f t="shared" ref="D56:D64" si="17">IFERROR(VLOOKUP(C56,T_Insumos,2,FALSE),0)</f>
        <v>0</v>
      </c>
      <c r="E56" s="466"/>
      <c r="F56" s="468">
        <f t="shared" ref="F56:F64" si="18">IFERROR(VLOOKUP(C56,T_Insumos,3,FALSE),0)</f>
        <v>0</v>
      </c>
      <c r="G56" s="468">
        <f t="shared" si="16"/>
        <v>0</v>
      </c>
    </row>
    <row r="57" spans="1:12" ht="19.899999999999999" customHeight="1">
      <c r="A57" s="511">
        <f t="shared" si="14"/>
        <v>0</v>
      </c>
      <c r="B57" s="474">
        <f t="shared" si="15"/>
        <v>0</v>
      </c>
      <c r="C57" s="474"/>
      <c r="D57" s="522">
        <f t="shared" si="17"/>
        <v>0</v>
      </c>
      <c r="E57" s="466"/>
      <c r="F57" s="468">
        <f t="shared" si="18"/>
        <v>0</v>
      </c>
      <c r="G57" s="468">
        <f t="shared" si="16"/>
        <v>0</v>
      </c>
    </row>
    <row r="58" spans="1:12" ht="19.899999999999999" customHeight="1">
      <c r="A58" s="511">
        <f t="shared" si="14"/>
        <v>0</v>
      </c>
      <c r="B58" s="474">
        <f t="shared" si="15"/>
        <v>0</v>
      </c>
      <c r="C58" s="474"/>
      <c r="D58" s="522">
        <f t="shared" si="17"/>
        <v>0</v>
      </c>
      <c r="E58" s="466"/>
      <c r="F58" s="468">
        <f t="shared" si="18"/>
        <v>0</v>
      </c>
      <c r="G58" s="468">
        <f t="shared" si="16"/>
        <v>0</v>
      </c>
    </row>
    <row r="59" spans="1:12" ht="19.899999999999999" customHeight="1">
      <c r="A59" s="511">
        <f t="shared" si="14"/>
        <v>0</v>
      </c>
      <c r="B59" s="474">
        <f t="shared" si="15"/>
        <v>0</v>
      </c>
      <c r="C59" s="474"/>
      <c r="D59" s="522">
        <f t="shared" si="17"/>
        <v>0</v>
      </c>
      <c r="E59" s="466"/>
      <c r="F59" s="468">
        <f t="shared" si="18"/>
        <v>0</v>
      </c>
      <c r="G59" s="468">
        <f t="shared" si="16"/>
        <v>0</v>
      </c>
    </row>
    <row r="60" spans="1:12" ht="19.899999999999999" customHeight="1">
      <c r="A60" s="511">
        <f t="shared" si="14"/>
        <v>0</v>
      </c>
      <c r="B60" s="474">
        <f t="shared" si="15"/>
        <v>0</v>
      </c>
      <c r="C60" s="474"/>
      <c r="D60" s="522">
        <f t="shared" si="17"/>
        <v>0</v>
      </c>
      <c r="E60" s="466"/>
      <c r="F60" s="468">
        <f t="shared" si="18"/>
        <v>0</v>
      </c>
      <c r="G60" s="468">
        <f t="shared" si="16"/>
        <v>0</v>
      </c>
    </row>
    <row r="61" spans="1:12" ht="19.899999999999999" customHeight="1">
      <c r="A61" s="511">
        <f t="shared" si="14"/>
        <v>0</v>
      </c>
      <c r="B61" s="474">
        <f t="shared" si="15"/>
        <v>0</v>
      </c>
      <c r="C61" s="474"/>
      <c r="D61" s="522">
        <f t="shared" si="17"/>
        <v>0</v>
      </c>
      <c r="E61" s="466"/>
      <c r="F61" s="468">
        <f t="shared" si="18"/>
        <v>0</v>
      </c>
      <c r="G61" s="468">
        <f t="shared" si="16"/>
        <v>0</v>
      </c>
    </row>
    <row r="62" spans="1:12" ht="19.899999999999999" customHeight="1">
      <c r="A62" s="511">
        <f t="shared" si="14"/>
        <v>0</v>
      </c>
      <c r="B62" s="474">
        <f t="shared" si="15"/>
        <v>0</v>
      </c>
      <c r="C62" s="474"/>
      <c r="D62" s="522">
        <f t="shared" si="17"/>
        <v>0</v>
      </c>
      <c r="E62" s="466"/>
      <c r="F62" s="468">
        <f t="shared" si="18"/>
        <v>0</v>
      </c>
      <c r="G62" s="468">
        <f t="shared" si="16"/>
        <v>0</v>
      </c>
    </row>
    <row r="63" spans="1:12" ht="19.899999999999999" customHeight="1">
      <c r="A63" s="511">
        <f t="shared" si="14"/>
        <v>0</v>
      </c>
      <c r="B63" s="474">
        <f t="shared" si="15"/>
        <v>0</v>
      </c>
      <c r="C63" s="474"/>
      <c r="D63" s="522">
        <f t="shared" si="17"/>
        <v>0</v>
      </c>
      <c r="E63" s="466"/>
      <c r="F63" s="468">
        <f t="shared" si="18"/>
        <v>0</v>
      </c>
      <c r="G63" s="468">
        <f t="shared" si="16"/>
        <v>0</v>
      </c>
    </row>
    <row r="64" spans="1:12" ht="19.899999999999999" customHeight="1">
      <c r="A64" s="511">
        <f t="shared" si="14"/>
        <v>0</v>
      </c>
      <c r="B64" s="474">
        <f t="shared" si="15"/>
        <v>0</v>
      </c>
      <c r="C64" s="474"/>
      <c r="D64" s="522">
        <f t="shared" si="17"/>
        <v>0</v>
      </c>
      <c r="E64" s="466"/>
      <c r="F64" s="468">
        <f t="shared" si="18"/>
        <v>0</v>
      </c>
      <c r="G64" s="468">
        <f t="shared" si="16"/>
        <v>0</v>
      </c>
    </row>
    <row r="65" spans="1:8" ht="19.899999999999999" customHeight="1">
      <c r="A65" s="509"/>
      <c r="B65" s="160"/>
      <c r="C65" s="160"/>
      <c r="D65" s="455"/>
      <c r="E65" s="456"/>
      <c r="F65" s="477" t="s">
        <v>28</v>
      </c>
      <c r="G65" s="514">
        <f>SUBTOTAL(9,G54:G64)</f>
        <v>0</v>
      </c>
    </row>
    <row r="66" spans="1:8" ht="19.899999999999999" customHeight="1">
      <c r="A66" s="509"/>
      <c r="B66" s="160"/>
      <c r="C66" s="451" t="s">
        <v>1013</v>
      </c>
      <c r="D66" s="455"/>
      <c r="E66" s="456"/>
      <c r="F66" s="457"/>
      <c r="G66" s="510"/>
    </row>
    <row r="67" spans="1:8" ht="19.899999999999999" customHeight="1">
      <c r="A67" s="637" t="s">
        <v>575</v>
      </c>
      <c r="B67" s="638"/>
      <c r="C67" s="639" t="s">
        <v>0</v>
      </c>
      <c r="D67" s="639" t="s">
        <v>1864</v>
      </c>
      <c r="E67" s="641" t="s">
        <v>23</v>
      </c>
      <c r="F67" s="643" t="s">
        <v>24</v>
      </c>
      <c r="G67" s="645" t="s">
        <v>25</v>
      </c>
    </row>
    <row r="68" spans="1:8" ht="19.899999999999999" customHeight="1">
      <c r="A68" s="473" t="s">
        <v>576</v>
      </c>
      <c r="B68" s="473" t="s">
        <v>577</v>
      </c>
      <c r="C68" s="640"/>
      <c r="D68" s="640"/>
      <c r="E68" s="642"/>
      <c r="F68" s="644"/>
      <c r="G68" s="646"/>
    </row>
    <row r="69" spans="1:8" ht="19.899999999999999" customHeight="1">
      <c r="A69" s="511">
        <f>IFERROR(VLOOKUP(C69,T_Insumos,4,FALSE),0)</f>
        <v>0</v>
      </c>
      <c r="B69" s="474">
        <f>IFERROR(VLOOKUP(C69,T_Insumos,5,FALSE),0)</f>
        <v>0</v>
      </c>
      <c r="C69" s="465"/>
      <c r="D69" s="522">
        <f>IF(C69=0,0,"$/tnkm")</f>
        <v>0</v>
      </c>
      <c r="E69" s="466"/>
      <c r="F69" s="468">
        <f>IFERROR(VLOOKUP(C69,T_Insumos,3,FALSE),0)</f>
        <v>0</v>
      </c>
      <c r="G69" s="468">
        <f>ROUND(E69*F69,2)</f>
        <v>0</v>
      </c>
    </row>
    <row r="70" spans="1:8" ht="19.899999999999999" customHeight="1">
      <c r="A70" s="511">
        <f>IFERROR(VLOOKUP(C70,T_Insumos,4,FALSE),0)</f>
        <v>0</v>
      </c>
      <c r="B70" s="474">
        <f>IFERROR(VLOOKUP(C70,T_Insumos,5,FALSE),0)</f>
        <v>0</v>
      </c>
      <c r="C70" s="465"/>
      <c r="D70" s="522">
        <f>IF(C70=0,0,"$/tnkm")</f>
        <v>0</v>
      </c>
      <c r="E70" s="482"/>
      <c r="F70" s="468">
        <f>IFERROR(VLOOKUP(C70,T_Insumos,3,FALSE),0)</f>
        <v>0</v>
      </c>
      <c r="G70" s="468">
        <f t="shared" ref="G70" si="19">ROUND(E70*F70,2)</f>
        <v>0</v>
      </c>
    </row>
    <row r="71" spans="1:8" ht="19.899999999999999" customHeight="1">
      <c r="A71" s="509"/>
      <c r="B71" s="160"/>
      <c r="C71" s="160"/>
      <c r="D71" s="455"/>
      <c r="E71" s="456"/>
      <c r="F71" s="477" t="s">
        <v>1014</v>
      </c>
      <c r="G71" s="514">
        <f>SUBTOTAL(9,G69:G70)</f>
        <v>0</v>
      </c>
      <c r="H71" s="57"/>
    </row>
    <row r="72" spans="1:8" ht="19.899999999999999" customHeight="1">
      <c r="A72" s="512"/>
      <c r="B72" s="455"/>
      <c r="C72" s="160"/>
      <c r="D72" s="455"/>
      <c r="E72" s="456"/>
      <c r="F72" s="457"/>
      <c r="G72" s="510"/>
      <c r="H72" s="57"/>
    </row>
    <row r="73" spans="1:8" ht="19.899999999999999" customHeight="1">
      <c r="A73" s="570">
        <f>B7</f>
        <v>1.1000000000000001</v>
      </c>
      <c r="B73" s="567" t="str">
        <f ca="1">C7</f>
        <v>Limpieza, replanteo y nivelacion</v>
      </c>
      <c r="C73" s="455"/>
      <c r="D73" s="455" t="s">
        <v>1830</v>
      </c>
      <c r="E73" s="568"/>
      <c r="F73" s="569" t="str">
        <f ca="1">"$/"&amp;G7</f>
        <v>$/m2</v>
      </c>
      <c r="G73" s="519">
        <f>SUBTOTAL(9,G30:G72)</f>
        <v>0</v>
      </c>
      <c r="H73" s="57"/>
    </row>
    <row r="74" spans="1:8" ht="19.899999999999999" customHeight="1">
      <c r="A74" s="515"/>
      <c r="B74" s="516"/>
      <c r="C74" s="517"/>
      <c r="D74" s="517" t="s">
        <v>2040</v>
      </c>
      <c r="E74" s="518"/>
      <c r="F74" s="571" t="str">
        <f ca="1">"$/"&amp;G7</f>
        <v>$/m2</v>
      </c>
      <c r="G74" s="519">
        <f>ROUND(G73*Coeficiente_Paso,2)</f>
        <v>0</v>
      </c>
      <c r="H74" s="57"/>
    </row>
    <row r="75" spans="1:8" ht="19.899999999999999" customHeight="1">
      <c r="A75" s="160"/>
      <c r="B75" s="160"/>
      <c r="C75" s="160"/>
      <c r="D75" s="160"/>
      <c r="E75" s="160"/>
      <c r="F75" s="160"/>
      <c r="G75" s="160"/>
      <c r="H75" s="57"/>
    </row>
    <row r="76" spans="1:8" ht="19.899999999999999" customHeight="1">
      <c r="A76" s="633" t="s">
        <v>30</v>
      </c>
      <c r="B76" s="634"/>
      <c r="C76" s="634"/>
      <c r="D76" s="634"/>
      <c r="E76" s="634"/>
      <c r="F76" s="634"/>
      <c r="G76" s="635"/>
    </row>
    <row r="77" spans="1:8" ht="19.899999999999999" customHeight="1">
      <c r="A77" s="498" t="s">
        <v>710</v>
      </c>
      <c r="B77" s="449" t="str">
        <f>Comitente</f>
        <v>DEPARTAMENTO DE HIDRAULICA</v>
      </c>
      <c r="C77" s="450"/>
      <c r="D77" s="451"/>
      <c r="E77" s="451"/>
      <c r="F77" s="452"/>
      <c r="G77" s="499"/>
    </row>
    <row r="78" spans="1:8" ht="19.899999999999999" customHeight="1">
      <c r="A78" s="498" t="s">
        <v>711</v>
      </c>
      <c r="B78" s="449">
        <f>Contratista</f>
        <v>0</v>
      </c>
      <c r="C78" s="453"/>
      <c r="D78" s="453"/>
      <c r="E78" s="453"/>
      <c r="F78" s="449"/>
      <c r="G78" s="500"/>
    </row>
    <row r="79" spans="1:8" ht="19.899999999999999" customHeight="1">
      <c r="A79" s="498" t="s">
        <v>20</v>
      </c>
      <c r="B79" s="449" t="str">
        <f>Obra</f>
        <v>EJECUCION DE PERFORACION - SISTEMA DE RIEGO</v>
      </c>
      <c r="C79" s="453"/>
      <c r="D79" s="453"/>
      <c r="E79" s="453"/>
      <c r="F79" s="449" t="s">
        <v>31</v>
      </c>
      <c r="G79" s="500">
        <f>Fecha_Base</f>
        <v>0</v>
      </c>
    </row>
    <row r="80" spans="1:8" ht="19.899999999999999" customHeight="1">
      <c r="A80" s="501" t="s">
        <v>709</v>
      </c>
      <c r="B80" s="454" t="str">
        <f>Ubicación</f>
        <v>DEPARTAMENTO CHIMBAS</v>
      </c>
      <c r="C80" s="454"/>
      <c r="D80" s="455"/>
      <c r="E80" s="456"/>
      <c r="F80" s="457"/>
      <c r="G80" s="502"/>
    </row>
    <row r="81" spans="1:7" ht="19.899999999999999" customHeight="1">
      <c r="A81" s="501" t="s">
        <v>32</v>
      </c>
      <c r="B81" s="458">
        <f>IFERROR(VALUE(LEFT(B82,FIND(".",B82)-1)),"")</f>
        <v>1</v>
      </c>
      <c r="C81" s="160" t="str">
        <f ca="1">IFERROR(VLOOKUP(B81,T_Computo_Presupuesto,2,FALSE),0)</f>
        <v>PERFORACION PROPIAMENTE DICHA</v>
      </c>
      <c r="D81" s="160"/>
      <c r="E81" s="456"/>
      <c r="F81" s="457"/>
      <c r="G81" s="502"/>
    </row>
    <row r="82" spans="1:7" ht="19.899999999999999" customHeight="1">
      <c r="A82" s="501" t="s">
        <v>21</v>
      </c>
      <c r="B82" s="459">
        <f>IFERROR(VLOOKUP(COUNTIF($A$1:A82,"ANALISIS DE PRECIOS"),T_NumeroItem,2,FALSE),"")</f>
        <v>1.2</v>
      </c>
      <c r="C82" s="636" t="str">
        <f ca="1">IFERROR(VLOOKUP(B82,T_Computo_Presupuesto,2,FALSE),0)</f>
        <v>Perfilaje, limpieza, ensayos y desarrollo</v>
      </c>
      <c r="D82" s="636"/>
      <c r="E82" s="636"/>
      <c r="F82" s="454" t="s">
        <v>22</v>
      </c>
      <c r="G82" s="503" t="str">
        <f ca="1">IFERROR(VLOOKUP(B82,T_Computo_Presupuesto,4,FALSE),0)</f>
        <v>m</v>
      </c>
    </row>
    <row r="83" spans="1:7" ht="19.899999999999999" customHeight="1">
      <c r="A83" s="501"/>
      <c r="B83" s="454"/>
      <c r="C83" s="160"/>
      <c r="D83" s="455"/>
      <c r="E83" s="456"/>
      <c r="F83" s="160"/>
      <c r="G83" s="504"/>
    </row>
    <row r="84" spans="1:7" ht="19.899999999999999" customHeight="1">
      <c r="A84" s="505"/>
      <c r="B84" s="460"/>
      <c r="C84" s="461" t="s">
        <v>997</v>
      </c>
      <c r="D84" s="460"/>
      <c r="E84" s="460"/>
      <c r="F84" s="460"/>
      <c r="G84" s="506"/>
    </row>
    <row r="85" spans="1:7" ht="19.899999999999999" customHeight="1">
      <c r="A85" s="501"/>
      <c r="B85" s="462"/>
      <c r="C85" s="160"/>
      <c r="D85" s="455"/>
      <c r="E85" s="456"/>
      <c r="F85" s="454"/>
      <c r="G85" s="503"/>
    </row>
    <row r="86" spans="1:7" ht="19.899999999999999" customHeight="1">
      <c r="A86" s="501"/>
      <c r="B86" s="462"/>
      <c r="C86" s="463" t="s">
        <v>998</v>
      </c>
      <c r="D86" s="464" t="s">
        <v>23</v>
      </c>
      <c r="E86" s="464" t="s">
        <v>999</v>
      </c>
      <c r="F86" s="464" t="s">
        <v>1000</v>
      </c>
      <c r="G86" s="463" t="s">
        <v>1001</v>
      </c>
    </row>
    <row r="87" spans="1:7" ht="19.899999999999999" customHeight="1">
      <c r="A87" s="501"/>
      <c r="B87" s="462"/>
      <c r="C87" s="465"/>
      <c r="D87" s="466"/>
      <c r="E87" s="467"/>
      <c r="F87" s="468"/>
      <c r="G87" s="468">
        <f>ROUND(D87*F87,2)</f>
        <v>0</v>
      </c>
    </row>
    <row r="88" spans="1:7" ht="19.899999999999999" customHeight="1">
      <c r="A88" s="501"/>
      <c r="B88" s="462"/>
      <c r="C88" s="465"/>
      <c r="D88" s="466"/>
      <c r="E88" s="467"/>
      <c r="F88" s="468"/>
      <c r="G88" s="468">
        <f>ROUND(D88*F88,2)</f>
        <v>0</v>
      </c>
    </row>
    <row r="89" spans="1:7" ht="19.899999999999999" customHeight="1">
      <c r="A89" s="501"/>
      <c r="B89" s="462"/>
      <c r="C89" s="465"/>
      <c r="D89" s="466"/>
      <c r="E89" s="467"/>
      <c r="F89" s="468"/>
      <c r="G89" s="468">
        <f>ROUND(D89*F89,2)</f>
        <v>0</v>
      </c>
    </row>
    <row r="90" spans="1:7" ht="19.899999999999999" customHeight="1">
      <c r="A90" s="501"/>
      <c r="B90" s="462"/>
      <c r="C90" s="465"/>
      <c r="D90" s="466"/>
      <c r="E90" s="467"/>
      <c r="F90" s="468"/>
      <c r="G90" s="468">
        <f>ROUND(D90*F90,2)</f>
        <v>0</v>
      </c>
    </row>
    <row r="91" spans="1:7" ht="19.899999999999999" customHeight="1">
      <c r="A91" s="501"/>
      <c r="B91" s="462"/>
      <c r="C91" s="465"/>
      <c r="D91" s="466"/>
      <c r="E91" s="467"/>
      <c r="F91" s="468"/>
      <c r="G91" s="468">
        <f t="shared" ref="G91:G96" si="20">ROUND(D91*F91,2)</f>
        <v>0</v>
      </c>
    </row>
    <row r="92" spans="1:7" ht="19.899999999999999" customHeight="1">
      <c r="A92" s="501"/>
      <c r="B92" s="462"/>
      <c r="C92" s="465"/>
      <c r="D92" s="466"/>
      <c r="E92" s="467">
        <f t="shared" ref="E92:E96" si="21">IFERROR(VLOOKUP(C92,T_Equipos,4,FALSE),0)</f>
        <v>0</v>
      </c>
      <c r="F92" s="468">
        <f t="shared" ref="F92:F96" si="22">IFERROR(VLOOKUP(C92,T_Equipos,5,FALSE),0)</f>
        <v>0</v>
      </c>
      <c r="G92" s="468">
        <f t="shared" si="20"/>
        <v>0</v>
      </c>
    </row>
    <row r="93" spans="1:7" ht="19.899999999999999" customHeight="1">
      <c r="A93" s="501"/>
      <c r="B93" s="462"/>
      <c r="C93" s="465"/>
      <c r="D93" s="466"/>
      <c r="E93" s="467">
        <f t="shared" si="21"/>
        <v>0</v>
      </c>
      <c r="F93" s="468">
        <f t="shared" si="22"/>
        <v>0</v>
      </c>
      <c r="G93" s="468">
        <f t="shared" si="20"/>
        <v>0</v>
      </c>
    </row>
    <row r="94" spans="1:7" ht="19.899999999999999" customHeight="1">
      <c r="A94" s="501"/>
      <c r="B94" s="462"/>
      <c r="C94" s="465"/>
      <c r="D94" s="466"/>
      <c r="E94" s="467">
        <f t="shared" si="21"/>
        <v>0</v>
      </c>
      <c r="F94" s="468">
        <f t="shared" si="22"/>
        <v>0</v>
      </c>
      <c r="G94" s="468">
        <f t="shared" si="20"/>
        <v>0</v>
      </c>
    </row>
    <row r="95" spans="1:7" ht="19.899999999999999" customHeight="1">
      <c r="A95" s="501"/>
      <c r="B95" s="462"/>
      <c r="C95" s="465"/>
      <c r="D95" s="466"/>
      <c r="E95" s="467">
        <f t="shared" si="21"/>
        <v>0</v>
      </c>
      <c r="F95" s="468">
        <f t="shared" si="22"/>
        <v>0</v>
      </c>
      <c r="G95" s="468">
        <f t="shared" si="20"/>
        <v>0</v>
      </c>
    </row>
    <row r="96" spans="1:7" ht="19.899999999999999" customHeight="1">
      <c r="A96" s="501"/>
      <c r="B96" s="462"/>
      <c r="C96" s="465"/>
      <c r="D96" s="466"/>
      <c r="E96" s="467">
        <f t="shared" si="21"/>
        <v>0</v>
      </c>
      <c r="F96" s="468">
        <f t="shared" si="22"/>
        <v>0</v>
      </c>
      <c r="G96" s="468">
        <f t="shared" si="20"/>
        <v>0</v>
      </c>
    </row>
    <row r="97" spans="1:7" ht="19.899999999999999" customHeight="1">
      <c r="A97" s="501"/>
      <c r="B97" s="462"/>
      <c r="C97" s="160"/>
      <c r="D97" s="160"/>
      <c r="E97" s="469"/>
      <c r="F97" s="454"/>
      <c r="G97" s="503"/>
    </row>
    <row r="98" spans="1:7" ht="19.899999999999999" customHeight="1">
      <c r="A98" s="501"/>
      <c r="B98" s="160"/>
      <c r="C98" s="451" t="s">
        <v>1002</v>
      </c>
      <c r="D98" s="454" t="s">
        <v>999</v>
      </c>
      <c r="E98" s="520">
        <f>SUMPRODUCT(D87:D96,E87:E96)</f>
        <v>0</v>
      </c>
      <c r="F98" s="454" t="s">
        <v>1003</v>
      </c>
      <c r="G98" s="521">
        <f>SUM(G87:G96)</f>
        <v>0</v>
      </c>
    </row>
    <row r="99" spans="1:7" ht="19.899999999999999" customHeight="1">
      <c r="A99" s="501"/>
      <c r="B99" s="462"/>
      <c r="C99" s="470"/>
      <c r="D99" s="469"/>
      <c r="E99" s="456"/>
      <c r="F99" s="454"/>
      <c r="G99" s="507"/>
    </row>
    <row r="100" spans="1:7" ht="19.899999999999999" customHeight="1">
      <c r="A100" s="508"/>
      <c r="B100" s="462"/>
      <c r="C100" s="454" t="s">
        <v>1004</v>
      </c>
      <c r="D100" s="471"/>
      <c r="E100" s="472" t="str">
        <f ca="1">G82&amp;"/día"</f>
        <v>m/día</v>
      </c>
      <c r="F100" s="448"/>
      <c r="G100" s="503"/>
    </row>
    <row r="101" spans="1:7" ht="19.899999999999999" customHeight="1">
      <c r="A101" s="501"/>
      <c r="B101" s="462"/>
      <c r="C101" s="160"/>
      <c r="D101" s="455"/>
      <c r="E101" s="456"/>
      <c r="F101" s="454"/>
      <c r="G101" s="503"/>
    </row>
    <row r="102" spans="1:7" ht="19.899999999999999" customHeight="1">
      <c r="A102" s="637" t="s">
        <v>575</v>
      </c>
      <c r="B102" s="638"/>
      <c r="C102" s="639" t="s">
        <v>0</v>
      </c>
      <c r="D102" s="647" t="s">
        <v>1863</v>
      </c>
      <c r="E102" s="647" t="s">
        <v>1862</v>
      </c>
      <c r="F102" s="643" t="s">
        <v>1005</v>
      </c>
      <c r="G102" s="645" t="s">
        <v>25</v>
      </c>
    </row>
    <row r="103" spans="1:7" ht="19.899999999999999" customHeight="1">
      <c r="A103" s="473" t="s">
        <v>576</v>
      </c>
      <c r="B103" s="473" t="s">
        <v>577</v>
      </c>
      <c r="C103" s="640"/>
      <c r="D103" s="648"/>
      <c r="E103" s="642"/>
      <c r="F103" s="644"/>
      <c r="G103" s="646"/>
    </row>
    <row r="104" spans="1:7" ht="19.899999999999999" customHeight="1">
      <c r="A104" s="509"/>
      <c r="B104" s="160"/>
      <c r="C104" s="451" t="s">
        <v>1006</v>
      </c>
      <c r="D104" s="456"/>
      <c r="E104" s="456"/>
      <c r="F104" s="160"/>
      <c r="G104" s="510"/>
    </row>
    <row r="105" spans="1:7" ht="19.899999999999999" customHeight="1">
      <c r="A105" s="511">
        <f t="shared" ref="A105:A113" si="23">IFERROR(VLOOKUP(C105,T_Insumos,4,FALSE),0)</f>
        <v>0</v>
      </c>
      <c r="B105" s="474">
        <f t="shared" ref="B105:B113" si="24">IFERROR(VLOOKUP(C105,T_Insumos,5,FALSE),0)</f>
        <v>0</v>
      </c>
      <c r="C105" s="465"/>
      <c r="D105" s="475"/>
      <c r="E105" s="468">
        <f>D105*$G$98</f>
        <v>0</v>
      </c>
      <c r="F105" s="471">
        <f>$D$100</f>
        <v>0</v>
      </c>
      <c r="G105" s="468">
        <f>IFERROR(ROUND(E105/F105,2),0)</f>
        <v>0</v>
      </c>
    </row>
    <row r="106" spans="1:7" ht="19.899999999999999" customHeight="1">
      <c r="A106" s="511"/>
      <c r="B106" s="474"/>
      <c r="C106" s="465"/>
      <c r="D106" s="475"/>
      <c r="E106" s="468">
        <f>D106*$G$98</f>
        <v>0</v>
      </c>
      <c r="F106" s="471">
        <f t="shared" ref="F106:F108" si="25">$D$100</f>
        <v>0</v>
      </c>
      <c r="G106" s="468">
        <f t="shared" ref="G106:G113" si="26">IFERROR(ROUND(E106/F106,2),0)</f>
        <v>0</v>
      </c>
    </row>
    <row r="107" spans="1:7" ht="19.899999999999999" customHeight="1">
      <c r="A107" s="511">
        <f t="shared" si="23"/>
        <v>0</v>
      </c>
      <c r="B107" s="474">
        <f t="shared" si="24"/>
        <v>0</v>
      </c>
      <c r="C107" s="476"/>
      <c r="D107" s="475"/>
      <c r="E107" s="468">
        <f>D107*$E$98</f>
        <v>0</v>
      </c>
      <c r="F107" s="471">
        <f t="shared" si="25"/>
        <v>0</v>
      </c>
      <c r="G107" s="468">
        <f t="shared" si="26"/>
        <v>0</v>
      </c>
    </row>
    <row r="108" spans="1:7" ht="19.899999999999999" customHeight="1">
      <c r="A108" s="511">
        <f t="shared" si="23"/>
        <v>0</v>
      </c>
      <c r="B108" s="474">
        <f t="shared" si="24"/>
        <v>0</v>
      </c>
      <c r="C108" s="476"/>
      <c r="D108" s="475"/>
      <c r="E108" s="468">
        <f>D108*$E$98</f>
        <v>0</v>
      </c>
      <c r="F108" s="471">
        <f t="shared" si="25"/>
        <v>0</v>
      </c>
      <c r="G108" s="468">
        <f t="shared" si="26"/>
        <v>0</v>
      </c>
    </row>
    <row r="109" spans="1:7" ht="19.899999999999999" customHeight="1">
      <c r="A109" s="511">
        <f t="shared" si="23"/>
        <v>0</v>
      </c>
      <c r="B109" s="474">
        <f t="shared" si="24"/>
        <v>0</v>
      </c>
      <c r="C109" s="476"/>
      <c r="D109" s="475">
        <f t="shared" ref="D109:D113" si="27">IFERROR(VLOOKUP(C109,T_Insumos,3,FALSE),0)</f>
        <v>0</v>
      </c>
      <c r="E109" s="468"/>
      <c r="F109" s="471">
        <f>IF(C109="",0,IFERROR(VLOOKUP(COUNTIF($A$1:A109,"ANALISIS DE PRECIOS"),T_Rendimiento_Equipo,5,FALSE),0))</f>
        <v>0</v>
      </c>
      <c r="G109" s="468">
        <f t="shared" si="26"/>
        <v>0</v>
      </c>
    </row>
    <row r="110" spans="1:7" ht="19.899999999999999" customHeight="1">
      <c r="A110" s="511">
        <f t="shared" si="23"/>
        <v>0</v>
      </c>
      <c r="B110" s="474">
        <f t="shared" si="24"/>
        <v>0</v>
      </c>
      <c r="C110" s="476"/>
      <c r="D110" s="475">
        <f t="shared" si="27"/>
        <v>0</v>
      </c>
      <c r="E110" s="468"/>
      <c r="F110" s="471">
        <f>IF(C110="",0,IFERROR(VLOOKUP(COUNTIF($A$1:A110,"ANALISIS DE PRECIOS"),T_Rendimiento_Equipo,5,FALSE),0))</f>
        <v>0</v>
      </c>
      <c r="G110" s="468">
        <f t="shared" si="26"/>
        <v>0</v>
      </c>
    </row>
    <row r="111" spans="1:7" ht="19.899999999999999" customHeight="1">
      <c r="A111" s="511">
        <f t="shared" si="23"/>
        <v>0</v>
      </c>
      <c r="B111" s="474">
        <f t="shared" si="24"/>
        <v>0</v>
      </c>
      <c r="C111" s="476"/>
      <c r="D111" s="475">
        <f t="shared" si="27"/>
        <v>0</v>
      </c>
      <c r="E111" s="468"/>
      <c r="F111" s="471">
        <f>IF(C111="",0,IFERROR(VLOOKUP(COUNTIF($A$1:A111,"ANALISIS DE PRECIOS"),T_Rendimiento_Equipo,5,FALSE),0))</f>
        <v>0</v>
      </c>
      <c r="G111" s="468">
        <f t="shared" si="26"/>
        <v>0</v>
      </c>
    </row>
    <row r="112" spans="1:7" ht="19.899999999999999" customHeight="1">
      <c r="A112" s="511">
        <f t="shared" si="23"/>
        <v>0</v>
      </c>
      <c r="B112" s="474">
        <f t="shared" si="24"/>
        <v>0</v>
      </c>
      <c r="C112" s="476"/>
      <c r="D112" s="475">
        <f t="shared" si="27"/>
        <v>0</v>
      </c>
      <c r="E112" s="468"/>
      <c r="F112" s="471">
        <f>IF(C112="",0,IFERROR(VLOOKUP(COUNTIF($A$1:A112,"ANALISIS DE PRECIOS"),T_Rendimiento_Equipo,5,FALSE),0))</f>
        <v>0</v>
      </c>
      <c r="G112" s="468">
        <f t="shared" si="26"/>
        <v>0</v>
      </c>
    </row>
    <row r="113" spans="1:7" ht="19.899999999999999" customHeight="1">
      <c r="A113" s="511">
        <f t="shared" si="23"/>
        <v>0</v>
      </c>
      <c r="B113" s="474">
        <f t="shared" si="24"/>
        <v>0</v>
      </c>
      <c r="C113" s="465"/>
      <c r="D113" s="475">
        <f t="shared" si="27"/>
        <v>0</v>
      </c>
      <c r="E113" s="468"/>
      <c r="F113" s="471">
        <f>IF(C113="",0,IFERROR(VLOOKUP(COUNTIF($A$1:A113,"ANALISIS DE PRECIOS"),T_Rendimiento_Equipo,5,FALSE),0))</f>
        <v>0</v>
      </c>
      <c r="G113" s="468">
        <f t="shared" si="26"/>
        <v>0</v>
      </c>
    </row>
    <row r="114" spans="1:7" ht="19.899999999999999" customHeight="1">
      <c r="A114" s="512"/>
      <c r="B114" s="455"/>
      <c r="C114" s="160"/>
      <c r="D114" s="455"/>
      <c r="E114" s="456"/>
      <c r="F114" s="477" t="s">
        <v>26</v>
      </c>
      <c r="G114" s="513">
        <f>SUBTOTAL(9,G105:G113)</f>
        <v>0</v>
      </c>
    </row>
    <row r="115" spans="1:7" ht="19.899999999999999" customHeight="1">
      <c r="A115" s="509"/>
      <c r="B115" s="160"/>
      <c r="C115" s="451" t="s">
        <v>712</v>
      </c>
      <c r="D115" s="455"/>
      <c r="E115" s="456"/>
      <c r="F115" s="457"/>
      <c r="G115" s="510"/>
    </row>
    <row r="116" spans="1:7" ht="19.899999999999999" customHeight="1">
      <c r="A116" s="637" t="s">
        <v>575</v>
      </c>
      <c r="B116" s="638"/>
      <c r="C116" s="639" t="s">
        <v>0</v>
      </c>
      <c r="D116" s="641" t="s">
        <v>23</v>
      </c>
      <c r="E116" s="641" t="s">
        <v>1829</v>
      </c>
      <c r="F116" s="643" t="s">
        <v>1005</v>
      </c>
      <c r="G116" s="645" t="s">
        <v>25</v>
      </c>
    </row>
    <row r="117" spans="1:7" ht="19.899999999999999" customHeight="1">
      <c r="A117" s="473" t="s">
        <v>576</v>
      </c>
      <c r="B117" s="473" t="s">
        <v>577</v>
      </c>
      <c r="C117" s="640"/>
      <c r="D117" s="642"/>
      <c r="E117" s="642"/>
      <c r="F117" s="644"/>
      <c r="G117" s="646"/>
    </row>
    <row r="118" spans="1:7" ht="19.899999999999999" customHeight="1">
      <c r="A118" s="511"/>
      <c r="B118" s="474"/>
      <c r="C118" s="478"/>
      <c r="D118" s="471"/>
      <c r="E118" s="468"/>
      <c r="F118" s="471">
        <f t="shared" ref="F118:F121" si="28">$D$100</f>
        <v>0</v>
      </c>
      <c r="G118" s="468">
        <f>IFERROR(ROUND(D118*E118/F118,2),0)</f>
        <v>0</v>
      </c>
    </row>
    <row r="119" spans="1:7" ht="19.899999999999999" customHeight="1">
      <c r="A119" s="511"/>
      <c r="B119" s="474"/>
      <c r="C119" s="465"/>
      <c r="D119" s="471"/>
      <c r="E119" s="468"/>
      <c r="F119" s="471">
        <f t="shared" si="28"/>
        <v>0</v>
      </c>
      <c r="G119" s="468">
        <f t="shared" ref="G119:G124" si="29">IFERROR(ROUND(D119*E119/F119,2),0)</f>
        <v>0</v>
      </c>
    </row>
    <row r="120" spans="1:7" ht="19.899999999999999" customHeight="1">
      <c r="A120" s="511"/>
      <c r="B120" s="474"/>
      <c r="C120" s="465"/>
      <c r="D120" s="471"/>
      <c r="E120" s="468"/>
      <c r="F120" s="471">
        <f t="shared" si="28"/>
        <v>0</v>
      </c>
      <c r="G120" s="468">
        <f t="shared" si="29"/>
        <v>0</v>
      </c>
    </row>
    <row r="121" spans="1:7" ht="19.899999999999999" customHeight="1">
      <c r="A121" s="511"/>
      <c r="B121" s="474"/>
      <c r="C121" s="465"/>
      <c r="D121" s="471"/>
      <c r="E121" s="468"/>
      <c r="F121" s="471">
        <f t="shared" si="28"/>
        <v>0</v>
      </c>
      <c r="G121" s="468">
        <f t="shared" si="29"/>
        <v>0</v>
      </c>
    </row>
    <row r="122" spans="1:7" ht="19.899999999999999" customHeight="1">
      <c r="A122" s="511"/>
      <c r="B122" s="474"/>
      <c r="C122" s="465"/>
      <c r="D122" s="471"/>
      <c r="E122" s="468">
        <f t="shared" ref="E122" si="30">IFERROR(VLOOKUP(C122,T_Insumos,3,FALSE),0)</f>
        <v>0</v>
      </c>
      <c r="F122" s="471">
        <f>IF(C122="",0,IFERROR(VLOOKUP(COUNTIF($A$1:A122,"ANALISIS DE PRECIOS"),T_Rendimiento_Equipo,5,FALSE),0))</f>
        <v>0</v>
      </c>
      <c r="G122" s="468">
        <f t="shared" si="29"/>
        <v>0</v>
      </c>
    </row>
    <row r="123" spans="1:7" ht="19.899999999999999" customHeight="1">
      <c r="A123" s="511">
        <f t="shared" ref="A123:A124" si="31">IFERROR(VLOOKUP(C123,T_Insumos,4,FALSE),0)</f>
        <v>0</v>
      </c>
      <c r="B123" s="474">
        <f t="shared" ref="B123:B124" si="32">IFERROR(VLOOKUP(C123,T_Insumos,5,FALSE),0)</f>
        <v>0</v>
      </c>
      <c r="C123" s="465"/>
      <c r="D123" s="479"/>
      <c r="E123" s="468">
        <f>SUMPRODUCT(D118:D121,E118:E121)</f>
        <v>0</v>
      </c>
      <c r="F123" s="471">
        <f>$D$100</f>
        <v>0</v>
      </c>
      <c r="G123" s="468">
        <f t="shared" si="29"/>
        <v>0</v>
      </c>
    </row>
    <row r="124" spans="1:7" ht="19.899999999999999" customHeight="1">
      <c r="A124" s="511">
        <f t="shared" si="31"/>
        <v>0</v>
      </c>
      <c r="B124" s="474">
        <f t="shared" si="32"/>
        <v>0</v>
      </c>
      <c r="C124" s="474"/>
      <c r="D124" s="480"/>
      <c r="E124" s="468">
        <f t="shared" ref="E124" si="33">IFERROR(VLOOKUP(C124,T_Insumos,3,FALSE),0)</f>
        <v>0</v>
      </c>
      <c r="F124" s="471">
        <f>IF(C124="",0,IFERROR(VLOOKUP(COUNTIF($A$1:A124,"ANALISIS DE PRECIOS"),T_Rendimiento_Equipo,5,FALSE),0))</f>
        <v>0</v>
      </c>
      <c r="G124" s="468">
        <f t="shared" si="29"/>
        <v>0</v>
      </c>
    </row>
    <row r="125" spans="1:7" ht="19.899999999999999" customHeight="1">
      <c r="A125" s="512"/>
      <c r="B125" s="455"/>
      <c r="C125" s="160"/>
      <c r="D125" s="455"/>
      <c r="E125" s="456"/>
      <c r="F125" s="477" t="s">
        <v>27</v>
      </c>
      <c r="G125" s="514">
        <f>SUBTOTAL(9,G118:G124)</f>
        <v>0</v>
      </c>
    </row>
    <row r="126" spans="1:7" ht="19.899999999999999" customHeight="1">
      <c r="A126" s="509"/>
      <c r="B126" s="160"/>
      <c r="C126" s="451" t="s">
        <v>1012</v>
      </c>
      <c r="D126" s="455"/>
      <c r="E126" s="456"/>
      <c r="F126" s="457"/>
      <c r="G126" s="510"/>
    </row>
    <row r="127" spans="1:7" ht="19.899999999999999" customHeight="1">
      <c r="A127" s="637" t="s">
        <v>575</v>
      </c>
      <c r="B127" s="638"/>
      <c r="C127" s="639" t="s">
        <v>0</v>
      </c>
      <c r="D127" s="639" t="s">
        <v>1864</v>
      </c>
      <c r="E127" s="641" t="s">
        <v>23</v>
      </c>
      <c r="F127" s="643" t="s">
        <v>24</v>
      </c>
      <c r="G127" s="645" t="s">
        <v>25</v>
      </c>
    </row>
    <row r="128" spans="1:7" ht="19.899999999999999" customHeight="1">
      <c r="A128" s="473" t="s">
        <v>576</v>
      </c>
      <c r="B128" s="473" t="s">
        <v>577</v>
      </c>
      <c r="C128" s="640"/>
      <c r="D128" s="640"/>
      <c r="E128" s="642"/>
      <c r="F128" s="644"/>
      <c r="G128" s="646"/>
    </row>
    <row r="129" spans="1:7" ht="19.899999999999999" customHeight="1">
      <c r="A129" s="511">
        <f t="shared" ref="A129:A139" si="34">IFERROR(VLOOKUP(C129,T_Insumos,4,FALSE),0)</f>
        <v>0</v>
      </c>
      <c r="B129" s="474">
        <f t="shared" ref="B129:B139" si="35">IFERROR(VLOOKUP(C129,T_Insumos,5,FALSE),0)</f>
        <v>0</v>
      </c>
      <c r="C129" s="474"/>
      <c r="D129" s="522">
        <f t="shared" ref="D129:D139" si="36">IFERROR(VLOOKUP(C129,T_Insumos,2,FALSE),0)</f>
        <v>0</v>
      </c>
      <c r="E129" s="466"/>
      <c r="F129" s="468">
        <f t="shared" ref="F129:F139" si="37">IFERROR(VLOOKUP(C129,T_Insumos,3,FALSE),0)</f>
        <v>0</v>
      </c>
      <c r="G129" s="468">
        <f>ROUND(E129*F129,2)</f>
        <v>0</v>
      </c>
    </row>
    <row r="130" spans="1:7" ht="19.899999999999999" customHeight="1">
      <c r="A130" s="511">
        <f t="shared" si="34"/>
        <v>0</v>
      </c>
      <c r="B130" s="474">
        <f t="shared" si="35"/>
        <v>0</v>
      </c>
      <c r="C130" s="474"/>
      <c r="D130" s="522">
        <f t="shared" si="36"/>
        <v>0</v>
      </c>
      <c r="E130" s="466"/>
      <c r="F130" s="468">
        <f t="shared" si="37"/>
        <v>0</v>
      </c>
      <c r="G130" s="468">
        <f t="shared" ref="G130:G139" si="38">ROUND(E130*F130,2)</f>
        <v>0</v>
      </c>
    </row>
    <row r="131" spans="1:7" ht="19.899999999999999" customHeight="1">
      <c r="A131" s="511">
        <f t="shared" si="34"/>
        <v>0</v>
      </c>
      <c r="B131" s="474">
        <f t="shared" si="35"/>
        <v>0</v>
      </c>
      <c r="C131" s="474"/>
      <c r="D131" s="522">
        <f t="shared" si="36"/>
        <v>0</v>
      </c>
      <c r="E131" s="466"/>
      <c r="F131" s="468">
        <f t="shared" si="37"/>
        <v>0</v>
      </c>
      <c r="G131" s="468">
        <f t="shared" si="38"/>
        <v>0</v>
      </c>
    </row>
    <row r="132" spans="1:7" ht="19.899999999999999" customHeight="1">
      <c r="A132" s="511">
        <f t="shared" si="34"/>
        <v>0</v>
      </c>
      <c r="B132" s="474">
        <f t="shared" si="35"/>
        <v>0</v>
      </c>
      <c r="C132" s="474"/>
      <c r="D132" s="522">
        <f t="shared" si="36"/>
        <v>0</v>
      </c>
      <c r="E132" s="466"/>
      <c r="F132" s="468">
        <f t="shared" si="37"/>
        <v>0</v>
      </c>
      <c r="G132" s="468">
        <f t="shared" si="38"/>
        <v>0</v>
      </c>
    </row>
    <row r="133" spans="1:7" ht="19.899999999999999" customHeight="1">
      <c r="A133" s="511">
        <f t="shared" si="34"/>
        <v>0</v>
      </c>
      <c r="B133" s="474">
        <f t="shared" si="35"/>
        <v>0</v>
      </c>
      <c r="C133" s="474"/>
      <c r="D133" s="522">
        <f t="shared" si="36"/>
        <v>0</v>
      </c>
      <c r="E133" s="466"/>
      <c r="F133" s="468">
        <f t="shared" si="37"/>
        <v>0</v>
      </c>
      <c r="G133" s="468">
        <f t="shared" si="38"/>
        <v>0</v>
      </c>
    </row>
    <row r="134" spans="1:7" ht="19.899999999999999" customHeight="1">
      <c r="A134" s="511">
        <f t="shared" si="34"/>
        <v>0</v>
      </c>
      <c r="B134" s="474">
        <f t="shared" si="35"/>
        <v>0</v>
      </c>
      <c r="C134" s="474"/>
      <c r="D134" s="522">
        <f t="shared" si="36"/>
        <v>0</v>
      </c>
      <c r="E134" s="466"/>
      <c r="F134" s="468">
        <f t="shared" si="37"/>
        <v>0</v>
      </c>
      <c r="G134" s="468">
        <f t="shared" si="38"/>
        <v>0</v>
      </c>
    </row>
    <row r="135" spans="1:7" ht="19.899999999999999" customHeight="1">
      <c r="A135" s="511">
        <f t="shared" si="34"/>
        <v>0</v>
      </c>
      <c r="B135" s="474">
        <f t="shared" si="35"/>
        <v>0</v>
      </c>
      <c r="C135" s="474"/>
      <c r="D135" s="522">
        <f t="shared" si="36"/>
        <v>0</v>
      </c>
      <c r="E135" s="466"/>
      <c r="F135" s="468">
        <f t="shared" si="37"/>
        <v>0</v>
      </c>
      <c r="G135" s="468">
        <f t="shared" si="38"/>
        <v>0</v>
      </c>
    </row>
    <row r="136" spans="1:7" ht="19.899999999999999" customHeight="1">
      <c r="A136" s="511">
        <f t="shared" si="34"/>
        <v>0</v>
      </c>
      <c r="B136" s="474">
        <f t="shared" si="35"/>
        <v>0</v>
      </c>
      <c r="C136" s="474"/>
      <c r="D136" s="522">
        <f t="shared" si="36"/>
        <v>0</v>
      </c>
      <c r="E136" s="466"/>
      <c r="F136" s="468">
        <f t="shared" si="37"/>
        <v>0</v>
      </c>
      <c r="G136" s="468">
        <f t="shared" si="38"/>
        <v>0</v>
      </c>
    </row>
    <row r="137" spans="1:7" ht="19.899999999999999" customHeight="1">
      <c r="A137" s="511">
        <f t="shared" si="34"/>
        <v>0</v>
      </c>
      <c r="B137" s="474">
        <f t="shared" si="35"/>
        <v>0</v>
      </c>
      <c r="C137" s="474"/>
      <c r="D137" s="522">
        <f t="shared" si="36"/>
        <v>0</v>
      </c>
      <c r="E137" s="466"/>
      <c r="F137" s="468">
        <f t="shared" si="37"/>
        <v>0</v>
      </c>
      <c r="G137" s="468">
        <f t="shared" si="38"/>
        <v>0</v>
      </c>
    </row>
    <row r="138" spans="1:7" ht="19.899999999999999" customHeight="1">
      <c r="A138" s="511">
        <f t="shared" si="34"/>
        <v>0</v>
      </c>
      <c r="B138" s="474">
        <f t="shared" si="35"/>
        <v>0</v>
      </c>
      <c r="C138" s="474"/>
      <c r="D138" s="522">
        <f t="shared" si="36"/>
        <v>0</v>
      </c>
      <c r="E138" s="466"/>
      <c r="F138" s="468">
        <f t="shared" si="37"/>
        <v>0</v>
      </c>
      <c r="G138" s="468">
        <f t="shared" si="38"/>
        <v>0</v>
      </c>
    </row>
    <row r="139" spans="1:7" ht="19.899999999999999" customHeight="1">
      <c r="A139" s="511">
        <f t="shared" si="34"/>
        <v>0</v>
      </c>
      <c r="B139" s="474">
        <f t="shared" si="35"/>
        <v>0</v>
      </c>
      <c r="C139" s="474"/>
      <c r="D139" s="522">
        <f t="shared" si="36"/>
        <v>0</v>
      </c>
      <c r="E139" s="466"/>
      <c r="F139" s="468">
        <f t="shared" si="37"/>
        <v>0</v>
      </c>
      <c r="G139" s="468">
        <f t="shared" si="38"/>
        <v>0</v>
      </c>
    </row>
    <row r="140" spans="1:7" ht="19.899999999999999" customHeight="1">
      <c r="A140" s="509"/>
      <c r="B140" s="160"/>
      <c r="C140" s="160"/>
      <c r="D140" s="455"/>
      <c r="E140" s="456"/>
      <c r="F140" s="477" t="s">
        <v>28</v>
      </c>
      <c r="G140" s="514">
        <f>SUBTOTAL(9,G129:G139)</f>
        <v>0</v>
      </c>
    </row>
    <row r="141" spans="1:7" ht="19.899999999999999" customHeight="1">
      <c r="A141" s="509"/>
      <c r="B141" s="160"/>
      <c r="C141" s="451" t="s">
        <v>1013</v>
      </c>
      <c r="D141" s="455"/>
      <c r="E141" s="456"/>
      <c r="F141" s="457"/>
      <c r="G141" s="510"/>
    </row>
    <row r="142" spans="1:7" ht="19.899999999999999" customHeight="1">
      <c r="A142" s="637" t="s">
        <v>575</v>
      </c>
      <c r="B142" s="638"/>
      <c r="C142" s="639" t="s">
        <v>0</v>
      </c>
      <c r="D142" s="639" t="s">
        <v>1864</v>
      </c>
      <c r="E142" s="641" t="s">
        <v>23</v>
      </c>
      <c r="F142" s="643" t="s">
        <v>24</v>
      </c>
      <c r="G142" s="645" t="s">
        <v>25</v>
      </c>
    </row>
    <row r="143" spans="1:7" ht="19.899999999999999" customHeight="1">
      <c r="A143" s="473" t="s">
        <v>576</v>
      </c>
      <c r="B143" s="473" t="s">
        <v>577</v>
      </c>
      <c r="C143" s="640"/>
      <c r="D143" s="640"/>
      <c r="E143" s="642"/>
      <c r="F143" s="644"/>
      <c r="G143" s="646"/>
    </row>
    <row r="144" spans="1:7" ht="19.899999999999999" customHeight="1">
      <c r="A144" s="511">
        <f>IFERROR(VLOOKUP(C144,T_Insumos,4,FALSE),0)</f>
        <v>0</v>
      </c>
      <c r="B144" s="474">
        <f>IFERROR(VLOOKUP(C144,T_Insumos,5,FALSE),0)</f>
        <v>0</v>
      </c>
      <c r="C144" s="465"/>
      <c r="D144" s="522">
        <f>IF(C144=0,0,"$/tnkm")</f>
        <v>0</v>
      </c>
      <c r="E144" s="466"/>
      <c r="F144" s="468">
        <f>IFERROR(VLOOKUP(C144,T_Insumos,3,FALSE),0)</f>
        <v>0</v>
      </c>
      <c r="G144" s="468">
        <f>ROUND(E144*F144,2)</f>
        <v>0</v>
      </c>
    </row>
    <row r="145" spans="1:7" ht="19.899999999999999" customHeight="1">
      <c r="A145" s="511">
        <f>IFERROR(VLOOKUP(C145,T_Insumos,4,FALSE),0)</f>
        <v>0</v>
      </c>
      <c r="B145" s="474">
        <f>IFERROR(VLOOKUP(C145,T_Insumos,5,FALSE),0)</f>
        <v>0</v>
      </c>
      <c r="C145" s="465"/>
      <c r="D145" s="522">
        <f>IF(C145=0,0,"$/tnkm")</f>
        <v>0</v>
      </c>
      <c r="E145" s="482"/>
      <c r="F145" s="468">
        <f>IFERROR(VLOOKUP(C145,T_Insumos,3,FALSE),0)</f>
        <v>0</v>
      </c>
      <c r="G145" s="468">
        <f t="shared" ref="G145" si="39">ROUND(E145*F145,2)</f>
        <v>0</v>
      </c>
    </row>
    <row r="146" spans="1:7" ht="19.899999999999999" customHeight="1">
      <c r="A146" s="509"/>
      <c r="B146" s="160"/>
      <c r="C146" s="160"/>
      <c r="D146" s="455"/>
      <c r="E146" s="456"/>
      <c r="F146" s="477" t="s">
        <v>1014</v>
      </c>
      <c r="G146" s="514">
        <f>SUBTOTAL(9,G144:G145)</f>
        <v>0</v>
      </c>
    </row>
    <row r="147" spans="1:7" ht="19.899999999999999" customHeight="1">
      <c r="A147" s="512"/>
      <c r="B147" s="455"/>
      <c r="C147" s="160"/>
      <c r="D147" s="455"/>
      <c r="E147" s="456"/>
      <c r="F147" s="457"/>
      <c r="G147" s="510"/>
    </row>
    <row r="148" spans="1:7" ht="19.899999999999999" customHeight="1">
      <c r="A148" s="570">
        <f>B82</f>
        <v>1.2</v>
      </c>
      <c r="B148" s="567" t="str">
        <f ca="1">C82</f>
        <v>Perfilaje, limpieza, ensayos y desarrollo</v>
      </c>
      <c r="C148" s="455"/>
      <c r="D148" s="455" t="s">
        <v>1830</v>
      </c>
      <c r="E148" s="568"/>
      <c r="F148" s="569" t="str">
        <f ca="1">"$/"&amp;G82</f>
        <v>$/m</v>
      </c>
      <c r="G148" s="519">
        <f>SUBTOTAL(9,G105:G147)</f>
        <v>0</v>
      </c>
    </row>
    <row r="149" spans="1:7" ht="19.899999999999999" customHeight="1">
      <c r="A149" s="515"/>
      <c r="B149" s="516"/>
      <c r="C149" s="517"/>
      <c r="D149" s="517" t="s">
        <v>2040</v>
      </c>
      <c r="E149" s="518"/>
      <c r="F149" s="571" t="str">
        <f ca="1">"$/"&amp;G82</f>
        <v>$/m</v>
      </c>
      <c r="G149" s="519">
        <f>ROUND(G148*Coeficiente_Paso,2)</f>
        <v>0</v>
      </c>
    </row>
    <row r="150" spans="1:7" ht="19.899999999999999" customHeight="1">
      <c r="A150" s="160"/>
      <c r="B150" s="160"/>
      <c r="C150" s="160"/>
      <c r="D150" s="160"/>
      <c r="E150" s="160"/>
      <c r="F150" s="160"/>
      <c r="G150" s="160"/>
    </row>
    <row r="151" spans="1:7" ht="19.899999999999999" customHeight="1">
      <c r="A151" s="633" t="s">
        <v>30</v>
      </c>
      <c r="B151" s="634"/>
      <c r="C151" s="634"/>
      <c r="D151" s="634"/>
      <c r="E151" s="634"/>
      <c r="F151" s="634"/>
      <c r="G151" s="635"/>
    </row>
    <row r="152" spans="1:7" ht="19.899999999999999" customHeight="1">
      <c r="A152" s="498" t="s">
        <v>710</v>
      </c>
      <c r="B152" s="449" t="str">
        <f>Comitente</f>
        <v>DEPARTAMENTO DE HIDRAULICA</v>
      </c>
      <c r="C152" s="450"/>
      <c r="D152" s="451"/>
      <c r="E152" s="451"/>
      <c r="F152" s="452"/>
      <c r="G152" s="499"/>
    </row>
    <row r="153" spans="1:7" ht="19.899999999999999" customHeight="1">
      <c r="A153" s="498" t="s">
        <v>711</v>
      </c>
      <c r="B153" s="449">
        <f>Contratista</f>
        <v>0</v>
      </c>
      <c r="C153" s="453"/>
      <c r="D153" s="453"/>
      <c r="E153" s="453"/>
      <c r="F153" s="449"/>
      <c r="G153" s="500"/>
    </row>
    <row r="154" spans="1:7" ht="19.899999999999999" customHeight="1">
      <c r="A154" s="498" t="s">
        <v>20</v>
      </c>
      <c r="B154" s="449" t="str">
        <f>Obra</f>
        <v>EJECUCION DE PERFORACION - SISTEMA DE RIEGO</v>
      </c>
      <c r="C154" s="453"/>
      <c r="D154" s="453"/>
      <c r="E154" s="453"/>
      <c r="F154" s="449" t="s">
        <v>31</v>
      </c>
      <c r="G154" s="500">
        <f>Fecha_Base</f>
        <v>0</v>
      </c>
    </row>
    <row r="155" spans="1:7" ht="19.899999999999999" customHeight="1">
      <c r="A155" s="501" t="s">
        <v>709</v>
      </c>
      <c r="B155" s="454" t="str">
        <f>Ubicación</f>
        <v>DEPARTAMENTO CHIMBAS</v>
      </c>
      <c r="C155" s="454"/>
      <c r="D155" s="455"/>
      <c r="E155" s="456"/>
      <c r="F155" s="457"/>
      <c r="G155" s="502"/>
    </row>
    <row r="156" spans="1:7" ht="19.899999999999999" customHeight="1">
      <c r="A156" s="501" t="s">
        <v>32</v>
      </c>
      <c r="B156" s="458">
        <f>IFERROR(VALUE(LEFT(B157,FIND(".",B157)-1)),"")</f>
        <v>1</v>
      </c>
      <c r="C156" s="160" t="str">
        <f ca="1">IFERROR(VLOOKUP(B156,T_Computo_Presupuesto,2,FALSE),0)</f>
        <v>PERFORACION PROPIAMENTE DICHA</v>
      </c>
      <c r="D156" s="160"/>
      <c r="E156" s="456"/>
      <c r="F156" s="457"/>
      <c r="G156" s="502"/>
    </row>
    <row r="157" spans="1:7" ht="19.899999999999999" customHeight="1">
      <c r="A157" s="501" t="s">
        <v>21</v>
      </c>
      <c r="B157" s="459">
        <f>IFERROR(VLOOKUP(COUNTIF($A$1:A157,"ANALISIS DE PRECIOS"),T_NumeroItem,2,FALSE),"")</f>
        <v>1.3</v>
      </c>
      <c r="C157" s="636" t="str">
        <f ca="1">IFERROR(VLOOKUP(B157,T_Computo_Presupuesto,2,FALSE),0)</f>
        <v>Provision e instalacion filtros 12"</v>
      </c>
      <c r="D157" s="636"/>
      <c r="E157" s="636"/>
      <c r="F157" s="454" t="s">
        <v>22</v>
      </c>
      <c r="G157" s="503" t="str">
        <f ca="1">IFERROR(VLOOKUP(B157,T_Computo_Presupuesto,4,FALSE),0)</f>
        <v>m</v>
      </c>
    </row>
    <row r="158" spans="1:7" ht="19.899999999999999" customHeight="1">
      <c r="A158" s="501"/>
      <c r="B158" s="454"/>
      <c r="C158" s="160"/>
      <c r="D158" s="455"/>
      <c r="E158" s="456"/>
      <c r="F158" s="160"/>
      <c r="G158" s="504"/>
    </row>
    <row r="159" spans="1:7" ht="19.899999999999999" customHeight="1">
      <c r="A159" s="505"/>
      <c r="B159" s="460"/>
      <c r="C159" s="461" t="s">
        <v>997</v>
      </c>
      <c r="D159" s="460"/>
      <c r="E159" s="460"/>
      <c r="F159" s="460"/>
      <c r="G159" s="506"/>
    </row>
    <row r="160" spans="1:7" ht="19.899999999999999" customHeight="1">
      <c r="A160" s="501"/>
      <c r="B160" s="462"/>
      <c r="C160" s="160"/>
      <c r="D160" s="455"/>
      <c r="E160" s="456"/>
      <c r="F160" s="454"/>
      <c r="G160" s="503"/>
    </row>
    <row r="161" spans="1:7" ht="19.899999999999999" customHeight="1">
      <c r="A161" s="501"/>
      <c r="B161" s="462"/>
      <c r="C161" s="463" t="s">
        <v>998</v>
      </c>
      <c r="D161" s="464" t="s">
        <v>23</v>
      </c>
      <c r="E161" s="464" t="s">
        <v>999</v>
      </c>
      <c r="F161" s="464" t="s">
        <v>1000</v>
      </c>
      <c r="G161" s="463" t="s">
        <v>1001</v>
      </c>
    </row>
    <row r="162" spans="1:7" ht="19.899999999999999" customHeight="1">
      <c r="A162" s="501"/>
      <c r="B162" s="462"/>
      <c r="C162" s="465"/>
      <c r="D162" s="466"/>
      <c r="E162" s="467"/>
      <c r="F162" s="468"/>
      <c r="G162" s="468">
        <f>ROUND(D162*F162,2)</f>
        <v>0</v>
      </c>
    </row>
    <row r="163" spans="1:7" ht="19.899999999999999" customHeight="1">
      <c r="A163" s="501"/>
      <c r="B163" s="462"/>
      <c r="C163" s="465"/>
      <c r="D163" s="466"/>
      <c r="E163" s="467"/>
      <c r="F163" s="468"/>
      <c r="G163" s="468">
        <f>ROUND(D163*F163,2)</f>
        <v>0</v>
      </c>
    </row>
    <row r="164" spans="1:7" ht="19.899999999999999" customHeight="1">
      <c r="A164" s="501"/>
      <c r="B164" s="462"/>
      <c r="C164" s="465"/>
      <c r="D164" s="466"/>
      <c r="E164" s="467"/>
      <c r="F164" s="468"/>
      <c r="G164" s="468">
        <f>ROUND(D164*F164,2)</f>
        <v>0</v>
      </c>
    </row>
    <row r="165" spans="1:7" ht="19.899999999999999" customHeight="1">
      <c r="A165" s="501"/>
      <c r="B165" s="462"/>
      <c r="C165" s="465"/>
      <c r="D165" s="466"/>
      <c r="E165" s="467"/>
      <c r="F165" s="468"/>
      <c r="G165" s="468">
        <f>ROUND(D165*F165,2)</f>
        <v>0</v>
      </c>
    </row>
    <row r="166" spans="1:7" ht="19.899999999999999" customHeight="1">
      <c r="A166" s="501"/>
      <c r="B166" s="462"/>
      <c r="C166" s="465"/>
      <c r="D166" s="466"/>
      <c r="E166" s="467"/>
      <c r="F166" s="468"/>
      <c r="G166" s="468">
        <f t="shared" ref="G166:G171" si="40">ROUND(D166*F166,2)</f>
        <v>0</v>
      </c>
    </row>
    <row r="167" spans="1:7" ht="19.899999999999999" customHeight="1">
      <c r="A167" s="501"/>
      <c r="B167" s="462"/>
      <c r="C167" s="465"/>
      <c r="D167" s="466"/>
      <c r="E167" s="467">
        <f t="shared" ref="E167:E171" si="41">IFERROR(VLOOKUP(C167,T_Equipos,4,FALSE),0)</f>
        <v>0</v>
      </c>
      <c r="F167" s="468">
        <f t="shared" ref="F167:F171" si="42">IFERROR(VLOOKUP(C167,T_Equipos,5,FALSE),0)</f>
        <v>0</v>
      </c>
      <c r="G167" s="468">
        <f t="shared" si="40"/>
        <v>0</v>
      </c>
    </row>
    <row r="168" spans="1:7" ht="19.899999999999999" customHeight="1">
      <c r="A168" s="501"/>
      <c r="B168" s="462"/>
      <c r="C168" s="465"/>
      <c r="D168" s="466"/>
      <c r="E168" s="467">
        <f t="shared" si="41"/>
        <v>0</v>
      </c>
      <c r="F168" s="468">
        <f t="shared" si="42"/>
        <v>0</v>
      </c>
      <c r="G168" s="468">
        <f t="shared" si="40"/>
        <v>0</v>
      </c>
    </row>
    <row r="169" spans="1:7" ht="19.899999999999999" customHeight="1">
      <c r="A169" s="501"/>
      <c r="B169" s="462"/>
      <c r="C169" s="465"/>
      <c r="D169" s="466"/>
      <c r="E169" s="467">
        <f t="shared" si="41"/>
        <v>0</v>
      </c>
      <c r="F169" s="468">
        <f t="shared" si="42"/>
        <v>0</v>
      </c>
      <c r="G169" s="468">
        <f t="shared" si="40"/>
        <v>0</v>
      </c>
    </row>
    <row r="170" spans="1:7" ht="19.899999999999999" customHeight="1">
      <c r="A170" s="501"/>
      <c r="B170" s="462"/>
      <c r="C170" s="465"/>
      <c r="D170" s="466"/>
      <c r="E170" s="467">
        <f t="shared" si="41"/>
        <v>0</v>
      </c>
      <c r="F170" s="468">
        <f t="shared" si="42"/>
        <v>0</v>
      </c>
      <c r="G170" s="468">
        <f t="shared" si="40"/>
        <v>0</v>
      </c>
    </row>
    <row r="171" spans="1:7" ht="19.899999999999999" customHeight="1">
      <c r="A171" s="501"/>
      <c r="B171" s="462"/>
      <c r="C171" s="465"/>
      <c r="D171" s="466"/>
      <c r="E171" s="467">
        <f t="shared" si="41"/>
        <v>0</v>
      </c>
      <c r="F171" s="468">
        <f t="shared" si="42"/>
        <v>0</v>
      </c>
      <c r="G171" s="468">
        <f t="shared" si="40"/>
        <v>0</v>
      </c>
    </row>
    <row r="172" spans="1:7" ht="19.899999999999999" customHeight="1">
      <c r="A172" s="501"/>
      <c r="B172" s="462"/>
      <c r="C172" s="160"/>
      <c r="D172" s="160"/>
      <c r="E172" s="469"/>
      <c r="F172" s="454"/>
      <c r="G172" s="503"/>
    </row>
    <row r="173" spans="1:7" ht="19.899999999999999" customHeight="1">
      <c r="A173" s="501"/>
      <c r="B173" s="160"/>
      <c r="C173" s="451" t="s">
        <v>1002</v>
      </c>
      <c r="D173" s="454" t="s">
        <v>999</v>
      </c>
      <c r="E173" s="520">
        <f>SUMPRODUCT(D162:D171,E162:E171)</f>
        <v>0</v>
      </c>
      <c r="F173" s="454" t="s">
        <v>1003</v>
      </c>
      <c r="G173" s="521">
        <f>SUM(G162:G171)</f>
        <v>0</v>
      </c>
    </row>
    <row r="174" spans="1:7" ht="19.899999999999999" customHeight="1">
      <c r="A174" s="501"/>
      <c r="B174" s="462"/>
      <c r="C174" s="470"/>
      <c r="D174" s="469"/>
      <c r="E174" s="456"/>
      <c r="F174" s="454"/>
      <c r="G174" s="507"/>
    </row>
    <row r="175" spans="1:7" ht="19.899999999999999" customHeight="1">
      <c r="A175" s="508"/>
      <c r="B175" s="462"/>
      <c r="C175" s="454" t="s">
        <v>1004</v>
      </c>
      <c r="D175" s="471"/>
      <c r="E175" s="472" t="str">
        <f ca="1">G157&amp;"/día"</f>
        <v>m/día</v>
      </c>
      <c r="F175" s="448"/>
      <c r="G175" s="503"/>
    </row>
    <row r="176" spans="1:7" ht="19.899999999999999" customHeight="1">
      <c r="A176" s="501"/>
      <c r="B176" s="462"/>
      <c r="C176" s="160"/>
      <c r="D176" s="455"/>
      <c r="E176" s="456"/>
      <c r="F176" s="454"/>
      <c r="G176" s="503"/>
    </row>
    <row r="177" spans="1:7" ht="19.899999999999999" customHeight="1">
      <c r="A177" s="637" t="s">
        <v>575</v>
      </c>
      <c r="B177" s="638"/>
      <c r="C177" s="639" t="s">
        <v>0</v>
      </c>
      <c r="D177" s="647" t="s">
        <v>1863</v>
      </c>
      <c r="E177" s="647" t="s">
        <v>1862</v>
      </c>
      <c r="F177" s="643" t="s">
        <v>1005</v>
      </c>
      <c r="G177" s="645" t="s">
        <v>25</v>
      </c>
    </row>
    <row r="178" spans="1:7" ht="19.899999999999999" customHeight="1">
      <c r="A178" s="473" t="s">
        <v>576</v>
      </c>
      <c r="B178" s="473" t="s">
        <v>577</v>
      </c>
      <c r="C178" s="640"/>
      <c r="D178" s="648"/>
      <c r="E178" s="642"/>
      <c r="F178" s="644"/>
      <c r="G178" s="646"/>
    </row>
    <row r="179" spans="1:7" ht="19.899999999999999" customHeight="1">
      <c r="A179" s="509"/>
      <c r="B179" s="160"/>
      <c r="C179" s="451" t="s">
        <v>1006</v>
      </c>
      <c r="D179" s="456"/>
      <c r="E179" s="456"/>
      <c r="F179" s="160"/>
      <c r="G179" s="510"/>
    </row>
    <row r="180" spans="1:7" ht="19.899999999999999" customHeight="1">
      <c r="A180" s="511">
        <f t="shared" ref="A180:A188" si="43">IFERROR(VLOOKUP(C180,T_Insumos,4,FALSE),0)</f>
        <v>0</v>
      </c>
      <c r="B180" s="474">
        <f t="shared" ref="B180:B188" si="44">IFERROR(VLOOKUP(C180,T_Insumos,5,FALSE),0)</f>
        <v>0</v>
      </c>
      <c r="C180" s="465"/>
      <c r="D180" s="475"/>
      <c r="E180" s="468">
        <f>D180*$G$173</f>
        <v>0</v>
      </c>
      <c r="F180" s="471">
        <f>+$D$175</f>
        <v>0</v>
      </c>
      <c r="G180" s="468">
        <f>IFERROR(ROUND(E180/F180,2),0)</f>
        <v>0</v>
      </c>
    </row>
    <row r="181" spans="1:7" ht="19.899999999999999" customHeight="1">
      <c r="A181" s="511">
        <f t="shared" si="43"/>
        <v>0</v>
      </c>
      <c r="B181" s="474">
        <f t="shared" si="44"/>
        <v>0</v>
      </c>
      <c r="C181" s="465"/>
      <c r="D181" s="475"/>
      <c r="E181" s="468">
        <f>D181*$G$173</f>
        <v>0</v>
      </c>
      <c r="F181" s="471">
        <f t="shared" ref="F181:F183" si="45">+$D$175</f>
        <v>0</v>
      </c>
      <c r="G181" s="468">
        <f t="shared" ref="G181:G183" si="46">IFERROR(ROUND(E181/F181,2),0)</f>
        <v>0</v>
      </c>
    </row>
    <row r="182" spans="1:7" ht="19.899999999999999" customHeight="1">
      <c r="A182" s="511">
        <f t="shared" si="43"/>
        <v>0</v>
      </c>
      <c r="B182" s="474">
        <f t="shared" si="44"/>
        <v>0</v>
      </c>
      <c r="C182" s="476"/>
      <c r="D182" s="475"/>
      <c r="E182" s="468">
        <f>D182*$E$173</f>
        <v>0</v>
      </c>
      <c r="F182" s="471">
        <f t="shared" si="45"/>
        <v>0</v>
      </c>
      <c r="G182" s="468">
        <f t="shared" si="46"/>
        <v>0</v>
      </c>
    </row>
    <row r="183" spans="1:7" ht="19.899999999999999" customHeight="1">
      <c r="A183" s="511">
        <f t="shared" si="43"/>
        <v>0</v>
      </c>
      <c r="B183" s="474">
        <f t="shared" si="44"/>
        <v>0</v>
      </c>
      <c r="C183" s="476"/>
      <c r="D183" s="475"/>
      <c r="E183" s="468">
        <f>D183*$E$173</f>
        <v>0</v>
      </c>
      <c r="F183" s="471">
        <f t="shared" si="45"/>
        <v>0</v>
      </c>
      <c r="G183" s="468">
        <f t="shared" si="46"/>
        <v>0</v>
      </c>
    </row>
    <row r="184" spans="1:7" ht="19.899999999999999" customHeight="1">
      <c r="A184" s="511">
        <f t="shared" si="43"/>
        <v>0</v>
      </c>
      <c r="B184" s="474">
        <f t="shared" si="44"/>
        <v>0</v>
      </c>
      <c r="C184" s="476"/>
      <c r="D184" s="475">
        <f t="shared" ref="D184:D188" si="47">IFERROR(VLOOKUP(C184,T_Insumos,3,FALSE),0)</f>
        <v>0</v>
      </c>
      <c r="E184" s="468"/>
      <c r="F184" s="471">
        <f>IF(C184="",0,IFERROR(VLOOKUP(COUNTIF($A$1:A184,"ANALISIS DE PRECIOS"),T_Rendimiento_Equipo,5,FALSE),0))</f>
        <v>0</v>
      </c>
      <c r="G184" s="468">
        <f t="shared" ref="G184:G188" si="48">IFERROR(ROUND(E184/F184,2),0)</f>
        <v>0</v>
      </c>
    </row>
    <row r="185" spans="1:7" ht="19.899999999999999" customHeight="1">
      <c r="A185" s="511">
        <f t="shared" si="43"/>
        <v>0</v>
      </c>
      <c r="B185" s="474">
        <f t="shared" si="44"/>
        <v>0</v>
      </c>
      <c r="C185" s="476"/>
      <c r="D185" s="475">
        <f t="shared" si="47"/>
        <v>0</v>
      </c>
      <c r="E185" s="468"/>
      <c r="F185" s="471">
        <f>IF(C185="",0,IFERROR(VLOOKUP(COUNTIF($A$1:A185,"ANALISIS DE PRECIOS"),T_Rendimiento_Equipo,5,FALSE),0))</f>
        <v>0</v>
      </c>
      <c r="G185" s="468">
        <f t="shared" si="48"/>
        <v>0</v>
      </c>
    </row>
    <row r="186" spans="1:7" ht="19.899999999999999" customHeight="1">
      <c r="A186" s="511">
        <f t="shared" si="43"/>
        <v>0</v>
      </c>
      <c r="B186" s="474">
        <f t="shared" si="44"/>
        <v>0</v>
      </c>
      <c r="C186" s="476"/>
      <c r="D186" s="475">
        <f t="shared" si="47"/>
        <v>0</v>
      </c>
      <c r="E186" s="468"/>
      <c r="F186" s="471">
        <f>IF(C186="",0,IFERROR(VLOOKUP(COUNTIF($A$1:A186,"ANALISIS DE PRECIOS"),T_Rendimiento_Equipo,5,FALSE),0))</f>
        <v>0</v>
      </c>
      <c r="G186" s="468">
        <f t="shared" si="48"/>
        <v>0</v>
      </c>
    </row>
    <row r="187" spans="1:7" ht="19.899999999999999" customHeight="1">
      <c r="A187" s="511">
        <f t="shared" si="43"/>
        <v>0</v>
      </c>
      <c r="B187" s="474">
        <f t="shared" si="44"/>
        <v>0</v>
      </c>
      <c r="C187" s="476"/>
      <c r="D187" s="475">
        <f t="shared" si="47"/>
        <v>0</v>
      </c>
      <c r="E187" s="468"/>
      <c r="F187" s="471">
        <f>IF(C187="",0,IFERROR(VLOOKUP(COUNTIF($A$1:A187,"ANALISIS DE PRECIOS"),T_Rendimiento_Equipo,5,FALSE),0))</f>
        <v>0</v>
      </c>
      <c r="G187" s="468">
        <f t="shared" si="48"/>
        <v>0</v>
      </c>
    </row>
    <row r="188" spans="1:7" ht="19.899999999999999" customHeight="1">
      <c r="A188" s="511">
        <f t="shared" si="43"/>
        <v>0</v>
      </c>
      <c r="B188" s="474">
        <f t="shared" si="44"/>
        <v>0</v>
      </c>
      <c r="C188" s="465"/>
      <c r="D188" s="475">
        <f t="shared" si="47"/>
        <v>0</v>
      </c>
      <c r="E188" s="468"/>
      <c r="F188" s="471">
        <f>IF(C188="",0,IFERROR(VLOOKUP(COUNTIF($A$1:A188,"ANALISIS DE PRECIOS"),T_Rendimiento_Equipo,5,FALSE),0))</f>
        <v>0</v>
      </c>
      <c r="G188" s="468">
        <f t="shared" si="48"/>
        <v>0</v>
      </c>
    </row>
    <row r="189" spans="1:7" ht="19.899999999999999" customHeight="1">
      <c r="A189" s="512"/>
      <c r="B189" s="455"/>
      <c r="C189" s="160"/>
      <c r="D189" s="455"/>
      <c r="E189" s="456"/>
      <c r="F189" s="477" t="s">
        <v>26</v>
      </c>
      <c r="G189" s="513">
        <f>SUBTOTAL(9,G180:G188)</f>
        <v>0</v>
      </c>
    </row>
    <row r="190" spans="1:7" ht="19.899999999999999" customHeight="1">
      <c r="A190" s="509"/>
      <c r="B190" s="160"/>
      <c r="C190" s="451" t="s">
        <v>712</v>
      </c>
      <c r="D190" s="455"/>
      <c r="E190" s="456"/>
      <c r="F190" s="457"/>
      <c r="G190" s="510"/>
    </row>
    <row r="191" spans="1:7" ht="19.899999999999999" customHeight="1">
      <c r="A191" s="637" t="s">
        <v>575</v>
      </c>
      <c r="B191" s="638"/>
      <c r="C191" s="639" t="s">
        <v>0</v>
      </c>
      <c r="D191" s="641" t="s">
        <v>23</v>
      </c>
      <c r="E191" s="641" t="s">
        <v>1829</v>
      </c>
      <c r="F191" s="643" t="s">
        <v>1005</v>
      </c>
      <c r="G191" s="645" t="s">
        <v>25</v>
      </c>
    </row>
    <row r="192" spans="1:7" ht="19.899999999999999" customHeight="1">
      <c r="A192" s="473" t="s">
        <v>576</v>
      </c>
      <c r="B192" s="473" t="s">
        <v>577</v>
      </c>
      <c r="C192" s="640"/>
      <c r="D192" s="642"/>
      <c r="E192" s="642"/>
      <c r="F192" s="644"/>
      <c r="G192" s="646"/>
    </row>
    <row r="193" spans="1:7" ht="19.899999999999999" customHeight="1">
      <c r="A193" s="511"/>
      <c r="B193" s="474"/>
      <c r="C193" s="478"/>
      <c r="D193" s="471">
        <v>0</v>
      </c>
      <c r="E193" s="468"/>
      <c r="F193" s="471">
        <f>+$D$175</f>
        <v>0</v>
      </c>
      <c r="G193" s="468">
        <f>IFERROR(ROUND(D193*E193/F193,2),0)</f>
        <v>0</v>
      </c>
    </row>
    <row r="194" spans="1:7" ht="19.899999999999999" customHeight="1">
      <c r="A194" s="511"/>
      <c r="B194" s="474"/>
      <c r="C194" s="465"/>
      <c r="D194" s="471">
        <v>1</v>
      </c>
      <c r="E194" s="468"/>
      <c r="F194" s="471">
        <f t="shared" ref="F194:F198" si="49">+$D$175</f>
        <v>0</v>
      </c>
      <c r="G194" s="468">
        <f>IFERROR(ROUND(D194*E194/F194,2),0)</f>
        <v>0</v>
      </c>
    </row>
    <row r="195" spans="1:7" ht="19.899999999999999" customHeight="1">
      <c r="A195" s="511"/>
      <c r="B195" s="474"/>
      <c r="C195" s="465"/>
      <c r="D195" s="471">
        <v>0</v>
      </c>
      <c r="E195" s="468"/>
      <c r="F195" s="471">
        <f t="shared" si="49"/>
        <v>0</v>
      </c>
      <c r="G195" s="468">
        <f t="shared" ref="G195:G199" si="50">IFERROR(ROUND(D195*E195/F195,2),0)</f>
        <v>0</v>
      </c>
    </row>
    <row r="196" spans="1:7" ht="19.899999999999999" customHeight="1">
      <c r="A196" s="511"/>
      <c r="B196" s="474"/>
      <c r="C196" s="465"/>
      <c r="D196" s="471">
        <v>3</v>
      </c>
      <c r="E196" s="468"/>
      <c r="F196" s="471">
        <f t="shared" si="49"/>
        <v>0</v>
      </c>
      <c r="G196" s="468">
        <f t="shared" si="50"/>
        <v>0</v>
      </c>
    </row>
    <row r="197" spans="1:7" ht="19.899999999999999" customHeight="1">
      <c r="A197" s="511">
        <f t="shared" ref="A197:A199" si="51">IFERROR(VLOOKUP(C197,T_Insumos,4,FALSE),0)</f>
        <v>0</v>
      </c>
      <c r="B197" s="474">
        <f t="shared" ref="B197:B199" si="52">IFERROR(VLOOKUP(C197,T_Insumos,5,FALSE),0)</f>
        <v>0</v>
      </c>
      <c r="C197" s="465"/>
      <c r="D197" s="471"/>
      <c r="E197" s="468">
        <f t="shared" ref="E197:E199" si="53">IFERROR(VLOOKUP(C197,T_Insumos,3,FALSE),0)</f>
        <v>0</v>
      </c>
      <c r="F197" s="471">
        <f t="shared" si="49"/>
        <v>0</v>
      </c>
      <c r="G197" s="468">
        <f t="shared" si="50"/>
        <v>0</v>
      </c>
    </row>
    <row r="198" spans="1:7" ht="19.899999999999999" customHeight="1">
      <c r="A198" s="511">
        <f t="shared" si="51"/>
        <v>0</v>
      </c>
      <c r="B198" s="474">
        <f t="shared" si="52"/>
        <v>0</v>
      </c>
      <c r="C198" s="465"/>
      <c r="D198" s="479"/>
      <c r="E198" s="468">
        <f>SUMPRODUCT(D193:D196,E193:E196)</f>
        <v>0</v>
      </c>
      <c r="F198" s="471">
        <f t="shared" si="49"/>
        <v>0</v>
      </c>
      <c r="G198" s="468">
        <f t="shared" si="50"/>
        <v>0</v>
      </c>
    </row>
    <row r="199" spans="1:7" ht="19.899999999999999" customHeight="1">
      <c r="A199" s="511">
        <f t="shared" si="51"/>
        <v>0</v>
      </c>
      <c r="B199" s="474">
        <f t="shared" si="52"/>
        <v>0</v>
      </c>
      <c r="C199" s="474"/>
      <c r="D199" s="480"/>
      <c r="E199" s="468">
        <f t="shared" si="53"/>
        <v>0</v>
      </c>
      <c r="F199" s="471">
        <f>IF(C199="",0,IFERROR(VLOOKUP(COUNTIF($A$1:A199,"ANALISIS DE PRECIOS"),T_Rendimiento_Equipo,5,FALSE),0))</f>
        <v>0</v>
      </c>
      <c r="G199" s="468">
        <f t="shared" si="50"/>
        <v>0</v>
      </c>
    </row>
    <row r="200" spans="1:7" ht="19.899999999999999" customHeight="1">
      <c r="A200" s="512"/>
      <c r="B200" s="455"/>
      <c r="C200" s="160"/>
      <c r="D200" s="455"/>
      <c r="E200" s="456"/>
      <c r="F200" s="477" t="s">
        <v>27</v>
      </c>
      <c r="G200" s="514">
        <f>SUBTOTAL(9,G193:G199)</f>
        <v>0</v>
      </c>
    </row>
    <row r="201" spans="1:7" ht="19.899999999999999" customHeight="1">
      <c r="A201" s="509"/>
      <c r="B201" s="160"/>
      <c r="C201" s="451" t="s">
        <v>1012</v>
      </c>
      <c r="D201" s="455"/>
      <c r="E201" s="456"/>
      <c r="F201" s="457"/>
      <c r="G201" s="510"/>
    </row>
    <row r="202" spans="1:7" ht="19.899999999999999" customHeight="1">
      <c r="A202" s="637" t="s">
        <v>575</v>
      </c>
      <c r="B202" s="638"/>
      <c r="C202" s="639" t="s">
        <v>0</v>
      </c>
      <c r="D202" s="639" t="s">
        <v>1864</v>
      </c>
      <c r="E202" s="641" t="s">
        <v>23</v>
      </c>
      <c r="F202" s="643" t="s">
        <v>24</v>
      </c>
      <c r="G202" s="645" t="s">
        <v>25</v>
      </c>
    </row>
    <row r="203" spans="1:7" ht="19.899999999999999" customHeight="1">
      <c r="A203" s="473" t="s">
        <v>576</v>
      </c>
      <c r="B203" s="473" t="s">
        <v>577</v>
      </c>
      <c r="C203" s="640"/>
      <c r="D203" s="640"/>
      <c r="E203" s="642"/>
      <c r="F203" s="644"/>
      <c r="G203" s="646"/>
    </row>
    <row r="204" spans="1:7" ht="19.899999999999999" customHeight="1">
      <c r="A204" s="511">
        <f t="shared" ref="A204:A214" si="54">IFERROR(VLOOKUP(C204,T_Insumos,4,FALSE),0)</f>
        <v>0</v>
      </c>
      <c r="B204" s="474">
        <f t="shared" ref="B204:B214" si="55">IFERROR(VLOOKUP(C204,T_Insumos,5,FALSE),0)</f>
        <v>0</v>
      </c>
      <c r="C204" s="474"/>
      <c r="D204" s="522"/>
      <c r="E204" s="466"/>
      <c r="F204" s="468"/>
      <c r="G204" s="468">
        <f>ROUND(E204*F204,2)</f>
        <v>0</v>
      </c>
    </row>
    <row r="205" spans="1:7" ht="19.899999999999999" customHeight="1">
      <c r="A205" s="511">
        <f t="shared" si="54"/>
        <v>0</v>
      </c>
      <c r="B205" s="474">
        <f t="shared" si="55"/>
        <v>0</v>
      </c>
      <c r="C205" s="474"/>
      <c r="D205" s="522"/>
      <c r="E205" s="466"/>
      <c r="F205" s="468"/>
      <c r="G205" s="468">
        <f t="shared" ref="G205:G214" si="56">ROUND(E205*F205,2)</f>
        <v>0</v>
      </c>
    </row>
    <row r="206" spans="1:7" ht="19.899999999999999" customHeight="1">
      <c r="A206" s="511">
        <f t="shared" si="54"/>
        <v>0</v>
      </c>
      <c r="B206" s="474">
        <f t="shared" si="55"/>
        <v>0</v>
      </c>
      <c r="C206" s="474"/>
      <c r="D206" s="522">
        <f t="shared" ref="D206:D214" si="57">IFERROR(VLOOKUP(C206,T_Insumos,2,FALSE),0)</f>
        <v>0</v>
      </c>
      <c r="E206" s="466"/>
      <c r="F206" s="468">
        <f t="shared" ref="F206:F214" si="58">IFERROR(VLOOKUP(C206,T_Insumos,3,FALSE),0)</f>
        <v>0</v>
      </c>
      <c r="G206" s="468">
        <f t="shared" si="56"/>
        <v>0</v>
      </c>
    </row>
    <row r="207" spans="1:7" ht="19.899999999999999" customHeight="1">
      <c r="A207" s="511">
        <f t="shared" si="54"/>
        <v>0</v>
      </c>
      <c r="B207" s="474">
        <f t="shared" si="55"/>
        <v>0</v>
      </c>
      <c r="C207" s="474"/>
      <c r="D207" s="522">
        <f t="shared" si="57"/>
        <v>0</v>
      </c>
      <c r="E207" s="466"/>
      <c r="F207" s="468">
        <f t="shared" si="58"/>
        <v>0</v>
      </c>
      <c r="G207" s="468">
        <f t="shared" si="56"/>
        <v>0</v>
      </c>
    </row>
    <row r="208" spans="1:7" ht="19.899999999999999" customHeight="1">
      <c r="A208" s="511">
        <f t="shared" si="54"/>
        <v>0</v>
      </c>
      <c r="B208" s="474">
        <f t="shared" si="55"/>
        <v>0</v>
      </c>
      <c r="C208" s="474"/>
      <c r="D208" s="522">
        <f t="shared" si="57"/>
        <v>0</v>
      </c>
      <c r="E208" s="466"/>
      <c r="F208" s="468">
        <f t="shared" si="58"/>
        <v>0</v>
      </c>
      <c r="G208" s="468">
        <f t="shared" si="56"/>
        <v>0</v>
      </c>
    </row>
    <row r="209" spans="1:7" ht="19.899999999999999" customHeight="1">
      <c r="A209" s="511">
        <f t="shared" si="54"/>
        <v>0</v>
      </c>
      <c r="B209" s="474">
        <f t="shared" si="55"/>
        <v>0</v>
      </c>
      <c r="C209" s="474"/>
      <c r="D209" s="522">
        <f t="shared" si="57"/>
        <v>0</v>
      </c>
      <c r="E209" s="466"/>
      <c r="F209" s="468">
        <f t="shared" si="58"/>
        <v>0</v>
      </c>
      <c r="G209" s="468">
        <f t="shared" si="56"/>
        <v>0</v>
      </c>
    </row>
    <row r="210" spans="1:7" ht="19.899999999999999" customHeight="1">
      <c r="A210" s="511">
        <f t="shared" si="54"/>
        <v>0</v>
      </c>
      <c r="B210" s="474">
        <f t="shared" si="55"/>
        <v>0</v>
      </c>
      <c r="C210" s="474"/>
      <c r="D210" s="522">
        <f t="shared" si="57"/>
        <v>0</v>
      </c>
      <c r="E210" s="466"/>
      <c r="F210" s="468">
        <f t="shared" si="58"/>
        <v>0</v>
      </c>
      <c r="G210" s="468">
        <f t="shared" si="56"/>
        <v>0</v>
      </c>
    </row>
    <row r="211" spans="1:7" ht="19.899999999999999" customHeight="1">
      <c r="A211" s="511">
        <f t="shared" si="54"/>
        <v>0</v>
      </c>
      <c r="B211" s="474">
        <f t="shared" si="55"/>
        <v>0</v>
      </c>
      <c r="C211" s="474"/>
      <c r="D211" s="522">
        <f t="shared" si="57"/>
        <v>0</v>
      </c>
      <c r="E211" s="466"/>
      <c r="F211" s="468">
        <f t="shared" si="58"/>
        <v>0</v>
      </c>
      <c r="G211" s="468">
        <f t="shared" si="56"/>
        <v>0</v>
      </c>
    </row>
    <row r="212" spans="1:7" ht="19.899999999999999" customHeight="1">
      <c r="A212" s="511">
        <f t="shared" si="54"/>
        <v>0</v>
      </c>
      <c r="B212" s="474">
        <f t="shared" si="55"/>
        <v>0</v>
      </c>
      <c r="C212" s="474"/>
      <c r="D212" s="522">
        <f t="shared" si="57"/>
        <v>0</v>
      </c>
      <c r="E212" s="466"/>
      <c r="F212" s="468">
        <f t="shared" si="58"/>
        <v>0</v>
      </c>
      <c r="G212" s="468">
        <f t="shared" si="56"/>
        <v>0</v>
      </c>
    </row>
    <row r="213" spans="1:7" ht="19.899999999999999" customHeight="1">
      <c r="A213" s="511">
        <f t="shared" si="54"/>
        <v>0</v>
      </c>
      <c r="B213" s="474">
        <f t="shared" si="55"/>
        <v>0</v>
      </c>
      <c r="C213" s="474"/>
      <c r="D213" s="522">
        <f t="shared" si="57"/>
        <v>0</v>
      </c>
      <c r="E213" s="466"/>
      <c r="F213" s="468">
        <f t="shared" si="58"/>
        <v>0</v>
      </c>
      <c r="G213" s="468">
        <f t="shared" si="56"/>
        <v>0</v>
      </c>
    </row>
    <row r="214" spans="1:7" ht="19.899999999999999" customHeight="1">
      <c r="A214" s="511">
        <f t="shared" si="54"/>
        <v>0</v>
      </c>
      <c r="B214" s="474">
        <f t="shared" si="55"/>
        <v>0</v>
      </c>
      <c r="C214" s="474"/>
      <c r="D214" s="522">
        <f t="shared" si="57"/>
        <v>0</v>
      </c>
      <c r="E214" s="466"/>
      <c r="F214" s="468">
        <f t="shared" si="58"/>
        <v>0</v>
      </c>
      <c r="G214" s="468">
        <f t="shared" si="56"/>
        <v>0</v>
      </c>
    </row>
    <row r="215" spans="1:7" ht="19.899999999999999" customHeight="1">
      <c r="A215" s="509"/>
      <c r="B215" s="160"/>
      <c r="C215" s="160"/>
      <c r="D215" s="455"/>
      <c r="E215" s="456"/>
      <c r="F215" s="477" t="s">
        <v>28</v>
      </c>
      <c r="G215" s="514">
        <f>SUBTOTAL(9,G204:G214)</f>
        <v>0</v>
      </c>
    </row>
    <row r="216" spans="1:7" ht="19.899999999999999" customHeight="1">
      <c r="A216" s="509"/>
      <c r="B216" s="160"/>
      <c r="C216" s="451" t="s">
        <v>1013</v>
      </c>
      <c r="D216" s="455"/>
      <c r="E216" s="456"/>
      <c r="F216" s="457"/>
      <c r="G216" s="510"/>
    </row>
    <row r="217" spans="1:7" ht="19.899999999999999" customHeight="1">
      <c r="A217" s="637" t="s">
        <v>575</v>
      </c>
      <c r="B217" s="638"/>
      <c r="C217" s="639" t="s">
        <v>0</v>
      </c>
      <c r="D217" s="639" t="s">
        <v>1864</v>
      </c>
      <c r="E217" s="641" t="s">
        <v>23</v>
      </c>
      <c r="F217" s="643" t="s">
        <v>24</v>
      </c>
      <c r="G217" s="645" t="s">
        <v>25</v>
      </c>
    </row>
    <row r="218" spans="1:7" ht="19.899999999999999" customHeight="1">
      <c r="A218" s="473" t="s">
        <v>576</v>
      </c>
      <c r="B218" s="473" t="s">
        <v>577</v>
      </c>
      <c r="C218" s="640"/>
      <c r="D218" s="640"/>
      <c r="E218" s="642"/>
      <c r="F218" s="644"/>
      <c r="G218" s="646"/>
    </row>
    <row r="219" spans="1:7" ht="19.899999999999999" customHeight="1">
      <c r="A219" s="511">
        <f>IFERROR(VLOOKUP(C219,T_Insumos,4,FALSE),0)</f>
        <v>0</v>
      </c>
      <c r="B219" s="474">
        <f>IFERROR(VLOOKUP(C219,T_Insumos,5,FALSE),0)</f>
        <v>0</v>
      </c>
      <c r="C219" s="465"/>
      <c r="D219" s="522">
        <f>IF(C219=0,0,"$/tnkm")</f>
        <v>0</v>
      </c>
      <c r="E219" s="466"/>
      <c r="F219" s="468">
        <f>IFERROR(VLOOKUP(C219,T_Insumos,3,FALSE),0)</f>
        <v>0</v>
      </c>
      <c r="G219" s="468">
        <f>ROUND(E219*F219,2)</f>
        <v>0</v>
      </c>
    </row>
    <row r="220" spans="1:7" ht="19.899999999999999" customHeight="1">
      <c r="A220" s="511">
        <f>IFERROR(VLOOKUP(C220,T_Insumos,4,FALSE),0)</f>
        <v>0</v>
      </c>
      <c r="B220" s="474">
        <f>IFERROR(VLOOKUP(C220,T_Insumos,5,FALSE),0)</f>
        <v>0</v>
      </c>
      <c r="C220" s="465"/>
      <c r="D220" s="522">
        <f>IF(C220=0,0,"$/tnkm")</f>
        <v>0</v>
      </c>
      <c r="E220" s="482"/>
      <c r="F220" s="468">
        <f>IFERROR(VLOOKUP(C220,T_Insumos,3,FALSE),0)</f>
        <v>0</v>
      </c>
      <c r="G220" s="468">
        <f t="shared" ref="G220" si="59">ROUND(E220*F220,2)</f>
        <v>0</v>
      </c>
    </row>
    <row r="221" spans="1:7" ht="19.899999999999999" customHeight="1">
      <c r="A221" s="509"/>
      <c r="B221" s="160"/>
      <c r="C221" s="160"/>
      <c r="D221" s="455"/>
      <c r="E221" s="456"/>
      <c r="F221" s="477" t="s">
        <v>1014</v>
      </c>
      <c r="G221" s="514">
        <f>SUBTOTAL(9,G219:G220)</f>
        <v>0</v>
      </c>
    </row>
    <row r="222" spans="1:7" ht="19.899999999999999" customHeight="1">
      <c r="A222" s="512"/>
      <c r="B222" s="455"/>
      <c r="C222" s="160"/>
      <c r="D222" s="455"/>
      <c r="E222" s="456"/>
      <c r="F222" s="457"/>
      <c r="G222" s="510"/>
    </row>
    <row r="223" spans="1:7" ht="19.899999999999999" customHeight="1">
      <c r="A223" s="570">
        <f>B157</f>
        <v>1.3</v>
      </c>
      <c r="B223" s="567" t="str">
        <f ca="1">C157</f>
        <v>Provision e instalacion filtros 12"</v>
      </c>
      <c r="C223" s="455"/>
      <c r="D223" s="455" t="s">
        <v>1830</v>
      </c>
      <c r="E223" s="568"/>
      <c r="F223" s="569" t="str">
        <f ca="1">"$/"&amp;G157</f>
        <v>$/m</v>
      </c>
      <c r="G223" s="519">
        <f>SUBTOTAL(9,G180:G222)</f>
        <v>0</v>
      </c>
    </row>
    <row r="224" spans="1:7" ht="19.899999999999999" customHeight="1">
      <c r="A224" s="515"/>
      <c r="B224" s="516"/>
      <c r="C224" s="517"/>
      <c r="D224" s="517" t="s">
        <v>2040</v>
      </c>
      <c r="E224" s="518"/>
      <c r="F224" s="571" t="str">
        <f ca="1">"$/"&amp;G157</f>
        <v>$/m</v>
      </c>
      <c r="G224" s="519">
        <f>ROUND(G223*Coeficiente_Paso,2)</f>
        <v>0</v>
      </c>
    </row>
    <row r="225" spans="1:7" ht="19.899999999999999" customHeight="1">
      <c r="A225" s="160"/>
      <c r="B225" s="160"/>
      <c r="C225" s="160"/>
      <c r="D225" s="160"/>
      <c r="E225" s="160"/>
      <c r="F225" s="160"/>
      <c r="G225" s="160"/>
    </row>
    <row r="226" spans="1:7" ht="19.899999999999999" customHeight="1">
      <c r="A226" s="633" t="s">
        <v>30</v>
      </c>
      <c r="B226" s="634"/>
      <c r="C226" s="634"/>
      <c r="D226" s="634"/>
      <c r="E226" s="634"/>
      <c r="F226" s="634"/>
      <c r="G226" s="635"/>
    </row>
    <row r="227" spans="1:7" ht="19.899999999999999" customHeight="1">
      <c r="A227" s="498" t="s">
        <v>710</v>
      </c>
      <c r="B227" s="449" t="str">
        <f>Comitente</f>
        <v>DEPARTAMENTO DE HIDRAULICA</v>
      </c>
      <c r="C227" s="450"/>
      <c r="D227" s="451"/>
      <c r="E227" s="451"/>
      <c r="F227" s="452"/>
      <c r="G227" s="499"/>
    </row>
    <row r="228" spans="1:7" ht="19.899999999999999" customHeight="1">
      <c r="A228" s="498" t="s">
        <v>711</v>
      </c>
      <c r="B228" s="449">
        <f>Contratista</f>
        <v>0</v>
      </c>
      <c r="C228" s="453"/>
      <c r="D228" s="453"/>
      <c r="E228" s="453"/>
      <c r="F228" s="449"/>
      <c r="G228" s="500"/>
    </row>
    <row r="229" spans="1:7" ht="19.899999999999999" customHeight="1">
      <c r="A229" s="498" t="s">
        <v>20</v>
      </c>
      <c r="B229" s="449" t="str">
        <f>Obra</f>
        <v>EJECUCION DE PERFORACION - SISTEMA DE RIEGO</v>
      </c>
      <c r="C229" s="453"/>
      <c r="D229" s="453"/>
      <c r="E229" s="453"/>
      <c r="F229" s="449" t="s">
        <v>31</v>
      </c>
      <c r="G229" s="500">
        <f>Fecha_Base</f>
        <v>0</v>
      </c>
    </row>
    <row r="230" spans="1:7" ht="19.899999999999999" customHeight="1">
      <c r="A230" s="501" t="s">
        <v>709</v>
      </c>
      <c r="B230" s="454" t="str">
        <f>Ubicación</f>
        <v>DEPARTAMENTO CHIMBAS</v>
      </c>
      <c r="C230" s="454"/>
      <c r="D230" s="455"/>
      <c r="E230" s="456"/>
      <c r="F230" s="457"/>
      <c r="G230" s="502"/>
    </row>
    <row r="231" spans="1:7" ht="19.899999999999999" customHeight="1">
      <c r="A231" s="501" t="s">
        <v>32</v>
      </c>
      <c r="B231" s="458">
        <f>IFERROR(VALUE(LEFT(B232,FIND(".",B232)-1)),"")</f>
        <v>1</v>
      </c>
      <c r="C231" s="160" t="str">
        <f ca="1">IFERROR(VLOOKUP(B231,T_Computo_Presupuesto,2,FALSE),0)</f>
        <v>PERFORACION PROPIAMENTE DICHA</v>
      </c>
      <c r="D231" s="160"/>
      <c r="E231" s="456"/>
      <c r="F231" s="457"/>
      <c r="G231" s="502"/>
    </row>
    <row r="232" spans="1:7" ht="19.899999999999999" customHeight="1">
      <c r="A232" s="501" t="s">
        <v>21</v>
      </c>
      <c r="B232" s="459">
        <f>IFERROR(VLOOKUP(COUNTIF($A$1:A232,"ANALISIS DE PRECIOS"),T_NumeroItem,2,FALSE),"")</f>
        <v>1.4</v>
      </c>
      <c r="C232" s="636" t="str">
        <f ca="1">IFERROR(VLOOKUP(B232,T_Computo_Presupuesto,2,FALSE),0)</f>
        <v>Engravado para proteccion de filtros</v>
      </c>
      <c r="D232" s="636"/>
      <c r="E232" s="636"/>
      <c r="F232" s="454" t="s">
        <v>22</v>
      </c>
      <c r="G232" s="503" t="str">
        <f ca="1">IFERROR(VLOOKUP(B232,T_Computo_Presupuesto,4,FALSE),0)</f>
        <v>m3</v>
      </c>
    </row>
    <row r="233" spans="1:7" ht="19.899999999999999" customHeight="1">
      <c r="A233" s="501"/>
      <c r="B233" s="454"/>
      <c r="C233" s="160"/>
      <c r="D233" s="455"/>
      <c r="E233" s="456"/>
      <c r="F233" s="160"/>
      <c r="G233" s="504"/>
    </row>
    <row r="234" spans="1:7" ht="19.899999999999999" customHeight="1">
      <c r="A234" s="505"/>
      <c r="B234" s="460"/>
      <c r="C234" s="461" t="s">
        <v>997</v>
      </c>
      <c r="D234" s="460"/>
      <c r="E234" s="460"/>
      <c r="F234" s="460"/>
      <c r="G234" s="506"/>
    </row>
    <row r="235" spans="1:7" ht="19.899999999999999" customHeight="1">
      <c r="A235" s="501"/>
      <c r="B235" s="462"/>
      <c r="C235" s="160"/>
      <c r="D235" s="455"/>
      <c r="E235" s="456"/>
      <c r="F235" s="454"/>
      <c r="G235" s="503"/>
    </row>
    <row r="236" spans="1:7" ht="19.899999999999999" customHeight="1">
      <c r="A236" s="501"/>
      <c r="B236" s="462"/>
      <c r="C236" s="463" t="s">
        <v>998</v>
      </c>
      <c r="D236" s="464" t="s">
        <v>23</v>
      </c>
      <c r="E236" s="464" t="s">
        <v>999</v>
      </c>
      <c r="F236" s="464" t="s">
        <v>1000</v>
      </c>
      <c r="G236" s="463" t="s">
        <v>1001</v>
      </c>
    </row>
    <row r="237" spans="1:7" ht="19.899999999999999" customHeight="1">
      <c r="A237" s="501"/>
      <c r="B237" s="462"/>
      <c r="C237" s="465"/>
      <c r="D237" s="466"/>
      <c r="E237" s="467">
        <f t="shared" ref="E237:E240" si="60">IFERROR(VLOOKUP(C237,T_Equipos,4,FALSE),0)</f>
        <v>0</v>
      </c>
      <c r="F237" s="468"/>
      <c r="G237" s="468">
        <f>ROUND(D237*F237,2)</f>
        <v>0</v>
      </c>
    </row>
    <row r="238" spans="1:7" ht="19.899999999999999" customHeight="1">
      <c r="A238" s="501"/>
      <c r="B238" s="462"/>
      <c r="C238" s="465"/>
      <c r="D238" s="466"/>
      <c r="E238" s="467">
        <f t="shared" si="60"/>
        <v>0</v>
      </c>
      <c r="F238" s="468"/>
      <c r="G238" s="468">
        <f>ROUND(D238*F238,2)</f>
        <v>0</v>
      </c>
    </row>
    <row r="239" spans="1:7" ht="19.899999999999999" customHeight="1">
      <c r="A239" s="501"/>
      <c r="B239" s="462"/>
      <c r="C239" s="465"/>
      <c r="D239" s="466"/>
      <c r="E239" s="467">
        <f t="shared" si="60"/>
        <v>0</v>
      </c>
      <c r="F239" s="468"/>
      <c r="G239" s="468">
        <f>ROUND(D239*F239,2)</f>
        <v>0</v>
      </c>
    </row>
    <row r="240" spans="1:7" ht="19.899999999999999" customHeight="1">
      <c r="A240" s="501"/>
      <c r="B240" s="462"/>
      <c r="C240" s="465"/>
      <c r="D240" s="466"/>
      <c r="E240" s="467">
        <f t="shared" si="60"/>
        <v>0</v>
      </c>
      <c r="F240" s="468"/>
      <c r="G240" s="468">
        <f>ROUND(D240*F240,2)</f>
        <v>0</v>
      </c>
    </row>
    <row r="241" spans="1:7" ht="19.899999999999999" customHeight="1">
      <c r="A241" s="501"/>
      <c r="B241" s="462"/>
      <c r="C241" s="465"/>
      <c r="D241" s="466"/>
      <c r="E241" s="467">
        <f t="shared" ref="E241:E246" si="61">IFERROR(VLOOKUP(C241,T_Equipos,4,FALSE),0)</f>
        <v>0</v>
      </c>
      <c r="F241" s="468">
        <f t="shared" ref="F241:F246" si="62">IFERROR(VLOOKUP(C241,T_Equipos,5,FALSE),0)</f>
        <v>0</v>
      </c>
      <c r="G241" s="468">
        <f t="shared" ref="G241:G246" si="63">ROUND(D241*F241,2)</f>
        <v>0</v>
      </c>
    </row>
    <row r="242" spans="1:7" ht="19.899999999999999" customHeight="1">
      <c r="A242" s="501"/>
      <c r="B242" s="462"/>
      <c r="C242" s="465"/>
      <c r="D242" s="466"/>
      <c r="E242" s="467">
        <f t="shared" si="61"/>
        <v>0</v>
      </c>
      <c r="F242" s="468">
        <f t="shared" si="62"/>
        <v>0</v>
      </c>
      <c r="G242" s="468">
        <f t="shared" si="63"/>
        <v>0</v>
      </c>
    </row>
    <row r="243" spans="1:7" ht="19.899999999999999" customHeight="1">
      <c r="A243" s="501"/>
      <c r="B243" s="462"/>
      <c r="C243" s="465"/>
      <c r="D243" s="466"/>
      <c r="E243" s="467">
        <f t="shared" si="61"/>
        <v>0</v>
      </c>
      <c r="F243" s="468">
        <f t="shared" si="62"/>
        <v>0</v>
      </c>
      <c r="G243" s="468">
        <f t="shared" si="63"/>
        <v>0</v>
      </c>
    </row>
    <row r="244" spans="1:7" ht="19.899999999999999" customHeight="1">
      <c r="A244" s="501"/>
      <c r="B244" s="462"/>
      <c r="C244" s="465"/>
      <c r="D244" s="466"/>
      <c r="E244" s="467">
        <f t="shared" si="61"/>
        <v>0</v>
      </c>
      <c r="F244" s="468">
        <f t="shared" si="62"/>
        <v>0</v>
      </c>
      <c r="G244" s="468">
        <f t="shared" si="63"/>
        <v>0</v>
      </c>
    </row>
    <row r="245" spans="1:7" ht="19.899999999999999" customHeight="1">
      <c r="A245" s="501"/>
      <c r="B245" s="462"/>
      <c r="C245" s="465"/>
      <c r="D245" s="466"/>
      <c r="E245" s="467">
        <f t="shared" si="61"/>
        <v>0</v>
      </c>
      <c r="F245" s="468">
        <f t="shared" si="62"/>
        <v>0</v>
      </c>
      <c r="G245" s="468">
        <f t="shared" si="63"/>
        <v>0</v>
      </c>
    </row>
    <row r="246" spans="1:7" ht="19.899999999999999" customHeight="1">
      <c r="A246" s="501"/>
      <c r="B246" s="462"/>
      <c r="C246" s="465"/>
      <c r="D246" s="466"/>
      <c r="E246" s="467">
        <f t="shared" si="61"/>
        <v>0</v>
      </c>
      <c r="F246" s="468">
        <f t="shared" si="62"/>
        <v>0</v>
      </c>
      <c r="G246" s="468">
        <f t="shared" si="63"/>
        <v>0</v>
      </c>
    </row>
    <row r="247" spans="1:7" ht="19.899999999999999" customHeight="1">
      <c r="A247" s="501"/>
      <c r="B247" s="462"/>
      <c r="C247" s="160"/>
      <c r="D247" s="160"/>
      <c r="E247" s="469"/>
      <c r="F247" s="454"/>
      <c r="G247" s="503"/>
    </row>
    <row r="248" spans="1:7" ht="19.899999999999999" customHeight="1">
      <c r="A248" s="501"/>
      <c r="B248" s="160"/>
      <c r="C248" s="451" t="s">
        <v>1002</v>
      </c>
      <c r="D248" s="454" t="s">
        <v>999</v>
      </c>
      <c r="E248" s="520">
        <f>SUMPRODUCT(D237:D246,E237:E246)</f>
        <v>0</v>
      </c>
      <c r="F248" s="454" t="s">
        <v>1003</v>
      </c>
      <c r="G248" s="521">
        <f>SUM(G237:G246)</f>
        <v>0</v>
      </c>
    </row>
    <row r="249" spans="1:7" ht="19.899999999999999" customHeight="1">
      <c r="A249" s="501"/>
      <c r="B249" s="462"/>
      <c r="C249" s="470"/>
      <c r="D249" s="469"/>
      <c r="E249" s="456"/>
      <c r="F249" s="454"/>
      <c r="G249" s="507"/>
    </row>
    <row r="250" spans="1:7" ht="19.899999999999999" customHeight="1">
      <c r="A250" s="508"/>
      <c r="B250" s="462"/>
      <c r="C250" s="454" t="s">
        <v>1004</v>
      </c>
      <c r="D250" s="471"/>
      <c r="E250" s="472" t="str">
        <f ca="1">G232&amp;"/día"</f>
        <v>m3/día</v>
      </c>
      <c r="F250" s="448"/>
      <c r="G250" s="503"/>
    </row>
    <row r="251" spans="1:7" ht="19.899999999999999" customHeight="1">
      <c r="A251" s="501"/>
      <c r="B251" s="462"/>
      <c r="C251" s="160"/>
      <c r="D251" s="455"/>
      <c r="E251" s="456"/>
      <c r="F251" s="454"/>
      <c r="G251" s="503"/>
    </row>
    <row r="252" spans="1:7" ht="19.899999999999999" customHeight="1">
      <c r="A252" s="637" t="s">
        <v>575</v>
      </c>
      <c r="B252" s="638"/>
      <c r="C252" s="639" t="s">
        <v>0</v>
      </c>
      <c r="D252" s="647" t="s">
        <v>1863</v>
      </c>
      <c r="E252" s="647" t="s">
        <v>1862</v>
      </c>
      <c r="F252" s="643" t="s">
        <v>1005</v>
      </c>
      <c r="G252" s="645" t="s">
        <v>25</v>
      </c>
    </row>
    <row r="253" spans="1:7" ht="19.899999999999999" customHeight="1">
      <c r="A253" s="473" t="s">
        <v>576</v>
      </c>
      <c r="B253" s="473" t="s">
        <v>577</v>
      </c>
      <c r="C253" s="640"/>
      <c r="D253" s="648"/>
      <c r="E253" s="642"/>
      <c r="F253" s="644"/>
      <c r="G253" s="646"/>
    </row>
    <row r="254" spans="1:7" ht="19.899999999999999" customHeight="1">
      <c r="A254" s="509"/>
      <c r="B254" s="160"/>
      <c r="C254" s="451" t="s">
        <v>1006</v>
      </c>
      <c r="D254" s="456"/>
      <c r="E254" s="456"/>
      <c r="F254" s="160"/>
      <c r="G254" s="510"/>
    </row>
    <row r="255" spans="1:7" ht="19.899999999999999" customHeight="1">
      <c r="A255" s="511">
        <f t="shared" ref="A255:A263" si="64">IFERROR(VLOOKUP(C255,T_Insumos,4,FALSE),0)</f>
        <v>0</v>
      </c>
      <c r="B255" s="474">
        <f t="shared" ref="B255:B263" si="65">IFERROR(VLOOKUP(C255,T_Insumos,5,FALSE),0)</f>
        <v>0</v>
      </c>
      <c r="C255" s="465"/>
      <c r="D255" s="475"/>
      <c r="E255" s="468">
        <f>D255*$G$248</f>
        <v>0</v>
      </c>
      <c r="F255" s="471">
        <f>+$D$250</f>
        <v>0</v>
      </c>
      <c r="G255" s="468">
        <f>IFERROR(ROUND(E255/F255,2),0)</f>
        <v>0</v>
      </c>
    </row>
    <row r="256" spans="1:7" ht="19.899999999999999" customHeight="1">
      <c r="A256" s="511"/>
      <c r="B256" s="474"/>
      <c r="C256" s="465"/>
      <c r="D256" s="475"/>
      <c r="E256" s="468">
        <f>D256*$G$248</f>
        <v>0</v>
      </c>
      <c r="F256" s="471">
        <f t="shared" ref="F256:F258" si="66">+$D$250</f>
        <v>0</v>
      </c>
      <c r="G256" s="468">
        <f t="shared" ref="G256:G263" si="67">IFERROR(ROUND(E256/F256,2),0)</f>
        <v>0</v>
      </c>
    </row>
    <row r="257" spans="1:7" ht="19.899999999999999" customHeight="1">
      <c r="A257" s="511">
        <f t="shared" si="64"/>
        <v>0</v>
      </c>
      <c r="B257" s="474">
        <f t="shared" si="65"/>
        <v>0</v>
      </c>
      <c r="C257" s="476"/>
      <c r="D257" s="475"/>
      <c r="E257" s="468">
        <f>D257*$E$248</f>
        <v>0</v>
      </c>
      <c r="F257" s="471">
        <f t="shared" si="66"/>
        <v>0</v>
      </c>
      <c r="G257" s="468">
        <f t="shared" si="67"/>
        <v>0</v>
      </c>
    </row>
    <row r="258" spans="1:7" ht="19.899999999999999" customHeight="1">
      <c r="A258" s="511">
        <f t="shared" si="64"/>
        <v>0</v>
      </c>
      <c r="B258" s="474">
        <f t="shared" si="65"/>
        <v>0</v>
      </c>
      <c r="C258" s="476"/>
      <c r="D258" s="475"/>
      <c r="E258" s="468">
        <f>D258*$E$248</f>
        <v>0</v>
      </c>
      <c r="F258" s="471">
        <f t="shared" si="66"/>
        <v>0</v>
      </c>
      <c r="G258" s="468">
        <f t="shared" si="67"/>
        <v>0</v>
      </c>
    </row>
    <row r="259" spans="1:7" ht="19.899999999999999" customHeight="1">
      <c r="A259" s="511">
        <f t="shared" si="64"/>
        <v>0</v>
      </c>
      <c r="B259" s="474">
        <f t="shared" si="65"/>
        <v>0</v>
      </c>
      <c r="C259" s="476"/>
      <c r="D259" s="475">
        <f t="shared" ref="D259:D263" si="68">IFERROR(VLOOKUP(C259,T_Insumos,3,FALSE),0)</f>
        <v>0</v>
      </c>
      <c r="E259" s="468"/>
      <c r="F259" s="471">
        <f>IF(C259="",0,IFERROR(VLOOKUP(COUNTIF($A$1:A259,"ANALISIS DE PRECIOS"),T_Rendimiento_Equipo,5,FALSE),0))</f>
        <v>0</v>
      </c>
      <c r="G259" s="468">
        <f t="shared" si="67"/>
        <v>0</v>
      </c>
    </row>
    <row r="260" spans="1:7" ht="19.899999999999999" customHeight="1">
      <c r="A260" s="511">
        <f t="shared" si="64"/>
        <v>0</v>
      </c>
      <c r="B260" s="474">
        <f t="shared" si="65"/>
        <v>0</v>
      </c>
      <c r="C260" s="476"/>
      <c r="D260" s="475">
        <f t="shared" si="68"/>
        <v>0</v>
      </c>
      <c r="E260" s="468"/>
      <c r="F260" s="471">
        <f>IF(C260="",0,IFERROR(VLOOKUP(COUNTIF($A$1:A260,"ANALISIS DE PRECIOS"),T_Rendimiento_Equipo,5,FALSE),0))</f>
        <v>0</v>
      </c>
      <c r="G260" s="468">
        <f t="shared" si="67"/>
        <v>0</v>
      </c>
    </row>
    <row r="261" spans="1:7" ht="19.899999999999999" customHeight="1">
      <c r="A261" s="511">
        <f t="shared" si="64"/>
        <v>0</v>
      </c>
      <c r="B261" s="474">
        <f t="shared" si="65"/>
        <v>0</v>
      </c>
      <c r="C261" s="476"/>
      <c r="D261" s="475">
        <f t="shared" si="68"/>
        <v>0</v>
      </c>
      <c r="E261" s="468"/>
      <c r="F261" s="471">
        <f>IF(C261="",0,IFERROR(VLOOKUP(COUNTIF($A$1:A261,"ANALISIS DE PRECIOS"),T_Rendimiento_Equipo,5,FALSE),0))</f>
        <v>0</v>
      </c>
      <c r="G261" s="468">
        <f t="shared" si="67"/>
        <v>0</v>
      </c>
    </row>
    <row r="262" spans="1:7" ht="19.899999999999999" customHeight="1">
      <c r="A262" s="511">
        <f t="shared" si="64"/>
        <v>0</v>
      </c>
      <c r="B262" s="474">
        <f t="shared" si="65"/>
        <v>0</v>
      </c>
      <c r="C262" s="476"/>
      <c r="D262" s="475">
        <f t="shared" si="68"/>
        <v>0</v>
      </c>
      <c r="E262" s="468"/>
      <c r="F262" s="471">
        <f>IF(C262="",0,IFERROR(VLOOKUP(COUNTIF($A$1:A262,"ANALISIS DE PRECIOS"),T_Rendimiento_Equipo,5,FALSE),0))</f>
        <v>0</v>
      </c>
      <c r="G262" s="468">
        <f t="shared" si="67"/>
        <v>0</v>
      </c>
    </row>
    <row r="263" spans="1:7" ht="19.899999999999999" customHeight="1">
      <c r="A263" s="511">
        <f t="shared" si="64"/>
        <v>0</v>
      </c>
      <c r="B263" s="474">
        <f t="shared" si="65"/>
        <v>0</v>
      </c>
      <c r="C263" s="465"/>
      <c r="D263" s="475">
        <f t="shared" si="68"/>
        <v>0</v>
      </c>
      <c r="E263" s="468"/>
      <c r="F263" s="471">
        <f>IF(C263="",0,IFERROR(VLOOKUP(COUNTIF($A$1:A263,"ANALISIS DE PRECIOS"),T_Rendimiento_Equipo,5,FALSE),0))</f>
        <v>0</v>
      </c>
      <c r="G263" s="468">
        <f t="shared" si="67"/>
        <v>0</v>
      </c>
    </row>
    <row r="264" spans="1:7" ht="19.899999999999999" customHeight="1">
      <c r="A264" s="512"/>
      <c r="B264" s="455"/>
      <c r="C264" s="160"/>
      <c r="D264" s="455"/>
      <c r="E264" s="456"/>
      <c r="F264" s="477" t="s">
        <v>26</v>
      </c>
      <c r="G264" s="513">
        <f>SUBTOTAL(9,G255:G263)</f>
        <v>0</v>
      </c>
    </row>
    <row r="265" spans="1:7" ht="19.899999999999999" customHeight="1">
      <c r="A265" s="509"/>
      <c r="B265" s="160"/>
      <c r="C265" s="451" t="s">
        <v>712</v>
      </c>
      <c r="D265" s="455"/>
      <c r="E265" s="456"/>
      <c r="F265" s="457"/>
      <c r="G265" s="510"/>
    </row>
    <row r="266" spans="1:7" ht="19.899999999999999" customHeight="1">
      <c r="A266" s="637" t="s">
        <v>575</v>
      </c>
      <c r="B266" s="638"/>
      <c r="C266" s="639" t="s">
        <v>0</v>
      </c>
      <c r="D266" s="641" t="s">
        <v>23</v>
      </c>
      <c r="E266" s="641" t="s">
        <v>1829</v>
      </c>
      <c r="F266" s="643" t="s">
        <v>1005</v>
      </c>
      <c r="G266" s="645" t="s">
        <v>25</v>
      </c>
    </row>
    <row r="267" spans="1:7" ht="19.899999999999999" customHeight="1">
      <c r="A267" s="473" t="s">
        <v>576</v>
      </c>
      <c r="B267" s="473" t="s">
        <v>577</v>
      </c>
      <c r="C267" s="640"/>
      <c r="D267" s="642"/>
      <c r="E267" s="642"/>
      <c r="F267" s="644"/>
      <c r="G267" s="646"/>
    </row>
    <row r="268" spans="1:7" ht="19.899999999999999" customHeight="1">
      <c r="A268" s="511"/>
      <c r="B268" s="474"/>
      <c r="C268" s="478"/>
      <c r="D268" s="471"/>
      <c r="E268" s="468"/>
      <c r="F268" s="471">
        <f>+$D$250</f>
        <v>0</v>
      </c>
      <c r="G268" s="468">
        <f>IFERROR(ROUND(D268*E268/F268,2),0)</f>
        <v>0</v>
      </c>
    </row>
    <row r="269" spans="1:7" ht="19.899999999999999" customHeight="1">
      <c r="A269" s="511"/>
      <c r="B269" s="474"/>
      <c r="C269" s="465"/>
      <c r="D269" s="471"/>
      <c r="E269" s="468"/>
      <c r="F269" s="471">
        <f t="shared" ref="F269:F273" si="69">+$D$250</f>
        <v>0</v>
      </c>
      <c r="G269" s="468">
        <f t="shared" ref="G269:G274" si="70">IFERROR(ROUND(D269*E269/F269,2),0)</f>
        <v>0</v>
      </c>
    </row>
    <row r="270" spans="1:7" ht="19.899999999999999" customHeight="1">
      <c r="A270" s="511"/>
      <c r="B270" s="474"/>
      <c r="C270" s="465"/>
      <c r="D270" s="471"/>
      <c r="E270" s="468"/>
      <c r="F270" s="471">
        <f t="shared" si="69"/>
        <v>0</v>
      </c>
      <c r="G270" s="468">
        <f t="shared" si="70"/>
        <v>0</v>
      </c>
    </row>
    <row r="271" spans="1:7" ht="19.899999999999999" customHeight="1">
      <c r="A271" s="511"/>
      <c r="B271" s="474"/>
      <c r="C271" s="465"/>
      <c r="D271" s="471"/>
      <c r="E271" s="468"/>
      <c r="F271" s="471">
        <f t="shared" si="69"/>
        <v>0</v>
      </c>
      <c r="G271" s="468">
        <f t="shared" si="70"/>
        <v>0</v>
      </c>
    </row>
    <row r="272" spans="1:7" ht="19.899999999999999" customHeight="1">
      <c r="A272" s="511">
        <f t="shared" ref="A272:A274" si="71">IFERROR(VLOOKUP(C272,T_Insumos,4,FALSE),0)</f>
        <v>0</v>
      </c>
      <c r="B272" s="474">
        <f t="shared" ref="B272:B274" si="72">IFERROR(VLOOKUP(C272,T_Insumos,5,FALSE),0)</f>
        <v>0</v>
      </c>
      <c r="C272" s="465"/>
      <c r="D272" s="471"/>
      <c r="E272" s="468">
        <f t="shared" ref="E272:E274" si="73">IFERROR(VLOOKUP(C272,T_Insumos,3,FALSE),0)</f>
        <v>0</v>
      </c>
      <c r="F272" s="471">
        <f>IF(C272="",0,IFERROR(VLOOKUP(COUNTIF($A$1:A272,"ANALISIS DE PRECIOS"),T_Rendimiento_Equipo,5,FALSE),0))</f>
        <v>0</v>
      </c>
      <c r="G272" s="468">
        <f t="shared" si="70"/>
        <v>0</v>
      </c>
    </row>
    <row r="273" spans="1:7" ht="19.899999999999999" customHeight="1">
      <c r="A273" s="511">
        <f t="shared" si="71"/>
        <v>0</v>
      </c>
      <c r="B273" s="474">
        <f t="shared" si="72"/>
        <v>0</v>
      </c>
      <c r="C273" s="465"/>
      <c r="D273" s="479"/>
      <c r="E273" s="468">
        <f>SUMPRODUCT(D268:D271,E268:E271)</f>
        <v>0</v>
      </c>
      <c r="F273" s="471">
        <f t="shared" si="69"/>
        <v>0</v>
      </c>
      <c r="G273" s="468">
        <f t="shared" si="70"/>
        <v>0</v>
      </c>
    </row>
    <row r="274" spans="1:7" ht="19.899999999999999" customHeight="1">
      <c r="A274" s="511">
        <f t="shared" si="71"/>
        <v>0</v>
      </c>
      <c r="B274" s="474">
        <f t="shared" si="72"/>
        <v>0</v>
      </c>
      <c r="C274" s="474"/>
      <c r="D274" s="480">
        <v>0</v>
      </c>
      <c r="E274" s="468">
        <f t="shared" si="73"/>
        <v>0</v>
      </c>
      <c r="F274" s="471">
        <f>IF(C274="",0,IFERROR(VLOOKUP(COUNTIF($A$1:A274,"ANALISIS DE PRECIOS"),T_Rendimiento_Equipo,5,FALSE),0))</f>
        <v>0</v>
      </c>
      <c r="G274" s="468">
        <f t="shared" si="70"/>
        <v>0</v>
      </c>
    </row>
    <row r="275" spans="1:7" ht="19.899999999999999" customHeight="1">
      <c r="A275" s="512"/>
      <c r="B275" s="455"/>
      <c r="C275" s="160"/>
      <c r="D275" s="455"/>
      <c r="E275" s="456"/>
      <c r="F275" s="477" t="s">
        <v>27</v>
      </c>
      <c r="G275" s="514">
        <f>SUBTOTAL(9,G268:G274)</f>
        <v>0</v>
      </c>
    </row>
    <row r="276" spans="1:7" ht="19.899999999999999" customHeight="1">
      <c r="A276" s="509"/>
      <c r="B276" s="160"/>
      <c r="C276" s="451" t="s">
        <v>1012</v>
      </c>
      <c r="D276" s="455"/>
      <c r="E276" s="456"/>
      <c r="F276" s="457"/>
      <c r="G276" s="510"/>
    </row>
    <row r="277" spans="1:7" ht="19.899999999999999" customHeight="1">
      <c r="A277" s="637" t="s">
        <v>575</v>
      </c>
      <c r="B277" s="638"/>
      <c r="C277" s="639" t="s">
        <v>0</v>
      </c>
      <c r="D277" s="639" t="s">
        <v>1864</v>
      </c>
      <c r="E277" s="641" t="s">
        <v>23</v>
      </c>
      <c r="F277" s="643" t="s">
        <v>24</v>
      </c>
      <c r="G277" s="645" t="s">
        <v>25</v>
      </c>
    </row>
    <row r="278" spans="1:7" ht="19.899999999999999" customHeight="1">
      <c r="A278" s="473" t="s">
        <v>576</v>
      </c>
      <c r="B278" s="473" t="s">
        <v>577</v>
      </c>
      <c r="C278" s="640"/>
      <c r="D278" s="640"/>
      <c r="E278" s="642"/>
      <c r="F278" s="644"/>
      <c r="G278" s="646"/>
    </row>
    <row r="279" spans="1:7" ht="19.899999999999999" customHeight="1">
      <c r="A279" s="511">
        <f t="shared" ref="A279:A289" si="74">IFERROR(VLOOKUP(C279,T_Insumos,4,FALSE),0)</f>
        <v>0</v>
      </c>
      <c r="B279" s="474">
        <f t="shared" ref="B279:B289" si="75">IFERROR(VLOOKUP(C279,T_Insumos,5,FALSE),0)</f>
        <v>0</v>
      </c>
      <c r="C279" s="474"/>
      <c r="D279" s="522"/>
      <c r="E279" s="466"/>
      <c r="F279" s="468">
        <f t="shared" ref="F279:F289" si="76">IFERROR(VLOOKUP(C279,T_Insumos,3,FALSE),0)</f>
        <v>0</v>
      </c>
      <c r="G279" s="468">
        <f>ROUND(E279*F279,2)</f>
        <v>0</v>
      </c>
    </row>
    <row r="280" spans="1:7" ht="19.899999999999999" customHeight="1">
      <c r="A280" s="511">
        <f t="shared" si="74"/>
        <v>0</v>
      </c>
      <c r="B280" s="474">
        <f t="shared" si="75"/>
        <v>0</v>
      </c>
      <c r="C280" s="474"/>
      <c r="D280" s="522">
        <f t="shared" ref="D280:D289" si="77">IFERROR(VLOOKUP(C280,T_Insumos,2,FALSE),0)</f>
        <v>0</v>
      </c>
      <c r="E280" s="466"/>
      <c r="F280" s="468">
        <f t="shared" si="76"/>
        <v>0</v>
      </c>
      <c r="G280" s="468">
        <f t="shared" ref="G280:G289" si="78">ROUND(E280*F280,2)</f>
        <v>0</v>
      </c>
    </row>
    <row r="281" spans="1:7" ht="19.899999999999999" customHeight="1">
      <c r="A281" s="511">
        <f t="shared" si="74"/>
        <v>0</v>
      </c>
      <c r="B281" s="474">
        <f t="shared" si="75"/>
        <v>0</v>
      </c>
      <c r="C281" s="474"/>
      <c r="D281" s="522">
        <f t="shared" si="77"/>
        <v>0</v>
      </c>
      <c r="E281" s="466"/>
      <c r="F281" s="468">
        <f t="shared" si="76"/>
        <v>0</v>
      </c>
      <c r="G281" s="468">
        <f t="shared" si="78"/>
        <v>0</v>
      </c>
    </row>
    <row r="282" spans="1:7" ht="19.899999999999999" customHeight="1">
      <c r="A282" s="511">
        <f t="shared" si="74"/>
        <v>0</v>
      </c>
      <c r="B282" s="474">
        <f t="shared" si="75"/>
        <v>0</v>
      </c>
      <c r="C282" s="474"/>
      <c r="D282" s="522">
        <f t="shared" si="77"/>
        <v>0</v>
      </c>
      <c r="E282" s="466"/>
      <c r="F282" s="468">
        <f t="shared" si="76"/>
        <v>0</v>
      </c>
      <c r="G282" s="468">
        <f t="shared" si="78"/>
        <v>0</v>
      </c>
    </row>
    <row r="283" spans="1:7" ht="19.899999999999999" customHeight="1">
      <c r="A283" s="511">
        <f t="shared" si="74"/>
        <v>0</v>
      </c>
      <c r="B283" s="474">
        <f t="shared" si="75"/>
        <v>0</v>
      </c>
      <c r="C283" s="474"/>
      <c r="D283" s="522">
        <f t="shared" si="77"/>
        <v>0</v>
      </c>
      <c r="E283" s="466"/>
      <c r="F283" s="468">
        <f t="shared" si="76"/>
        <v>0</v>
      </c>
      <c r="G283" s="468">
        <f t="shared" si="78"/>
        <v>0</v>
      </c>
    </row>
    <row r="284" spans="1:7" ht="19.899999999999999" customHeight="1">
      <c r="A284" s="511">
        <f t="shared" si="74"/>
        <v>0</v>
      </c>
      <c r="B284" s="474">
        <f t="shared" si="75"/>
        <v>0</v>
      </c>
      <c r="C284" s="474"/>
      <c r="D284" s="522">
        <f t="shared" si="77"/>
        <v>0</v>
      </c>
      <c r="E284" s="466"/>
      <c r="F284" s="468">
        <f t="shared" si="76"/>
        <v>0</v>
      </c>
      <c r="G284" s="468">
        <f t="shared" si="78"/>
        <v>0</v>
      </c>
    </row>
    <row r="285" spans="1:7" ht="19.899999999999999" customHeight="1">
      <c r="A285" s="511">
        <f t="shared" si="74"/>
        <v>0</v>
      </c>
      <c r="B285" s="474">
        <f t="shared" si="75"/>
        <v>0</v>
      </c>
      <c r="C285" s="474"/>
      <c r="D285" s="522">
        <f t="shared" si="77"/>
        <v>0</v>
      </c>
      <c r="E285" s="466"/>
      <c r="F285" s="468">
        <f t="shared" si="76"/>
        <v>0</v>
      </c>
      <c r="G285" s="468">
        <f t="shared" si="78"/>
        <v>0</v>
      </c>
    </row>
    <row r="286" spans="1:7" ht="19.899999999999999" customHeight="1">
      <c r="A286" s="511">
        <f t="shared" si="74"/>
        <v>0</v>
      </c>
      <c r="B286" s="474">
        <f t="shared" si="75"/>
        <v>0</v>
      </c>
      <c r="C286" s="474"/>
      <c r="D286" s="522">
        <f t="shared" si="77"/>
        <v>0</v>
      </c>
      <c r="E286" s="466"/>
      <c r="F286" s="468">
        <f t="shared" si="76"/>
        <v>0</v>
      </c>
      <c r="G286" s="468">
        <f t="shared" si="78"/>
        <v>0</v>
      </c>
    </row>
    <row r="287" spans="1:7" ht="19.899999999999999" customHeight="1">
      <c r="A287" s="511">
        <f t="shared" si="74"/>
        <v>0</v>
      </c>
      <c r="B287" s="474">
        <f t="shared" si="75"/>
        <v>0</v>
      </c>
      <c r="C287" s="474"/>
      <c r="D287" s="522">
        <f t="shared" si="77"/>
        <v>0</v>
      </c>
      <c r="E287" s="466"/>
      <c r="F287" s="468">
        <f t="shared" si="76"/>
        <v>0</v>
      </c>
      <c r="G287" s="468">
        <f t="shared" si="78"/>
        <v>0</v>
      </c>
    </row>
    <row r="288" spans="1:7" ht="19.899999999999999" customHeight="1">
      <c r="A288" s="511">
        <f t="shared" si="74"/>
        <v>0</v>
      </c>
      <c r="B288" s="474">
        <f t="shared" si="75"/>
        <v>0</v>
      </c>
      <c r="C288" s="474"/>
      <c r="D288" s="522">
        <f t="shared" si="77"/>
        <v>0</v>
      </c>
      <c r="E288" s="466"/>
      <c r="F288" s="468">
        <f t="shared" si="76"/>
        <v>0</v>
      </c>
      <c r="G288" s="468">
        <f t="shared" si="78"/>
        <v>0</v>
      </c>
    </row>
    <row r="289" spans="1:8" ht="19.899999999999999" customHeight="1">
      <c r="A289" s="511">
        <f t="shared" si="74"/>
        <v>0</v>
      </c>
      <c r="B289" s="474">
        <f t="shared" si="75"/>
        <v>0</v>
      </c>
      <c r="C289" s="474"/>
      <c r="D289" s="522">
        <f t="shared" si="77"/>
        <v>0</v>
      </c>
      <c r="E289" s="466"/>
      <c r="F289" s="468">
        <f t="shared" si="76"/>
        <v>0</v>
      </c>
      <c r="G289" s="468">
        <f t="shared" si="78"/>
        <v>0</v>
      </c>
    </row>
    <row r="290" spans="1:8" ht="19.899999999999999" customHeight="1">
      <c r="A290" s="509"/>
      <c r="B290" s="160"/>
      <c r="C290" s="160"/>
      <c r="D290" s="455"/>
      <c r="E290" s="456"/>
      <c r="F290" s="477" t="s">
        <v>28</v>
      </c>
      <c r="G290" s="514">
        <f>SUBTOTAL(9,G279:G289)</f>
        <v>0</v>
      </c>
    </row>
    <row r="291" spans="1:8" ht="19.899999999999999" customHeight="1">
      <c r="A291" s="509"/>
      <c r="B291" s="160"/>
      <c r="C291" s="451" t="s">
        <v>1013</v>
      </c>
      <c r="D291" s="455"/>
      <c r="E291" s="456"/>
      <c r="F291" s="457"/>
      <c r="G291" s="510"/>
    </row>
    <row r="292" spans="1:8" ht="19.899999999999999" customHeight="1">
      <c r="A292" s="637" t="s">
        <v>575</v>
      </c>
      <c r="B292" s="638"/>
      <c r="C292" s="639" t="s">
        <v>0</v>
      </c>
      <c r="D292" s="639" t="s">
        <v>1864</v>
      </c>
      <c r="E292" s="641" t="s">
        <v>23</v>
      </c>
      <c r="F292" s="643" t="s">
        <v>24</v>
      </c>
      <c r="G292" s="645" t="s">
        <v>25</v>
      </c>
    </row>
    <row r="293" spans="1:8" ht="19.899999999999999" customHeight="1">
      <c r="A293" s="473" t="s">
        <v>576</v>
      </c>
      <c r="B293" s="473" t="s">
        <v>577</v>
      </c>
      <c r="C293" s="640"/>
      <c r="D293" s="640"/>
      <c r="E293" s="642"/>
      <c r="F293" s="644"/>
      <c r="G293" s="646"/>
    </row>
    <row r="294" spans="1:8" ht="19.899999999999999" customHeight="1">
      <c r="A294" s="511">
        <f>IFERROR(VLOOKUP(C294,T_Insumos,4,FALSE),0)</f>
        <v>0</v>
      </c>
      <c r="B294" s="474">
        <f>IFERROR(VLOOKUP(C294,T_Insumos,5,FALSE),0)</f>
        <v>0</v>
      </c>
      <c r="C294" s="465"/>
      <c r="D294" s="522">
        <f>IF(C294=0,0,"$/tnkm")</f>
        <v>0</v>
      </c>
      <c r="E294" s="466"/>
      <c r="F294" s="468">
        <f>IFERROR(VLOOKUP(C294,T_Insumos,3,FALSE),0)</f>
        <v>0</v>
      </c>
      <c r="G294" s="468">
        <f>ROUND(E294*F294,2)</f>
        <v>0</v>
      </c>
    </row>
    <row r="295" spans="1:8" ht="19.899999999999999" customHeight="1">
      <c r="A295" s="511">
        <f>IFERROR(VLOOKUP(C295,T_Insumos,4,FALSE),0)</f>
        <v>0</v>
      </c>
      <c r="B295" s="474">
        <f>IFERROR(VLOOKUP(C295,T_Insumos,5,FALSE),0)</f>
        <v>0</v>
      </c>
      <c r="C295" s="465"/>
      <c r="D295" s="522">
        <f>IF(C295=0,0,"$/tnkm")</f>
        <v>0</v>
      </c>
      <c r="E295" s="482"/>
      <c r="F295" s="468">
        <f>IFERROR(VLOOKUP(C295,T_Insumos,3,FALSE),0)</f>
        <v>0</v>
      </c>
      <c r="G295" s="468">
        <f t="shared" ref="G295" si="79">ROUND(E295*F295,2)</f>
        <v>0</v>
      </c>
    </row>
    <row r="296" spans="1:8" ht="19.899999999999999" customHeight="1">
      <c r="A296" s="509"/>
      <c r="B296" s="160"/>
      <c r="C296" s="160"/>
      <c r="D296" s="455"/>
      <c r="E296" s="456"/>
      <c r="F296" s="477" t="s">
        <v>1014</v>
      </c>
      <c r="G296" s="514">
        <f>SUBTOTAL(9,G294:G295)</f>
        <v>0</v>
      </c>
    </row>
    <row r="297" spans="1:8" ht="19.899999999999999" customHeight="1">
      <c r="A297" s="512"/>
      <c r="B297" s="455"/>
      <c r="C297" s="160"/>
      <c r="D297" s="455"/>
      <c r="E297" s="456"/>
      <c r="F297" s="457"/>
      <c r="G297" s="510"/>
    </row>
    <row r="298" spans="1:8" ht="19.899999999999999" customHeight="1">
      <c r="A298" s="570">
        <f>B232</f>
        <v>1.4</v>
      </c>
      <c r="B298" s="567" t="str">
        <f ca="1">C232</f>
        <v>Engravado para proteccion de filtros</v>
      </c>
      <c r="C298" s="455"/>
      <c r="D298" s="455" t="s">
        <v>1830</v>
      </c>
      <c r="E298" s="568"/>
      <c r="F298" s="569" t="str">
        <f ca="1">"$/"&amp;G232</f>
        <v>$/m3</v>
      </c>
      <c r="G298" s="519">
        <f>SUBTOTAL(9,G255:G297)</f>
        <v>0</v>
      </c>
    </row>
    <row r="299" spans="1:8" ht="19.899999999999999" customHeight="1">
      <c r="A299" s="515"/>
      <c r="B299" s="516"/>
      <c r="C299" s="517"/>
      <c r="D299" s="517" t="s">
        <v>2040</v>
      </c>
      <c r="E299" s="518"/>
      <c r="F299" s="571" t="str">
        <f ca="1">"$/"&amp;G232</f>
        <v>$/m3</v>
      </c>
      <c r="G299" s="519">
        <f>ROUND(G298*Coeficiente_Paso,2)</f>
        <v>0</v>
      </c>
    </row>
    <row r="300" spans="1:8" ht="19.899999999999999" customHeight="1">
      <c r="A300" s="160"/>
      <c r="B300" s="160"/>
      <c r="C300" s="160"/>
      <c r="D300" s="160"/>
      <c r="E300" s="160"/>
      <c r="F300" s="160"/>
      <c r="G300" s="160"/>
    </row>
    <row r="301" spans="1:8" ht="19.899999999999999" customHeight="1">
      <c r="A301" s="633" t="s">
        <v>30</v>
      </c>
      <c r="B301" s="634"/>
      <c r="C301" s="634"/>
      <c r="D301" s="634"/>
      <c r="E301" s="634"/>
      <c r="F301" s="634"/>
      <c r="G301" s="635"/>
      <c r="H301" s="57"/>
    </row>
    <row r="302" spans="1:8" ht="19.899999999999999" customHeight="1">
      <c r="A302" s="498" t="s">
        <v>710</v>
      </c>
      <c r="B302" s="449" t="str">
        <f>Comitente</f>
        <v>DEPARTAMENTO DE HIDRAULICA</v>
      </c>
      <c r="C302" s="450"/>
      <c r="D302" s="451"/>
      <c r="E302" s="451"/>
      <c r="F302" s="452"/>
      <c r="G302" s="499"/>
      <c r="H302" s="57"/>
    </row>
    <row r="303" spans="1:8" ht="19.899999999999999" customHeight="1">
      <c r="A303" s="498" t="s">
        <v>711</v>
      </c>
      <c r="B303" s="449">
        <f>Contratista</f>
        <v>0</v>
      </c>
      <c r="C303" s="453"/>
      <c r="D303" s="453"/>
      <c r="E303" s="453"/>
      <c r="F303" s="449"/>
      <c r="G303" s="500"/>
      <c r="H303" s="57"/>
    </row>
    <row r="304" spans="1:8" ht="19.899999999999999" customHeight="1">
      <c r="A304" s="498" t="s">
        <v>20</v>
      </c>
      <c r="B304" s="449" t="str">
        <f>Obra</f>
        <v>EJECUCION DE PERFORACION - SISTEMA DE RIEGO</v>
      </c>
      <c r="C304" s="453"/>
      <c r="D304" s="453"/>
      <c r="E304" s="453"/>
      <c r="F304" s="449" t="s">
        <v>31</v>
      </c>
      <c r="G304" s="500">
        <f>Fecha_Base</f>
        <v>0</v>
      </c>
      <c r="H304" s="57"/>
    </row>
    <row r="305" spans="1:8" ht="19.899999999999999" customHeight="1">
      <c r="A305" s="501" t="s">
        <v>709</v>
      </c>
      <c r="B305" s="454" t="str">
        <f>Ubicación</f>
        <v>DEPARTAMENTO CHIMBAS</v>
      </c>
      <c r="C305" s="454"/>
      <c r="D305" s="455"/>
      <c r="E305" s="456"/>
      <c r="F305" s="457"/>
      <c r="G305" s="502"/>
      <c r="H305" s="57"/>
    </row>
    <row r="306" spans="1:8" ht="19.899999999999999" customHeight="1">
      <c r="A306" s="501" t="s">
        <v>32</v>
      </c>
      <c r="B306" s="458">
        <f>IFERROR(VALUE(LEFT(B307,FIND(".",B307)-1)),"")</f>
        <v>1</v>
      </c>
      <c r="C306" s="160" t="str">
        <f ca="1">IFERROR(VLOOKUP(B306,T_Computo_Presupuesto,2,FALSE),0)</f>
        <v>PERFORACION PROPIAMENTE DICHA</v>
      </c>
      <c r="D306" s="160"/>
      <c r="E306" s="456"/>
      <c r="F306" s="457"/>
      <c r="G306" s="502"/>
      <c r="H306" s="57"/>
    </row>
    <row r="307" spans="1:8" ht="19.899999999999999" customHeight="1">
      <c r="A307" s="501" t="s">
        <v>21</v>
      </c>
      <c r="B307" s="459">
        <f>IFERROR(VLOOKUP(COUNTIF($A$1:A307,"ANALISIS DE PRECIOS"),T_NumeroItem,2,FALSE),"")</f>
        <v>1.5</v>
      </c>
      <c r="C307" s="636" t="str">
        <f ca="1">IFERROR(VLOOKUP(B307,T_Computo_Presupuesto,2,FALSE),0)</f>
        <v>Provision en instalacion cañeria 12"</v>
      </c>
      <c r="D307" s="636"/>
      <c r="E307" s="636"/>
      <c r="F307" s="454" t="s">
        <v>22</v>
      </c>
      <c r="G307" s="503" t="str">
        <f ca="1">IFERROR(VLOOKUP(B307,T_Computo_Presupuesto,4,FALSE),0)</f>
        <v>m</v>
      </c>
      <c r="H307" s="57"/>
    </row>
    <row r="308" spans="1:8" ht="19.899999999999999" customHeight="1">
      <c r="A308" s="501"/>
      <c r="B308" s="454"/>
      <c r="C308" s="160"/>
      <c r="D308" s="455"/>
      <c r="E308" s="456"/>
      <c r="F308" s="160"/>
      <c r="G308" s="504"/>
      <c r="H308" s="57"/>
    </row>
    <row r="309" spans="1:8" ht="19.899999999999999" customHeight="1">
      <c r="A309" s="505"/>
      <c r="B309" s="460"/>
      <c r="C309" s="461" t="s">
        <v>997</v>
      </c>
      <c r="D309" s="460"/>
      <c r="E309" s="460"/>
      <c r="F309" s="460"/>
      <c r="G309" s="506"/>
      <c r="H309" s="57"/>
    </row>
    <row r="310" spans="1:8" ht="19.899999999999999" customHeight="1">
      <c r="A310" s="501"/>
      <c r="B310" s="462"/>
      <c r="C310" s="160"/>
      <c r="D310" s="455"/>
      <c r="E310" s="456"/>
      <c r="F310" s="454"/>
      <c r="G310" s="503"/>
      <c r="H310" s="57"/>
    </row>
    <row r="311" spans="1:8" ht="19.899999999999999" customHeight="1">
      <c r="A311" s="501"/>
      <c r="B311" s="462"/>
      <c r="C311" s="463" t="s">
        <v>998</v>
      </c>
      <c r="D311" s="464" t="s">
        <v>23</v>
      </c>
      <c r="E311" s="464" t="s">
        <v>999</v>
      </c>
      <c r="F311" s="464" t="s">
        <v>1000</v>
      </c>
      <c r="G311" s="463" t="s">
        <v>1001</v>
      </c>
    </row>
    <row r="312" spans="1:8" ht="19.899999999999999" customHeight="1">
      <c r="A312" s="501"/>
      <c r="B312" s="462"/>
      <c r="C312" s="465"/>
      <c r="D312" s="466"/>
      <c r="E312" s="467">
        <f t="shared" ref="E312:E318" si="80">IFERROR(VLOOKUP(C312,T_Equipos,4,FALSE),0)</f>
        <v>0</v>
      </c>
      <c r="F312" s="468"/>
      <c r="G312" s="468">
        <f>ROUND(D312*F312,2)</f>
        <v>0</v>
      </c>
    </row>
    <row r="313" spans="1:8" ht="19.899999999999999" customHeight="1">
      <c r="A313" s="501"/>
      <c r="B313" s="462"/>
      <c r="C313" s="465"/>
      <c r="D313" s="466"/>
      <c r="E313" s="467">
        <f t="shared" si="80"/>
        <v>0</v>
      </c>
      <c r="F313" s="468"/>
      <c r="G313" s="468">
        <f>ROUND(D313*F313,2)</f>
        <v>0</v>
      </c>
    </row>
    <row r="314" spans="1:8" ht="19.899999999999999" customHeight="1">
      <c r="A314" s="501"/>
      <c r="B314" s="462"/>
      <c r="C314" s="465"/>
      <c r="D314" s="466"/>
      <c r="E314" s="467">
        <f t="shared" si="80"/>
        <v>0</v>
      </c>
      <c r="F314" s="468"/>
      <c r="G314" s="468">
        <f>ROUND(D314*F314,2)</f>
        <v>0</v>
      </c>
    </row>
    <row r="315" spans="1:8" ht="19.899999999999999" customHeight="1">
      <c r="A315" s="501"/>
      <c r="B315" s="462"/>
      <c r="C315" s="465"/>
      <c r="D315" s="466"/>
      <c r="E315" s="467">
        <f t="shared" si="80"/>
        <v>0</v>
      </c>
      <c r="F315" s="468"/>
      <c r="G315" s="468">
        <f>ROUND(D315*F315,2)</f>
        <v>0</v>
      </c>
    </row>
    <row r="316" spans="1:8" ht="19.899999999999999" customHeight="1">
      <c r="A316" s="501"/>
      <c r="B316" s="462"/>
      <c r="C316" s="465"/>
      <c r="D316" s="466"/>
      <c r="E316" s="467">
        <f t="shared" si="80"/>
        <v>0</v>
      </c>
      <c r="F316" s="468"/>
      <c r="G316" s="468">
        <f t="shared" ref="G316:G321" si="81">ROUND(D316*F316,2)</f>
        <v>0</v>
      </c>
    </row>
    <row r="317" spans="1:8" ht="19.899999999999999" customHeight="1">
      <c r="A317" s="501"/>
      <c r="B317" s="462"/>
      <c r="C317" s="465"/>
      <c r="D317" s="466"/>
      <c r="E317" s="467">
        <f t="shared" si="80"/>
        <v>0</v>
      </c>
      <c r="F317" s="468">
        <f t="shared" ref="F317:F321" si="82">IFERROR(VLOOKUP(C317,T_Equipos,5,FALSE),0)</f>
        <v>0</v>
      </c>
      <c r="G317" s="468">
        <f t="shared" si="81"/>
        <v>0</v>
      </c>
    </row>
    <row r="318" spans="1:8" ht="19.899999999999999" customHeight="1">
      <c r="A318" s="501"/>
      <c r="B318" s="462"/>
      <c r="C318" s="465"/>
      <c r="D318" s="466"/>
      <c r="E318" s="467">
        <f t="shared" si="80"/>
        <v>0</v>
      </c>
      <c r="F318" s="468">
        <f t="shared" si="82"/>
        <v>0</v>
      </c>
      <c r="G318" s="468">
        <f t="shared" si="81"/>
        <v>0</v>
      </c>
    </row>
    <row r="319" spans="1:8" ht="19.899999999999999" customHeight="1">
      <c r="A319" s="501"/>
      <c r="B319" s="462"/>
      <c r="C319" s="465"/>
      <c r="D319" s="466"/>
      <c r="E319" s="467">
        <f t="shared" ref="E319:E321" si="83">IFERROR(VLOOKUP(C319,T_Equipos,4,FALSE),0)</f>
        <v>0</v>
      </c>
      <c r="F319" s="468">
        <f t="shared" si="82"/>
        <v>0</v>
      </c>
      <c r="G319" s="468">
        <f t="shared" si="81"/>
        <v>0</v>
      </c>
    </row>
    <row r="320" spans="1:8" ht="19.899999999999999" customHeight="1">
      <c r="A320" s="501"/>
      <c r="B320" s="462"/>
      <c r="C320" s="465"/>
      <c r="D320" s="466"/>
      <c r="E320" s="467">
        <f t="shared" si="83"/>
        <v>0</v>
      </c>
      <c r="F320" s="468">
        <f t="shared" si="82"/>
        <v>0</v>
      </c>
      <c r="G320" s="468">
        <f t="shared" si="81"/>
        <v>0</v>
      </c>
    </row>
    <row r="321" spans="1:7" ht="19.899999999999999" customHeight="1">
      <c r="A321" s="501"/>
      <c r="B321" s="462"/>
      <c r="C321" s="465"/>
      <c r="D321" s="466"/>
      <c r="E321" s="467">
        <f t="shared" si="83"/>
        <v>0</v>
      </c>
      <c r="F321" s="468">
        <f t="shared" si="82"/>
        <v>0</v>
      </c>
      <c r="G321" s="468">
        <f t="shared" si="81"/>
        <v>0</v>
      </c>
    </row>
    <row r="322" spans="1:7" ht="19.899999999999999" customHeight="1">
      <c r="A322" s="501"/>
      <c r="B322" s="462"/>
      <c r="C322" s="160"/>
      <c r="D322" s="160"/>
      <c r="E322" s="469"/>
      <c r="F322" s="454"/>
      <c r="G322" s="503"/>
    </row>
    <row r="323" spans="1:7" ht="19.899999999999999" customHeight="1">
      <c r="A323" s="501"/>
      <c r="B323" s="160"/>
      <c r="C323" s="451" t="s">
        <v>1002</v>
      </c>
      <c r="D323" s="454" t="s">
        <v>999</v>
      </c>
      <c r="E323" s="520">
        <f>SUMPRODUCT(D312:D321,E312:E321)</f>
        <v>0</v>
      </c>
      <c r="F323" s="454" t="s">
        <v>1003</v>
      </c>
      <c r="G323" s="521">
        <f>SUM(G312:G321)</f>
        <v>0</v>
      </c>
    </row>
    <row r="324" spans="1:7" ht="19.899999999999999" customHeight="1">
      <c r="A324" s="501"/>
      <c r="B324" s="462"/>
      <c r="C324" s="470"/>
      <c r="D324" s="469"/>
      <c r="E324" s="456"/>
      <c r="F324" s="454"/>
      <c r="G324" s="507"/>
    </row>
    <row r="325" spans="1:7" ht="19.899999999999999" customHeight="1">
      <c r="A325" s="508"/>
      <c r="B325" s="462"/>
      <c r="C325" s="454" t="s">
        <v>1004</v>
      </c>
      <c r="D325" s="471"/>
      <c r="E325" s="472" t="str">
        <f ca="1">G307&amp;"/día"</f>
        <v>m/día</v>
      </c>
      <c r="F325" s="448"/>
      <c r="G325" s="503"/>
    </row>
    <row r="326" spans="1:7" ht="19.899999999999999" customHeight="1">
      <c r="A326" s="501"/>
      <c r="B326" s="462"/>
      <c r="C326" s="160"/>
      <c r="D326" s="455"/>
      <c r="E326" s="456"/>
      <c r="F326" s="454"/>
      <c r="G326" s="503"/>
    </row>
    <row r="327" spans="1:7" ht="19.899999999999999" customHeight="1">
      <c r="A327" s="637" t="s">
        <v>575</v>
      </c>
      <c r="B327" s="638"/>
      <c r="C327" s="639" t="s">
        <v>0</v>
      </c>
      <c r="D327" s="647" t="s">
        <v>1863</v>
      </c>
      <c r="E327" s="647" t="s">
        <v>1862</v>
      </c>
      <c r="F327" s="643" t="s">
        <v>1005</v>
      </c>
      <c r="G327" s="645" t="s">
        <v>25</v>
      </c>
    </row>
    <row r="328" spans="1:7" ht="19.899999999999999" customHeight="1">
      <c r="A328" s="473" t="s">
        <v>576</v>
      </c>
      <c r="B328" s="473" t="s">
        <v>577</v>
      </c>
      <c r="C328" s="640"/>
      <c r="D328" s="648"/>
      <c r="E328" s="642"/>
      <c r="F328" s="644"/>
      <c r="G328" s="646"/>
    </row>
    <row r="329" spans="1:7" ht="19.899999999999999" customHeight="1">
      <c r="A329" s="509"/>
      <c r="B329" s="160"/>
      <c r="C329" s="451" t="s">
        <v>1006</v>
      </c>
      <c r="D329" s="456"/>
      <c r="E329" s="456"/>
      <c r="F329" s="160"/>
      <c r="G329" s="510"/>
    </row>
    <row r="330" spans="1:7" ht="19.899999999999999" customHeight="1">
      <c r="A330" s="511">
        <f t="shared" ref="A330:A338" si="84">IFERROR(VLOOKUP(C330,T_Insumos,4,FALSE),0)</f>
        <v>0</v>
      </c>
      <c r="B330" s="474">
        <f t="shared" ref="B330:B338" si="85">IFERROR(VLOOKUP(C330,T_Insumos,5,FALSE),0)</f>
        <v>0</v>
      </c>
      <c r="C330" s="465"/>
      <c r="D330" s="475">
        <f t="shared" ref="D330:D333" si="86">IFERROR(VLOOKUP(C330,T_Insumos,3,FALSE),0)</f>
        <v>0</v>
      </c>
      <c r="E330" s="468">
        <f>D330*$G$323</f>
        <v>0</v>
      </c>
      <c r="F330" s="471">
        <f>+$D$325</f>
        <v>0</v>
      </c>
      <c r="G330" s="468">
        <f>IFERROR(ROUND(E330/F330,2),0)</f>
        <v>0</v>
      </c>
    </row>
    <row r="331" spans="1:7" ht="19.899999999999999" customHeight="1">
      <c r="A331" s="511"/>
      <c r="B331" s="474"/>
      <c r="C331" s="465"/>
      <c r="D331" s="475">
        <f t="shared" si="86"/>
        <v>0</v>
      </c>
      <c r="E331" s="468">
        <f>D331*$G$323</f>
        <v>0</v>
      </c>
      <c r="F331" s="471">
        <f t="shared" ref="F331:F333" si="87">+$D$325</f>
        <v>0</v>
      </c>
      <c r="G331" s="468">
        <f t="shared" ref="G331:G338" si="88">IFERROR(ROUND(E331/F331,2),0)</f>
        <v>0</v>
      </c>
    </row>
    <row r="332" spans="1:7" ht="19.899999999999999" customHeight="1">
      <c r="A332" s="511">
        <f t="shared" si="84"/>
        <v>0</v>
      </c>
      <c r="B332" s="474">
        <f t="shared" si="85"/>
        <v>0</v>
      </c>
      <c r="C332" s="476"/>
      <c r="D332" s="475">
        <f t="shared" si="86"/>
        <v>0</v>
      </c>
      <c r="E332" s="468">
        <f>D332*$E$323</f>
        <v>0</v>
      </c>
      <c r="F332" s="471">
        <f t="shared" si="87"/>
        <v>0</v>
      </c>
      <c r="G332" s="468">
        <f t="shared" si="88"/>
        <v>0</v>
      </c>
    </row>
    <row r="333" spans="1:7" ht="19.899999999999999" customHeight="1">
      <c r="A333" s="511">
        <f t="shared" si="84"/>
        <v>0</v>
      </c>
      <c r="B333" s="474">
        <f t="shared" si="85"/>
        <v>0</v>
      </c>
      <c r="C333" s="476"/>
      <c r="D333" s="475">
        <f t="shared" si="86"/>
        <v>0</v>
      </c>
      <c r="E333" s="468">
        <f>D333*$E$323</f>
        <v>0</v>
      </c>
      <c r="F333" s="471">
        <f t="shared" si="87"/>
        <v>0</v>
      </c>
      <c r="G333" s="468">
        <f t="shared" si="88"/>
        <v>0</v>
      </c>
    </row>
    <row r="334" spans="1:7" ht="19.899999999999999" customHeight="1">
      <c r="A334" s="511">
        <f t="shared" si="84"/>
        <v>0</v>
      </c>
      <c r="B334" s="474">
        <f t="shared" si="85"/>
        <v>0</v>
      </c>
      <c r="C334" s="476"/>
      <c r="D334" s="475">
        <f t="shared" ref="D334:D338" si="89">IFERROR(VLOOKUP(C334,T_Insumos,3,FALSE),0)</f>
        <v>0</v>
      </c>
      <c r="E334" s="468"/>
      <c r="F334" s="471">
        <f>IF(C334="",0,IFERROR(VLOOKUP(COUNTIF($A$1:A334,"ANALISIS DE PRECIOS"),T_Rendimiento_Equipo,5,FALSE),0))</f>
        <v>0</v>
      </c>
      <c r="G334" s="468">
        <f t="shared" si="88"/>
        <v>0</v>
      </c>
    </row>
    <row r="335" spans="1:7" ht="19.899999999999999" customHeight="1">
      <c r="A335" s="511">
        <f t="shared" si="84"/>
        <v>0</v>
      </c>
      <c r="B335" s="474">
        <f t="shared" si="85"/>
        <v>0</v>
      </c>
      <c r="C335" s="476"/>
      <c r="D335" s="475">
        <f t="shared" si="89"/>
        <v>0</v>
      </c>
      <c r="E335" s="468"/>
      <c r="F335" s="471">
        <f>IF(C335="",0,IFERROR(VLOOKUP(COUNTIF($A$1:A335,"ANALISIS DE PRECIOS"),T_Rendimiento_Equipo,5,FALSE),0))</f>
        <v>0</v>
      </c>
      <c r="G335" s="468">
        <f t="shared" si="88"/>
        <v>0</v>
      </c>
    </row>
    <row r="336" spans="1:7" ht="19.899999999999999" customHeight="1">
      <c r="A336" s="511">
        <f t="shared" si="84"/>
        <v>0</v>
      </c>
      <c r="B336" s="474">
        <f t="shared" si="85"/>
        <v>0</v>
      </c>
      <c r="C336" s="476"/>
      <c r="D336" s="475">
        <f t="shared" si="89"/>
        <v>0</v>
      </c>
      <c r="E336" s="468"/>
      <c r="F336" s="471">
        <f>IF(C336="",0,IFERROR(VLOOKUP(COUNTIF($A$1:A336,"ANALISIS DE PRECIOS"),T_Rendimiento_Equipo,5,FALSE),0))</f>
        <v>0</v>
      </c>
      <c r="G336" s="468">
        <f t="shared" si="88"/>
        <v>0</v>
      </c>
    </row>
    <row r="337" spans="1:7" ht="19.899999999999999" customHeight="1">
      <c r="A337" s="511">
        <f t="shared" si="84"/>
        <v>0</v>
      </c>
      <c r="B337" s="474">
        <f t="shared" si="85"/>
        <v>0</v>
      </c>
      <c r="C337" s="476"/>
      <c r="D337" s="475">
        <f t="shared" si="89"/>
        <v>0</v>
      </c>
      <c r="E337" s="468"/>
      <c r="F337" s="471">
        <f>IF(C337="",0,IFERROR(VLOOKUP(COUNTIF($A$1:A337,"ANALISIS DE PRECIOS"),T_Rendimiento_Equipo,5,FALSE),0))</f>
        <v>0</v>
      </c>
      <c r="G337" s="468">
        <f t="shared" si="88"/>
        <v>0</v>
      </c>
    </row>
    <row r="338" spans="1:7" ht="19.899999999999999" customHeight="1">
      <c r="A338" s="511">
        <f t="shared" si="84"/>
        <v>0</v>
      </c>
      <c r="B338" s="474">
        <f t="shared" si="85"/>
        <v>0</v>
      </c>
      <c r="C338" s="465"/>
      <c r="D338" s="475">
        <f t="shared" si="89"/>
        <v>0</v>
      </c>
      <c r="E338" s="468"/>
      <c r="F338" s="471">
        <f>IF(C338="",0,IFERROR(VLOOKUP(COUNTIF($A$1:A338,"ANALISIS DE PRECIOS"),T_Rendimiento_Equipo,5,FALSE),0))</f>
        <v>0</v>
      </c>
      <c r="G338" s="468">
        <f t="shared" si="88"/>
        <v>0</v>
      </c>
    </row>
    <row r="339" spans="1:7" ht="19.899999999999999" customHeight="1">
      <c r="A339" s="512"/>
      <c r="B339" s="455"/>
      <c r="C339" s="160"/>
      <c r="D339" s="455"/>
      <c r="E339" s="456"/>
      <c r="F339" s="477" t="s">
        <v>26</v>
      </c>
      <c r="G339" s="513">
        <f>SUBTOTAL(9,G330:G338)</f>
        <v>0</v>
      </c>
    </row>
    <row r="340" spans="1:7" ht="19.899999999999999" customHeight="1">
      <c r="A340" s="509"/>
      <c r="B340" s="160"/>
      <c r="C340" s="451" t="s">
        <v>712</v>
      </c>
      <c r="D340" s="455"/>
      <c r="E340" s="456"/>
      <c r="F340" s="457"/>
      <c r="G340" s="510"/>
    </row>
    <row r="341" spans="1:7" ht="19.899999999999999" customHeight="1">
      <c r="A341" s="637" t="s">
        <v>575</v>
      </c>
      <c r="B341" s="638"/>
      <c r="C341" s="639" t="s">
        <v>0</v>
      </c>
      <c r="D341" s="641" t="s">
        <v>23</v>
      </c>
      <c r="E341" s="641" t="s">
        <v>1829</v>
      </c>
      <c r="F341" s="643" t="s">
        <v>1005</v>
      </c>
      <c r="G341" s="645" t="s">
        <v>25</v>
      </c>
    </row>
    <row r="342" spans="1:7" ht="19.899999999999999" customHeight="1">
      <c r="A342" s="473" t="s">
        <v>576</v>
      </c>
      <c r="B342" s="473" t="s">
        <v>577</v>
      </c>
      <c r="C342" s="640"/>
      <c r="D342" s="642"/>
      <c r="E342" s="642"/>
      <c r="F342" s="644"/>
      <c r="G342" s="646"/>
    </row>
    <row r="343" spans="1:7" ht="19.899999999999999" customHeight="1">
      <c r="A343" s="511"/>
      <c r="B343" s="474"/>
      <c r="C343" s="478"/>
      <c r="D343" s="471"/>
      <c r="E343" s="468">
        <f t="shared" ref="E343:E346" si="90">IFERROR(VLOOKUP(C343,T_Insumos,3,FALSE),0)</f>
        <v>0</v>
      </c>
      <c r="F343" s="471">
        <f>+$D$325</f>
        <v>0</v>
      </c>
      <c r="G343" s="468">
        <f>IFERROR(ROUND(D343*E343/F343,2),0)</f>
        <v>0</v>
      </c>
    </row>
    <row r="344" spans="1:7" ht="19.899999999999999" customHeight="1">
      <c r="A344" s="511"/>
      <c r="B344" s="474"/>
      <c r="C344" s="465"/>
      <c r="D344" s="471"/>
      <c r="E344" s="468">
        <f t="shared" si="90"/>
        <v>0</v>
      </c>
      <c r="F344" s="471">
        <f t="shared" ref="F344:F348" si="91">+$D$325</f>
        <v>0</v>
      </c>
      <c r="G344" s="468">
        <f t="shared" ref="G344:G349" si="92">IFERROR(ROUND(D344*E344/F344,2),0)</f>
        <v>0</v>
      </c>
    </row>
    <row r="345" spans="1:7" ht="19.899999999999999" customHeight="1">
      <c r="A345" s="511"/>
      <c r="B345" s="474"/>
      <c r="C345" s="465"/>
      <c r="D345" s="471"/>
      <c r="E345" s="468">
        <f t="shared" si="90"/>
        <v>0</v>
      </c>
      <c r="F345" s="471">
        <f t="shared" si="91"/>
        <v>0</v>
      </c>
      <c r="G345" s="468">
        <f t="shared" si="92"/>
        <v>0</v>
      </c>
    </row>
    <row r="346" spans="1:7" ht="19.899999999999999" customHeight="1">
      <c r="A346" s="511"/>
      <c r="B346" s="474"/>
      <c r="C346" s="465"/>
      <c r="D346" s="471"/>
      <c r="E346" s="468">
        <f t="shared" si="90"/>
        <v>0</v>
      </c>
      <c r="F346" s="471">
        <f t="shared" si="91"/>
        <v>0</v>
      </c>
      <c r="G346" s="468">
        <f t="shared" si="92"/>
        <v>0</v>
      </c>
    </row>
    <row r="347" spans="1:7" ht="19.899999999999999" customHeight="1">
      <c r="A347" s="511">
        <f t="shared" ref="A347:A349" si="93">IFERROR(VLOOKUP(C347,T_Insumos,4,FALSE),0)</f>
        <v>0</v>
      </c>
      <c r="B347" s="474">
        <f t="shared" ref="B347:B349" si="94">IFERROR(VLOOKUP(C347,T_Insumos,5,FALSE),0)</f>
        <v>0</v>
      </c>
      <c r="C347" s="465"/>
      <c r="D347" s="471"/>
      <c r="E347" s="468">
        <f t="shared" ref="E347:E349" si="95">IFERROR(VLOOKUP(C347,T_Insumos,3,FALSE),0)</f>
        <v>0</v>
      </c>
      <c r="F347" s="471">
        <f>IF(C347="",0,IFERROR(VLOOKUP(COUNTIF($A$1:A347,"ANALISIS DE PRECIOS"),T_Rendimiento_Equipo,5,FALSE),0))</f>
        <v>0</v>
      </c>
      <c r="G347" s="468">
        <f t="shared" si="92"/>
        <v>0</v>
      </c>
    </row>
    <row r="348" spans="1:7" ht="19.899999999999999" customHeight="1">
      <c r="A348" s="511">
        <f t="shared" si="93"/>
        <v>0</v>
      </c>
      <c r="B348" s="474">
        <f t="shared" si="94"/>
        <v>0</v>
      </c>
      <c r="C348" s="465"/>
      <c r="D348" s="479"/>
      <c r="E348" s="468">
        <f>SUMPRODUCT(D343:D346,E343:E346)</f>
        <v>0</v>
      </c>
      <c r="F348" s="471">
        <f t="shared" si="91"/>
        <v>0</v>
      </c>
      <c r="G348" s="468">
        <f t="shared" si="92"/>
        <v>0</v>
      </c>
    </row>
    <row r="349" spans="1:7" ht="19.899999999999999" customHeight="1">
      <c r="A349" s="511">
        <f t="shared" si="93"/>
        <v>0</v>
      </c>
      <c r="B349" s="474">
        <f t="shared" si="94"/>
        <v>0</v>
      </c>
      <c r="C349" s="474"/>
      <c r="D349" s="480"/>
      <c r="E349" s="468">
        <f t="shared" si="95"/>
        <v>0</v>
      </c>
      <c r="F349" s="471">
        <f>IF(C349="",0,IFERROR(VLOOKUP(COUNTIF($A$1:A349,"ANALISIS DE PRECIOS"),T_Rendimiento_Equipo,5,FALSE),0))</f>
        <v>0</v>
      </c>
      <c r="G349" s="468">
        <f t="shared" si="92"/>
        <v>0</v>
      </c>
    </row>
    <row r="350" spans="1:7" ht="19.899999999999999" customHeight="1">
      <c r="A350" s="512"/>
      <c r="B350" s="455"/>
      <c r="C350" s="160"/>
      <c r="D350" s="455"/>
      <c r="E350" s="456"/>
      <c r="F350" s="477" t="s">
        <v>27</v>
      </c>
      <c r="G350" s="514">
        <f>SUBTOTAL(9,G343:G349)</f>
        <v>0</v>
      </c>
    </row>
    <row r="351" spans="1:7" ht="19.899999999999999" customHeight="1">
      <c r="A351" s="509"/>
      <c r="B351" s="160"/>
      <c r="C351" s="451" t="s">
        <v>1012</v>
      </c>
      <c r="D351" s="455"/>
      <c r="E351" s="456"/>
      <c r="F351" s="457"/>
      <c r="G351" s="510"/>
    </row>
    <row r="352" spans="1:7" ht="19.899999999999999" customHeight="1">
      <c r="A352" s="637" t="s">
        <v>575</v>
      </c>
      <c r="B352" s="638"/>
      <c r="C352" s="639" t="s">
        <v>0</v>
      </c>
      <c r="D352" s="639" t="s">
        <v>1864</v>
      </c>
      <c r="E352" s="641" t="s">
        <v>23</v>
      </c>
      <c r="F352" s="643" t="s">
        <v>24</v>
      </c>
      <c r="G352" s="645" t="s">
        <v>25</v>
      </c>
    </row>
    <row r="353" spans="1:7" ht="19.899999999999999" customHeight="1">
      <c r="A353" s="473" t="s">
        <v>576</v>
      </c>
      <c r="B353" s="473" t="s">
        <v>577</v>
      </c>
      <c r="C353" s="640"/>
      <c r="D353" s="640"/>
      <c r="E353" s="642"/>
      <c r="F353" s="644"/>
      <c r="G353" s="646"/>
    </row>
    <row r="354" spans="1:7" ht="19.899999999999999" customHeight="1">
      <c r="A354" s="511">
        <f t="shared" ref="A354:A364" si="96">IFERROR(VLOOKUP(C354,T_Insumos,4,FALSE),0)</f>
        <v>0</v>
      </c>
      <c r="B354" s="474">
        <f t="shared" ref="B354:B364" si="97">IFERROR(VLOOKUP(C354,T_Insumos,5,FALSE),0)</f>
        <v>0</v>
      </c>
      <c r="C354" s="474"/>
      <c r="D354" s="522">
        <f t="shared" ref="D354:D364" si="98">IFERROR(VLOOKUP(C354,T_Insumos,2,FALSE),0)</f>
        <v>0</v>
      </c>
      <c r="E354" s="466"/>
      <c r="F354" s="468">
        <f t="shared" ref="F354:F364" si="99">IFERROR(VLOOKUP(C354,T_Insumos,3,FALSE),0)</f>
        <v>0</v>
      </c>
      <c r="G354" s="468">
        <f>ROUND(E354*F354,2)</f>
        <v>0</v>
      </c>
    </row>
    <row r="355" spans="1:7" s="481" customFormat="1" ht="19.899999999999999" customHeight="1">
      <c r="A355" s="511">
        <f t="shared" si="96"/>
        <v>0</v>
      </c>
      <c r="B355" s="474">
        <f t="shared" si="97"/>
        <v>0</v>
      </c>
      <c r="C355" s="474"/>
      <c r="D355" s="522">
        <f t="shared" si="98"/>
        <v>0</v>
      </c>
      <c r="E355" s="466"/>
      <c r="F355" s="468">
        <f t="shared" si="99"/>
        <v>0</v>
      </c>
      <c r="G355" s="468">
        <f t="shared" ref="G355:G364" si="100">ROUND(E355*F355,2)</f>
        <v>0</v>
      </c>
    </row>
    <row r="356" spans="1:7" ht="19.899999999999999" customHeight="1">
      <c r="A356" s="511">
        <f t="shared" si="96"/>
        <v>0</v>
      </c>
      <c r="B356" s="474">
        <f t="shared" si="97"/>
        <v>0</v>
      </c>
      <c r="C356" s="474"/>
      <c r="D356" s="522">
        <f t="shared" si="98"/>
        <v>0</v>
      </c>
      <c r="E356" s="466"/>
      <c r="F356" s="468">
        <f t="shared" si="99"/>
        <v>0</v>
      </c>
      <c r="G356" s="468">
        <f t="shared" si="100"/>
        <v>0</v>
      </c>
    </row>
    <row r="357" spans="1:7" ht="19.899999999999999" customHeight="1">
      <c r="A357" s="511">
        <f t="shared" si="96"/>
        <v>0</v>
      </c>
      <c r="B357" s="474">
        <f t="shared" si="97"/>
        <v>0</v>
      </c>
      <c r="C357" s="474"/>
      <c r="D357" s="522">
        <f t="shared" si="98"/>
        <v>0</v>
      </c>
      <c r="E357" s="466"/>
      <c r="F357" s="468">
        <f t="shared" si="99"/>
        <v>0</v>
      </c>
      <c r="G357" s="468">
        <f t="shared" si="100"/>
        <v>0</v>
      </c>
    </row>
    <row r="358" spans="1:7" ht="19.899999999999999" customHeight="1">
      <c r="A358" s="511">
        <f t="shared" si="96"/>
        <v>0</v>
      </c>
      <c r="B358" s="474">
        <f t="shared" si="97"/>
        <v>0</v>
      </c>
      <c r="C358" s="474"/>
      <c r="D358" s="522">
        <f t="shared" si="98"/>
        <v>0</v>
      </c>
      <c r="E358" s="466"/>
      <c r="F358" s="468">
        <f t="shared" si="99"/>
        <v>0</v>
      </c>
      <c r="G358" s="468">
        <f t="shared" si="100"/>
        <v>0</v>
      </c>
    </row>
    <row r="359" spans="1:7" ht="19.899999999999999" customHeight="1">
      <c r="A359" s="511">
        <f t="shared" si="96"/>
        <v>0</v>
      </c>
      <c r="B359" s="474">
        <f t="shared" si="97"/>
        <v>0</v>
      </c>
      <c r="C359" s="474"/>
      <c r="D359" s="522">
        <f t="shared" si="98"/>
        <v>0</v>
      </c>
      <c r="E359" s="466"/>
      <c r="F359" s="468">
        <f t="shared" si="99"/>
        <v>0</v>
      </c>
      <c r="G359" s="468">
        <f t="shared" si="100"/>
        <v>0</v>
      </c>
    </row>
    <row r="360" spans="1:7" ht="19.899999999999999" customHeight="1">
      <c r="A360" s="511">
        <f t="shared" si="96"/>
        <v>0</v>
      </c>
      <c r="B360" s="474">
        <f t="shared" si="97"/>
        <v>0</v>
      </c>
      <c r="C360" s="474"/>
      <c r="D360" s="522">
        <f t="shared" si="98"/>
        <v>0</v>
      </c>
      <c r="E360" s="466"/>
      <c r="F360" s="468">
        <f t="shared" si="99"/>
        <v>0</v>
      </c>
      <c r="G360" s="468">
        <f t="shared" si="100"/>
        <v>0</v>
      </c>
    </row>
    <row r="361" spans="1:7" ht="19.899999999999999" customHeight="1">
      <c r="A361" s="511">
        <f t="shared" si="96"/>
        <v>0</v>
      </c>
      <c r="B361" s="474">
        <f t="shared" si="97"/>
        <v>0</v>
      </c>
      <c r="C361" s="474"/>
      <c r="D361" s="522">
        <f t="shared" si="98"/>
        <v>0</v>
      </c>
      <c r="E361" s="466"/>
      <c r="F361" s="468">
        <f t="shared" si="99"/>
        <v>0</v>
      </c>
      <c r="G361" s="468">
        <f t="shared" si="100"/>
        <v>0</v>
      </c>
    </row>
    <row r="362" spans="1:7" ht="19.899999999999999" customHeight="1">
      <c r="A362" s="511">
        <f t="shared" si="96"/>
        <v>0</v>
      </c>
      <c r="B362" s="474">
        <f t="shared" si="97"/>
        <v>0</v>
      </c>
      <c r="C362" s="474"/>
      <c r="D362" s="522">
        <f t="shared" si="98"/>
        <v>0</v>
      </c>
      <c r="E362" s="466"/>
      <c r="F362" s="468">
        <f t="shared" si="99"/>
        <v>0</v>
      </c>
      <c r="G362" s="468">
        <f t="shared" si="100"/>
        <v>0</v>
      </c>
    </row>
    <row r="363" spans="1:7" ht="19.899999999999999" customHeight="1">
      <c r="A363" s="511">
        <f t="shared" si="96"/>
        <v>0</v>
      </c>
      <c r="B363" s="474">
        <f t="shared" si="97"/>
        <v>0</v>
      </c>
      <c r="C363" s="474"/>
      <c r="D363" s="522">
        <f t="shared" si="98"/>
        <v>0</v>
      </c>
      <c r="E363" s="466"/>
      <c r="F363" s="468">
        <f t="shared" si="99"/>
        <v>0</v>
      </c>
      <c r="G363" s="468">
        <f t="shared" si="100"/>
        <v>0</v>
      </c>
    </row>
    <row r="364" spans="1:7" ht="19.899999999999999" customHeight="1">
      <c r="A364" s="511">
        <f t="shared" si="96"/>
        <v>0</v>
      </c>
      <c r="B364" s="474">
        <f t="shared" si="97"/>
        <v>0</v>
      </c>
      <c r="C364" s="474"/>
      <c r="D364" s="522">
        <f t="shared" si="98"/>
        <v>0</v>
      </c>
      <c r="E364" s="466"/>
      <c r="F364" s="468">
        <f t="shared" si="99"/>
        <v>0</v>
      </c>
      <c r="G364" s="468">
        <f t="shared" si="100"/>
        <v>0</v>
      </c>
    </row>
    <row r="365" spans="1:7" ht="19.899999999999999" customHeight="1">
      <c r="A365" s="509"/>
      <c r="B365" s="160"/>
      <c r="C365" s="160"/>
      <c r="D365" s="455"/>
      <c r="E365" s="456"/>
      <c r="F365" s="477" t="s">
        <v>28</v>
      </c>
      <c r="G365" s="514">
        <f>SUBTOTAL(9,G354:G364)</f>
        <v>0</v>
      </c>
    </row>
    <row r="366" spans="1:7" ht="19.899999999999999" customHeight="1">
      <c r="A366" s="509"/>
      <c r="B366" s="160"/>
      <c r="C366" s="451" t="s">
        <v>1013</v>
      </c>
      <c r="D366" s="455"/>
      <c r="E366" s="456"/>
      <c r="F366" s="457"/>
      <c r="G366" s="510"/>
    </row>
    <row r="367" spans="1:7" ht="19.899999999999999" customHeight="1">
      <c r="A367" s="637" t="s">
        <v>575</v>
      </c>
      <c r="B367" s="638"/>
      <c r="C367" s="639" t="s">
        <v>0</v>
      </c>
      <c r="D367" s="639" t="s">
        <v>1864</v>
      </c>
      <c r="E367" s="641" t="s">
        <v>23</v>
      </c>
      <c r="F367" s="643" t="s">
        <v>24</v>
      </c>
      <c r="G367" s="645" t="s">
        <v>25</v>
      </c>
    </row>
    <row r="368" spans="1:7" ht="19.899999999999999" customHeight="1">
      <c r="A368" s="473" t="s">
        <v>576</v>
      </c>
      <c r="B368" s="473" t="s">
        <v>577</v>
      </c>
      <c r="C368" s="640"/>
      <c r="D368" s="640"/>
      <c r="E368" s="642"/>
      <c r="F368" s="644"/>
      <c r="G368" s="646"/>
    </row>
    <row r="369" spans="1:8" ht="19.899999999999999" customHeight="1">
      <c r="A369" s="511">
        <f>IFERROR(VLOOKUP(C369,T_Insumos,4,FALSE),0)</f>
        <v>0</v>
      </c>
      <c r="B369" s="474">
        <f>IFERROR(VLOOKUP(C369,T_Insumos,5,FALSE),0)</f>
        <v>0</v>
      </c>
      <c r="C369" s="465"/>
      <c r="D369" s="522">
        <f>IF(C369=0,0,"$/tnkm")</f>
        <v>0</v>
      </c>
      <c r="E369" s="466"/>
      <c r="F369" s="468">
        <f>IFERROR(VLOOKUP(C369,T_Insumos,3,FALSE),0)</f>
        <v>0</v>
      </c>
      <c r="G369" s="468">
        <f>ROUND(E369*F369,2)</f>
        <v>0</v>
      </c>
    </row>
    <row r="370" spans="1:8" ht="19.899999999999999" customHeight="1">
      <c r="A370" s="511">
        <f>IFERROR(VLOOKUP(C370,T_Insumos,4,FALSE),0)</f>
        <v>0</v>
      </c>
      <c r="B370" s="474">
        <f>IFERROR(VLOOKUP(C370,T_Insumos,5,FALSE),0)</f>
        <v>0</v>
      </c>
      <c r="C370" s="465"/>
      <c r="D370" s="522">
        <f>IF(C370=0,0,"$/tnkm")</f>
        <v>0</v>
      </c>
      <c r="E370" s="482"/>
      <c r="F370" s="468">
        <f>IFERROR(VLOOKUP(C370,T_Insumos,3,FALSE),0)</f>
        <v>0</v>
      </c>
      <c r="G370" s="468">
        <f t="shared" ref="G370" si="101">ROUND(E370*F370,2)</f>
        <v>0</v>
      </c>
    </row>
    <row r="371" spans="1:8" ht="19.899999999999999" customHeight="1">
      <c r="A371" s="509"/>
      <c r="B371" s="160"/>
      <c r="C371" s="160"/>
      <c r="D371" s="455"/>
      <c r="E371" s="456"/>
      <c r="F371" s="477" t="s">
        <v>1014</v>
      </c>
      <c r="G371" s="514">
        <f>SUBTOTAL(9,G369:G370)</f>
        <v>0</v>
      </c>
      <c r="H371" s="57"/>
    </row>
    <row r="372" spans="1:8" ht="19.899999999999999" customHeight="1">
      <c r="A372" s="512"/>
      <c r="B372" s="455"/>
      <c r="C372" s="160"/>
      <c r="D372" s="455"/>
      <c r="E372" s="456"/>
      <c r="F372" s="457"/>
      <c r="G372" s="510"/>
      <c r="H372" s="57"/>
    </row>
    <row r="373" spans="1:8" ht="19.899999999999999" customHeight="1">
      <c r="A373" s="570">
        <f>B307</f>
        <v>1.5</v>
      </c>
      <c r="B373" s="567" t="str">
        <f ca="1">C307</f>
        <v>Provision en instalacion cañeria 12"</v>
      </c>
      <c r="C373" s="455"/>
      <c r="D373" s="455" t="s">
        <v>1830</v>
      </c>
      <c r="E373" s="568"/>
      <c r="F373" s="569" t="str">
        <f ca="1">"$/"&amp;G307</f>
        <v>$/m</v>
      </c>
      <c r="G373" s="519">
        <f>SUBTOTAL(9,G330:G372)</f>
        <v>0</v>
      </c>
      <c r="H373" s="57"/>
    </row>
    <row r="374" spans="1:8" ht="19.899999999999999" customHeight="1">
      <c r="A374" s="515"/>
      <c r="B374" s="516"/>
      <c r="C374" s="517"/>
      <c r="D374" s="517" t="s">
        <v>2040</v>
      </c>
      <c r="E374" s="518"/>
      <c r="F374" s="571" t="str">
        <f ca="1">"$/"&amp;G307</f>
        <v>$/m</v>
      </c>
      <c r="G374" s="519">
        <f>ROUND(G373*Coeficiente_Paso,2)</f>
        <v>0</v>
      </c>
      <c r="H374" s="57"/>
    </row>
    <row r="375" spans="1:8" ht="19.899999999999999" customHeight="1">
      <c r="A375" s="160"/>
      <c r="B375" s="160"/>
      <c r="C375" s="160"/>
      <c r="D375" s="160"/>
      <c r="E375" s="160"/>
      <c r="F375" s="160"/>
      <c r="G375" s="160"/>
    </row>
    <row r="376" spans="1:8" ht="19.899999999999999" customHeight="1">
      <c r="A376" s="633" t="s">
        <v>30</v>
      </c>
      <c r="B376" s="634"/>
      <c r="C376" s="634"/>
      <c r="D376" s="634"/>
      <c r="E376" s="634"/>
      <c r="F376" s="634"/>
      <c r="G376" s="635"/>
    </row>
    <row r="377" spans="1:8" ht="19.899999999999999" customHeight="1">
      <c r="A377" s="498" t="s">
        <v>710</v>
      </c>
      <c r="B377" s="449" t="str">
        <f>Comitente</f>
        <v>DEPARTAMENTO DE HIDRAULICA</v>
      </c>
      <c r="C377" s="450"/>
      <c r="D377" s="451"/>
      <c r="E377" s="451"/>
      <c r="F377" s="452"/>
      <c r="G377" s="499"/>
    </row>
    <row r="378" spans="1:8" ht="19.899999999999999" customHeight="1">
      <c r="A378" s="498" t="s">
        <v>711</v>
      </c>
      <c r="B378" s="449">
        <f>Contratista</f>
        <v>0</v>
      </c>
      <c r="C378" s="453"/>
      <c r="D378" s="453"/>
      <c r="E378" s="453"/>
      <c r="F378" s="449"/>
      <c r="G378" s="500"/>
    </row>
    <row r="379" spans="1:8" ht="19.899999999999999" customHeight="1">
      <c r="A379" s="498" t="s">
        <v>20</v>
      </c>
      <c r="B379" s="449" t="str">
        <f>Obra</f>
        <v>EJECUCION DE PERFORACION - SISTEMA DE RIEGO</v>
      </c>
      <c r="C379" s="453"/>
      <c r="D379" s="453"/>
      <c r="E379" s="453"/>
      <c r="F379" s="449" t="s">
        <v>31</v>
      </c>
      <c r="G379" s="500">
        <f>Fecha_Base</f>
        <v>0</v>
      </c>
    </row>
    <row r="380" spans="1:8" ht="19.899999999999999" customHeight="1">
      <c r="A380" s="501" t="s">
        <v>709</v>
      </c>
      <c r="B380" s="454" t="str">
        <f>Ubicación</f>
        <v>DEPARTAMENTO CHIMBAS</v>
      </c>
      <c r="C380" s="454"/>
      <c r="D380" s="455"/>
      <c r="E380" s="456"/>
      <c r="F380" s="457"/>
      <c r="G380" s="502"/>
    </row>
    <row r="381" spans="1:8" ht="19.899999999999999" customHeight="1">
      <c r="A381" s="501" t="s">
        <v>32</v>
      </c>
      <c r="B381" s="458">
        <f>IFERROR(VALUE(LEFT(B382,FIND(".",B382)-1)),"")</f>
        <v>1</v>
      </c>
      <c r="C381" s="160" t="str">
        <f ca="1">IFERROR(VLOOKUP(B381,T_Computo_Presupuesto,2,FALSE),0)</f>
        <v>PERFORACION PROPIAMENTE DICHA</v>
      </c>
      <c r="D381" s="160"/>
      <c r="E381" s="456"/>
      <c r="F381" s="457"/>
      <c r="G381" s="502"/>
    </row>
    <row r="382" spans="1:8" ht="19.899999999999999" customHeight="1">
      <c r="A382" s="501" t="s">
        <v>21</v>
      </c>
      <c r="B382" s="459">
        <f>IFERROR(VLOOKUP(COUNTIF($A$1:A382,"ANALISIS DE PRECIOS"),T_NumeroItem,2,FALSE),"")</f>
        <v>1.6</v>
      </c>
      <c r="C382" s="636" t="str">
        <f ca="1">IFERROR(VLOOKUP(B382,T_Computo_Presupuesto,2,FALSE),0)</f>
        <v>Cementado para proteccion perforacion</v>
      </c>
      <c r="D382" s="636"/>
      <c r="E382" s="636"/>
      <c r="F382" s="454" t="s">
        <v>22</v>
      </c>
      <c r="G382" s="503" t="str">
        <f ca="1">IFERROR(VLOOKUP(B382,T_Computo_Presupuesto,4,FALSE),0)</f>
        <v>m3</v>
      </c>
    </row>
    <row r="383" spans="1:8" ht="19.899999999999999" customHeight="1">
      <c r="A383" s="501"/>
      <c r="B383" s="454"/>
      <c r="C383" s="160"/>
      <c r="D383" s="455"/>
      <c r="E383" s="456"/>
      <c r="F383" s="160"/>
      <c r="G383" s="504"/>
    </row>
    <row r="384" spans="1:8" ht="19.899999999999999" customHeight="1">
      <c r="A384" s="505"/>
      <c r="B384" s="460"/>
      <c r="C384" s="461" t="s">
        <v>997</v>
      </c>
      <c r="D384" s="460"/>
      <c r="E384" s="460"/>
      <c r="F384" s="460"/>
      <c r="G384" s="506"/>
    </row>
    <row r="385" spans="1:7" ht="19.899999999999999" customHeight="1">
      <c r="A385" s="501"/>
      <c r="B385" s="462"/>
      <c r="C385" s="160"/>
      <c r="D385" s="455"/>
      <c r="E385" s="456"/>
      <c r="F385" s="454"/>
      <c r="G385" s="503"/>
    </row>
    <row r="386" spans="1:7" ht="19.899999999999999" customHeight="1">
      <c r="A386" s="501"/>
      <c r="B386" s="462"/>
      <c r="C386" s="463" t="s">
        <v>998</v>
      </c>
      <c r="D386" s="464" t="s">
        <v>23</v>
      </c>
      <c r="E386" s="464" t="s">
        <v>999</v>
      </c>
      <c r="F386" s="464" t="s">
        <v>1000</v>
      </c>
      <c r="G386" s="463" t="s">
        <v>1001</v>
      </c>
    </row>
    <row r="387" spans="1:7" ht="19.899999999999999" customHeight="1">
      <c r="A387" s="501"/>
      <c r="B387" s="462"/>
      <c r="C387" s="465"/>
      <c r="D387" s="466"/>
      <c r="E387" s="467">
        <f t="shared" ref="E387:E396" si="102">IFERROR(VLOOKUP(C387,T_Equipos,4,FALSE),0)</f>
        <v>0</v>
      </c>
      <c r="F387" s="468"/>
      <c r="G387" s="468">
        <f>ROUND(D387*F387,2)</f>
        <v>0</v>
      </c>
    </row>
    <row r="388" spans="1:7" ht="19.899999999999999" customHeight="1">
      <c r="A388" s="501"/>
      <c r="B388" s="462"/>
      <c r="C388" s="465"/>
      <c r="D388" s="466"/>
      <c r="E388" s="467">
        <f t="shared" si="102"/>
        <v>0</v>
      </c>
      <c r="F388" s="468"/>
      <c r="G388" s="468">
        <f>ROUND(D388*F388,2)</f>
        <v>0</v>
      </c>
    </row>
    <row r="389" spans="1:7" ht="19.899999999999999" customHeight="1">
      <c r="A389" s="501"/>
      <c r="B389" s="462"/>
      <c r="C389" s="465"/>
      <c r="D389" s="466"/>
      <c r="E389" s="467">
        <f t="shared" si="102"/>
        <v>0</v>
      </c>
      <c r="F389" s="468"/>
      <c r="G389" s="468">
        <f>ROUND(D389*F389,2)</f>
        <v>0</v>
      </c>
    </row>
    <row r="390" spans="1:7" ht="19.899999999999999" customHeight="1">
      <c r="A390" s="501"/>
      <c r="B390" s="462"/>
      <c r="C390" s="465"/>
      <c r="D390" s="466"/>
      <c r="E390" s="467">
        <f t="shared" si="102"/>
        <v>0</v>
      </c>
      <c r="F390" s="468"/>
      <c r="G390" s="468">
        <f>ROUND(D390*F390,2)</f>
        <v>0</v>
      </c>
    </row>
    <row r="391" spans="1:7" ht="19.899999999999999" customHeight="1">
      <c r="A391" s="501"/>
      <c r="B391" s="462"/>
      <c r="C391" s="465"/>
      <c r="D391" s="466"/>
      <c r="E391" s="467">
        <f t="shared" si="102"/>
        <v>0</v>
      </c>
      <c r="F391" s="468"/>
      <c r="G391" s="468">
        <f t="shared" ref="G391:G396" si="103">ROUND(D391*F391,2)</f>
        <v>0</v>
      </c>
    </row>
    <row r="392" spans="1:7" ht="19.899999999999999" customHeight="1">
      <c r="A392" s="501"/>
      <c r="B392" s="462"/>
      <c r="C392" s="465"/>
      <c r="D392" s="466"/>
      <c r="E392" s="467">
        <f t="shared" si="102"/>
        <v>0</v>
      </c>
      <c r="F392" s="468">
        <f t="shared" ref="F392:F396" si="104">IFERROR(VLOOKUP(C392,T_Equipos,5,FALSE),0)</f>
        <v>0</v>
      </c>
      <c r="G392" s="468">
        <f t="shared" si="103"/>
        <v>0</v>
      </c>
    </row>
    <row r="393" spans="1:7" ht="19.899999999999999" customHeight="1">
      <c r="A393" s="501"/>
      <c r="B393" s="462"/>
      <c r="C393" s="465"/>
      <c r="D393" s="466"/>
      <c r="E393" s="467">
        <f t="shared" si="102"/>
        <v>0</v>
      </c>
      <c r="F393" s="468">
        <f t="shared" si="104"/>
        <v>0</v>
      </c>
      <c r="G393" s="468">
        <f t="shared" si="103"/>
        <v>0</v>
      </c>
    </row>
    <row r="394" spans="1:7" ht="19.899999999999999" customHeight="1">
      <c r="A394" s="501"/>
      <c r="B394" s="462"/>
      <c r="C394" s="465"/>
      <c r="D394" s="466"/>
      <c r="E394" s="467">
        <f t="shared" si="102"/>
        <v>0</v>
      </c>
      <c r="F394" s="468">
        <f t="shared" si="104"/>
        <v>0</v>
      </c>
      <c r="G394" s="468">
        <f t="shared" si="103"/>
        <v>0</v>
      </c>
    </row>
    <row r="395" spans="1:7" ht="19.899999999999999" customHeight="1">
      <c r="A395" s="501"/>
      <c r="B395" s="462"/>
      <c r="C395" s="465"/>
      <c r="D395" s="466"/>
      <c r="E395" s="467">
        <f t="shared" si="102"/>
        <v>0</v>
      </c>
      <c r="F395" s="468">
        <f t="shared" si="104"/>
        <v>0</v>
      </c>
      <c r="G395" s="468">
        <f t="shared" si="103"/>
        <v>0</v>
      </c>
    </row>
    <row r="396" spans="1:7" ht="19.899999999999999" customHeight="1">
      <c r="A396" s="501"/>
      <c r="B396" s="462"/>
      <c r="C396" s="465"/>
      <c r="D396" s="466"/>
      <c r="E396" s="467">
        <f t="shared" si="102"/>
        <v>0</v>
      </c>
      <c r="F396" s="468">
        <f t="shared" si="104"/>
        <v>0</v>
      </c>
      <c r="G396" s="468">
        <f t="shared" si="103"/>
        <v>0</v>
      </c>
    </row>
    <row r="397" spans="1:7" ht="19.899999999999999" customHeight="1">
      <c r="A397" s="501"/>
      <c r="B397" s="462"/>
      <c r="C397" s="160"/>
      <c r="D397" s="160"/>
      <c r="E397" s="469"/>
      <c r="F397" s="454"/>
      <c r="G397" s="503"/>
    </row>
    <row r="398" spans="1:7" ht="19.899999999999999" customHeight="1">
      <c r="A398" s="501"/>
      <c r="B398" s="160"/>
      <c r="C398" s="451" t="s">
        <v>1002</v>
      </c>
      <c r="D398" s="454" t="s">
        <v>999</v>
      </c>
      <c r="E398" s="520">
        <f>SUMPRODUCT(D387:D396,E387:E396)</f>
        <v>0</v>
      </c>
      <c r="F398" s="454" t="s">
        <v>1003</v>
      </c>
      <c r="G398" s="521">
        <f>SUM(G387:G396)</f>
        <v>0</v>
      </c>
    </row>
    <row r="399" spans="1:7" ht="19.899999999999999" customHeight="1">
      <c r="A399" s="501"/>
      <c r="B399" s="462"/>
      <c r="C399" s="470"/>
      <c r="D399" s="469"/>
      <c r="E399" s="456"/>
      <c r="F399" s="454"/>
      <c r="G399" s="507"/>
    </row>
    <row r="400" spans="1:7" ht="19.899999999999999" customHeight="1">
      <c r="A400" s="508"/>
      <c r="B400" s="462"/>
      <c r="C400" s="454" t="s">
        <v>1004</v>
      </c>
      <c r="D400" s="471"/>
      <c r="E400" s="472" t="str">
        <f ca="1">G382&amp;"/día"</f>
        <v>m3/día</v>
      </c>
      <c r="F400" s="448"/>
      <c r="G400" s="503"/>
    </row>
    <row r="401" spans="1:7" ht="19.899999999999999" customHeight="1">
      <c r="A401" s="501"/>
      <c r="B401" s="462"/>
      <c r="C401" s="160"/>
      <c r="D401" s="455"/>
      <c r="E401" s="456"/>
      <c r="F401" s="454"/>
      <c r="G401" s="503"/>
    </row>
    <row r="402" spans="1:7" ht="19.899999999999999" customHeight="1">
      <c r="A402" s="637" t="s">
        <v>575</v>
      </c>
      <c r="B402" s="638"/>
      <c r="C402" s="639" t="s">
        <v>0</v>
      </c>
      <c r="D402" s="647" t="s">
        <v>1863</v>
      </c>
      <c r="E402" s="647" t="s">
        <v>1862</v>
      </c>
      <c r="F402" s="643" t="s">
        <v>1005</v>
      </c>
      <c r="G402" s="645" t="s">
        <v>25</v>
      </c>
    </row>
    <row r="403" spans="1:7" ht="19.899999999999999" customHeight="1">
      <c r="A403" s="473" t="s">
        <v>576</v>
      </c>
      <c r="B403" s="473" t="s">
        <v>577</v>
      </c>
      <c r="C403" s="640"/>
      <c r="D403" s="648"/>
      <c r="E403" s="642"/>
      <c r="F403" s="644"/>
      <c r="G403" s="646"/>
    </row>
    <row r="404" spans="1:7" ht="19.899999999999999" customHeight="1">
      <c r="A404" s="509"/>
      <c r="B404" s="160"/>
      <c r="C404" s="451" t="s">
        <v>1006</v>
      </c>
      <c r="D404" s="456"/>
      <c r="E404" s="456"/>
      <c r="F404" s="160"/>
      <c r="G404" s="510"/>
    </row>
    <row r="405" spans="1:7" ht="19.899999999999999" customHeight="1">
      <c r="A405" s="511">
        <f t="shared" ref="A405:A413" si="105">IFERROR(VLOOKUP(C405,T_Insumos,4,FALSE),0)</f>
        <v>0</v>
      </c>
      <c r="B405" s="474">
        <f t="shared" ref="B405:B413" si="106">IFERROR(VLOOKUP(C405,T_Insumos,5,FALSE),0)</f>
        <v>0</v>
      </c>
      <c r="C405" s="465"/>
      <c r="D405" s="475">
        <f t="shared" ref="D405:D413" si="107">IFERROR(VLOOKUP(C405,T_Insumos,3,FALSE),0)</f>
        <v>0</v>
      </c>
      <c r="E405" s="468">
        <f>D405*$G$323</f>
        <v>0</v>
      </c>
      <c r="F405" s="471">
        <f>+$D$325</f>
        <v>0</v>
      </c>
      <c r="G405" s="468">
        <f>IFERROR(ROUND(E405/F405,2),0)</f>
        <v>0</v>
      </c>
    </row>
    <row r="406" spans="1:7" ht="19.899999999999999" customHeight="1">
      <c r="A406" s="511"/>
      <c r="B406" s="474"/>
      <c r="C406" s="465"/>
      <c r="D406" s="475">
        <f t="shared" si="107"/>
        <v>0</v>
      </c>
      <c r="E406" s="468">
        <f>D406*$G$323</f>
        <v>0</v>
      </c>
      <c r="F406" s="471">
        <f t="shared" ref="F406:F408" si="108">+$D$325</f>
        <v>0</v>
      </c>
      <c r="G406" s="468">
        <f t="shared" ref="G406:G413" si="109">IFERROR(ROUND(E406/F406,2),0)</f>
        <v>0</v>
      </c>
    </row>
    <row r="407" spans="1:7" ht="19.899999999999999" customHeight="1">
      <c r="A407" s="511">
        <f t="shared" ref="A407:A415" si="110">IFERROR(VLOOKUP(C407,T_Insumos,4,FALSE),0)</f>
        <v>0</v>
      </c>
      <c r="B407" s="474">
        <f t="shared" ref="B407:B415" si="111">IFERROR(VLOOKUP(C407,T_Insumos,5,FALSE),0)</f>
        <v>0</v>
      </c>
      <c r="C407" s="476"/>
      <c r="D407" s="475">
        <f t="shared" si="107"/>
        <v>0</v>
      </c>
      <c r="E407" s="468">
        <f>D407*$E$323</f>
        <v>0</v>
      </c>
      <c r="F407" s="471">
        <f t="shared" si="108"/>
        <v>0</v>
      </c>
      <c r="G407" s="468">
        <f t="shared" si="109"/>
        <v>0</v>
      </c>
    </row>
    <row r="408" spans="1:7" ht="19.899999999999999" customHeight="1">
      <c r="A408" s="511">
        <f t="shared" si="110"/>
        <v>0</v>
      </c>
      <c r="B408" s="474">
        <f t="shared" si="111"/>
        <v>0</v>
      </c>
      <c r="C408" s="476"/>
      <c r="D408" s="475">
        <f t="shared" si="107"/>
        <v>0</v>
      </c>
      <c r="E408" s="468">
        <f>D408*$E$323</f>
        <v>0</v>
      </c>
      <c r="F408" s="471">
        <f t="shared" si="108"/>
        <v>0</v>
      </c>
      <c r="G408" s="468">
        <f t="shared" si="109"/>
        <v>0</v>
      </c>
    </row>
    <row r="409" spans="1:7" ht="19.899999999999999" customHeight="1">
      <c r="A409" s="511">
        <f t="shared" si="110"/>
        <v>0</v>
      </c>
      <c r="B409" s="474">
        <f t="shared" si="111"/>
        <v>0</v>
      </c>
      <c r="C409" s="476"/>
      <c r="D409" s="475">
        <f t="shared" si="107"/>
        <v>0</v>
      </c>
      <c r="E409" s="468"/>
      <c r="F409" s="471">
        <f>IF(C409="",0,IFERROR(VLOOKUP(COUNTIF($A$1:A409,"ANALISIS DE PRECIOS"),T_Rendimiento_Equipo,5,FALSE),0))</f>
        <v>0</v>
      </c>
      <c r="G409" s="468">
        <f t="shared" si="109"/>
        <v>0</v>
      </c>
    </row>
    <row r="410" spans="1:7" ht="19.899999999999999" customHeight="1">
      <c r="A410" s="511">
        <f t="shared" si="110"/>
        <v>0</v>
      </c>
      <c r="B410" s="474">
        <f t="shared" si="111"/>
        <v>0</v>
      </c>
      <c r="C410" s="476"/>
      <c r="D410" s="475">
        <f t="shared" si="107"/>
        <v>0</v>
      </c>
      <c r="E410" s="468"/>
      <c r="F410" s="471">
        <f>IF(C410="",0,IFERROR(VLOOKUP(COUNTIF($A$1:A410,"ANALISIS DE PRECIOS"),T_Rendimiento_Equipo,5,FALSE),0))</f>
        <v>0</v>
      </c>
      <c r="G410" s="468">
        <f t="shared" si="109"/>
        <v>0</v>
      </c>
    </row>
    <row r="411" spans="1:7" ht="19.899999999999999" customHeight="1">
      <c r="A411" s="511">
        <f t="shared" si="110"/>
        <v>0</v>
      </c>
      <c r="B411" s="474">
        <f t="shared" si="111"/>
        <v>0</v>
      </c>
      <c r="C411" s="476"/>
      <c r="D411" s="475">
        <f t="shared" si="107"/>
        <v>0</v>
      </c>
      <c r="E411" s="468"/>
      <c r="F411" s="471">
        <f>IF(C411="",0,IFERROR(VLOOKUP(COUNTIF($A$1:A411,"ANALISIS DE PRECIOS"),T_Rendimiento_Equipo,5,FALSE),0))</f>
        <v>0</v>
      </c>
      <c r="G411" s="468">
        <f t="shared" si="109"/>
        <v>0</v>
      </c>
    </row>
    <row r="412" spans="1:7" ht="19.899999999999999" customHeight="1">
      <c r="A412" s="511">
        <f t="shared" si="110"/>
        <v>0</v>
      </c>
      <c r="B412" s="474">
        <f t="shared" si="111"/>
        <v>0</v>
      </c>
      <c r="C412" s="476"/>
      <c r="D412" s="475">
        <f t="shared" si="107"/>
        <v>0</v>
      </c>
      <c r="E412" s="468"/>
      <c r="F412" s="471">
        <f>IF(C412="",0,IFERROR(VLOOKUP(COUNTIF($A$1:A412,"ANALISIS DE PRECIOS"),T_Rendimiento_Equipo,5,FALSE),0))</f>
        <v>0</v>
      </c>
      <c r="G412" s="468">
        <f t="shared" si="109"/>
        <v>0</v>
      </c>
    </row>
    <row r="413" spans="1:7" ht="19.899999999999999" customHeight="1">
      <c r="A413" s="511">
        <f t="shared" si="110"/>
        <v>0</v>
      </c>
      <c r="B413" s="474">
        <f t="shared" si="111"/>
        <v>0</v>
      </c>
      <c r="C413" s="465"/>
      <c r="D413" s="475">
        <f t="shared" si="107"/>
        <v>0</v>
      </c>
      <c r="E413" s="468"/>
      <c r="F413" s="471">
        <f>IF(C413="",0,IFERROR(VLOOKUP(COUNTIF($A$1:A413,"ANALISIS DE PRECIOS"),T_Rendimiento_Equipo,5,FALSE),0))</f>
        <v>0</v>
      </c>
      <c r="G413" s="468">
        <f t="shared" si="109"/>
        <v>0</v>
      </c>
    </row>
    <row r="414" spans="1:7" ht="19.899999999999999" customHeight="1">
      <c r="A414" s="512"/>
      <c r="B414" s="455"/>
      <c r="C414" s="160"/>
      <c r="D414" s="455"/>
      <c r="E414" s="456"/>
      <c r="F414" s="615" t="s">
        <v>26</v>
      </c>
      <c r="G414" s="513">
        <f>SUBTOTAL(9,G405:G413)</f>
        <v>0</v>
      </c>
    </row>
    <row r="415" spans="1:7" ht="19.899999999999999" customHeight="1">
      <c r="A415" s="509"/>
      <c r="B415" s="160"/>
      <c r="C415" s="451" t="s">
        <v>712</v>
      </c>
      <c r="D415" s="455"/>
      <c r="E415" s="456"/>
      <c r="F415" s="457"/>
      <c r="G415" s="510"/>
    </row>
    <row r="416" spans="1:7" ht="19.899999999999999" customHeight="1">
      <c r="A416" s="637" t="s">
        <v>575</v>
      </c>
      <c r="B416" s="638"/>
      <c r="C416" s="639" t="s">
        <v>0</v>
      </c>
      <c r="D416" s="641" t="s">
        <v>23</v>
      </c>
      <c r="E416" s="641" t="s">
        <v>1829</v>
      </c>
      <c r="F416" s="643" t="s">
        <v>1005</v>
      </c>
      <c r="G416" s="645" t="s">
        <v>25</v>
      </c>
    </row>
    <row r="417" spans="1:7" ht="19.899999999999999" customHeight="1">
      <c r="A417" s="473" t="s">
        <v>576</v>
      </c>
      <c r="B417" s="473" t="s">
        <v>577</v>
      </c>
      <c r="C417" s="640"/>
      <c r="D417" s="642"/>
      <c r="E417" s="642"/>
      <c r="F417" s="644"/>
      <c r="G417" s="646"/>
    </row>
    <row r="418" spans="1:7" ht="19.899999999999999" customHeight="1">
      <c r="A418" s="511"/>
      <c r="B418" s="474"/>
      <c r="C418" s="478"/>
      <c r="D418" s="471"/>
      <c r="E418" s="468">
        <f t="shared" ref="E418:E422" si="112">IFERROR(VLOOKUP(C418,T_Insumos,3,FALSE),0)</f>
        <v>0</v>
      </c>
      <c r="F418" s="471">
        <f>+$D$325</f>
        <v>0</v>
      </c>
      <c r="G418" s="468">
        <f>IFERROR(ROUND(D418*E418/F418,2),0)</f>
        <v>0</v>
      </c>
    </row>
    <row r="419" spans="1:7" ht="19.899999999999999" customHeight="1">
      <c r="A419" s="511"/>
      <c r="B419" s="474"/>
      <c r="C419" s="465"/>
      <c r="D419" s="471"/>
      <c r="E419" s="468">
        <f t="shared" si="112"/>
        <v>0</v>
      </c>
      <c r="F419" s="471">
        <f t="shared" ref="F419:F423" si="113">+$D$325</f>
        <v>0</v>
      </c>
      <c r="G419" s="468">
        <f t="shared" ref="G419:G424" si="114">IFERROR(ROUND(D419*E419/F419,2),0)</f>
        <v>0</v>
      </c>
    </row>
    <row r="420" spans="1:7" ht="19.899999999999999" customHeight="1">
      <c r="A420" s="511"/>
      <c r="B420" s="474"/>
      <c r="C420" s="465"/>
      <c r="D420" s="471"/>
      <c r="E420" s="468">
        <f t="shared" si="112"/>
        <v>0</v>
      </c>
      <c r="F420" s="471">
        <f t="shared" si="113"/>
        <v>0</v>
      </c>
      <c r="G420" s="468">
        <f t="shared" si="114"/>
        <v>0</v>
      </c>
    </row>
    <row r="421" spans="1:7" ht="19.899999999999999" customHeight="1">
      <c r="A421" s="511"/>
      <c r="B421" s="474"/>
      <c r="C421" s="465"/>
      <c r="D421" s="471"/>
      <c r="E421" s="468">
        <f t="shared" si="112"/>
        <v>0</v>
      </c>
      <c r="F421" s="471">
        <f t="shared" si="113"/>
        <v>0</v>
      </c>
      <c r="G421" s="468">
        <f t="shared" si="114"/>
        <v>0</v>
      </c>
    </row>
    <row r="422" spans="1:7" ht="19.899999999999999" customHeight="1">
      <c r="A422" s="511">
        <f t="shared" ref="A422:A424" si="115">IFERROR(VLOOKUP(C422,T_Insumos,4,FALSE),0)</f>
        <v>0</v>
      </c>
      <c r="B422" s="474">
        <f t="shared" ref="B422:B424" si="116">IFERROR(VLOOKUP(C422,T_Insumos,5,FALSE),0)</f>
        <v>0</v>
      </c>
      <c r="C422" s="465"/>
      <c r="D422" s="471"/>
      <c r="E422" s="468">
        <f t="shared" si="112"/>
        <v>0</v>
      </c>
      <c r="F422" s="471">
        <f>IF(C422="",0,IFERROR(VLOOKUP(COUNTIF($A$1:A422,"ANALISIS DE PRECIOS"),T_Rendimiento_Equipo,5,FALSE),0))</f>
        <v>0</v>
      </c>
      <c r="G422" s="468">
        <f t="shared" si="114"/>
        <v>0</v>
      </c>
    </row>
    <row r="423" spans="1:7" ht="19.899999999999999" customHeight="1">
      <c r="A423" s="511">
        <f t="shared" si="115"/>
        <v>0</v>
      </c>
      <c r="B423" s="474">
        <f t="shared" si="116"/>
        <v>0</v>
      </c>
      <c r="C423" s="465"/>
      <c r="D423" s="479"/>
      <c r="E423" s="468">
        <f>SUMPRODUCT(D418:D421,E418:E421)</f>
        <v>0</v>
      </c>
      <c r="F423" s="471">
        <f t="shared" si="113"/>
        <v>0</v>
      </c>
      <c r="G423" s="468">
        <f t="shared" si="114"/>
        <v>0</v>
      </c>
    </row>
    <row r="424" spans="1:7" ht="19.899999999999999" customHeight="1">
      <c r="A424" s="511">
        <f t="shared" si="115"/>
        <v>0</v>
      </c>
      <c r="B424" s="474">
        <f t="shared" si="116"/>
        <v>0</v>
      </c>
      <c r="C424" s="474"/>
      <c r="D424" s="480"/>
      <c r="E424" s="468">
        <f t="shared" ref="E424:E426" si="117">IFERROR(VLOOKUP(C424,T_Insumos,3,FALSE),0)</f>
        <v>0</v>
      </c>
      <c r="F424" s="471">
        <f>IF(C424="",0,IFERROR(VLOOKUP(COUNTIF($A$1:A424,"ANALISIS DE PRECIOS"),T_Rendimiento_Equipo,5,FALSE),0))</f>
        <v>0</v>
      </c>
      <c r="G424" s="468">
        <f t="shared" si="114"/>
        <v>0</v>
      </c>
    </row>
    <row r="425" spans="1:7" ht="19.899999999999999" customHeight="1">
      <c r="A425" s="512"/>
      <c r="B425" s="455"/>
      <c r="C425" s="160"/>
      <c r="D425" s="455"/>
      <c r="E425" s="456"/>
      <c r="F425" s="615" t="s">
        <v>27</v>
      </c>
      <c r="G425" s="514">
        <f>SUBTOTAL(9,G418:G424)</f>
        <v>0</v>
      </c>
    </row>
    <row r="426" spans="1:7" ht="19.899999999999999" customHeight="1">
      <c r="A426" s="509"/>
      <c r="B426" s="160"/>
      <c r="C426" s="451" t="s">
        <v>1012</v>
      </c>
      <c r="D426" s="455"/>
      <c r="E426" s="456"/>
      <c r="F426" s="457"/>
      <c r="G426" s="510"/>
    </row>
    <row r="427" spans="1:7" ht="19.899999999999999" customHeight="1">
      <c r="A427" s="637" t="s">
        <v>575</v>
      </c>
      <c r="B427" s="638"/>
      <c r="C427" s="639" t="s">
        <v>0</v>
      </c>
      <c r="D427" s="639" t="s">
        <v>1864</v>
      </c>
      <c r="E427" s="641" t="s">
        <v>23</v>
      </c>
      <c r="F427" s="643" t="s">
        <v>24</v>
      </c>
      <c r="G427" s="645" t="s">
        <v>25</v>
      </c>
    </row>
    <row r="428" spans="1:7" ht="19.899999999999999" customHeight="1">
      <c r="A428" s="473" t="s">
        <v>576</v>
      </c>
      <c r="B428" s="473" t="s">
        <v>577</v>
      </c>
      <c r="C428" s="640"/>
      <c r="D428" s="640"/>
      <c r="E428" s="642"/>
      <c r="F428" s="644"/>
      <c r="G428" s="646"/>
    </row>
    <row r="429" spans="1:7" ht="19.899999999999999" customHeight="1">
      <c r="A429" s="511">
        <f t="shared" ref="A429:A439" si="118">IFERROR(VLOOKUP(C429,T_Insumos,4,FALSE),0)</f>
        <v>0</v>
      </c>
      <c r="B429" s="474">
        <f t="shared" ref="B429:B439" si="119">IFERROR(VLOOKUP(C429,T_Insumos,5,FALSE),0)</f>
        <v>0</v>
      </c>
      <c r="C429" s="474"/>
      <c r="D429" s="522">
        <f t="shared" ref="D429:D439" si="120">IFERROR(VLOOKUP(C429,T_Insumos,2,FALSE),0)</f>
        <v>0</v>
      </c>
      <c r="E429" s="466"/>
      <c r="F429" s="468">
        <f t="shared" ref="F429:F439" si="121">IFERROR(VLOOKUP(C429,T_Insumos,3,FALSE),0)</f>
        <v>0</v>
      </c>
      <c r="G429" s="468">
        <f>ROUND(E429*F429,2)</f>
        <v>0</v>
      </c>
    </row>
    <row r="430" spans="1:7" ht="19.899999999999999" customHeight="1">
      <c r="A430" s="511">
        <f t="shared" si="118"/>
        <v>0</v>
      </c>
      <c r="B430" s="474">
        <f t="shared" si="119"/>
        <v>0</v>
      </c>
      <c r="C430" s="474"/>
      <c r="D430" s="522">
        <f t="shared" si="120"/>
        <v>0</v>
      </c>
      <c r="E430" s="466"/>
      <c r="F430" s="468">
        <f t="shared" si="121"/>
        <v>0</v>
      </c>
      <c r="G430" s="468">
        <f t="shared" ref="G430:G439" si="122">ROUND(E430*F430,2)</f>
        <v>0</v>
      </c>
    </row>
    <row r="431" spans="1:7" ht="19.899999999999999" customHeight="1">
      <c r="A431" s="511">
        <f t="shared" si="118"/>
        <v>0</v>
      </c>
      <c r="B431" s="474">
        <f t="shared" si="119"/>
        <v>0</v>
      </c>
      <c r="C431" s="474"/>
      <c r="D431" s="522">
        <f t="shared" si="120"/>
        <v>0</v>
      </c>
      <c r="E431" s="466"/>
      <c r="F431" s="468">
        <f t="shared" si="121"/>
        <v>0</v>
      </c>
      <c r="G431" s="468">
        <f t="shared" si="122"/>
        <v>0</v>
      </c>
    </row>
    <row r="432" spans="1:7" ht="19.899999999999999" customHeight="1">
      <c r="A432" s="511">
        <f t="shared" si="118"/>
        <v>0</v>
      </c>
      <c r="B432" s="474">
        <f t="shared" si="119"/>
        <v>0</v>
      </c>
      <c r="C432" s="474"/>
      <c r="D432" s="522">
        <f t="shared" si="120"/>
        <v>0</v>
      </c>
      <c r="E432" s="466"/>
      <c r="F432" s="468">
        <f t="shared" si="121"/>
        <v>0</v>
      </c>
      <c r="G432" s="468">
        <f t="shared" si="122"/>
        <v>0</v>
      </c>
    </row>
    <row r="433" spans="1:7" ht="19.899999999999999" customHeight="1">
      <c r="A433" s="511">
        <f t="shared" si="118"/>
        <v>0</v>
      </c>
      <c r="B433" s="474">
        <f t="shared" si="119"/>
        <v>0</v>
      </c>
      <c r="C433" s="474"/>
      <c r="D433" s="522">
        <f t="shared" si="120"/>
        <v>0</v>
      </c>
      <c r="E433" s="466"/>
      <c r="F433" s="468">
        <f t="shared" si="121"/>
        <v>0</v>
      </c>
      <c r="G433" s="468">
        <f t="shared" si="122"/>
        <v>0</v>
      </c>
    </row>
    <row r="434" spans="1:7" ht="19.899999999999999" customHeight="1">
      <c r="A434" s="511">
        <f t="shared" si="118"/>
        <v>0</v>
      </c>
      <c r="B434" s="474">
        <f t="shared" si="119"/>
        <v>0</v>
      </c>
      <c r="C434" s="474"/>
      <c r="D434" s="522">
        <f t="shared" si="120"/>
        <v>0</v>
      </c>
      <c r="E434" s="466"/>
      <c r="F434" s="468">
        <f t="shared" si="121"/>
        <v>0</v>
      </c>
      <c r="G434" s="468">
        <f t="shared" si="122"/>
        <v>0</v>
      </c>
    </row>
    <row r="435" spans="1:7" ht="19.899999999999999" customHeight="1">
      <c r="A435" s="511">
        <f t="shared" si="118"/>
        <v>0</v>
      </c>
      <c r="B435" s="474">
        <f t="shared" si="119"/>
        <v>0</v>
      </c>
      <c r="C435" s="474"/>
      <c r="D435" s="522">
        <f t="shared" si="120"/>
        <v>0</v>
      </c>
      <c r="E435" s="466"/>
      <c r="F435" s="468">
        <f t="shared" si="121"/>
        <v>0</v>
      </c>
      <c r="G435" s="468">
        <f t="shared" si="122"/>
        <v>0</v>
      </c>
    </row>
    <row r="436" spans="1:7" ht="19.899999999999999" customHeight="1">
      <c r="A436" s="511">
        <f t="shared" si="118"/>
        <v>0</v>
      </c>
      <c r="B436" s="474">
        <f t="shared" si="119"/>
        <v>0</v>
      </c>
      <c r="C436" s="474"/>
      <c r="D436" s="522">
        <f t="shared" si="120"/>
        <v>0</v>
      </c>
      <c r="E436" s="466"/>
      <c r="F436" s="468">
        <f t="shared" si="121"/>
        <v>0</v>
      </c>
      <c r="G436" s="468">
        <f t="shared" si="122"/>
        <v>0</v>
      </c>
    </row>
    <row r="437" spans="1:7" ht="19.899999999999999" customHeight="1">
      <c r="A437" s="511">
        <f t="shared" si="118"/>
        <v>0</v>
      </c>
      <c r="B437" s="474">
        <f t="shared" si="119"/>
        <v>0</v>
      </c>
      <c r="C437" s="474"/>
      <c r="D437" s="522">
        <f t="shared" si="120"/>
        <v>0</v>
      </c>
      <c r="E437" s="466"/>
      <c r="F437" s="468">
        <f t="shared" si="121"/>
        <v>0</v>
      </c>
      <c r="G437" s="468">
        <f t="shared" si="122"/>
        <v>0</v>
      </c>
    </row>
    <row r="438" spans="1:7" ht="19.899999999999999" customHeight="1">
      <c r="A438" s="511">
        <f t="shared" si="118"/>
        <v>0</v>
      </c>
      <c r="B438" s="474">
        <f t="shared" si="119"/>
        <v>0</v>
      </c>
      <c r="C438" s="474"/>
      <c r="D438" s="522">
        <f t="shared" si="120"/>
        <v>0</v>
      </c>
      <c r="E438" s="466"/>
      <c r="F438" s="468">
        <f t="shared" si="121"/>
        <v>0</v>
      </c>
      <c r="G438" s="468">
        <f t="shared" si="122"/>
        <v>0</v>
      </c>
    </row>
    <row r="439" spans="1:7" ht="19.899999999999999" customHeight="1">
      <c r="A439" s="511">
        <f t="shared" si="118"/>
        <v>0</v>
      </c>
      <c r="B439" s="474">
        <f t="shared" si="119"/>
        <v>0</v>
      </c>
      <c r="C439" s="474"/>
      <c r="D439" s="522">
        <f t="shared" si="120"/>
        <v>0</v>
      </c>
      <c r="E439" s="466"/>
      <c r="F439" s="468">
        <f t="shared" si="121"/>
        <v>0</v>
      </c>
      <c r="G439" s="468">
        <f t="shared" si="122"/>
        <v>0</v>
      </c>
    </row>
    <row r="440" spans="1:7" ht="19.899999999999999" customHeight="1">
      <c r="A440" s="509"/>
      <c r="B440" s="160"/>
      <c r="C440" s="160"/>
      <c r="D440" s="455"/>
      <c r="E440" s="456"/>
      <c r="F440" s="615" t="s">
        <v>28</v>
      </c>
      <c r="G440" s="514">
        <f>SUBTOTAL(9,G429:G439)</f>
        <v>0</v>
      </c>
    </row>
    <row r="441" spans="1:7" ht="19.899999999999999" customHeight="1">
      <c r="A441" s="509"/>
      <c r="B441" s="160"/>
      <c r="C441" s="451" t="s">
        <v>1013</v>
      </c>
      <c r="D441" s="455"/>
      <c r="E441" s="456"/>
      <c r="F441" s="457"/>
      <c r="G441" s="510"/>
    </row>
    <row r="442" spans="1:7" ht="19.899999999999999" customHeight="1">
      <c r="A442" s="637" t="s">
        <v>575</v>
      </c>
      <c r="B442" s="638"/>
      <c r="C442" s="639" t="s">
        <v>0</v>
      </c>
      <c r="D442" s="639" t="s">
        <v>1864</v>
      </c>
      <c r="E442" s="641" t="s">
        <v>23</v>
      </c>
      <c r="F442" s="643" t="s">
        <v>24</v>
      </c>
      <c r="G442" s="645" t="s">
        <v>25</v>
      </c>
    </row>
    <row r="443" spans="1:7" ht="19.899999999999999" customHeight="1">
      <c r="A443" s="473" t="s">
        <v>576</v>
      </c>
      <c r="B443" s="473" t="s">
        <v>577</v>
      </c>
      <c r="C443" s="640"/>
      <c r="D443" s="640"/>
      <c r="E443" s="642"/>
      <c r="F443" s="644"/>
      <c r="G443" s="646"/>
    </row>
    <row r="444" spans="1:7" ht="19.899999999999999" customHeight="1">
      <c r="A444" s="511">
        <f>IFERROR(VLOOKUP(C444,T_Insumos,4,FALSE),0)</f>
        <v>0</v>
      </c>
      <c r="B444" s="474">
        <f>IFERROR(VLOOKUP(C444,T_Insumos,5,FALSE),0)</f>
        <v>0</v>
      </c>
      <c r="C444" s="465"/>
      <c r="D444" s="522">
        <f>IF(C444=0,0,"$/tnkm")</f>
        <v>0</v>
      </c>
      <c r="E444" s="466"/>
      <c r="F444" s="468">
        <f>IFERROR(VLOOKUP(C444,T_Insumos,3,FALSE),0)</f>
        <v>0</v>
      </c>
      <c r="G444" s="468">
        <f>ROUND(E444*F444,2)</f>
        <v>0</v>
      </c>
    </row>
    <row r="445" spans="1:7" ht="19.899999999999999" customHeight="1">
      <c r="A445" s="511">
        <f>IFERROR(VLOOKUP(C445,T_Insumos,4,FALSE),0)</f>
        <v>0</v>
      </c>
      <c r="B445" s="474">
        <f>IFERROR(VLOOKUP(C445,T_Insumos,5,FALSE),0)</f>
        <v>0</v>
      </c>
      <c r="C445" s="465"/>
      <c r="D445" s="522">
        <f>IF(C445=0,0,"$/tnkm")</f>
        <v>0</v>
      </c>
      <c r="E445" s="482"/>
      <c r="F445" s="468">
        <f>IFERROR(VLOOKUP(C445,T_Insumos,3,FALSE),0)</f>
        <v>0</v>
      </c>
      <c r="G445" s="468">
        <f t="shared" ref="G445" si="123">ROUND(E445*F445,2)</f>
        <v>0</v>
      </c>
    </row>
    <row r="446" spans="1:7" ht="19.899999999999999" customHeight="1">
      <c r="A446" s="509"/>
      <c r="B446" s="160"/>
      <c r="C446" s="160"/>
      <c r="D446" s="455"/>
      <c r="E446" s="456"/>
      <c r="F446" s="615" t="s">
        <v>1014</v>
      </c>
      <c r="G446" s="514">
        <f>SUBTOTAL(9,G444:G445)</f>
        <v>0</v>
      </c>
    </row>
    <row r="447" spans="1:7" ht="19.899999999999999" customHeight="1">
      <c r="A447" s="512"/>
      <c r="B447" s="455"/>
      <c r="C447" s="160"/>
      <c r="D447" s="455"/>
      <c r="E447" s="456"/>
      <c r="F447" s="457"/>
      <c r="G447" s="510"/>
    </row>
    <row r="448" spans="1:7" ht="19.899999999999999" customHeight="1">
      <c r="A448" s="570">
        <f>B382</f>
        <v>1.6</v>
      </c>
      <c r="B448" s="567" t="str">
        <f ca="1">C382</f>
        <v>Cementado para proteccion perforacion</v>
      </c>
      <c r="C448" s="455"/>
      <c r="D448" s="455" t="s">
        <v>1830</v>
      </c>
      <c r="E448" s="568"/>
      <c r="F448" s="569" t="str">
        <f ca="1">"$/"&amp;G382</f>
        <v>$/m3</v>
      </c>
      <c r="G448" s="519">
        <f>SUBTOTAL(9,G405:G447)</f>
        <v>0</v>
      </c>
    </row>
    <row r="449" spans="1:7" ht="19.899999999999999" customHeight="1">
      <c r="A449" s="515"/>
      <c r="B449" s="516"/>
      <c r="C449" s="517"/>
      <c r="D449" s="517" t="s">
        <v>2040</v>
      </c>
      <c r="E449" s="518"/>
      <c r="F449" s="571" t="str">
        <f ca="1">"$/"&amp;G382</f>
        <v>$/m3</v>
      </c>
      <c r="G449" s="519">
        <f>ROUND(G448*Coeficiente_Paso,2)</f>
        <v>0</v>
      </c>
    </row>
    <row r="450" spans="1:7" ht="19.899999999999999" customHeight="1">
      <c r="A450" s="160"/>
      <c r="B450" s="160"/>
      <c r="C450" s="160"/>
      <c r="D450" s="160"/>
      <c r="E450" s="160"/>
      <c r="F450" s="160"/>
      <c r="G450" s="160"/>
    </row>
    <row r="451" spans="1:7" ht="19.899999999999999" customHeight="1">
      <c r="A451" s="633" t="s">
        <v>30</v>
      </c>
      <c r="B451" s="634"/>
      <c r="C451" s="634"/>
      <c r="D451" s="634"/>
      <c r="E451" s="634"/>
      <c r="F451" s="634"/>
      <c r="G451" s="635"/>
    </row>
    <row r="452" spans="1:7" ht="19.899999999999999" customHeight="1">
      <c r="A452" s="498" t="s">
        <v>710</v>
      </c>
      <c r="B452" s="449" t="str">
        <f>Comitente</f>
        <v>DEPARTAMENTO DE HIDRAULICA</v>
      </c>
      <c r="C452" s="450"/>
      <c r="D452" s="451"/>
      <c r="E452" s="451"/>
      <c r="F452" s="452"/>
      <c r="G452" s="499"/>
    </row>
    <row r="453" spans="1:7" ht="19.899999999999999" customHeight="1">
      <c r="A453" s="498" t="s">
        <v>711</v>
      </c>
      <c r="B453" s="449">
        <f>Contratista</f>
        <v>0</v>
      </c>
      <c r="C453" s="453"/>
      <c r="D453" s="453"/>
      <c r="E453" s="453"/>
      <c r="F453" s="449"/>
      <c r="G453" s="500"/>
    </row>
    <row r="454" spans="1:7" ht="19.899999999999999" customHeight="1">
      <c r="A454" s="498" t="s">
        <v>20</v>
      </c>
      <c r="B454" s="449" t="str">
        <f>Obra</f>
        <v>EJECUCION DE PERFORACION - SISTEMA DE RIEGO</v>
      </c>
      <c r="C454" s="453"/>
      <c r="D454" s="453"/>
      <c r="E454" s="453"/>
      <c r="F454" s="449" t="s">
        <v>31</v>
      </c>
      <c r="G454" s="500">
        <f>Fecha_Base</f>
        <v>0</v>
      </c>
    </row>
    <row r="455" spans="1:7" ht="19.899999999999999" customHeight="1">
      <c r="A455" s="501" t="s">
        <v>709</v>
      </c>
      <c r="B455" s="454" t="str">
        <f>Ubicación</f>
        <v>DEPARTAMENTO CHIMBAS</v>
      </c>
      <c r="C455" s="454"/>
      <c r="D455" s="455"/>
      <c r="E455" s="456"/>
      <c r="F455" s="457"/>
      <c r="G455" s="502"/>
    </row>
    <row r="456" spans="1:7" ht="19.899999999999999" customHeight="1">
      <c r="A456" s="501" t="s">
        <v>32</v>
      </c>
      <c r="B456" s="458">
        <f>IFERROR(VALUE(LEFT(B457,FIND(".",B457)-1)),"")</f>
        <v>1</v>
      </c>
      <c r="C456" s="160" t="str">
        <f ca="1">IFERROR(VLOOKUP(B456,T_Computo_Presupuesto,2,FALSE),0)</f>
        <v>PERFORACION PROPIAMENTE DICHA</v>
      </c>
      <c r="D456" s="160"/>
      <c r="E456" s="456"/>
      <c r="F456" s="457"/>
      <c r="G456" s="502"/>
    </row>
    <row r="457" spans="1:7" ht="19.899999999999999" customHeight="1">
      <c r="A457" s="501" t="s">
        <v>21</v>
      </c>
      <c r="B457" s="459">
        <f>IFERROR(VLOOKUP(COUNTIF($A$1:A457,"ANALISIS DE PRECIOS"),T_NumeroItem,2,FALSE),"")</f>
        <v>1.7</v>
      </c>
      <c r="C457" s="636" t="str">
        <f ca="1">IFERROR(VLOOKUP(B457,T_Computo_Presupuesto,2,FALSE),0)</f>
        <v>Limpieza final</v>
      </c>
      <c r="D457" s="636"/>
      <c r="E457" s="636"/>
      <c r="F457" s="454" t="s">
        <v>22</v>
      </c>
      <c r="G457" s="503" t="str">
        <f ca="1">IFERROR(VLOOKUP(B457,T_Computo_Presupuesto,4,FALSE),0)</f>
        <v>m2</v>
      </c>
    </row>
    <row r="458" spans="1:7" ht="19.899999999999999" customHeight="1">
      <c r="A458" s="501"/>
      <c r="B458" s="454"/>
      <c r="C458" s="160"/>
      <c r="D458" s="455"/>
      <c r="E458" s="456"/>
      <c r="F458" s="160"/>
      <c r="G458" s="504"/>
    </row>
    <row r="459" spans="1:7" ht="19.899999999999999" customHeight="1">
      <c r="A459" s="505"/>
      <c r="B459" s="460"/>
      <c r="C459" s="461" t="s">
        <v>997</v>
      </c>
      <c r="D459" s="460"/>
      <c r="E459" s="460"/>
      <c r="F459" s="460"/>
      <c r="G459" s="506"/>
    </row>
    <row r="460" spans="1:7" ht="19.899999999999999" customHeight="1">
      <c r="A460" s="501"/>
      <c r="B460" s="462"/>
      <c r="C460" s="160"/>
      <c r="D460" s="455"/>
      <c r="E460" s="456"/>
      <c r="F460" s="454"/>
      <c r="G460" s="503"/>
    </row>
    <row r="461" spans="1:7" ht="19.899999999999999" customHeight="1">
      <c r="A461" s="501"/>
      <c r="B461" s="462"/>
      <c r="C461" s="463" t="s">
        <v>998</v>
      </c>
      <c r="D461" s="464" t="s">
        <v>23</v>
      </c>
      <c r="E461" s="464" t="s">
        <v>999</v>
      </c>
      <c r="F461" s="464" t="s">
        <v>1000</v>
      </c>
      <c r="G461" s="463" t="s">
        <v>1001</v>
      </c>
    </row>
    <row r="462" spans="1:7" ht="19.899999999999999" customHeight="1">
      <c r="A462" s="501"/>
      <c r="B462" s="462"/>
      <c r="C462" s="465"/>
      <c r="D462" s="466"/>
      <c r="E462" s="467">
        <f t="shared" ref="E462:E471" si="124">IFERROR(VLOOKUP(C462,T_Equipos,4,FALSE),0)</f>
        <v>0</v>
      </c>
      <c r="F462" s="468"/>
      <c r="G462" s="468">
        <f>ROUND(D462*F462,2)</f>
        <v>0</v>
      </c>
    </row>
    <row r="463" spans="1:7" ht="19.899999999999999" customHeight="1">
      <c r="A463" s="501"/>
      <c r="B463" s="462"/>
      <c r="C463" s="465"/>
      <c r="D463" s="466"/>
      <c r="E463" s="467">
        <f t="shared" si="124"/>
        <v>0</v>
      </c>
      <c r="F463" s="468"/>
      <c r="G463" s="468">
        <f>ROUND(D463*F463,2)</f>
        <v>0</v>
      </c>
    </row>
    <row r="464" spans="1:7" ht="19.899999999999999" customHeight="1">
      <c r="A464" s="501"/>
      <c r="B464" s="462"/>
      <c r="C464" s="465"/>
      <c r="D464" s="466"/>
      <c r="E464" s="467">
        <f t="shared" si="124"/>
        <v>0</v>
      </c>
      <c r="F464" s="468"/>
      <c r="G464" s="468">
        <f>ROUND(D464*F464,2)</f>
        <v>0</v>
      </c>
    </row>
    <row r="465" spans="1:7" ht="19.899999999999999" customHeight="1">
      <c r="A465" s="501"/>
      <c r="B465" s="462"/>
      <c r="C465" s="465"/>
      <c r="D465" s="466"/>
      <c r="E465" s="467">
        <f t="shared" si="124"/>
        <v>0</v>
      </c>
      <c r="F465" s="468"/>
      <c r="G465" s="468">
        <f>ROUND(D465*F465,2)</f>
        <v>0</v>
      </c>
    </row>
    <row r="466" spans="1:7" ht="19.899999999999999" customHeight="1">
      <c r="A466" s="501"/>
      <c r="B466" s="462"/>
      <c r="C466" s="465"/>
      <c r="D466" s="466"/>
      <c r="E466" s="467">
        <f t="shared" si="124"/>
        <v>0</v>
      </c>
      <c r="F466" s="468"/>
      <c r="G466" s="468">
        <f t="shared" ref="G466:G471" si="125">ROUND(D466*F466,2)</f>
        <v>0</v>
      </c>
    </row>
    <row r="467" spans="1:7" ht="19.899999999999999" customHeight="1">
      <c r="A467" s="501"/>
      <c r="B467" s="462"/>
      <c r="C467" s="465"/>
      <c r="D467" s="466"/>
      <c r="E467" s="467">
        <f t="shared" si="124"/>
        <v>0</v>
      </c>
      <c r="F467" s="468">
        <f t="shared" ref="F467:F471" si="126">IFERROR(VLOOKUP(C467,T_Equipos,5,FALSE),0)</f>
        <v>0</v>
      </c>
      <c r="G467" s="468">
        <f t="shared" si="125"/>
        <v>0</v>
      </c>
    </row>
    <row r="468" spans="1:7" ht="19.899999999999999" customHeight="1">
      <c r="A468" s="501"/>
      <c r="B468" s="462"/>
      <c r="C468" s="465"/>
      <c r="D468" s="466"/>
      <c r="E468" s="467">
        <f t="shared" si="124"/>
        <v>0</v>
      </c>
      <c r="F468" s="468">
        <f t="shared" si="126"/>
        <v>0</v>
      </c>
      <c r="G468" s="468">
        <f t="shared" si="125"/>
        <v>0</v>
      </c>
    </row>
    <row r="469" spans="1:7" ht="19.899999999999999" customHeight="1">
      <c r="A469" s="501"/>
      <c r="B469" s="462"/>
      <c r="C469" s="465"/>
      <c r="D469" s="466"/>
      <c r="E469" s="467">
        <f t="shared" si="124"/>
        <v>0</v>
      </c>
      <c r="F469" s="468">
        <f t="shared" si="126"/>
        <v>0</v>
      </c>
      <c r="G469" s="468">
        <f t="shared" si="125"/>
        <v>0</v>
      </c>
    </row>
    <row r="470" spans="1:7" ht="19.899999999999999" customHeight="1">
      <c r="A470" s="501"/>
      <c r="B470" s="462"/>
      <c r="C470" s="465"/>
      <c r="D470" s="466"/>
      <c r="E470" s="467">
        <f t="shared" si="124"/>
        <v>0</v>
      </c>
      <c r="F470" s="468">
        <f t="shared" si="126"/>
        <v>0</v>
      </c>
      <c r="G470" s="468">
        <f t="shared" si="125"/>
        <v>0</v>
      </c>
    </row>
    <row r="471" spans="1:7" ht="19.899999999999999" customHeight="1">
      <c r="A471" s="501"/>
      <c r="B471" s="462"/>
      <c r="C471" s="465"/>
      <c r="D471" s="466"/>
      <c r="E471" s="467">
        <f t="shared" si="124"/>
        <v>0</v>
      </c>
      <c r="F471" s="468">
        <f t="shared" si="126"/>
        <v>0</v>
      </c>
      <c r="G471" s="468">
        <f t="shared" si="125"/>
        <v>0</v>
      </c>
    </row>
    <row r="472" spans="1:7" ht="19.899999999999999" customHeight="1">
      <c r="A472" s="501"/>
      <c r="B472" s="462"/>
      <c r="C472" s="160"/>
      <c r="D472" s="160"/>
      <c r="E472" s="469"/>
      <c r="F472" s="454"/>
      <c r="G472" s="503"/>
    </row>
    <row r="473" spans="1:7" ht="19.899999999999999" customHeight="1">
      <c r="A473" s="501"/>
      <c r="B473" s="160"/>
      <c r="C473" s="451" t="s">
        <v>1002</v>
      </c>
      <c r="D473" s="454" t="s">
        <v>999</v>
      </c>
      <c r="E473" s="520">
        <f>SUMPRODUCT(D462:D471,E462:E471)</f>
        <v>0</v>
      </c>
      <c r="F473" s="454" t="s">
        <v>1003</v>
      </c>
      <c r="G473" s="521">
        <f>SUM(G462:G471)</f>
        <v>0</v>
      </c>
    </row>
    <row r="474" spans="1:7" ht="19.899999999999999" customHeight="1">
      <c r="A474" s="501"/>
      <c r="B474" s="462"/>
      <c r="C474" s="470"/>
      <c r="D474" s="469"/>
      <c r="E474" s="456"/>
      <c r="F474" s="454"/>
      <c r="G474" s="507"/>
    </row>
    <row r="475" spans="1:7" ht="19.899999999999999" customHeight="1">
      <c r="A475" s="508"/>
      <c r="B475" s="462"/>
      <c r="C475" s="454" t="s">
        <v>1004</v>
      </c>
      <c r="D475" s="471"/>
      <c r="E475" s="472" t="str">
        <f ca="1">G457&amp;"/día"</f>
        <v>m2/día</v>
      </c>
      <c r="F475" s="448"/>
      <c r="G475" s="503"/>
    </row>
    <row r="476" spans="1:7" ht="19.899999999999999" customHeight="1">
      <c r="A476" s="501"/>
      <c r="B476" s="462"/>
      <c r="C476" s="160"/>
      <c r="D476" s="455"/>
      <c r="E476" s="456"/>
      <c r="F476" s="454"/>
      <c r="G476" s="503"/>
    </row>
    <row r="477" spans="1:7" ht="19.899999999999999" customHeight="1">
      <c r="A477" s="637" t="s">
        <v>575</v>
      </c>
      <c r="B477" s="638"/>
      <c r="C477" s="639" t="s">
        <v>0</v>
      </c>
      <c r="D477" s="647" t="s">
        <v>1863</v>
      </c>
      <c r="E477" s="647" t="s">
        <v>1862</v>
      </c>
      <c r="F477" s="643" t="s">
        <v>1005</v>
      </c>
      <c r="G477" s="645" t="s">
        <v>25</v>
      </c>
    </row>
    <row r="478" spans="1:7" ht="19.899999999999999" customHeight="1">
      <c r="A478" s="473" t="s">
        <v>576</v>
      </c>
      <c r="B478" s="473" t="s">
        <v>577</v>
      </c>
      <c r="C478" s="640"/>
      <c r="D478" s="648"/>
      <c r="E478" s="642"/>
      <c r="F478" s="644"/>
      <c r="G478" s="646"/>
    </row>
    <row r="479" spans="1:7" ht="19.899999999999999" customHeight="1">
      <c r="A479" s="509"/>
      <c r="B479" s="160"/>
      <c r="C479" s="451" t="s">
        <v>1006</v>
      </c>
      <c r="D479" s="456"/>
      <c r="E479" s="456"/>
      <c r="F479" s="160"/>
      <c r="G479" s="510"/>
    </row>
    <row r="480" spans="1:7" ht="19.899999999999999" customHeight="1">
      <c r="A480" s="511">
        <f t="shared" ref="A480:A488" si="127">IFERROR(VLOOKUP(C480,T_Insumos,4,FALSE),0)</f>
        <v>0</v>
      </c>
      <c r="B480" s="474">
        <f t="shared" ref="B480:B488" si="128">IFERROR(VLOOKUP(C480,T_Insumos,5,FALSE),0)</f>
        <v>0</v>
      </c>
      <c r="C480" s="465"/>
      <c r="D480" s="475">
        <f t="shared" ref="D480:D488" si="129">IFERROR(VLOOKUP(C480,T_Insumos,3,FALSE),0)</f>
        <v>0</v>
      </c>
      <c r="E480" s="468">
        <f>D480*$G$323</f>
        <v>0</v>
      </c>
      <c r="F480" s="471">
        <f>+$D$325</f>
        <v>0</v>
      </c>
      <c r="G480" s="468">
        <f>IFERROR(ROUND(E480/F480,2),0)</f>
        <v>0</v>
      </c>
    </row>
    <row r="481" spans="1:7" ht="19.899999999999999" customHeight="1">
      <c r="A481" s="511"/>
      <c r="B481" s="474"/>
      <c r="C481" s="465"/>
      <c r="D481" s="475">
        <f t="shared" si="129"/>
        <v>0</v>
      </c>
      <c r="E481" s="468">
        <f>D481*$G$323</f>
        <v>0</v>
      </c>
      <c r="F481" s="471">
        <f t="shared" ref="F481:F483" si="130">+$D$325</f>
        <v>0</v>
      </c>
      <c r="G481" s="468">
        <f t="shared" ref="G481:G488" si="131">IFERROR(ROUND(E481/F481,2),0)</f>
        <v>0</v>
      </c>
    </row>
    <row r="482" spans="1:7" ht="19.899999999999999" customHeight="1">
      <c r="A482" s="511">
        <f t="shared" ref="A482:A490" si="132">IFERROR(VLOOKUP(C482,T_Insumos,4,FALSE),0)</f>
        <v>0</v>
      </c>
      <c r="B482" s="474">
        <f t="shared" ref="B482:B490" si="133">IFERROR(VLOOKUP(C482,T_Insumos,5,FALSE),0)</f>
        <v>0</v>
      </c>
      <c r="C482" s="476"/>
      <c r="D482" s="475">
        <f t="shared" si="129"/>
        <v>0</v>
      </c>
      <c r="E482" s="468">
        <f>D482*$E$323</f>
        <v>0</v>
      </c>
      <c r="F482" s="471">
        <f t="shared" si="130"/>
        <v>0</v>
      </c>
      <c r="G482" s="468">
        <f t="shared" si="131"/>
        <v>0</v>
      </c>
    </row>
    <row r="483" spans="1:7" ht="19.899999999999999" customHeight="1">
      <c r="A483" s="511">
        <f t="shared" si="132"/>
        <v>0</v>
      </c>
      <c r="B483" s="474">
        <f t="shared" si="133"/>
        <v>0</v>
      </c>
      <c r="C483" s="476"/>
      <c r="D483" s="475">
        <f t="shared" si="129"/>
        <v>0</v>
      </c>
      <c r="E483" s="468">
        <f>D483*$E$323</f>
        <v>0</v>
      </c>
      <c r="F483" s="471">
        <f t="shared" si="130"/>
        <v>0</v>
      </c>
      <c r="G483" s="468">
        <f t="shared" si="131"/>
        <v>0</v>
      </c>
    </row>
    <row r="484" spans="1:7" ht="19.899999999999999" customHeight="1">
      <c r="A484" s="511">
        <f t="shared" si="132"/>
        <v>0</v>
      </c>
      <c r="B484" s="474">
        <f t="shared" si="133"/>
        <v>0</v>
      </c>
      <c r="C484" s="476"/>
      <c r="D484" s="475">
        <f t="shared" si="129"/>
        <v>0</v>
      </c>
      <c r="E484" s="468"/>
      <c r="F484" s="471">
        <f>IF(C484="",0,IFERROR(VLOOKUP(COUNTIF($A$1:A484,"ANALISIS DE PRECIOS"),T_Rendimiento_Equipo,5,FALSE),0))</f>
        <v>0</v>
      </c>
      <c r="G484" s="468">
        <f t="shared" si="131"/>
        <v>0</v>
      </c>
    </row>
    <row r="485" spans="1:7" ht="19.899999999999999" customHeight="1">
      <c r="A485" s="511">
        <f t="shared" si="132"/>
        <v>0</v>
      </c>
      <c r="B485" s="474">
        <f t="shared" si="133"/>
        <v>0</v>
      </c>
      <c r="C485" s="476"/>
      <c r="D485" s="475">
        <f t="shared" si="129"/>
        <v>0</v>
      </c>
      <c r="E485" s="468"/>
      <c r="F485" s="471">
        <f>IF(C485="",0,IFERROR(VLOOKUP(COUNTIF($A$1:A485,"ANALISIS DE PRECIOS"),T_Rendimiento_Equipo,5,FALSE),0))</f>
        <v>0</v>
      </c>
      <c r="G485" s="468">
        <f t="shared" si="131"/>
        <v>0</v>
      </c>
    </row>
    <row r="486" spans="1:7" ht="19.899999999999999" customHeight="1">
      <c r="A486" s="511">
        <f t="shared" si="132"/>
        <v>0</v>
      </c>
      <c r="B486" s="474">
        <f t="shared" si="133"/>
        <v>0</v>
      </c>
      <c r="C486" s="476"/>
      <c r="D486" s="475">
        <f t="shared" si="129"/>
        <v>0</v>
      </c>
      <c r="E486" s="468"/>
      <c r="F486" s="471">
        <f>IF(C486="",0,IFERROR(VLOOKUP(COUNTIF($A$1:A486,"ANALISIS DE PRECIOS"),T_Rendimiento_Equipo,5,FALSE),0))</f>
        <v>0</v>
      </c>
      <c r="G486" s="468">
        <f t="shared" si="131"/>
        <v>0</v>
      </c>
    </row>
    <row r="487" spans="1:7" ht="19.899999999999999" customHeight="1">
      <c r="A487" s="511">
        <f t="shared" si="132"/>
        <v>0</v>
      </c>
      <c r="B487" s="474">
        <f t="shared" si="133"/>
        <v>0</v>
      </c>
      <c r="C487" s="476"/>
      <c r="D487" s="475">
        <f t="shared" si="129"/>
        <v>0</v>
      </c>
      <c r="E487" s="468"/>
      <c r="F487" s="471">
        <f>IF(C487="",0,IFERROR(VLOOKUP(COUNTIF($A$1:A487,"ANALISIS DE PRECIOS"),T_Rendimiento_Equipo,5,FALSE),0))</f>
        <v>0</v>
      </c>
      <c r="G487" s="468">
        <f t="shared" si="131"/>
        <v>0</v>
      </c>
    </row>
    <row r="488" spans="1:7" ht="19.899999999999999" customHeight="1">
      <c r="A488" s="511">
        <f t="shared" si="132"/>
        <v>0</v>
      </c>
      <c r="B488" s="474">
        <f t="shared" si="133"/>
        <v>0</v>
      </c>
      <c r="C488" s="465"/>
      <c r="D488" s="475">
        <f t="shared" si="129"/>
        <v>0</v>
      </c>
      <c r="E488" s="468"/>
      <c r="F488" s="471">
        <f>IF(C488="",0,IFERROR(VLOOKUP(COUNTIF($A$1:A488,"ANALISIS DE PRECIOS"),T_Rendimiento_Equipo,5,FALSE),0))</f>
        <v>0</v>
      </c>
      <c r="G488" s="468">
        <f t="shared" si="131"/>
        <v>0</v>
      </c>
    </row>
    <row r="489" spans="1:7" ht="19.899999999999999" customHeight="1">
      <c r="A489" s="512"/>
      <c r="B489" s="455"/>
      <c r="C489" s="160"/>
      <c r="D489" s="455"/>
      <c r="E489" s="456"/>
      <c r="F489" s="615" t="s">
        <v>26</v>
      </c>
      <c r="G489" s="513">
        <f>SUBTOTAL(9,G480:G488)</f>
        <v>0</v>
      </c>
    </row>
    <row r="490" spans="1:7" ht="19.899999999999999" customHeight="1">
      <c r="A490" s="509"/>
      <c r="B490" s="160"/>
      <c r="C490" s="451" t="s">
        <v>712</v>
      </c>
      <c r="D490" s="455"/>
      <c r="E490" s="456"/>
      <c r="F490" s="457"/>
      <c r="G490" s="510"/>
    </row>
    <row r="491" spans="1:7" ht="19.899999999999999" customHeight="1">
      <c r="A491" s="637" t="s">
        <v>575</v>
      </c>
      <c r="B491" s="638"/>
      <c r="C491" s="639" t="s">
        <v>0</v>
      </c>
      <c r="D491" s="641" t="s">
        <v>23</v>
      </c>
      <c r="E491" s="641" t="s">
        <v>1829</v>
      </c>
      <c r="F491" s="643" t="s">
        <v>1005</v>
      </c>
      <c r="G491" s="645" t="s">
        <v>25</v>
      </c>
    </row>
    <row r="492" spans="1:7" ht="19.899999999999999" customHeight="1">
      <c r="A492" s="473" t="s">
        <v>576</v>
      </c>
      <c r="B492" s="473" t="s">
        <v>577</v>
      </c>
      <c r="C492" s="640"/>
      <c r="D492" s="642"/>
      <c r="E492" s="642"/>
      <c r="F492" s="644"/>
      <c r="G492" s="646"/>
    </row>
    <row r="493" spans="1:7" ht="19.899999999999999" customHeight="1">
      <c r="A493" s="511"/>
      <c r="B493" s="474"/>
      <c r="C493" s="478"/>
      <c r="D493" s="471"/>
      <c r="E493" s="468">
        <f t="shared" ref="E493:E497" si="134">IFERROR(VLOOKUP(C493,T_Insumos,3,FALSE),0)</f>
        <v>0</v>
      </c>
      <c r="F493" s="471">
        <f>+$D$325</f>
        <v>0</v>
      </c>
      <c r="G493" s="468">
        <f>IFERROR(ROUND(D493*E493/F493,2),0)</f>
        <v>0</v>
      </c>
    </row>
    <row r="494" spans="1:7" ht="19.899999999999999" customHeight="1">
      <c r="A494" s="511"/>
      <c r="B494" s="474"/>
      <c r="C494" s="465"/>
      <c r="D494" s="471"/>
      <c r="E494" s="468">
        <f t="shared" si="134"/>
        <v>0</v>
      </c>
      <c r="F494" s="471">
        <f t="shared" ref="F494:F498" si="135">+$D$325</f>
        <v>0</v>
      </c>
      <c r="G494" s="468">
        <f t="shared" ref="G494:G499" si="136">IFERROR(ROUND(D494*E494/F494,2),0)</f>
        <v>0</v>
      </c>
    </row>
    <row r="495" spans="1:7" ht="19.899999999999999" customHeight="1">
      <c r="A495" s="511"/>
      <c r="B495" s="474"/>
      <c r="C495" s="465"/>
      <c r="D495" s="471"/>
      <c r="E495" s="468">
        <f t="shared" si="134"/>
        <v>0</v>
      </c>
      <c r="F495" s="471">
        <f t="shared" si="135"/>
        <v>0</v>
      </c>
      <c r="G495" s="468">
        <f t="shared" si="136"/>
        <v>0</v>
      </c>
    </row>
    <row r="496" spans="1:7" ht="19.899999999999999" customHeight="1">
      <c r="A496" s="511"/>
      <c r="B496" s="474"/>
      <c r="C496" s="465"/>
      <c r="D496" s="471"/>
      <c r="E496" s="468">
        <f t="shared" si="134"/>
        <v>0</v>
      </c>
      <c r="F496" s="471">
        <f t="shared" si="135"/>
        <v>0</v>
      </c>
      <c r="G496" s="468">
        <f t="shared" si="136"/>
        <v>0</v>
      </c>
    </row>
    <row r="497" spans="1:7" ht="19.899999999999999" customHeight="1">
      <c r="A497" s="511">
        <f t="shared" ref="A497:A499" si="137">IFERROR(VLOOKUP(C497,T_Insumos,4,FALSE),0)</f>
        <v>0</v>
      </c>
      <c r="B497" s="474">
        <f t="shared" ref="B497:B499" si="138">IFERROR(VLOOKUP(C497,T_Insumos,5,FALSE),0)</f>
        <v>0</v>
      </c>
      <c r="C497" s="465"/>
      <c r="D497" s="471"/>
      <c r="E497" s="468">
        <f t="shared" si="134"/>
        <v>0</v>
      </c>
      <c r="F497" s="471">
        <f>IF(C497="",0,IFERROR(VLOOKUP(COUNTIF($A$1:A497,"ANALISIS DE PRECIOS"),T_Rendimiento_Equipo,5,FALSE),0))</f>
        <v>0</v>
      </c>
      <c r="G497" s="468">
        <f t="shared" si="136"/>
        <v>0</v>
      </c>
    </row>
    <row r="498" spans="1:7" ht="19.899999999999999" customHeight="1">
      <c r="A498" s="511">
        <f t="shared" si="137"/>
        <v>0</v>
      </c>
      <c r="B498" s="474">
        <f t="shared" si="138"/>
        <v>0</v>
      </c>
      <c r="C498" s="465"/>
      <c r="D498" s="479"/>
      <c r="E498" s="468">
        <f>SUMPRODUCT(D493:D496,E493:E496)</f>
        <v>0</v>
      </c>
      <c r="F498" s="471">
        <f t="shared" si="135"/>
        <v>0</v>
      </c>
      <c r="G498" s="468">
        <f t="shared" si="136"/>
        <v>0</v>
      </c>
    </row>
    <row r="499" spans="1:7" ht="19.899999999999999" customHeight="1">
      <c r="A499" s="511">
        <f t="shared" si="137"/>
        <v>0</v>
      </c>
      <c r="B499" s="474">
        <f t="shared" si="138"/>
        <v>0</v>
      </c>
      <c r="C499" s="474"/>
      <c r="D499" s="480"/>
      <c r="E499" s="468">
        <f t="shared" ref="E499:E501" si="139">IFERROR(VLOOKUP(C499,T_Insumos,3,FALSE),0)</f>
        <v>0</v>
      </c>
      <c r="F499" s="471">
        <f>IF(C499="",0,IFERROR(VLOOKUP(COUNTIF($A$1:A499,"ANALISIS DE PRECIOS"),T_Rendimiento_Equipo,5,FALSE),0))</f>
        <v>0</v>
      </c>
      <c r="G499" s="468">
        <f t="shared" si="136"/>
        <v>0</v>
      </c>
    </row>
    <row r="500" spans="1:7" ht="19.899999999999999" customHeight="1">
      <c r="A500" s="512"/>
      <c r="B500" s="455"/>
      <c r="C500" s="160"/>
      <c r="D500" s="455"/>
      <c r="E500" s="456"/>
      <c r="F500" s="615" t="s">
        <v>27</v>
      </c>
      <c r="G500" s="514">
        <f>SUBTOTAL(9,G493:G499)</f>
        <v>0</v>
      </c>
    </row>
    <row r="501" spans="1:7" ht="19.899999999999999" customHeight="1">
      <c r="A501" s="509"/>
      <c r="B501" s="160"/>
      <c r="C501" s="451" t="s">
        <v>1012</v>
      </c>
      <c r="D501" s="455"/>
      <c r="E501" s="456"/>
      <c r="F501" s="457"/>
      <c r="G501" s="510"/>
    </row>
    <row r="502" spans="1:7" ht="19.899999999999999" customHeight="1">
      <c r="A502" s="637" t="s">
        <v>575</v>
      </c>
      <c r="B502" s="638"/>
      <c r="C502" s="639" t="s">
        <v>0</v>
      </c>
      <c r="D502" s="639" t="s">
        <v>1864</v>
      </c>
      <c r="E502" s="641" t="s">
        <v>23</v>
      </c>
      <c r="F502" s="643" t="s">
        <v>24</v>
      </c>
      <c r="G502" s="645" t="s">
        <v>25</v>
      </c>
    </row>
    <row r="503" spans="1:7" ht="19.899999999999999" customHeight="1">
      <c r="A503" s="473" t="s">
        <v>576</v>
      </c>
      <c r="B503" s="473" t="s">
        <v>577</v>
      </c>
      <c r="C503" s="640"/>
      <c r="D503" s="640"/>
      <c r="E503" s="642"/>
      <c r="F503" s="644"/>
      <c r="G503" s="646"/>
    </row>
    <row r="504" spans="1:7" ht="19.899999999999999" customHeight="1">
      <c r="A504" s="511">
        <f t="shared" ref="A504:A514" si="140">IFERROR(VLOOKUP(C504,T_Insumos,4,FALSE),0)</f>
        <v>0</v>
      </c>
      <c r="B504" s="474">
        <f t="shared" ref="B504:B514" si="141">IFERROR(VLOOKUP(C504,T_Insumos,5,FALSE),0)</f>
        <v>0</v>
      </c>
      <c r="C504" s="474"/>
      <c r="D504" s="522">
        <f t="shared" ref="D504:D514" si="142">IFERROR(VLOOKUP(C504,T_Insumos,2,FALSE),0)</f>
        <v>0</v>
      </c>
      <c r="E504" s="466"/>
      <c r="F504" s="468">
        <f t="shared" ref="F504:F514" si="143">IFERROR(VLOOKUP(C504,T_Insumos,3,FALSE),0)</f>
        <v>0</v>
      </c>
      <c r="G504" s="468">
        <f>ROUND(E504*F504,2)</f>
        <v>0</v>
      </c>
    </row>
    <row r="505" spans="1:7" ht="19.899999999999999" customHeight="1">
      <c r="A505" s="511">
        <f t="shared" si="140"/>
        <v>0</v>
      </c>
      <c r="B505" s="474">
        <f t="shared" si="141"/>
        <v>0</v>
      </c>
      <c r="C505" s="474"/>
      <c r="D505" s="522">
        <f t="shared" si="142"/>
        <v>0</v>
      </c>
      <c r="E505" s="466"/>
      <c r="F505" s="468">
        <f t="shared" si="143"/>
        <v>0</v>
      </c>
      <c r="G505" s="468">
        <f t="shared" ref="G505:G514" si="144">ROUND(E505*F505,2)</f>
        <v>0</v>
      </c>
    </row>
    <row r="506" spans="1:7" ht="19.899999999999999" customHeight="1">
      <c r="A506" s="511">
        <f t="shared" si="140"/>
        <v>0</v>
      </c>
      <c r="B506" s="474">
        <f t="shared" si="141"/>
        <v>0</v>
      </c>
      <c r="C506" s="474"/>
      <c r="D506" s="522">
        <f t="shared" si="142"/>
        <v>0</v>
      </c>
      <c r="E506" s="466"/>
      <c r="F506" s="468">
        <f t="shared" si="143"/>
        <v>0</v>
      </c>
      <c r="G506" s="468">
        <f t="shared" si="144"/>
        <v>0</v>
      </c>
    </row>
    <row r="507" spans="1:7" ht="19.899999999999999" customHeight="1">
      <c r="A507" s="511">
        <f t="shared" si="140"/>
        <v>0</v>
      </c>
      <c r="B507" s="474">
        <f t="shared" si="141"/>
        <v>0</v>
      </c>
      <c r="C507" s="474"/>
      <c r="D507" s="522">
        <f t="shared" si="142"/>
        <v>0</v>
      </c>
      <c r="E507" s="466"/>
      <c r="F507" s="468">
        <f t="shared" si="143"/>
        <v>0</v>
      </c>
      <c r="G507" s="468">
        <f t="shared" si="144"/>
        <v>0</v>
      </c>
    </row>
    <row r="508" spans="1:7" ht="19.899999999999999" customHeight="1">
      <c r="A508" s="511">
        <f t="shared" si="140"/>
        <v>0</v>
      </c>
      <c r="B508" s="474">
        <f t="shared" si="141"/>
        <v>0</v>
      </c>
      <c r="C508" s="474"/>
      <c r="D508" s="522">
        <f t="shared" si="142"/>
        <v>0</v>
      </c>
      <c r="E508" s="466"/>
      <c r="F508" s="468">
        <f t="shared" si="143"/>
        <v>0</v>
      </c>
      <c r="G508" s="468">
        <f t="shared" si="144"/>
        <v>0</v>
      </c>
    </row>
    <row r="509" spans="1:7" ht="19.899999999999999" customHeight="1">
      <c r="A509" s="511">
        <f t="shared" si="140"/>
        <v>0</v>
      </c>
      <c r="B509" s="474">
        <f t="shared" si="141"/>
        <v>0</v>
      </c>
      <c r="C509" s="474"/>
      <c r="D509" s="522">
        <f t="shared" si="142"/>
        <v>0</v>
      </c>
      <c r="E509" s="466"/>
      <c r="F509" s="468">
        <f t="shared" si="143"/>
        <v>0</v>
      </c>
      <c r="G509" s="468">
        <f t="shared" si="144"/>
        <v>0</v>
      </c>
    </row>
    <row r="510" spans="1:7" ht="19.899999999999999" customHeight="1">
      <c r="A510" s="511">
        <f t="shared" si="140"/>
        <v>0</v>
      </c>
      <c r="B510" s="474">
        <f t="shared" si="141"/>
        <v>0</v>
      </c>
      <c r="C510" s="474"/>
      <c r="D510" s="522">
        <f t="shared" si="142"/>
        <v>0</v>
      </c>
      <c r="E510" s="466"/>
      <c r="F510" s="468">
        <f t="shared" si="143"/>
        <v>0</v>
      </c>
      <c r="G510" s="468">
        <f t="shared" si="144"/>
        <v>0</v>
      </c>
    </row>
    <row r="511" spans="1:7" ht="19.899999999999999" customHeight="1">
      <c r="A511" s="511">
        <f t="shared" si="140"/>
        <v>0</v>
      </c>
      <c r="B511" s="474">
        <f t="shared" si="141"/>
        <v>0</v>
      </c>
      <c r="C511" s="474"/>
      <c r="D511" s="522">
        <f t="shared" si="142"/>
        <v>0</v>
      </c>
      <c r="E511" s="466"/>
      <c r="F511" s="468">
        <f t="shared" si="143"/>
        <v>0</v>
      </c>
      <c r="G511" s="468">
        <f t="shared" si="144"/>
        <v>0</v>
      </c>
    </row>
    <row r="512" spans="1:7" ht="19.899999999999999" customHeight="1">
      <c r="A512" s="511">
        <f t="shared" si="140"/>
        <v>0</v>
      </c>
      <c r="B512" s="474">
        <f t="shared" si="141"/>
        <v>0</v>
      </c>
      <c r="C512" s="474"/>
      <c r="D512" s="522">
        <f t="shared" si="142"/>
        <v>0</v>
      </c>
      <c r="E512" s="466"/>
      <c r="F512" s="468">
        <f t="shared" si="143"/>
        <v>0</v>
      </c>
      <c r="G512" s="468">
        <f t="shared" si="144"/>
        <v>0</v>
      </c>
    </row>
    <row r="513" spans="1:7" ht="19.899999999999999" customHeight="1">
      <c r="A513" s="511">
        <f t="shared" si="140"/>
        <v>0</v>
      </c>
      <c r="B513" s="474">
        <f t="shared" si="141"/>
        <v>0</v>
      </c>
      <c r="C513" s="474"/>
      <c r="D513" s="522">
        <f t="shared" si="142"/>
        <v>0</v>
      </c>
      <c r="E513" s="466"/>
      <c r="F513" s="468">
        <f t="shared" si="143"/>
        <v>0</v>
      </c>
      <c r="G513" s="468">
        <f t="shared" si="144"/>
        <v>0</v>
      </c>
    </row>
    <row r="514" spans="1:7" ht="19.899999999999999" customHeight="1">
      <c r="A514" s="511">
        <f t="shared" si="140"/>
        <v>0</v>
      </c>
      <c r="B514" s="474">
        <f t="shared" si="141"/>
        <v>0</v>
      </c>
      <c r="C514" s="474"/>
      <c r="D514" s="522">
        <f t="shared" si="142"/>
        <v>0</v>
      </c>
      <c r="E514" s="466"/>
      <c r="F514" s="468">
        <f t="shared" si="143"/>
        <v>0</v>
      </c>
      <c r="G514" s="468">
        <f t="shared" si="144"/>
        <v>0</v>
      </c>
    </row>
    <row r="515" spans="1:7" ht="19.899999999999999" customHeight="1">
      <c r="A515" s="509"/>
      <c r="B515" s="160"/>
      <c r="C515" s="160"/>
      <c r="D515" s="455"/>
      <c r="E515" s="456"/>
      <c r="F515" s="615" t="s">
        <v>28</v>
      </c>
      <c r="G515" s="514">
        <f>SUBTOTAL(9,G504:G514)</f>
        <v>0</v>
      </c>
    </row>
    <row r="516" spans="1:7" ht="19.899999999999999" customHeight="1">
      <c r="A516" s="509"/>
      <c r="B516" s="160"/>
      <c r="C516" s="451" t="s">
        <v>1013</v>
      </c>
      <c r="D516" s="455"/>
      <c r="E516" s="456"/>
      <c r="F516" s="457"/>
      <c r="G516" s="510"/>
    </row>
    <row r="517" spans="1:7" ht="19.899999999999999" customHeight="1">
      <c r="A517" s="637" t="s">
        <v>575</v>
      </c>
      <c r="B517" s="638"/>
      <c r="C517" s="639" t="s">
        <v>0</v>
      </c>
      <c r="D517" s="639" t="s">
        <v>1864</v>
      </c>
      <c r="E517" s="641" t="s">
        <v>23</v>
      </c>
      <c r="F517" s="643" t="s">
        <v>24</v>
      </c>
      <c r="G517" s="645" t="s">
        <v>25</v>
      </c>
    </row>
    <row r="518" spans="1:7" ht="19.899999999999999" customHeight="1">
      <c r="A518" s="473" t="s">
        <v>576</v>
      </c>
      <c r="B518" s="473" t="s">
        <v>577</v>
      </c>
      <c r="C518" s="640"/>
      <c r="D518" s="640"/>
      <c r="E518" s="642"/>
      <c r="F518" s="644"/>
      <c r="G518" s="646"/>
    </row>
    <row r="519" spans="1:7" ht="19.899999999999999" customHeight="1">
      <c r="A519" s="511">
        <f>IFERROR(VLOOKUP(C519,T_Insumos,4,FALSE),0)</f>
        <v>0</v>
      </c>
      <c r="B519" s="474">
        <f>IFERROR(VLOOKUP(C519,T_Insumos,5,FALSE),0)</f>
        <v>0</v>
      </c>
      <c r="C519" s="465"/>
      <c r="D519" s="522">
        <f>IF(C519=0,0,"$/tnkm")</f>
        <v>0</v>
      </c>
      <c r="E519" s="466"/>
      <c r="F519" s="468">
        <f>IFERROR(VLOOKUP(C519,T_Insumos,3,FALSE),0)</f>
        <v>0</v>
      </c>
      <c r="G519" s="468">
        <f>ROUND(E519*F519,2)</f>
        <v>0</v>
      </c>
    </row>
    <row r="520" spans="1:7" ht="19.899999999999999" customHeight="1">
      <c r="A520" s="511">
        <f>IFERROR(VLOOKUP(C520,T_Insumos,4,FALSE),0)</f>
        <v>0</v>
      </c>
      <c r="B520" s="474">
        <f>IFERROR(VLOOKUP(C520,T_Insumos,5,FALSE),0)</f>
        <v>0</v>
      </c>
      <c r="C520" s="465"/>
      <c r="D520" s="522">
        <f>IF(C520=0,0,"$/tnkm")</f>
        <v>0</v>
      </c>
      <c r="E520" s="482"/>
      <c r="F520" s="468">
        <f>IFERROR(VLOOKUP(C520,T_Insumos,3,FALSE),0)</f>
        <v>0</v>
      </c>
      <c r="G520" s="468">
        <f t="shared" ref="G520" si="145">ROUND(E520*F520,2)</f>
        <v>0</v>
      </c>
    </row>
    <row r="521" spans="1:7" ht="19.899999999999999" customHeight="1">
      <c r="A521" s="509"/>
      <c r="B521" s="160"/>
      <c r="C521" s="160"/>
      <c r="D521" s="455"/>
      <c r="E521" s="456"/>
      <c r="F521" s="615" t="s">
        <v>1014</v>
      </c>
      <c r="G521" s="514">
        <f>SUBTOTAL(9,G519:G520)</f>
        <v>0</v>
      </c>
    </row>
    <row r="522" spans="1:7" ht="19.899999999999999" customHeight="1">
      <c r="A522" s="512"/>
      <c r="B522" s="455"/>
      <c r="C522" s="160"/>
      <c r="D522" s="455"/>
      <c r="E522" s="456"/>
      <c r="F522" s="457"/>
      <c r="G522" s="510"/>
    </row>
    <row r="523" spans="1:7" ht="19.899999999999999" customHeight="1">
      <c r="A523" s="570">
        <f>B457</f>
        <v>1.7</v>
      </c>
      <c r="B523" s="567" t="str">
        <f ca="1">C457</f>
        <v>Limpieza final</v>
      </c>
      <c r="C523" s="455"/>
      <c r="D523" s="455" t="s">
        <v>1830</v>
      </c>
      <c r="E523" s="568"/>
      <c r="F523" s="569" t="str">
        <f ca="1">"$/"&amp;G457</f>
        <v>$/m2</v>
      </c>
      <c r="G523" s="519">
        <f>SUBTOTAL(9,G480:G522)</f>
        <v>0</v>
      </c>
    </row>
    <row r="524" spans="1:7" ht="19.899999999999999" customHeight="1">
      <c r="A524" s="515"/>
      <c r="B524" s="516"/>
      <c r="C524" s="517"/>
      <c r="D524" s="517" t="s">
        <v>2040</v>
      </c>
      <c r="E524" s="518"/>
      <c r="F524" s="571" t="str">
        <f ca="1">"$/"&amp;G457</f>
        <v>$/m2</v>
      </c>
      <c r="G524" s="519">
        <f>ROUND(G523*Coeficiente_Paso,2)</f>
        <v>0</v>
      </c>
    </row>
    <row r="525" spans="1:7" ht="19.899999999999999" customHeight="1">
      <c r="A525" s="160"/>
      <c r="B525" s="160"/>
      <c r="C525" s="160"/>
      <c r="D525" s="160"/>
      <c r="E525" s="160"/>
      <c r="F525" s="160"/>
      <c r="G525" s="160"/>
    </row>
    <row r="526" spans="1:7" ht="19.899999999999999" customHeight="1">
      <c r="A526" s="633" t="s">
        <v>30</v>
      </c>
      <c r="B526" s="634"/>
      <c r="C526" s="634"/>
      <c r="D526" s="634"/>
      <c r="E526" s="634"/>
      <c r="F526" s="634"/>
      <c r="G526" s="635"/>
    </row>
    <row r="527" spans="1:7" ht="19.899999999999999" customHeight="1">
      <c r="A527" s="498" t="s">
        <v>710</v>
      </c>
      <c r="B527" s="449" t="str">
        <f>Comitente</f>
        <v>DEPARTAMENTO DE HIDRAULICA</v>
      </c>
      <c r="C527" s="450"/>
      <c r="D527" s="451"/>
      <c r="E527" s="451"/>
      <c r="F527" s="452"/>
      <c r="G527" s="499"/>
    </row>
    <row r="528" spans="1:7" ht="19.899999999999999" customHeight="1">
      <c r="A528" s="498" t="s">
        <v>711</v>
      </c>
      <c r="B528" s="449">
        <f>Contratista</f>
        <v>0</v>
      </c>
      <c r="C528" s="453"/>
      <c r="D528" s="453"/>
      <c r="E528" s="453"/>
      <c r="F528" s="449"/>
      <c r="G528" s="500"/>
    </row>
    <row r="529" spans="1:7" ht="19.899999999999999" customHeight="1">
      <c r="A529" s="498" t="s">
        <v>20</v>
      </c>
      <c r="B529" s="449" t="str">
        <f>Obra</f>
        <v>EJECUCION DE PERFORACION - SISTEMA DE RIEGO</v>
      </c>
      <c r="C529" s="453"/>
      <c r="D529" s="453"/>
      <c r="E529" s="453"/>
      <c r="F529" s="449" t="s">
        <v>31</v>
      </c>
      <c r="G529" s="500">
        <f>Fecha_Base</f>
        <v>0</v>
      </c>
    </row>
    <row r="530" spans="1:7" ht="19.899999999999999" customHeight="1">
      <c r="A530" s="501" t="s">
        <v>709</v>
      </c>
      <c r="B530" s="454" t="str">
        <f>Ubicación</f>
        <v>DEPARTAMENTO CHIMBAS</v>
      </c>
      <c r="C530" s="454"/>
      <c r="D530" s="455"/>
      <c r="E530" s="456"/>
      <c r="F530" s="457"/>
      <c r="G530" s="502"/>
    </row>
    <row r="531" spans="1:7" ht="19.899999999999999" customHeight="1">
      <c r="A531" s="501" t="s">
        <v>32</v>
      </c>
      <c r="B531" s="458">
        <f>IFERROR(VALUE(LEFT(B532,FIND(".",B532)-1)),"")</f>
        <v>2</v>
      </c>
      <c r="C531" s="160" t="str">
        <f ca="1">IFERROR(VLOOKUP(B531,T_Computo_Presupuesto,2,FALSE),0)</f>
        <v>INSTALACIONES ELECTROMECANICAS</v>
      </c>
      <c r="D531" s="160"/>
      <c r="E531" s="456"/>
      <c r="F531" s="457"/>
      <c r="G531" s="502"/>
    </row>
    <row r="532" spans="1:7" ht="19.899999999999999" customHeight="1">
      <c r="A532" s="501" t="s">
        <v>21</v>
      </c>
      <c r="B532" s="459">
        <f>IFERROR(VLOOKUP(COUNTIF($A$1:A532,"ANALISIS DE PRECIOS"),T_NumeroItem,2,FALSE),"")</f>
        <v>2.1</v>
      </c>
      <c r="C532" s="636" t="str">
        <f ca="1">IFERROR(VLOOKUP(B532,T_Computo_Presupuesto,2,FALSE),0)</f>
        <v>Provision en instalacion electromba de 50HP</v>
      </c>
      <c r="D532" s="636"/>
      <c r="E532" s="636"/>
      <c r="F532" s="454" t="s">
        <v>22</v>
      </c>
      <c r="G532" s="503" t="str">
        <f ca="1">IFERROR(VLOOKUP(B532,T_Computo_Presupuesto,4,FALSE),0)</f>
        <v>gl</v>
      </c>
    </row>
    <row r="533" spans="1:7" ht="19.899999999999999" customHeight="1">
      <c r="A533" s="501"/>
      <c r="B533" s="454"/>
      <c r="C533" s="160"/>
      <c r="D533" s="455"/>
      <c r="E533" s="456"/>
      <c r="F533" s="160"/>
      <c r="G533" s="504"/>
    </row>
    <row r="534" spans="1:7" ht="19.899999999999999" customHeight="1">
      <c r="A534" s="505"/>
      <c r="B534" s="460"/>
      <c r="C534" s="461" t="s">
        <v>997</v>
      </c>
      <c r="D534" s="460"/>
      <c r="E534" s="460"/>
      <c r="F534" s="460"/>
      <c r="G534" s="506"/>
    </row>
    <row r="535" spans="1:7" ht="19.899999999999999" customHeight="1">
      <c r="A535" s="501"/>
      <c r="B535" s="462"/>
      <c r="C535" s="160"/>
      <c r="D535" s="455"/>
      <c r="E535" s="456"/>
      <c r="F535" s="454"/>
      <c r="G535" s="503"/>
    </row>
    <row r="536" spans="1:7" ht="19.899999999999999" customHeight="1">
      <c r="A536" s="501"/>
      <c r="B536" s="462"/>
      <c r="C536" s="463" t="s">
        <v>998</v>
      </c>
      <c r="D536" s="464" t="s">
        <v>23</v>
      </c>
      <c r="E536" s="464" t="s">
        <v>999</v>
      </c>
      <c r="F536" s="464" t="s">
        <v>1000</v>
      </c>
      <c r="G536" s="463" t="s">
        <v>1001</v>
      </c>
    </row>
    <row r="537" spans="1:7" ht="19.899999999999999" customHeight="1">
      <c r="A537" s="501"/>
      <c r="B537" s="462"/>
      <c r="C537" s="465"/>
      <c r="D537" s="466"/>
      <c r="E537" s="467">
        <f t="shared" ref="E537:E546" si="146">IFERROR(VLOOKUP(C537,T_Equipos,4,FALSE),0)</f>
        <v>0</v>
      </c>
      <c r="F537" s="468"/>
      <c r="G537" s="468">
        <f>ROUND(D537*F537,2)</f>
        <v>0</v>
      </c>
    </row>
    <row r="538" spans="1:7" ht="19.899999999999999" customHeight="1">
      <c r="A538" s="501"/>
      <c r="B538" s="462"/>
      <c r="C538" s="465"/>
      <c r="D538" s="466"/>
      <c r="E538" s="467">
        <f t="shared" si="146"/>
        <v>0</v>
      </c>
      <c r="F538" s="468"/>
      <c r="G538" s="468">
        <f>ROUND(D538*F538,2)</f>
        <v>0</v>
      </c>
    </row>
    <row r="539" spans="1:7" ht="19.899999999999999" customHeight="1">
      <c r="A539" s="501"/>
      <c r="B539" s="462"/>
      <c r="C539" s="465"/>
      <c r="D539" s="466"/>
      <c r="E539" s="467">
        <f t="shared" si="146"/>
        <v>0</v>
      </c>
      <c r="F539" s="468"/>
      <c r="G539" s="468">
        <f>ROUND(D539*F539,2)</f>
        <v>0</v>
      </c>
    </row>
    <row r="540" spans="1:7" ht="19.899999999999999" customHeight="1">
      <c r="A540" s="501"/>
      <c r="B540" s="462"/>
      <c r="C540" s="465"/>
      <c r="D540" s="466"/>
      <c r="E540" s="467">
        <f t="shared" si="146"/>
        <v>0</v>
      </c>
      <c r="F540" s="468"/>
      <c r="G540" s="468">
        <f>ROUND(D540*F540,2)</f>
        <v>0</v>
      </c>
    </row>
    <row r="541" spans="1:7" ht="19.899999999999999" customHeight="1">
      <c r="A541" s="501"/>
      <c r="B541" s="462"/>
      <c r="C541" s="465"/>
      <c r="D541" s="466"/>
      <c r="E541" s="467">
        <f t="shared" si="146"/>
        <v>0</v>
      </c>
      <c r="F541" s="468"/>
      <c r="G541" s="468">
        <f t="shared" ref="G541:G546" si="147">ROUND(D541*F541,2)</f>
        <v>0</v>
      </c>
    </row>
    <row r="542" spans="1:7" ht="19.899999999999999" customHeight="1">
      <c r="A542" s="501"/>
      <c r="B542" s="462"/>
      <c r="C542" s="465"/>
      <c r="D542" s="466"/>
      <c r="E542" s="467">
        <f t="shared" si="146"/>
        <v>0</v>
      </c>
      <c r="F542" s="468">
        <f t="shared" ref="F542:F546" si="148">IFERROR(VLOOKUP(C542,T_Equipos,5,FALSE),0)</f>
        <v>0</v>
      </c>
      <c r="G542" s="468">
        <f t="shared" si="147"/>
        <v>0</v>
      </c>
    </row>
    <row r="543" spans="1:7" ht="19.899999999999999" customHeight="1">
      <c r="A543" s="501"/>
      <c r="B543" s="462"/>
      <c r="C543" s="465"/>
      <c r="D543" s="466"/>
      <c r="E543" s="467">
        <f t="shared" si="146"/>
        <v>0</v>
      </c>
      <c r="F543" s="468">
        <f t="shared" si="148"/>
        <v>0</v>
      </c>
      <c r="G543" s="468">
        <f t="shared" si="147"/>
        <v>0</v>
      </c>
    </row>
    <row r="544" spans="1:7" ht="19.899999999999999" customHeight="1">
      <c r="A544" s="501"/>
      <c r="B544" s="462"/>
      <c r="C544" s="465"/>
      <c r="D544" s="466"/>
      <c r="E544" s="467">
        <f t="shared" si="146"/>
        <v>0</v>
      </c>
      <c r="F544" s="468">
        <f t="shared" si="148"/>
        <v>0</v>
      </c>
      <c r="G544" s="468">
        <f t="shared" si="147"/>
        <v>0</v>
      </c>
    </row>
    <row r="545" spans="1:7" ht="19.899999999999999" customHeight="1">
      <c r="A545" s="501"/>
      <c r="B545" s="462"/>
      <c r="C545" s="465"/>
      <c r="D545" s="466"/>
      <c r="E545" s="467">
        <f t="shared" si="146"/>
        <v>0</v>
      </c>
      <c r="F545" s="468">
        <f t="shared" si="148"/>
        <v>0</v>
      </c>
      <c r="G545" s="468">
        <f t="shared" si="147"/>
        <v>0</v>
      </c>
    </row>
    <row r="546" spans="1:7" ht="19.899999999999999" customHeight="1">
      <c r="A546" s="501"/>
      <c r="B546" s="462"/>
      <c r="C546" s="465"/>
      <c r="D546" s="466"/>
      <c r="E546" s="467">
        <f t="shared" si="146"/>
        <v>0</v>
      </c>
      <c r="F546" s="468">
        <f t="shared" si="148"/>
        <v>0</v>
      </c>
      <c r="G546" s="468">
        <f t="shared" si="147"/>
        <v>0</v>
      </c>
    </row>
    <row r="547" spans="1:7" ht="19.899999999999999" customHeight="1">
      <c r="A547" s="501"/>
      <c r="B547" s="462"/>
      <c r="C547" s="160"/>
      <c r="D547" s="160"/>
      <c r="E547" s="469"/>
      <c r="F547" s="454"/>
      <c r="G547" s="503"/>
    </row>
    <row r="548" spans="1:7" ht="19.899999999999999" customHeight="1">
      <c r="A548" s="501"/>
      <c r="B548" s="160"/>
      <c r="C548" s="451" t="s">
        <v>1002</v>
      </c>
      <c r="D548" s="454" t="s">
        <v>999</v>
      </c>
      <c r="E548" s="520">
        <f>SUMPRODUCT(D537:D546,E537:E546)</f>
        <v>0</v>
      </c>
      <c r="F548" s="454" t="s">
        <v>1003</v>
      </c>
      <c r="G548" s="521">
        <f>SUM(G537:G546)</f>
        <v>0</v>
      </c>
    </row>
    <row r="549" spans="1:7" ht="19.899999999999999" customHeight="1">
      <c r="A549" s="501"/>
      <c r="B549" s="462"/>
      <c r="C549" s="470"/>
      <c r="D549" s="469"/>
      <c r="E549" s="456"/>
      <c r="F549" s="454"/>
      <c r="G549" s="507"/>
    </row>
    <row r="550" spans="1:7" ht="19.899999999999999" customHeight="1">
      <c r="A550" s="508"/>
      <c r="B550" s="462"/>
      <c r="C550" s="454" t="s">
        <v>1004</v>
      </c>
      <c r="D550" s="471"/>
      <c r="E550" s="472" t="str">
        <f ca="1">G532&amp;"/día"</f>
        <v>gl/día</v>
      </c>
      <c r="F550" s="448"/>
      <c r="G550" s="503"/>
    </row>
    <row r="551" spans="1:7" ht="19.899999999999999" customHeight="1">
      <c r="A551" s="501"/>
      <c r="B551" s="462"/>
      <c r="C551" s="160"/>
      <c r="D551" s="455"/>
      <c r="E551" s="456"/>
      <c r="F551" s="454"/>
      <c r="G551" s="503"/>
    </row>
    <row r="552" spans="1:7" ht="19.899999999999999" customHeight="1">
      <c r="A552" s="637" t="s">
        <v>575</v>
      </c>
      <c r="B552" s="638"/>
      <c r="C552" s="639" t="s">
        <v>0</v>
      </c>
      <c r="D552" s="647" t="s">
        <v>1863</v>
      </c>
      <c r="E552" s="647" t="s">
        <v>1862</v>
      </c>
      <c r="F552" s="643" t="s">
        <v>1005</v>
      </c>
      <c r="G552" s="645" t="s">
        <v>25</v>
      </c>
    </row>
    <row r="553" spans="1:7" ht="19.899999999999999" customHeight="1">
      <c r="A553" s="473" t="s">
        <v>576</v>
      </c>
      <c r="B553" s="473" t="s">
        <v>577</v>
      </c>
      <c r="C553" s="640"/>
      <c r="D553" s="648"/>
      <c r="E553" s="642"/>
      <c r="F553" s="644"/>
      <c r="G553" s="646"/>
    </row>
    <row r="554" spans="1:7" ht="19.899999999999999" customHeight="1">
      <c r="A554" s="509"/>
      <c r="B554" s="160"/>
      <c r="C554" s="451" t="s">
        <v>1006</v>
      </c>
      <c r="D554" s="456"/>
      <c r="E554" s="456"/>
      <c r="F554" s="160"/>
      <c r="G554" s="510"/>
    </row>
    <row r="555" spans="1:7" ht="19.899999999999999" customHeight="1">
      <c r="A555" s="511">
        <f t="shared" ref="A555:A563" si="149">IFERROR(VLOOKUP(C555,T_Insumos,4,FALSE),0)</f>
        <v>0</v>
      </c>
      <c r="B555" s="474">
        <f t="shared" ref="B555:B563" si="150">IFERROR(VLOOKUP(C555,T_Insumos,5,FALSE),0)</f>
        <v>0</v>
      </c>
      <c r="C555" s="465"/>
      <c r="D555" s="475">
        <f t="shared" ref="D555:D563" si="151">IFERROR(VLOOKUP(C555,T_Insumos,3,FALSE),0)</f>
        <v>0</v>
      </c>
      <c r="E555" s="468">
        <f>D555*$G$323</f>
        <v>0</v>
      </c>
      <c r="F555" s="471">
        <f>+$D$325</f>
        <v>0</v>
      </c>
      <c r="G555" s="468">
        <f>IFERROR(ROUND(E555/F555,2),0)</f>
        <v>0</v>
      </c>
    </row>
    <row r="556" spans="1:7" ht="19.899999999999999" customHeight="1">
      <c r="A556" s="511"/>
      <c r="B556" s="474"/>
      <c r="C556" s="465"/>
      <c r="D556" s="475">
        <f t="shared" si="151"/>
        <v>0</v>
      </c>
      <c r="E556" s="468">
        <f>D556*$G$323</f>
        <v>0</v>
      </c>
      <c r="F556" s="471">
        <f t="shared" ref="F556:F558" si="152">+$D$325</f>
        <v>0</v>
      </c>
      <c r="G556" s="468">
        <f t="shared" ref="G556:G563" si="153">IFERROR(ROUND(E556/F556,2),0)</f>
        <v>0</v>
      </c>
    </row>
    <row r="557" spans="1:7" ht="19.899999999999999" customHeight="1">
      <c r="A557" s="511">
        <f t="shared" ref="A557:A565" si="154">IFERROR(VLOOKUP(C557,T_Insumos,4,FALSE),0)</f>
        <v>0</v>
      </c>
      <c r="B557" s="474">
        <f t="shared" ref="B557:B565" si="155">IFERROR(VLOOKUP(C557,T_Insumos,5,FALSE),0)</f>
        <v>0</v>
      </c>
      <c r="C557" s="476"/>
      <c r="D557" s="475">
        <f t="shared" si="151"/>
        <v>0</v>
      </c>
      <c r="E557" s="468">
        <f>D557*$E$323</f>
        <v>0</v>
      </c>
      <c r="F557" s="471">
        <f t="shared" si="152"/>
        <v>0</v>
      </c>
      <c r="G557" s="468">
        <f t="shared" si="153"/>
        <v>0</v>
      </c>
    </row>
    <row r="558" spans="1:7" ht="19.899999999999999" customHeight="1">
      <c r="A558" s="511">
        <f t="shared" si="154"/>
        <v>0</v>
      </c>
      <c r="B558" s="474">
        <f t="shared" si="155"/>
        <v>0</v>
      </c>
      <c r="C558" s="476"/>
      <c r="D558" s="475">
        <f t="shared" si="151"/>
        <v>0</v>
      </c>
      <c r="E558" s="468">
        <f>D558*$E$323</f>
        <v>0</v>
      </c>
      <c r="F558" s="471">
        <f t="shared" si="152"/>
        <v>0</v>
      </c>
      <c r="G558" s="468">
        <f t="shared" si="153"/>
        <v>0</v>
      </c>
    </row>
    <row r="559" spans="1:7" ht="19.899999999999999" customHeight="1">
      <c r="A559" s="511">
        <f t="shared" si="154"/>
        <v>0</v>
      </c>
      <c r="B559" s="474">
        <f t="shared" si="155"/>
        <v>0</v>
      </c>
      <c r="C559" s="476"/>
      <c r="D559" s="475">
        <f t="shared" si="151"/>
        <v>0</v>
      </c>
      <c r="E559" s="468"/>
      <c r="F559" s="471">
        <f>IF(C559="",0,IFERROR(VLOOKUP(COUNTIF($A$1:A559,"ANALISIS DE PRECIOS"),T_Rendimiento_Equipo,5,FALSE),0))</f>
        <v>0</v>
      </c>
      <c r="G559" s="468">
        <f t="shared" si="153"/>
        <v>0</v>
      </c>
    </row>
    <row r="560" spans="1:7" ht="19.899999999999999" customHeight="1">
      <c r="A560" s="511">
        <f t="shared" si="154"/>
        <v>0</v>
      </c>
      <c r="B560" s="474">
        <f t="shared" si="155"/>
        <v>0</v>
      </c>
      <c r="C560" s="476"/>
      <c r="D560" s="475">
        <f t="shared" si="151"/>
        <v>0</v>
      </c>
      <c r="E560" s="468"/>
      <c r="F560" s="471">
        <f>IF(C560="",0,IFERROR(VLOOKUP(COUNTIF($A$1:A560,"ANALISIS DE PRECIOS"),T_Rendimiento_Equipo,5,FALSE),0))</f>
        <v>0</v>
      </c>
      <c r="G560" s="468">
        <f t="shared" si="153"/>
        <v>0</v>
      </c>
    </row>
    <row r="561" spans="1:7" ht="19.899999999999999" customHeight="1">
      <c r="A561" s="511">
        <f t="shared" si="154"/>
        <v>0</v>
      </c>
      <c r="B561" s="474">
        <f t="shared" si="155"/>
        <v>0</v>
      </c>
      <c r="C561" s="476"/>
      <c r="D561" s="475">
        <f t="shared" si="151"/>
        <v>0</v>
      </c>
      <c r="E561" s="468"/>
      <c r="F561" s="471">
        <f>IF(C561="",0,IFERROR(VLOOKUP(COUNTIF($A$1:A561,"ANALISIS DE PRECIOS"),T_Rendimiento_Equipo,5,FALSE),0))</f>
        <v>0</v>
      </c>
      <c r="G561" s="468">
        <f t="shared" si="153"/>
        <v>0</v>
      </c>
    </row>
    <row r="562" spans="1:7" ht="19.899999999999999" customHeight="1">
      <c r="A562" s="511">
        <f t="shared" si="154"/>
        <v>0</v>
      </c>
      <c r="B562" s="474">
        <f t="shared" si="155"/>
        <v>0</v>
      </c>
      <c r="C562" s="476"/>
      <c r="D562" s="475">
        <f t="shared" si="151"/>
        <v>0</v>
      </c>
      <c r="E562" s="468"/>
      <c r="F562" s="471">
        <f>IF(C562="",0,IFERROR(VLOOKUP(COUNTIF($A$1:A562,"ANALISIS DE PRECIOS"),T_Rendimiento_Equipo,5,FALSE),0))</f>
        <v>0</v>
      </c>
      <c r="G562" s="468">
        <f t="shared" si="153"/>
        <v>0</v>
      </c>
    </row>
    <row r="563" spans="1:7" ht="19.899999999999999" customHeight="1">
      <c r="A563" s="511">
        <f t="shared" si="154"/>
        <v>0</v>
      </c>
      <c r="B563" s="474">
        <f t="shared" si="155"/>
        <v>0</v>
      </c>
      <c r="C563" s="465"/>
      <c r="D563" s="475">
        <f t="shared" si="151"/>
        <v>0</v>
      </c>
      <c r="E563" s="468"/>
      <c r="F563" s="471">
        <f>IF(C563="",0,IFERROR(VLOOKUP(COUNTIF($A$1:A563,"ANALISIS DE PRECIOS"),T_Rendimiento_Equipo,5,FALSE),0))</f>
        <v>0</v>
      </c>
      <c r="G563" s="468">
        <f t="shared" si="153"/>
        <v>0</v>
      </c>
    </row>
    <row r="564" spans="1:7" ht="19.899999999999999" customHeight="1">
      <c r="A564" s="512"/>
      <c r="B564" s="455"/>
      <c r="C564" s="160"/>
      <c r="D564" s="455"/>
      <c r="E564" s="456"/>
      <c r="F564" s="615" t="s">
        <v>26</v>
      </c>
      <c r="G564" s="513">
        <f>SUBTOTAL(9,G555:G563)</f>
        <v>0</v>
      </c>
    </row>
    <row r="565" spans="1:7" ht="19.899999999999999" customHeight="1">
      <c r="A565" s="509"/>
      <c r="B565" s="160"/>
      <c r="C565" s="451" t="s">
        <v>712</v>
      </c>
      <c r="D565" s="455"/>
      <c r="E565" s="456"/>
      <c r="F565" s="457"/>
      <c r="G565" s="510"/>
    </row>
    <row r="566" spans="1:7" ht="19.899999999999999" customHeight="1">
      <c r="A566" s="637" t="s">
        <v>575</v>
      </c>
      <c r="B566" s="638"/>
      <c r="C566" s="639" t="s">
        <v>0</v>
      </c>
      <c r="D566" s="641" t="s">
        <v>23</v>
      </c>
      <c r="E566" s="641" t="s">
        <v>1829</v>
      </c>
      <c r="F566" s="643" t="s">
        <v>1005</v>
      </c>
      <c r="G566" s="645" t="s">
        <v>25</v>
      </c>
    </row>
    <row r="567" spans="1:7" ht="19.899999999999999" customHeight="1">
      <c r="A567" s="473" t="s">
        <v>576</v>
      </c>
      <c r="B567" s="473" t="s">
        <v>577</v>
      </c>
      <c r="C567" s="640"/>
      <c r="D567" s="642"/>
      <c r="E567" s="642"/>
      <c r="F567" s="644"/>
      <c r="G567" s="646"/>
    </row>
    <row r="568" spans="1:7" ht="19.899999999999999" customHeight="1">
      <c r="A568" s="511"/>
      <c r="B568" s="474"/>
      <c r="C568" s="478"/>
      <c r="D568" s="471"/>
      <c r="E568" s="468">
        <f t="shared" ref="E568:E572" si="156">IFERROR(VLOOKUP(C568,T_Insumos,3,FALSE),0)</f>
        <v>0</v>
      </c>
      <c r="F568" s="471">
        <f>+$D$325</f>
        <v>0</v>
      </c>
      <c r="G568" s="468">
        <f>IFERROR(ROUND(D568*E568/F568,2),0)</f>
        <v>0</v>
      </c>
    </row>
    <row r="569" spans="1:7" ht="19.899999999999999" customHeight="1">
      <c r="A569" s="511"/>
      <c r="B569" s="474"/>
      <c r="C569" s="465"/>
      <c r="D569" s="471"/>
      <c r="E569" s="468">
        <f t="shared" si="156"/>
        <v>0</v>
      </c>
      <c r="F569" s="471">
        <f t="shared" ref="F569:F573" si="157">+$D$325</f>
        <v>0</v>
      </c>
      <c r="G569" s="468">
        <f t="shared" ref="G569:G574" si="158">IFERROR(ROUND(D569*E569/F569,2),0)</f>
        <v>0</v>
      </c>
    </row>
    <row r="570" spans="1:7" ht="19.899999999999999" customHeight="1">
      <c r="A570" s="511"/>
      <c r="B570" s="474"/>
      <c r="C570" s="465"/>
      <c r="D570" s="471"/>
      <c r="E570" s="468">
        <f t="shared" si="156"/>
        <v>0</v>
      </c>
      <c r="F570" s="471">
        <f t="shared" si="157"/>
        <v>0</v>
      </c>
      <c r="G570" s="468">
        <f t="shared" si="158"/>
        <v>0</v>
      </c>
    </row>
    <row r="571" spans="1:7" ht="19.899999999999999" customHeight="1">
      <c r="A571" s="511"/>
      <c r="B571" s="474"/>
      <c r="C571" s="465"/>
      <c r="D571" s="471"/>
      <c r="E571" s="468">
        <f t="shared" si="156"/>
        <v>0</v>
      </c>
      <c r="F571" s="471">
        <f t="shared" si="157"/>
        <v>0</v>
      </c>
      <c r="G571" s="468">
        <f t="shared" si="158"/>
        <v>0</v>
      </c>
    </row>
    <row r="572" spans="1:7" ht="19.899999999999999" customHeight="1">
      <c r="A572" s="511">
        <f t="shared" ref="A572:A574" si="159">IFERROR(VLOOKUP(C572,T_Insumos,4,FALSE),0)</f>
        <v>0</v>
      </c>
      <c r="B572" s="474">
        <f t="shared" ref="B572:B574" si="160">IFERROR(VLOOKUP(C572,T_Insumos,5,FALSE),0)</f>
        <v>0</v>
      </c>
      <c r="C572" s="465"/>
      <c r="D572" s="471"/>
      <c r="E572" s="468">
        <f t="shared" si="156"/>
        <v>0</v>
      </c>
      <c r="F572" s="471">
        <f>IF(C572="",0,IFERROR(VLOOKUP(COUNTIF($A$1:A572,"ANALISIS DE PRECIOS"),T_Rendimiento_Equipo,5,FALSE),0))</f>
        <v>0</v>
      </c>
      <c r="G572" s="468">
        <f t="shared" si="158"/>
        <v>0</v>
      </c>
    </row>
    <row r="573" spans="1:7" ht="19.899999999999999" customHeight="1">
      <c r="A573" s="511">
        <f t="shared" si="159"/>
        <v>0</v>
      </c>
      <c r="B573" s="474">
        <f t="shared" si="160"/>
        <v>0</v>
      </c>
      <c r="C573" s="465"/>
      <c r="D573" s="479"/>
      <c r="E573" s="468">
        <f>SUMPRODUCT(D568:D571,E568:E571)</f>
        <v>0</v>
      </c>
      <c r="F573" s="471">
        <f t="shared" si="157"/>
        <v>0</v>
      </c>
      <c r="G573" s="468">
        <f t="shared" si="158"/>
        <v>0</v>
      </c>
    </row>
    <row r="574" spans="1:7" ht="19.899999999999999" customHeight="1">
      <c r="A574" s="511">
        <f t="shared" si="159"/>
        <v>0</v>
      </c>
      <c r="B574" s="474">
        <f t="shared" si="160"/>
        <v>0</v>
      </c>
      <c r="C574" s="474"/>
      <c r="D574" s="480"/>
      <c r="E574" s="468">
        <f t="shared" ref="E574:E576" si="161">IFERROR(VLOOKUP(C574,T_Insumos,3,FALSE),0)</f>
        <v>0</v>
      </c>
      <c r="F574" s="471">
        <f>IF(C574="",0,IFERROR(VLOOKUP(COUNTIF($A$1:A574,"ANALISIS DE PRECIOS"),T_Rendimiento_Equipo,5,FALSE),0))</f>
        <v>0</v>
      </c>
      <c r="G574" s="468">
        <f t="shared" si="158"/>
        <v>0</v>
      </c>
    </row>
    <row r="575" spans="1:7" ht="19.899999999999999" customHeight="1">
      <c r="A575" s="512"/>
      <c r="B575" s="455"/>
      <c r="C575" s="160"/>
      <c r="D575" s="455"/>
      <c r="E575" s="456"/>
      <c r="F575" s="615" t="s">
        <v>27</v>
      </c>
      <c r="G575" s="514">
        <f>SUBTOTAL(9,G568:G574)</f>
        <v>0</v>
      </c>
    </row>
    <row r="576" spans="1:7" ht="19.899999999999999" customHeight="1">
      <c r="A576" s="509"/>
      <c r="B576" s="160"/>
      <c r="C576" s="451" t="s">
        <v>1012</v>
      </c>
      <c r="D576" s="455"/>
      <c r="E576" s="456"/>
      <c r="F576" s="457"/>
      <c r="G576" s="510"/>
    </row>
    <row r="577" spans="1:7" ht="19.899999999999999" customHeight="1">
      <c r="A577" s="637" t="s">
        <v>575</v>
      </c>
      <c r="B577" s="638"/>
      <c r="C577" s="639" t="s">
        <v>0</v>
      </c>
      <c r="D577" s="639" t="s">
        <v>1864</v>
      </c>
      <c r="E577" s="641" t="s">
        <v>23</v>
      </c>
      <c r="F577" s="643" t="s">
        <v>24</v>
      </c>
      <c r="G577" s="645" t="s">
        <v>25</v>
      </c>
    </row>
    <row r="578" spans="1:7" ht="19.899999999999999" customHeight="1">
      <c r="A578" s="473" t="s">
        <v>576</v>
      </c>
      <c r="B578" s="473" t="s">
        <v>577</v>
      </c>
      <c r="C578" s="640"/>
      <c r="D578" s="640"/>
      <c r="E578" s="642"/>
      <c r="F578" s="644"/>
      <c r="G578" s="646"/>
    </row>
    <row r="579" spans="1:7" ht="19.899999999999999" customHeight="1">
      <c r="A579" s="511">
        <f t="shared" ref="A579:A589" si="162">IFERROR(VLOOKUP(C579,T_Insumos,4,FALSE),0)</f>
        <v>0</v>
      </c>
      <c r="B579" s="474">
        <f t="shared" ref="B579:B589" si="163">IFERROR(VLOOKUP(C579,T_Insumos,5,FALSE),0)</f>
        <v>0</v>
      </c>
      <c r="C579" s="474"/>
      <c r="D579" s="522">
        <f t="shared" ref="D579:D589" si="164">IFERROR(VLOOKUP(C579,T_Insumos,2,FALSE),0)</f>
        <v>0</v>
      </c>
      <c r="E579" s="466"/>
      <c r="F579" s="468">
        <f t="shared" ref="F579:F589" si="165">IFERROR(VLOOKUP(C579,T_Insumos,3,FALSE),0)</f>
        <v>0</v>
      </c>
      <c r="G579" s="468">
        <f>ROUND(E579*F579,2)</f>
        <v>0</v>
      </c>
    </row>
    <row r="580" spans="1:7" ht="19.899999999999999" customHeight="1">
      <c r="A580" s="511">
        <f t="shared" si="162"/>
        <v>0</v>
      </c>
      <c r="B580" s="474">
        <f t="shared" si="163"/>
        <v>0</v>
      </c>
      <c r="C580" s="474"/>
      <c r="D580" s="522">
        <f t="shared" si="164"/>
        <v>0</v>
      </c>
      <c r="E580" s="466"/>
      <c r="F580" s="468">
        <f t="shared" si="165"/>
        <v>0</v>
      </c>
      <c r="G580" s="468">
        <f t="shared" ref="G580:G589" si="166">ROUND(E580*F580,2)</f>
        <v>0</v>
      </c>
    </row>
    <row r="581" spans="1:7" ht="19.899999999999999" customHeight="1">
      <c r="A581" s="511">
        <f t="shared" si="162"/>
        <v>0</v>
      </c>
      <c r="B581" s="474">
        <f t="shared" si="163"/>
        <v>0</v>
      </c>
      <c r="C581" s="474"/>
      <c r="D581" s="522">
        <f t="shared" si="164"/>
        <v>0</v>
      </c>
      <c r="E581" s="466"/>
      <c r="F581" s="468">
        <f t="shared" si="165"/>
        <v>0</v>
      </c>
      <c r="G581" s="468">
        <f t="shared" si="166"/>
        <v>0</v>
      </c>
    </row>
    <row r="582" spans="1:7" ht="19.899999999999999" customHeight="1">
      <c r="A582" s="511">
        <f t="shared" si="162"/>
        <v>0</v>
      </c>
      <c r="B582" s="474">
        <f t="shared" si="163"/>
        <v>0</v>
      </c>
      <c r="C582" s="474"/>
      <c r="D582" s="522">
        <f t="shared" si="164"/>
        <v>0</v>
      </c>
      <c r="E582" s="466"/>
      <c r="F582" s="468">
        <f t="shared" si="165"/>
        <v>0</v>
      </c>
      <c r="G582" s="468">
        <f t="shared" si="166"/>
        <v>0</v>
      </c>
    </row>
    <row r="583" spans="1:7" ht="19.899999999999999" customHeight="1">
      <c r="A583" s="511">
        <f t="shared" si="162"/>
        <v>0</v>
      </c>
      <c r="B583" s="474">
        <f t="shared" si="163"/>
        <v>0</v>
      </c>
      <c r="C583" s="474"/>
      <c r="D583" s="522">
        <f t="shared" si="164"/>
        <v>0</v>
      </c>
      <c r="E583" s="466"/>
      <c r="F583" s="468">
        <f t="shared" si="165"/>
        <v>0</v>
      </c>
      <c r="G583" s="468">
        <f t="shared" si="166"/>
        <v>0</v>
      </c>
    </row>
    <row r="584" spans="1:7" ht="19.899999999999999" customHeight="1">
      <c r="A584" s="511">
        <f t="shared" si="162"/>
        <v>0</v>
      </c>
      <c r="B584" s="474">
        <f t="shared" si="163"/>
        <v>0</v>
      </c>
      <c r="C584" s="474"/>
      <c r="D584" s="522">
        <f t="shared" si="164"/>
        <v>0</v>
      </c>
      <c r="E584" s="466"/>
      <c r="F584" s="468">
        <f t="shared" si="165"/>
        <v>0</v>
      </c>
      <c r="G584" s="468">
        <f t="shared" si="166"/>
        <v>0</v>
      </c>
    </row>
    <row r="585" spans="1:7" ht="19.899999999999999" customHeight="1">
      <c r="A585" s="511">
        <f t="shared" si="162"/>
        <v>0</v>
      </c>
      <c r="B585" s="474">
        <f t="shared" si="163"/>
        <v>0</v>
      </c>
      <c r="C585" s="474"/>
      <c r="D585" s="522">
        <f t="shared" si="164"/>
        <v>0</v>
      </c>
      <c r="E585" s="466"/>
      <c r="F585" s="468">
        <f t="shared" si="165"/>
        <v>0</v>
      </c>
      <c r="G585" s="468">
        <f t="shared" si="166"/>
        <v>0</v>
      </c>
    </row>
    <row r="586" spans="1:7" ht="19.899999999999999" customHeight="1">
      <c r="A586" s="511">
        <f t="shared" si="162"/>
        <v>0</v>
      </c>
      <c r="B586" s="474">
        <f t="shared" si="163"/>
        <v>0</v>
      </c>
      <c r="C586" s="474"/>
      <c r="D586" s="522">
        <f t="shared" si="164"/>
        <v>0</v>
      </c>
      <c r="E586" s="466"/>
      <c r="F586" s="468">
        <f t="shared" si="165"/>
        <v>0</v>
      </c>
      <c r="G586" s="468">
        <f t="shared" si="166"/>
        <v>0</v>
      </c>
    </row>
    <row r="587" spans="1:7" ht="19.899999999999999" customHeight="1">
      <c r="A587" s="511">
        <f t="shared" si="162"/>
        <v>0</v>
      </c>
      <c r="B587" s="474">
        <f t="shared" si="163"/>
        <v>0</v>
      </c>
      <c r="C587" s="474"/>
      <c r="D587" s="522">
        <f t="shared" si="164"/>
        <v>0</v>
      </c>
      <c r="E587" s="466"/>
      <c r="F587" s="468">
        <f t="shared" si="165"/>
        <v>0</v>
      </c>
      <c r="G587" s="468">
        <f t="shared" si="166"/>
        <v>0</v>
      </c>
    </row>
    <row r="588" spans="1:7" ht="19.899999999999999" customHeight="1">
      <c r="A588" s="511">
        <f t="shared" si="162"/>
        <v>0</v>
      </c>
      <c r="B588" s="474">
        <f t="shared" si="163"/>
        <v>0</v>
      </c>
      <c r="C588" s="474"/>
      <c r="D588" s="522">
        <f t="shared" si="164"/>
        <v>0</v>
      </c>
      <c r="E588" s="466"/>
      <c r="F588" s="468">
        <f t="shared" si="165"/>
        <v>0</v>
      </c>
      <c r="G588" s="468">
        <f t="shared" si="166"/>
        <v>0</v>
      </c>
    </row>
    <row r="589" spans="1:7" ht="19.899999999999999" customHeight="1">
      <c r="A589" s="511">
        <f t="shared" si="162"/>
        <v>0</v>
      </c>
      <c r="B589" s="474">
        <f t="shared" si="163"/>
        <v>0</v>
      </c>
      <c r="C589" s="474"/>
      <c r="D589" s="522">
        <f t="shared" si="164"/>
        <v>0</v>
      </c>
      <c r="E589" s="466"/>
      <c r="F589" s="468">
        <f t="shared" si="165"/>
        <v>0</v>
      </c>
      <c r="G589" s="468">
        <f t="shared" si="166"/>
        <v>0</v>
      </c>
    </row>
    <row r="590" spans="1:7" ht="19.899999999999999" customHeight="1">
      <c r="A590" s="509"/>
      <c r="B590" s="160"/>
      <c r="C590" s="160"/>
      <c r="D590" s="455"/>
      <c r="E590" s="456"/>
      <c r="F590" s="615" t="s">
        <v>28</v>
      </c>
      <c r="G590" s="514">
        <f>SUBTOTAL(9,G579:G589)</f>
        <v>0</v>
      </c>
    </row>
    <row r="591" spans="1:7" ht="19.899999999999999" customHeight="1">
      <c r="A591" s="509"/>
      <c r="B591" s="160"/>
      <c r="C591" s="451" t="s">
        <v>1013</v>
      </c>
      <c r="D591" s="455"/>
      <c r="E591" s="456"/>
      <c r="F591" s="457"/>
      <c r="G591" s="510"/>
    </row>
    <row r="592" spans="1:7" ht="19.899999999999999" customHeight="1">
      <c r="A592" s="637" t="s">
        <v>575</v>
      </c>
      <c r="B592" s="638"/>
      <c r="C592" s="639" t="s">
        <v>0</v>
      </c>
      <c r="D592" s="639" t="s">
        <v>1864</v>
      </c>
      <c r="E592" s="641" t="s">
        <v>23</v>
      </c>
      <c r="F592" s="643" t="s">
        <v>24</v>
      </c>
      <c r="G592" s="645" t="s">
        <v>25</v>
      </c>
    </row>
    <row r="593" spans="1:7" ht="19.899999999999999" customHeight="1">
      <c r="A593" s="473" t="s">
        <v>576</v>
      </c>
      <c r="B593" s="473" t="s">
        <v>577</v>
      </c>
      <c r="C593" s="640"/>
      <c r="D593" s="640"/>
      <c r="E593" s="642"/>
      <c r="F593" s="644"/>
      <c r="G593" s="646"/>
    </row>
    <row r="594" spans="1:7" ht="19.899999999999999" customHeight="1">
      <c r="A594" s="511">
        <f>IFERROR(VLOOKUP(C594,T_Insumos,4,FALSE),0)</f>
        <v>0</v>
      </c>
      <c r="B594" s="474">
        <f>IFERROR(VLOOKUP(C594,T_Insumos,5,FALSE),0)</f>
        <v>0</v>
      </c>
      <c r="C594" s="465"/>
      <c r="D594" s="522">
        <f>IF(C594=0,0,"$/tnkm")</f>
        <v>0</v>
      </c>
      <c r="E594" s="466"/>
      <c r="F594" s="468">
        <f>IFERROR(VLOOKUP(C594,T_Insumos,3,FALSE),0)</f>
        <v>0</v>
      </c>
      <c r="G594" s="468">
        <f>ROUND(E594*F594,2)</f>
        <v>0</v>
      </c>
    </row>
    <row r="595" spans="1:7" ht="19.899999999999999" customHeight="1">
      <c r="A595" s="511">
        <f>IFERROR(VLOOKUP(C595,T_Insumos,4,FALSE),0)</f>
        <v>0</v>
      </c>
      <c r="B595" s="474">
        <f>IFERROR(VLOOKUP(C595,T_Insumos,5,FALSE),0)</f>
        <v>0</v>
      </c>
      <c r="C595" s="465"/>
      <c r="D595" s="522">
        <f>IF(C595=0,0,"$/tnkm")</f>
        <v>0</v>
      </c>
      <c r="E595" s="482"/>
      <c r="F595" s="468">
        <f>IFERROR(VLOOKUP(C595,T_Insumos,3,FALSE),0)</f>
        <v>0</v>
      </c>
      <c r="G595" s="468">
        <f t="shared" ref="G595" si="167">ROUND(E595*F595,2)</f>
        <v>0</v>
      </c>
    </row>
    <row r="596" spans="1:7" ht="19.899999999999999" customHeight="1">
      <c r="A596" s="509"/>
      <c r="B596" s="160"/>
      <c r="C596" s="160"/>
      <c r="D596" s="455"/>
      <c r="E596" s="456"/>
      <c r="F596" s="615" t="s">
        <v>1014</v>
      </c>
      <c r="G596" s="514">
        <f>SUBTOTAL(9,G594:G595)</f>
        <v>0</v>
      </c>
    </row>
    <row r="597" spans="1:7" ht="19.899999999999999" customHeight="1">
      <c r="A597" s="512"/>
      <c r="B597" s="455"/>
      <c r="C597" s="160"/>
      <c r="D597" s="455"/>
      <c r="E597" s="456"/>
      <c r="F597" s="457"/>
      <c r="G597" s="510"/>
    </row>
    <row r="598" spans="1:7" ht="19.899999999999999" customHeight="1">
      <c r="A598" s="570">
        <f>B532</f>
        <v>2.1</v>
      </c>
      <c r="B598" s="567" t="str">
        <f ca="1">C532</f>
        <v>Provision en instalacion electromba de 50HP</v>
      </c>
      <c r="C598" s="455"/>
      <c r="D598" s="455" t="s">
        <v>1830</v>
      </c>
      <c r="E598" s="568"/>
      <c r="F598" s="569" t="str">
        <f ca="1">"$/"&amp;G532</f>
        <v>$/gl</v>
      </c>
      <c r="G598" s="519">
        <f>SUBTOTAL(9,G555:G597)</f>
        <v>0</v>
      </c>
    </row>
    <row r="599" spans="1:7" ht="19.899999999999999" customHeight="1">
      <c r="A599" s="515"/>
      <c r="B599" s="516"/>
      <c r="C599" s="517"/>
      <c r="D599" s="517" t="s">
        <v>2040</v>
      </c>
      <c r="E599" s="518"/>
      <c r="F599" s="571" t="str">
        <f ca="1">"$/"&amp;G532</f>
        <v>$/gl</v>
      </c>
      <c r="G599" s="519">
        <f>ROUND(G598*Coeficiente_Paso,2)</f>
        <v>0</v>
      </c>
    </row>
    <row r="600" spans="1:7" ht="19.899999999999999" customHeight="1">
      <c r="A600" s="160"/>
      <c r="B600" s="160"/>
      <c r="C600" s="160"/>
      <c r="D600" s="160"/>
      <c r="E600" s="160"/>
      <c r="F600" s="160"/>
      <c r="G600" s="160"/>
    </row>
    <row r="601" spans="1:7" ht="19.899999999999999" customHeight="1">
      <c r="A601" s="633" t="s">
        <v>30</v>
      </c>
      <c r="B601" s="634"/>
      <c r="C601" s="634"/>
      <c r="D601" s="634"/>
      <c r="E601" s="634"/>
      <c r="F601" s="634"/>
      <c r="G601" s="635"/>
    </row>
    <row r="602" spans="1:7" ht="19.899999999999999" customHeight="1">
      <c r="A602" s="498" t="s">
        <v>710</v>
      </c>
      <c r="B602" s="449" t="str">
        <f>Comitente</f>
        <v>DEPARTAMENTO DE HIDRAULICA</v>
      </c>
      <c r="C602" s="450"/>
      <c r="D602" s="451"/>
      <c r="E602" s="451"/>
      <c r="F602" s="452"/>
      <c r="G602" s="499"/>
    </row>
    <row r="603" spans="1:7" ht="19.899999999999999" customHeight="1">
      <c r="A603" s="498" t="s">
        <v>711</v>
      </c>
      <c r="B603" s="449">
        <f>Contratista</f>
        <v>0</v>
      </c>
      <c r="C603" s="453"/>
      <c r="D603" s="453"/>
      <c r="E603" s="453"/>
      <c r="F603" s="449"/>
      <c r="G603" s="500"/>
    </row>
    <row r="604" spans="1:7" ht="19.899999999999999" customHeight="1">
      <c r="A604" s="498" t="s">
        <v>20</v>
      </c>
      <c r="B604" s="449" t="str">
        <f>Obra</f>
        <v>EJECUCION DE PERFORACION - SISTEMA DE RIEGO</v>
      </c>
      <c r="C604" s="453"/>
      <c r="D604" s="453"/>
      <c r="E604" s="453"/>
      <c r="F604" s="449" t="s">
        <v>31</v>
      </c>
      <c r="G604" s="500">
        <f>Fecha_Base</f>
        <v>0</v>
      </c>
    </row>
    <row r="605" spans="1:7" ht="19.899999999999999" customHeight="1">
      <c r="A605" s="501" t="s">
        <v>709</v>
      </c>
      <c r="B605" s="454" t="str">
        <f>Ubicación</f>
        <v>DEPARTAMENTO CHIMBAS</v>
      </c>
      <c r="C605" s="454"/>
      <c r="D605" s="455"/>
      <c r="E605" s="456"/>
      <c r="F605" s="457"/>
      <c r="G605" s="502"/>
    </row>
    <row r="606" spans="1:7" ht="19.899999999999999" customHeight="1">
      <c r="A606" s="501" t="s">
        <v>32</v>
      </c>
      <c r="B606" s="458">
        <f>IFERROR(VALUE(LEFT(B607,FIND(".",B607)-1)),"")</f>
        <v>2</v>
      </c>
      <c r="C606" s="160" t="str">
        <f ca="1">IFERROR(VLOOKUP(B606,T_Computo_Presupuesto,2,FALSE),0)</f>
        <v>INSTALACIONES ELECTROMECANICAS</v>
      </c>
      <c r="D606" s="160"/>
      <c r="E606" s="456"/>
      <c r="F606" s="457"/>
      <c r="G606" s="502"/>
    </row>
    <row r="607" spans="1:7" ht="19.899999999999999" customHeight="1">
      <c r="A607" s="501" t="s">
        <v>21</v>
      </c>
      <c r="B607" s="459">
        <f>IFERROR(VLOOKUP(COUNTIF($A$1:A607,"ANALISIS DE PRECIOS"),T_NumeroItem,2,FALSE),"")</f>
        <v>2.2000000000000002</v>
      </c>
      <c r="C607" s="636" t="str">
        <f ca="1">IFERROR(VLOOKUP(B607,T_Computo_Presupuesto,2,FALSE),0)</f>
        <v>Provsion e instalacion cañeria impulsion 6"</v>
      </c>
      <c r="D607" s="636"/>
      <c r="E607" s="636"/>
      <c r="F607" s="454" t="s">
        <v>22</v>
      </c>
      <c r="G607" s="503" t="str">
        <f ca="1">IFERROR(VLOOKUP(B607,T_Computo_Presupuesto,4,FALSE),0)</f>
        <v>m</v>
      </c>
    </row>
    <row r="608" spans="1:7" ht="19.899999999999999" customHeight="1">
      <c r="A608" s="501"/>
      <c r="B608" s="454"/>
      <c r="C608" s="160"/>
      <c r="D608" s="455"/>
      <c r="E608" s="456"/>
      <c r="F608" s="160"/>
      <c r="G608" s="504"/>
    </row>
    <row r="609" spans="1:7" ht="19.899999999999999" customHeight="1">
      <c r="A609" s="505"/>
      <c r="B609" s="460"/>
      <c r="C609" s="461" t="s">
        <v>997</v>
      </c>
      <c r="D609" s="460"/>
      <c r="E609" s="460"/>
      <c r="F609" s="460"/>
      <c r="G609" s="506"/>
    </row>
    <row r="610" spans="1:7" ht="19.899999999999999" customHeight="1">
      <c r="A610" s="501"/>
      <c r="B610" s="462"/>
      <c r="C610" s="160"/>
      <c r="D610" s="455"/>
      <c r="E610" s="456"/>
      <c r="F610" s="454"/>
      <c r="G610" s="503"/>
    </row>
    <row r="611" spans="1:7" ht="19.899999999999999" customHeight="1">
      <c r="A611" s="501"/>
      <c r="B611" s="462"/>
      <c r="C611" s="463" t="s">
        <v>998</v>
      </c>
      <c r="D611" s="464" t="s">
        <v>23</v>
      </c>
      <c r="E611" s="464" t="s">
        <v>999</v>
      </c>
      <c r="F611" s="464" t="s">
        <v>1000</v>
      </c>
      <c r="G611" s="463" t="s">
        <v>1001</v>
      </c>
    </row>
    <row r="612" spans="1:7" ht="19.899999999999999" customHeight="1">
      <c r="A612" s="501"/>
      <c r="B612" s="462"/>
      <c r="C612" s="465"/>
      <c r="D612" s="466"/>
      <c r="E612" s="467">
        <f t="shared" ref="E612:E621" si="168">IFERROR(VLOOKUP(C612,T_Equipos,4,FALSE),0)</f>
        <v>0</v>
      </c>
      <c r="F612" s="468"/>
      <c r="G612" s="468">
        <f>ROUND(D612*F612,2)</f>
        <v>0</v>
      </c>
    </row>
    <row r="613" spans="1:7" ht="19.899999999999999" customHeight="1">
      <c r="A613" s="501"/>
      <c r="B613" s="462"/>
      <c r="C613" s="465"/>
      <c r="D613" s="466"/>
      <c r="E613" s="467">
        <f t="shared" si="168"/>
        <v>0</v>
      </c>
      <c r="F613" s="468"/>
      <c r="G613" s="468">
        <f>ROUND(D613*F613,2)</f>
        <v>0</v>
      </c>
    </row>
    <row r="614" spans="1:7" ht="19.899999999999999" customHeight="1">
      <c r="A614" s="501"/>
      <c r="B614" s="462"/>
      <c r="C614" s="465"/>
      <c r="D614" s="466"/>
      <c r="E614" s="467">
        <f t="shared" si="168"/>
        <v>0</v>
      </c>
      <c r="F614" s="468"/>
      <c r="G614" s="468">
        <f>ROUND(D614*F614,2)</f>
        <v>0</v>
      </c>
    </row>
    <row r="615" spans="1:7" ht="19.899999999999999" customHeight="1">
      <c r="A615" s="501"/>
      <c r="B615" s="462"/>
      <c r="C615" s="465"/>
      <c r="D615" s="466"/>
      <c r="E615" s="467">
        <f t="shared" si="168"/>
        <v>0</v>
      </c>
      <c r="F615" s="468"/>
      <c r="G615" s="468">
        <f>ROUND(D615*F615,2)</f>
        <v>0</v>
      </c>
    </row>
    <row r="616" spans="1:7" ht="19.899999999999999" customHeight="1">
      <c r="A616" s="501"/>
      <c r="B616" s="462"/>
      <c r="C616" s="465"/>
      <c r="D616" s="466"/>
      <c r="E616" s="467">
        <f t="shared" si="168"/>
        <v>0</v>
      </c>
      <c r="F616" s="468"/>
      <c r="G616" s="468">
        <f t="shared" ref="G616:G621" si="169">ROUND(D616*F616,2)</f>
        <v>0</v>
      </c>
    </row>
    <row r="617" spans="1:7" ht="19.899999999999999" customHeight="1">
      <c r="A617" s="501"/>
      <c r="B617" s="462"/>
      <c r="C617" s="465"/>
      <c r="D617" s="466"/>
      <c r="E617" s="467">
        <f t="shared" si="168"/>
        <v>0</v>
      </c>
      <c r="F617" s="468">
        <f t="shared" ref="F617:F621" si="170">IFERROR(VLOOKUP(C617,T_Equipos,5,FALSE),0)</f>
        <v>0</v>
      </c>
      <c r="G617" s="468">
        <f t="shared" si="169"/>
        <v>0</v>
      </c>
    </row>
    <row r="618" spans="1:7" ht="19.899999999999999" customHeight="1">
      <c r="A618" s="501"/>
      <c r="B618" s="462"/>
      <c r="C618" s="465"/>
      <c r="D618" s="466"/>
      <c r="E618" s="467">
        <f t="shared" si="168"/>
        <v>0</v>
      </c>
      <c r="F618" s="468">
        <f t="shared" si="170"/>
        <v>0</v>
      </c>
      <c r="G618" s="468">
        <f t="shared" si="169"/>
        <v>0</v>
      </c>
    </row>
    <row r="619" spans="1:7" ht="19.899999999999999" customHeight="1">
      <c r="A619" s="501"/>
      <c r="B619" s="462"/>
      <c r="C619" s="465"/>
      <c r="D619" s="466"/>
      <c r="E619" s="467">
        <f t="shared" si="168"/>
        <v>0</v>
      </c>
      <c r="F619" s="468">
        <f t="shared" si="170"/>
        <v>0</v>
      </c>
      <c r="G619" s="468">
        <f t="shared" si="169"/>
        <v>0</v>
      </c>
    </row>
    <row r="620" spans="1:7" ht="19.899999999999999" customHeight="1">
      <c r="A620" s="501"/>
      <c r="B620" s="462"/>
      <c r="C620" s="465"/>
      <c r="D620" s="466"/>
      <c r="E620" s="467">
        <f t="shared" si="168"/>
        <v>0</v>
      </c>
      <c r="F620" s="468">
        <f t="shared" si="170"/>
        <v>0</v>
      </c>
      <c r="G620" s="468">
        <f t="shared" si="169"/>
        <v>0</v>
      </c>
    </row>
    <row r="621" spans="1:7" ht="19.899999999999999" customHeight="1">
      <c r="A621" s="501"/>
      <c r="B621" s="462"/>
      <c r="C621" s="465"/>
      <c r="D621" s="466"/>
      <c r="E621" s="467">
        <f t="shared" si="168"/>
        <v>0</v>
      </c>
      <c r="F621" s="468">
        <f t="shared" si="170"/>
        <v>0</v>
      </c>
      <c r="G621" s="468">
        <f t="shared" si="169"/>
        <v>0</v>
      </c>
    </row>
    <row r="622" spans="1:7" ht="19.899999999999999" customHeight="1">
      <c r="A622" s="501"/>
      <c r="B622" s="462"/>
      <c r="C622" s="160"/>
      <c r="D622" s="160"/>
      <c r="E622" s="469"/>
      <c r="F622" s="454"/>
      <c r="G622" s="503"/>
    </row>
    <row r="623" spans="1:7" ht="19.899999999999999" customHeight="1">
      <c r="A623" s="501"/>
      <c r="B623" s="160"/>
      <c r="C623" s="451" t="s">
        <v>1002</v>
      </c>
      <c r="D623" s="454" t="s">
        <v>999</v>
      </c>
      <c r="E623" s="520">
        <f>SUMPRODUCT(D612:D621,E612:E621)</f>
        <v>0</v>
      </c>
      <c r="F623" s="454" t="s">
        <v>1003</v>
      </c>
      <c r="G623" s="521">
        <f>SUM(G612:G621)</f>
        <v>0</v>
      </c>
    </row>
    <row r="624" spans="1:7" ht="19.899999999999999" customHeight="1">
      <c r="A624" s="501"/>
      <c r="B624" s="462"/>
      <c r="C624" s="470"/>
      <c r="D624" s="469"/>
      <c r="E624" s="456"/>
      <c r="F624" s="454"/>
      <c r="G624" s="507"/>
    </row>
    <row r="625" spans="1:7" ht="19.899999999999999" customHeight="1">
      <c r="A625" s="508"/>
      <c r="B625" s="462"/>
      <c r="C625" s="454" t="s">
        <v>1004</v>
      </c>
      <c r="D625" s="471"/>
      <c r="E625" s="472" t="str">
        <f ca="1">G607&amp;"/día"</f>
        <v>m/día</v>
      </c>
      <c r="F625" s="448"/>
      <c r="G625" s="503"/>
    </row>
    <row r="626" spans="1:7" ht="19.899999999999999" customHeight="1">
      <c r="A626" s="501"/>
      <c r="B626" s="462"/>
      <c r="C626" s="160"/>
      <c r="D626" s="455"/>
      <c r="E626" s="456"/>
      <c r="F626" s="454"/>
      <c r="G626" s="503"/>
    </row>
    <row r="627" spans="1:7" ht="19.899999999999999" customHeight="1">
      <c r="A627" s="637" t="s">
        <v>575</v>
      </c>
      <c r="B627" s="638"/>
      <c r="C627" s="639" t="s">
        <v>0</v>
      </c>
      <c r="D627" s="647" t="s">
        <v>1863</v>
      </c>
      <c r="E627" s="647" t="s">
        <v>1862</v>
      </c>
      <c r="F627" s="643" t="s">
        <v>1005</v>
      </c>
      <c r="G627" s="645" t="s">
        <v>25</v>
      </c>
    </row>
    <row r="628" spans="1:7" ht="19.899999999999999" customHeight="1">
      <c r="A628" s="473" t="s">
        <v>576</v>
      </c>
      <c r="B628" s="473" t="s">
        <v>577</v>
      </c>
      <c r="C628" s="640"/>
      <c r="D628" s="648"/>
      <c r="E628" s="642"/>
      <c r="F628" s="644"/>
      <c r="G628" s="646"/>
    </row>
    <row r="629" spans="1:7" ht="19.899999999999999" customHeight="1">
      <c r="A629" s="509"/>
      <c r="B629" s="160"/>
      <c r="C629" s="451" t="s">
        <v>1006</v>
      </c>
      <c r="D629" s="456"/>
      <c r="E629" s="456"/>
      <c r="F629" s="160"/>
      <c r="G629" s="510"/>
    </row>
    <row r="630" spans="1:7" ht="19.899999999999999" customHeight="1">
      <c r="A630" s="511">
        <f t="shared" ref="A630:A638" si="171">IFERROR(VLOOKUP(C630,T_Insumos,4,FALSE),0)</f>
        <v>0</v>
      </c>
      <c r="B630" s="474">
        <f t="shared" ref="B630:B638" si="172">IFERROR(VLOOKUP(C630,T_Insumos,5,FALSE),0)</f>
        <v>0</v>
      </c>
      <c r="C630" s="465"/>
      <c r="D630" s="475">
        <f t="shared" ref="D630:D638" si="173">IFERROR(VLOOKUP(C630,T_Insumos,3,FALSE),0)</f>
        <v>0</v>
      </c>
      <c r="E630" s="468">
        <f>D630*$G$323</f>
        <v>0</v>
      </c>
      <c r="F630" s="471">
        <f>+$D$325</f>
        <v>0</v>
      </c>
      <c r="G630" s="468">
        <f>IFERROR(ROUND(E630/F630,2),0)</f>
        <v>0</v>
      </c>
    </row>
    <row r="631" spans="1:7" ht="19.899999999999999" customHeight="1">
      <c r="A631" s="511"/>
      <c r="B631" s="474"/>
      <c r="C631" s="465"/>
      <c r="D631" s="475">
        <f t="shared" si="173"/>
        <v>0</v>
      </c>
      <c r="E631" s="468">
        <f>D631*$G$323</f>
        <v>0</v>
      </c>
      <c r="F631" s="471">
        <f t="shared" ref="F631:F633" si="174">+$D$325</f>
        <v>0</v>
      </c>
      <c r="G631" s="468">
        <f t="shared" ref="G631:G638" si="175">IFERROR(ROUND(E631/F631,2),0)</f>
        <v>0</v>
      </c>
    </row>
    <row r="632" spans="1:7" ht="19.899999999999999" customHeight="1">
      <c r="A632" s="511">
        <f t="shared" ref="A632:A640" si="176">IFERROR(VLOOKUP(C632,T_Insumos,4,FALSE),0)</f>
        <v>0</v>
      </c>
      <c r="B632" s="474">
        <f t="shared" ref="B632:B640" si="177">IFERROR(VLOOKUP(C632,T_Insumos,5,FALSE),0)</f>
        <v>0</v>
      </c>
      <c r="C632" s="476"/>
      <c r="D632" s="475">
        <f t="shared" si="173"/>
        <v>0</v>
      </c>
      <c r="E632" s="468">
        <f>D632*$E$323</f>
        <v>0</v>
      </c>
      <c r="F632" s="471">
        <f t="shared" si="174"/>
        <v>0</v>
      </c>
      <c r="G632" s="468">
        <f t="shared" si="175"/>
        <v>0</v>
      </c>
    </row>
    <row r="633" spans="1:7" ht="19.899999999999999" customHeight="1">
      <c r="A633" s="511">
        <f t="shared" si="176"/>
        <v>0</v>
      </c>
      <c r="B633" s="474">
        <f t="shared" si="177"/>
        <v>0</v>
      </c>
      <c r="C633" s="476"/>
      <c r="D633" s="475">
        <f t="shared" si="173"/>
        <v>0</v>
      </c>
      <c r="E633" s="468">
        <f>D633*$E$323</f>
        <v>0</v>
      </c>
      <c r="F633" s="471">
        <f t="shared" si="174"/>
        <v>0</v>
      </c>
      <c r="G633" s="468">
        <f t="shared" si="175"/>
        <v>0</v>
      </c>
    </row>
    <row r="634" spans="1:7" ht="19.899999999999999" customHeight="1">
      <c r="A634" s="511">
        <f t="shared" si="176"/>
        <v>0</v>
      </c>
      <c r="B634" s="474">
        <f t="shared" si="177"/>
        <v>0</v>
      </c>
      <c r="C634" s="476"/>
      <c r="D634" s="475">
        <f t="shared" si="173"/>
        <v>0</v>
      </c>
      <c r="E634" s="468"/>
      <c r="F634" s="471">
        <f>IF(C634="",0,IFERROR(VLOOKUP(COUNTIF($A$1:A634,"ANALISIS DE PRECIOS"),T_Rendimiento_Equipo,5,FALSE),0))</f>
        <v>0</v>
      </c>
      <c r="G634" s="468">
        <f t="shared" si="175"/>
        <v>0</v>
      </c>
    </row>
    <row r="635" spans="1:7" ht="19.899999999999999" customHeight="1">
      <c r="A635" s="511">
        <f t="shared" si="176"/>
        <v>0</v>
      </c>
      <c r="B635" s="474">
        <f t="shared" si="177"/>
        <v>0</v>
      </c>
      <c r="C635" s="476"/>
      <c r="D635" s="475">
        <f t="shared" si="173"/>
        <v>0</v>
      </c>
      <c r="E635" s="468"/>
      <c r="F635" s="471">
        <f>IF(C635="",0,IFERROR(VLOOKUP(COUNTIF($A$1:A635,"ANALISIS DE PRECIOS"),T_Rendimiento_Equipo,5,FALSE),0))</f>
        <v>0</v>
      </c>
      <c r="G635" s="468">
        <f t="shared" si="175"/>
        <v>0</v>
      </c>
    </row>
    <row r="636" spans="1:7" ht="19.899999999999999" customHeight="1">
      <c r="A636" s="511">
        <f t="shared" si="176"/>
        <v>0</v>
      </c>
      <c r="B636" s="474">
        <f t="shared" si="177"/>
        <v>0</v>
      </c>
      <c r="C636" s="476"/>
      <c r="D636" s="475">
        <f t="shared" si="173"/>
        <v>0</v>
      </c>
      <c r="E636" s="468"/>
      <c r="F636" s="471">
        <f>IF(C636="",0,IFERROR(VLOOKUP(COUNTIF($A$1:A636,"ANALISIS DE PRECIOS"),T_Rendimiento_Equipo,5,FALSE),0))</f>
        <v>0</v>
      </c>
      <c r="G636" s="468">
        <f t="shared" si="175"/>
        <v>0</v>
      </c>
    </row>
    <row r="637" spans="1:7" ht="19.899999999999999" customHeight="1">
      <c r="A637" s="511">
        <f t="shared" si="176"/>
        <v>0</v>
      </c>
      <c r="B637" s="474">
        <f t="shared" si="177"/>
        <v>0</v>
      </c>
      <c r="C637" s="476"/>
      <c r="D637" s="475">
        <f t="shared" si="173"/>
        <v>0</v>
      </c>
      <c r="E637" s="468"/>
      <c r="F637" s="471">
        <f>IF(C637="",0,IFERROR(VLOOKUP(COUNTIF($A$1:A637,"ANALISIS DE PRECIOS"),T_Rendimiento_Equipo,5,FALSE),0))</f>
        <v>0</v>
      </c>
      <c r="G637" s="468">
        <f t="shared" si="175"/>
        <v>0</v>
      </c>
    </row>
    <row r="638" spans="1:7" ht="19.899999999999999" customHeight="1">
      <c r="A638" s="511">
        <f t="shared" si="176"/>
        <v>0</v>
      </c>
      <c r="B638" s="474">
        <f t="shared" si="177"/>
        <v>0</v>
      </c>
      <c r="C638" s="465"/>
      <c r="D638" s="475">
        <f t="shared" si="173"/>
        <v>0</v>
      </c>
      <c r="E638" s="468"/>
      <c r="F638" s="471">
        <f>IF(C638="",0,IFERROR(VLOOKUP(COUNTIF($A$1:A638,"ANALISIS DE PRECIOS"),T_Rendimiento_Equipo,5,FALSE),0))</f>
        <v>0</v>
      </c>
      <c r="G638" s="468">
        <f t="shared" si="175"/>
        <v>0</v>
      </c>
    </row>
    <row r="639" spans="1:7" ht="19.899999999999999" customHeight="1">
      <c r="A639" s="512"/>
      <c r="B639" s="455"/>
      <c r="C639" s="160"/>
      <c r="D639" s="455"/>
      <c r="E639" s="456"/>
      <c r="F639" s="615" t="s">
        <v>26</v>
      </c>
      <c r="G639" s="513">
        <f>SUBTOTAL(9,G630:G638)</f>
        <v>0</v>
      </c>
    </row>
    <row r="640" spans="1:7" ht="19.899999999999999" customHeight="1">
      <c r="A640" s="509"/>
      <c r="B640" s="160"/>
      <c r="C640" s="451" t="s">
        <v>712</v>
      </c>
      <c r="D640" s="455"/>
      <c r="E640" s="456"/>
      <c r="F640" s="457"/>
      <c r="G640" s="510"/>
    </row>
    <row r="641" spans="1:7" ht="19.899999999999999" customHeight="1">
      <c r="A641" s="637" t="s">
        <v>575</v>
      </c>
      <c r="B641" s="638"/>
      <c r="C641" s="639" t="s">
        <v>0</v>
      </c>
      <c r="D641" s="641" t="s">
        <v>23</v>
      </c>
      <c r="E641" s="641" t="s">
        <v>1829</v>
      </c>
      <c r="F641" s="643" t="s">
        <v>1005</v>
      </c>
      <c r="G641" s="645" t="s">
        <v>25</v>
      </c>
    </row>
    <row r="642" spans="1:7" ht="19.899999999999999" customHeight="1">
      <c r="A642" s="473" t="s">
        <v>576</v>
      </c>
      <c r="B642" s="473" t="s">
        <v>577</v>
      </c>
      <c r="C642" s="640"/>
      <c r="D642" s="642"/>
      <c r="E642" s="642"/>
      <c r="F642" s="644"/>
      <c r="G642" s="646"/>
    </row>
    <row r="643" spans="1:7" ht="19.899999999999999" customHeight="1">
      <c r="A643" s="511"/>
      <c r="B643" s="474"/>
      <c r="C643" s="478"/>
      <c r="D643" s="471"/>
      <c r="E643" s="468">
        <f t="shared" ref="E643:E647" si="178">IFERROR(VLOOKUP(C643,T_Insumos,3,FALSE),0)</f>
        <v>0</v>
      </c>
      <c r="F643" s="471">
        <f>+$D$325</f>
        <v>0</v>
      </c>
      <c r="G643" s="468">
        <f>IFERROR(ROUND(D643*E643/F643,2),0)</f>
        <v>0</v>
      </c>
    </row>
    <row r="644" spans="1:7" ht="19.899999999999999" customHeight="1">
      <c r="A644" s="511"/>
      <c r="B644" s="474"/>
      <c r="C644" s="465"/>
      <c r="D644" s="471"/>
      <c r="E644" s="468">
        <f t="shared" si="178"/>
        <v>0</v>
      </c>
      <c r="F644" s="471">
        <f t="shared" ref="F644:F648" si="179">+$D$325</f>
        <v>0</v>
      </c>
      <c r="G644" s="468">
        <f t="shared" ref="G644:G649" si="180">IFERROR(ROUND(D644*E644/F644,2),0)</f>
        <v>0</v>
      </c>
    </row>
    <row r="645" spans="1:7" ht="19.899999999999999" customHeight="1">
      <c r="A645" s="511"/>
      <c r="B645" s="474"/>
      <c r="C645" s="465"/>
      <c r="D645" s="471"/>
      <c r="E645" s="468">
        <f t="shared" si="178"/>
        <v>0</v>
      </c>
      <c r="F645" s="471">
        <f t="shared" si="179"/>
        <v>0</v>
      </c>
      <c r="G645" s="468">
        <f t="shared" si="180"/>
        <v>0</v>
      </c>
    </row>
    <row r="646" spans="1:7" ht="19.899999999999999" customHeight="1">
      <c r="A646" s="511"/>
      <c r="B646" s="474"/>
      <c r="C646" s="465"/>
      <c r="D646" s="471"/>
      <c r="E646" s="468">
        <f t="shared" si="178"/>
        <v>0</v>
      </c>
      <c r="F646" s="471">
        <f t="shared" si="179"/>
        <v>0</v>
      </c>
      <c r="G646" s="468">
        <f t="shared" si="180"/>
        <v>0</v>
      </c>
    </row>
    <row r="647" spans="1:7" ht="19.899999999999999" customHeight="1">
      <c r="A647" s="511">
        <f t="shared" ref="A647:A649" si="181">IFERROR(VLOOKUP(C647,T_Insumos,4,FALSE),0)</f>
        <v>0</v>
      </c>
      <c r="B647" s="474">
        <f t="shared" ref="B647:B649" si="182">IFERROR(VLOOKUP(C647,T_Insumos,5,FALSE),0)</f>
        <v>0</v>
      </c>
      <c r="C647" s="465"/>
      <c r="D647" s="471"/>
      <c r="E647" s="468">
        <f t="shared" si="178"/>
        <v>0</v>
      </c>
      <c r="F647" s="471">
        <f>IF(C647="",0,IFERROR(VLOOKUP(COUNTIF($A$1:A647,"ANALISIS DE PRECIOS"),T_Rendimiento_Equipo,5,FALSE),0))</f>
        <v>0</v>
      </c>
      <c r="G647" s="468">
        <f t="shared" si="180"/>
        <v>0</v>
      </c>
    </row>
    <row r="648" spans="1:7" ht="19.899999999999999" customHeight="1">
      <c r="A648" s="511">
        <f t="shared" si="181"/>
        <v>0</v>
      </c>
      <c r="B648" s="474">
        <f t="shared" si="182"/>
        <v>0</v>
      </c>
      <c r="C648" s="465"/>
      <c r="D648" s="479"/>
      <c r="E648" s="468">
        <f>SUMPRODUCT(D643:D646,E643:E646)</f>
        <v>0</v>
      </c>
      <c r="F648" s="471">
        <f t="shared" si="179"/>
        <v>0</v>
      </c>
      <c r="G648" s="468">
        <f t="shared" si="180"/>
        <v>0</v>
      </c>
    </row>
    <row r="649" spans="1:7" ht="19.899999999999999" customHeight="1">
      <c r="A649" s="511">
        <f t="shared" si="181"/>
        <v>0</v>
      </c>
      <c r="B649" s="474">
        <f t="shared" si="182"/>
        <v>0</v>
      </c>
      <c r="C649" s="474"/>
      <c r="D649" s="480"/>
      <c r="E649" s="468">
        <f t="shared" ref="E649:E651" si="183">IFERROR(VLOOKUP(C649,T_Insumos,3,FALSE),0)</f>
        <v>0</v>
      </c>
      <c r="F649" s="471">
        <f>IF(C649="",0,IFERROR(VLOOKUP(COUNTIF($A$1:A649,"ANALISIS DE PRECIOS"),T_Rendimiento_Equipo,5,FALSE),0))</f>
        <v>0</v>
      </c>
      <c r="G649" s="468">
        <f t="shared" si="180"/>
        <v>0</v>
      </c>
    </row>
    <row r="650" spans="1:7" ht="19.899999999999999" customHeight="1">
      <c r="A650" s="512"/>
      <c r="B650" s="455"/>
      <c r="C650" s="160"/>
      <c r="D650" s="455"/>
      <c r="E650" s="456"/>
      <c r="F650" s="615" t="s">
        <v>27</v>
      </c>
      <c r="G650" s="514">
        <f>SUBTOTAL(9,G643:G649)</f>
        <v>0</v>
      </c>
    </row>
    <row r="651" spans="1:7" ht="19.899999999999999" customHeight="1">
      <c r="A651" s="509"/>
      <c r="B651" s="160"/>
      <c r="C651" s="451" t="s">
        <v>1012</v>
      </c>
      <c r="D651" s="455"/>
      <c r="E651" s="456"/>
      <c r="F651" s="457"/>
      <c r="G651" s="510"/>
    </row>
    <row r="652" spans="1:7" ht="19.899999999999999" customHeight="1">
      <c r="A652" s="637" t="s">
        <v>575</v>
      </c>
      <c r="B652" s="638"/>
      <c r="C652" s="639" t="s">
        <v>0</v>
      </c>
      <c r="D652" s="639" t="s">
        <v>1864</v>
      </c>
      <c r="E652" s="641" t="s">
        <v>23</v>
      </c>
      <c r="F652" s="643" t="s">
        <v>24</v>
      </c>
      <c r="G652" s="645" t="s">
        <v>25</v>
      </c>
    </row>
    <row r="653" spans="1:7" ht="19.899999999999999" customHeight="1">
      <c r="A653" s="473" t="s">
        <v>576</v>
      </c>
      <c r="B653" s="473" t="s">
        <v>577</v>
      </c>
      <c r="C653" s="640"/>
      <c r="D653" s="640"/>
      <c r="E653" s="642"/>
      <c r="F653" s="644"/>
      <c r="G653" s="646"/>
    </row>
    <row r="654" spans="1:7" ht="19.899999999999999" customHeight="1">
      <c r="A654" s="511">
        <f t="shared" ref="A654:A664" si="184">IFERROR(VLOOKUP(C654,T_Insumos,4,FALSE),0)</f>
        <v>0</v>
      </c>
      <c r="B654" s="474">
        <f t="shared" ref="B654:B664" si="185">IFERROR(VLOOKUP(C654,T_Insumos,5,FALSE),0)</f>
        <v>0</v>
      </c>
      <c r="C654" s="474"/>
      <c r="D654" s="522">
        <f t="shared" ref="D654:D664" si="186">IFERROR(VLOOKUP(C654,T_Insumos,2,FALSE),0)</f>
        <v>0</v>
      </c>
      <c r="E654" s="466"/>
      <c r="F654" s="468">
        <f t="shared" ref="F654:F664" si="187">IFERROR(VLOOKUP(C654,T_Insumos,3,FALSE),0)</f>
        <v>0</v>
      </c>
      <c r="G654" s="468">
        <f>ROUND(E654*F654,2)</f>
        <v>0</v>
      </c>
    </row>
    <row r="655" spans="1:7" ht="19.899999999999999" customHeight="1">
      <c r="A655" s="511">
        <f t="shared" si="184"/>
        <v>0</v>
      </c>
      <c r="B655" s="474">
        <f t="shared" si="185"/>
        <v>0</v>
      </c>
      <c r="C655" s="474"/>
      <c r="D655" s="522">
        <f t="shared" si="186"/>
        <v>0</v>
      </c>
      <c r="E655" s="466"/>
      <c r="F655" s="468">
        <f t="shared" si="187"/>
        <v>0</v>
      </c>
      <c r="G655" s="468">
        <f t="shared" ref="G655:G664" si="188">ROUND(E655*F655,2)</f>
        <v>0</v>
      </c>
    </row>
    <row r="656" spans="1:7" ht="19.899999999999999" customHeight="1">
      <c r="A656" s="511">
        <f t="shared" si="184"/>
        <v>0</v>
      </c>
      <c r="B656" s="474">
        <f t="shared" si="185"/>
        <v>0</v>
      </c>
      <c r="C656" s="474"/>
      <c r="D656" s="522">
        <f t="shared" si="186"/>
        <v>0</v>
      </c>
      <c r="E656" s="466"/>
      <c r="F656" s="468">
        <f t="shared" si="187"/>
        <v>0</v>
      </c>
      <c r="G656" s="468">
        <f t="shared" si="188"/>
        <v>0</v>
      </c>
    </row>
    <row r="657" spans="1:7" ht="19.899999999999999" customHeight="1">
      <c r="A657" s="511">
        <f t="shared" si="184"/>
        <v>0</v>
      </c>
      <c r="B657" s="474">
        <f t="shared" si="185"/>
        <v>0</v>
      </c>
      <c r="C657" s="474"/>
      <c r="D657" s="522">
        <f t="shared" si="186"/>
        <v>0</v>
      </c>
      <c r="E657" s="466"/>
      <c r="F657" s="468">
        <f t="shared" si="187"/>
        <v>0</v>
      </c>
      <c r="G657" s="468">
        <f t="shared" si="188"/>
        <v>0</v>
      </c>
    </row>
    <row r="658" spans="1:7" ht="19.899999999999999" customHeight="1">
      <c r="A658" s="511">
        <f t="shared" si="184"/>
        <v>0</v>
      </c>
      <c r="B658" s="474">
        <f t="shared" si="185"/>
        <v>0</v>
      </c>
      <c r="C658" s="474"/>
      <c r="D658" s="522">
        <f t="shared" si="186"/>
        <v>0</v>
      </c>
      <c r="E658" s="466"/>
      <c r="F658" s="468">
        <f t="shared" si="187"/>
        <v>0</v>
      </c>
      <c r="G658" s="468">
        <f t="shared" si="188"/>
        <v>0</v>
      </c>
    </row>
    <row r="659" spans="1:7" ht="19.899999999999999" customHeight="1">
      <c r="A659" s="511">
        <f t="shared" si="184"/>
        <v>0</v>
      </c>
      <c r="B659" s="474">
        <f t="shared" si="185"/>
        <v>0</v>
      </c>
      <c r="C659" s="474"/>
      <c r="D659" s="522">
        <f t="shared" si="186"/>
        <v>0</v>
      </c>
      <c r="E659" s="466"/>
      <c r="F659" s="468">
        <f t="shared" si="187"/>
        <v>0</v>
      </c>
      <c r="G659" s="468">
        <f t="shared" si="188"/>
        <v>0</v>
      </c>
    </row>
    <row r="660" spans="1:7" ht="19.899999999999999" customHeight="1">
      <c r="A660" s="511">
        <f t="shared" si="184"/>
        <v>0</v>
      </c>
      <c r="B660" s="474">
        <f t="shared" si="185"/>
        <v>0</v>
      </c>
      <c r="C660" s="474"/>
      <c r="D660" s="522">
        <f t="shared" si="186"/>
        <v>0</v>
      </c>
      <c r="E660" s="466"/>
      <c r="F660" s="468">
        <f t="shared" si="187"/>
        <v>0</v>
      </c>
      <c r="G660" s="468">
        <f t="shared" si="188"/>
        <v>0</v>
      </c>
    </row>
    <row r="661" spans="1:7" ht="19.899999999999999" customHeight="1">
      <c r="A661" s="511">
        <f t="shared" si="184"/>
        <v>0</v>
      </c>
      <c r="B661" s="474">
        <f t="shared" si="185"/>
        <v>0</v>
      </c>
      <c r="C661" s="474"/>
      <c r="D661" s="522">
        <f t="shared" si="186"/>
        <v>0</v>
      </c>
      <c r="E661" s="466"/>
      <c r="F661" s="468">
        <f t="shared" si="187"/>
        <v>0</v>
      </c>
      <c r="G661" s="468">
        <f t="shared" si="188"/>
        <v>0</v>
      </c>
    </row>
    <row r="662" spans="1:7" ht="19.899999999999999" customHeight="1">
      <c r="A662" s="511">
        <f t="shared" si="184"/>
        <v>0</v>
      </c>
      <c r="B662" s="474">
        <f t="shared" si="185"/>
        <v>0</v>
      </c>
      <c r="C662" s="474"/>
      <c r="D662" s="522">
        <f t="shared" si="186"/>
        <v>0</v>
      </c>
      <c r="E662" s="466"/>
      <c r="F662" s="468">
        <f t="shared" si="187"/>
        <v>0</v>
      </c>
      <c r="G662" s="468">
        <f t="shared" si="188"/>
        <v>0</v>
      </c>
    </row>
    <row r="663" spans="1:7" ht="19.899999999999999" customHeight="1">
      <c r="A663" s="511">
        <f t="shared" si="184"/>
        <v>0</v>
      </c>
      <c r="B663" s="474">
        <f t="shared" si="185"/>
        <v>0</v>
      </c>
      <c r="C663" s="474"/>
      <c r="D663" s="522">
        <f t="shared" si="186"/>
        <v>0</v>
      </c>
      <c r="E663" s="466"/>
      <c r="F663" s="468">
        <f t="shared" si="187"/>
        <v>0</v>
      </c>
      <c r="G663" s="468">
        <f t="shared" si="188"/>
        <v>0</v>
      </c>
    </row>
    <row r="664" spans="1:7" ht="19.899999999999999" customHeight="1">
      <c r="A664" s="511">
        <f t="shared" si="184"/>
        <v>0</v>
      </c>
      <c r="B664" s="474">
        <f t="shared" si="185"/>
        <v>0</v>
      </c>
      <c r="C664" s="474"/>
      <c r="D664" s="522">
        <f t="shared" si="186"/>
        <v>0</v>
      </c>
      <c r="E664" s="466"/>
      <c r="F664" s="468">
        <f t="shared" si="187"/>
        <v>0</v>
      </c>
      <c r="G664" s="468">
        <f t="shared" si="188"/>
        <v>0</v>
      </c>
    </row>
    <row r="665" spans="1:7" ht="19.899999999999999" customHeight="1">
      <c r="A665" s="509"/>
      <c r="B665" s="160"/>
      <c r="C665" s="160"/>
      <c r="D665" s="455"/>
      <c r="E665" s="456"/>
      <c r="F665" s="615" t="s">
        <v>28</v>
      </c>
      <c r="G665" s="514">
        <f>SUBTOTAL(9,G654:G664)</f>
        <v>0</v>
      </c>
    </row>
    <row r="666" spans="1:7" ht="19.899999999999999" customHeight="1">
      <c r="A666" s="509"/>
      <c r="B666" s="160"/>
      <c r="C666" s="451" t="s">
        <v>1013</v>
      </c>
      <c r="D666" s="455"/>
      <c r="E666" s="456"/>
      <c r="F666" s="457"/>
      <c r="G666" s="510"/>
    </row>
    <row r="667" spans="1:7" ht="19.899999999999999" customHeight="1">
      <c r="A667" s="637" t="s">
        <v>575</v>
      </c>
      <c r="B667" s="638"/>
      <c r="C667" s="639" t="s">
        <v>0</v>
      </c>
      <c r="D667" s="639" t="s">
        <v>1864</v>
      </c>
      <c r="E667" s="641" t="s">
        <v>23</v>
      </c>
      <c r="F667" s="643" t="s">
        <v>24</v>
      </c>
      <c r="G667" s="645" t="s">
        <v>25</v>
      </c>
    </row>
    <row r="668" spans="1:7" ht="19.899999999999999" customHeight="1">
      <c r="A668" s="473" t="s">
        <v>576</v>
      </c>
      <c r="B668" s="473" t="s">
        <v>577</v>
      </c>
      <c r="C668" s="640"/>
      <c r="D668" s="640"/>
      <c r="E668" s="642"/>
      <c r="F668" s="644"/>
      <c r="G668" s="646"/>
    </row>
    <row r="669" spans="1:7" ht="19.899999999999999" customHeight="1">
      <c r="A669" s="511">
        <f>IFERROR(VLOOKUP(C669,T_Insumos,4,FALSE),0)</f>
        <v>0</v>
      </c>
      <c r="B669" s="474">
        <f>IFERROR(VLOOKUP(C669,T_Insumos,5,FALSE),0)</f>
        <v>0</v>
      </c>
      <c r="C669" s="465"/>
      <c r="D669" s="522">
        <f>IF(C669=0,0,"$/tnkm")</f>
        <v>0</v>
      </c>
      <c r="E669" s="466"/>
      <c r="F669" s="468">
        <f>IFERROR(VLOOKUP(C669,T_Insumos,3,FALSE),0)</f>
        <v>0</v>
      </c>
      <c r="G669" s="468">
        <f>ROUND(E669*F669,2)</f>
        <v>0</v>
      </c>
    </row>
    <row r="670" spans="1:7" ht="19.899999999999999" customHeight="1">
      <c r="A670" s="511">
        <f>IFERROR(VLOOKUP(C670,T_Insumos,4,FALSE),0)</f>
        <v>0</v>
      </c>
      <c r="B670" s="474">
        <f>IFERROR(VLOOKUP(C670,T_Insumos,5,FALSE),0)</f>
        <v>0</v>
      </c>
      <c r="C670" s="465"/>
      <c r="D670" s="522">
        <f>IF(C670=0,0,"$/tnkm")</f>
        <v>0</v>
      </c>
      <c r="E670" s="482"/>
      <c r="F670" s="468">
        <f>IFERROR(VLOOKUP(C670,T_Insumos,3,FALSE),0)</f>
        <v>0</v>
      </c>
      <c r="G670" s="468">
        <f t="shared" ref="G670" si="189">ROUND(E670*F670,2)</f>
        <v>0</v>
      </c>
    </row>
    <row r="671" spans="1:7" ht="19.899999999999999" customHeight="1">
      <c r="A671" s="509"/>
      <c r="B671" s="160"/>
      <c r="C671" s="160"/>
      <c r="D671" s="455"/>
      <c r="E671" s="456"/>
      <c r="F671" s="615" t="s">
        <v>1014</v>
      </c>
      <c r="G671" s="514">
        <f>SUBTOTAL(9,G669:G670)</f>
        <v>0</v>
      </c>
    </row>
    <row r="672" spans="1:7" ht="19.899999999999999" customHeight="1">
      <c r="A672" s="512"/>
      <c r="B672" s="455"/>
      <c r="C672" s="160"/>
      <c r="D672" s="455"/>
      <c r="E672" s="456"/>
      <c r="F672" s="457"/>
      <c r="G672" s="510"/>
    </row>
    <row r="673" spans="1:7" ht="19.899999999999999" customHeight="1">
      <c r="A673" s="570">
        <f>B607</f>
        <v>2.2000000000000002</v>
      </c>
      <c r="B673" s="567" t="str">
        <f ca="1">C607</f>
        <v>Provsion e instalacion cañeria impulsion 6"</v>
      </c>
      <c r="C673" s="455"/>
      <c r="D673" s="455" t="s">
        <v>1830</v>
      </c>
      <c r="E673" s="568"/>
      <c r="F673" s="569" t="str">
        <f ca="1">"$/"&amp;G607</f>
        <v>$/m</v>
      </c>
      <c r="G673" s="519">
        <f>SUBTOTAL(9,G630:G672)</f>
        <v>0</v>
      </c>
    </row>
    <row r="674" spans="1:7" ht="19.899999999999999" customHeight="1">
      <c r="A674" s="515"/>
      <c r="B674" s="516"/>
      <c r="C674" s="517"/>
      <c r="D674" s="517" t="s">
        <v>2040</v>
      </c>
      <c r="E674" s="518"/>
      <c r="F674" s="571" t="str">
        <f ca="1">"$/"&amp;G607</f>
        <v>$/m</v>
      </c>
      <c r="G674" s="519">
        <f>ROUND(G673*Coeficiente_Paso,2)</f>
        <v>0</v>
      </c>
    </row>
    <row r="675" spans="1:7" ht="19.899999999999999" customHeight="1">
      <c r="A675" s="160"/>
      <c r="B675" s="160"/>
      <c r="C675" s="160"/>
      <c r="D675" s="160"/>
      <c r="E675" s="160"/>
      <c r="F675" s="160"/>
      <c r="G675" s="160"/>
    </row>
    <row r="676" spans="1:7" ht="19.899999999999999" customHeight="1">
      <c r="A676" s="633" t="s">
        <v>30</v>
      </c>
      <c r="B676" s="634"/>
      <c r="C676" s="634"/>
      <c r="D676" s="634"/>
      <c r="E676" s="634"/>
      <c r="F676" s="634"/>
      <c r="G676" s="635"/>
    </row>
    <row r="677" spans="1:7" ht="19.899999999999999" customHeight="1">
      <c r="A677" s="498" t="s">
        <v>710</v>
      </c>
      <c r="B677" s="449" t="str">
        <f>Comitente</f>
        <v>DEPARTAMENTO DE HIDRAULICA</v>
      </c>
      <c r="C677" s="450"/>
      <c r="D677" s="451"/>
      <c r="E677" s="451"/>
      <c r="F677" s="452"/>
      <c r="G677" s="499"/>
    </row>
    <row r="678" spans="1:7" ht="19.899999999999999" customHeight="1">
      <c r="A678" s="498" t="s">
        <v>711</v>
      </c>
      <c r="B678" s="449">
        <f>Contratista</f>
        <v>0</v>
      </c>
      <c r="C678" s="453"/>
      <c r="D678" s="453"/>
      <c r="E678" s="453"/>
      <c r="F678" s="449"/>
      <c r="G678" s="500"/>
    </row>
    <row r="679" spans="1:7" ht="19.899999999999999" customHeight="1">
      <c r="A679" s="498" t="s">
        <v>20</v>
      </c>
      <c r="B679" s="449" t="str">
        <f>Obra</f>
        <v>EJECUCION DE PERFORACION - SISTEMA DE RIEGO</v>
      </c>
      <c r="C679" s="453"/>
      <c r="D679" s="453"/>
      <c r="E679" s="453"/>
      <c r="F679" s="449" t="s">
        <v>31</v>
      </c>
      <c r="G679" s="500">
        <f>Fecha_Base</f>
        <v>0</v>
      </c>
    </row>
    <row r="680" spans="1:7" ht="19.899999999999999" customHeight="1">
      <c r="A680" s="501" t="s">
        <v>709</v>
      </c>
      <c r="B680" s="454" t="str">
        <f>Ubicación</f>
        <v>DEPARTAMENTO CHIMBAS</v>
      </c>
      <c r="C680" s="454"/>
      <c r="D680" s="455"/>
      <c r="E680" s="456"/>
      <c r="F680" s="457"/>
      <c r="G680" s="502"/>
    </row>
    <row r="681" spans="1:7" ht="19.899999999999999" customHeight="1">
      <c r="A681" s="501" t="s">
        <v>32</v>
      </c>
      <c r="B681" s="458">
        <f>IFERROR(VALUE(LEFT(B682,FIND(".",B682)-1)),"")</f>
        <v>2</v>
      </c>
      <c r="C681" s="160" t="str">
        <f ca="1">IFERROR(VLOOKUP(B681,T_Computo_Presupuesto,2,FALSE),0)</f>
        <v>INSTALACIONES ELECTROMECANICAS</v>
      </c>
      <c r="D681" s="160"/>
      <c r="E681" s="456"/>
      <c r="F681" s="457"/>
      <c r="G681" s="502"/>
    </row>
    <row r="682" spans="1:7" ht="19.899999999999999" customHeight="1">
      <c r="A682" s="501" t="s">
        <v>21</v>
      </c>
      <c r="B682" s="459">
        <f>IFERROR(VLOOKUP(COUNTIF($A$1:A682,"ANALISIS DE PRECIOS"),T_NumeroItem,2,FALSE),"")</f>
        <v>2.2999999999999998</v>
      </c>
      <c r="C682" s="636" t="str">
        <f ca="1">IFERROR(VLOOKUP(B682,T_Computo_Presupuesto,2,FALSE),0)</f>
        <v>Instalacion tablero de potencia y control de electrobomba sumergible con control de velocidad, sistema de iluminacion monitoreo remoto de presion y caudal</v>
      </c>
      <c r="D682" s="636"/>
      <c r="E682" s="636"/>
      <c r="F682" s="454" t="s">
        <v>22</v>
      </c>
      <c r="G682" s="503" t="str">
        <f ca="1">IFERROR(VLOOKUP(B682,T_Computo_Presupuesto,4,FALSE),0)</f>
        <v>gl</v>
      </c>
    </row>
    <row r="683" spans="1:7" ht="19.899999999999999" customHeight="1">
      <c r="A683" s="501"/>
      <c r="B683" s="454"/>
      <c r="C683" s="160"/>
      <c r="D683" s="455"/>
      <c r="E683" s="456"/>
      <c r="F683" s="160"/>
      <c r="G683" s="504"/>
    </row>
    <row r="684" spans="1:7" ht="19.899999999999999" customHeight="1">
      <c r="A684" s="505"/>
      <c r="B684" s="460"/>
      <c r="C684" s="461" t="s">
        <v>997</v>
      </c>
      <c r="D684" s="460"/>
      <c r="E684" s="460"/>
      <c r="F684" s="460"/>
      <c r="G684" s="506"/>
    </row>
    <row r="685" spans="1:7" ht="19.899999999999999" customHeight="1">
      <c r="A685" s="501"/>
      <c r="B685" s="462"/>
      <c r="C685" s="160"/>
      <c r="D685" s="455"/>
      <c r="E685" s="456"/>
      <c r="F685" s="454"/>
      <c r="G685" s="503"/>
    </row>
    <row r="686" spans="1:7" ht="19.899999999999999" customHeight="1">
      <c r="A686" s="501"/>
      <c r="B686" s="462"/>
      <c r="C686" s="463" t="s">
        <v>998</v>
      </c>
      <c r="D686" s="464" t="s">
        <v>23</v>
      </c>
      <c r="E686" s="464" t="s">
        <v>999</v>
      </c>
      <c r="F686" s="464" t="s">
        <v>1000</v>
      </c>
      <c r="G686" s="463" t="s">
        <v>1001</v>
      </c>
    </row>
    <row r="687" spans="1:7" ht="19.899999999999999" customHeight="1">
      <c r="A687" s="501"/>
      <c r="B687" s="462"/>
      <c r="C687" s="465"/>
      <c r="D687" s="466"/>
      <c r="E687" s="467">
        <f t="shared" ref="E687:E696" si="190">IFERROR(VLOOKUP(C687,T_Equipos,4,FALSE),0)</f>
        <v>0</v>
      </c>
      <c r="F687" s="468"/>
      <c r="G687" s="468">
        <f>ROUND(D687*F687,2)</f>
        <v>0</v>
      </c>
    </row>
    <row r="688" spans="1:7" ht="19.899999999999999" customHeight="1">
      <c r="A688" s="501"/>
      <c r="B688" s="462"/>
      <c r="C688" s="465"/>
      <c r="D688" s="466"/>
      <c r="E688" s="467">
        <f t="shared" si="190"/>
        <v>0</v>
      </c>
      <c r="F688" s="468"/>
      <c r="G688" s="468">
        <f>ROUND(D688*F688,2)</f>
        <v>0</v>
      </c>
    </row>
    <row r="689" spans="1:7" ht="19.899999999999999" customHeight="1">
      <c r="A689" s="501"/>
      <c r="B689" s="462"/>
      <c r="C689" s="465"/>
      <c r="D689" s="466"/>
      <c r="E689" s="467">
        <f t="shared" si="190"/>
        <v>0</v>
      </c>
      <c r="F689" s="468"/>
      <c r="G689" s="468">
        <f>ROUND(D689*F689,2)</f>
        <v>0</v>
      </c>
    </row>
    <row r="690" spans="1:7" ht="19.899999999999999" customHeight="1">
      <c r="A690" s="501"/>
      <c r="B690" s="462"/>
      <c r="C690" s="465"/>
      <c r="D690" s="466"/>
      <c r="E690" s="467">
        <f t="shared" si="190"/>
        <v>0</v>
      </c>
      <c r="F690" s="468"/>
      <c r="G690" s="468">
        <f>ROUND(D690*F690,2)</f>
        <v>0</v>
      </c>
    </row>
    <row r="691" spans="1:7" ht="19.899999999999999" customHeight="1">
      <c r="A691" s="501"/>
      <c r="B691" s="462"/>
      <c r="C691" s="465"/>
      <c r="D691" s="466"/>
      <c r="E691" s="467">
        <f t="shared" si="190"/>
        <v>0</v>
      </c>
      <c r="F691" s="468"/>
      <c r="G691" s="468">
        <f t="shared" ref="G691:G696" si="191">ROUND(D691*F691,2)</f>
        <v>0</v>
      </c>
    </row>
    <row r="692" spans="1:7" ht="19.899999999999999" customHeight="1">
      <c r="A692" s="501"/>
      <c r="B692" s="462"/>
      <c r="C692" s="465"/>
      <c r="D692" s="466"/>
      <c r="E692" s="467">
        <f t="shared" si="190"/>
        <v>0</v>
      </c>
      <c r="F692" s="468">
        <f t="shared" ref="F692:F696" si="192">IFERROR(VLOOKUP(C692,T_Equipos,5,FALSE),0)</f>
        <v>0</v>
      </c>
      <c r="G692" s="468">
        <f t="shared" si="191"/>
        <v>0</v>
      </c>
    </row>
    <row r="693" spans="1:7" ht="19.899999999999999" customHeight="1">
      <c r="A693" s="501"/>
      <c r="B693" s="462"/>
      <c r="C693" s="465"/>
      <c r="D693" s="466"/>
      <c r="E693" s="467">
        <f t="shared" si="190"/>
        <v>0</v>
      </c>
      <c r="F693" s="468">
        <f t="shared" si="192"/>
        <v>0</v>
      </c>
      <c r="G693" s="468">
        <f t="shared" si="191"/>
        <v>0</v>
      </c>
    </row>
    <row r="694" spans="1:7" ht="19.899999999999999" customHeight="1">
      <c r="A694" s="501"/>
      <c r="B694" s="462"/>
      <c r="C694" s="465"/>
      <c r="D694" s="466"/>
      <c r="E694" s="467">
        <f t="shared" si="190"/>
        <v>0</v>
      </c>
      <c r="F694" s="468">
        <f t="shared" si="192"/>
        <v>0</v>
      </c>
      <c r="G694" s="468">
        <f t="shared" si="191"/>
        <v>0</v>
      </c>
    </row>
    <row r="695" spans="1:7" ht="19.899999999999999" customHeight="1">
      <c r="A695" s="501"/>
      <c r="B695" s="462"/>
      <c r="C695" s="465"/>
      <c r="D695" s="466"/>
      <c r="E695" s="467">
        <f t="shared" si="190"/>
        <v>0</v>
      </c>
      <c r="F695" s="468">
        <f t="shared" si="192"/>
        <v>0</v>
      </c>
      <c r="G695" s="468">
        <f t="shared" si="191"/>
        <v>0</v>
      </c>
    </row>
    <row r="696" spans="1:7" ht="19.899999999999999" customHeight="1">
      <c r="A696" s="501"/>
      <c r="B696" s="462"/>
      <c r="C696" s="465"/>
      <c r="D696" s="466"/>
      <c r="E696" s="467">
        <f t="shared" si="190"/>
        <v>0</v>
      </c>
      <c r="F696" s="468">
        <f t="shared" si="192"/>
        <v>0</v>
      </c>
      <c r="G696" s="468">
        <f t="shared" si="191"/>
        <v>0</v>
      </c>
    </row>
    <row r="697" spans="1:7" ht="19.899999999999999" customHeight="1">
      <c r="A697" s="501"/>
      <c r="B697" s="462"/>
      <c r="C697" s="160"/>
      <c r="D697" s="160"/>
      <c r="E697" s="469"/>
      <c r="F697" s="454"/>
      <c r="G697" s="503"/>
    </row>
    <row r="698" spans="1:7" ht="19.899999999999999" customHeight="1">
      <c r="A698" s="501"/>
      <c r="B698" s="160"/>
      <c r="C698" s="451" t="s">
        <v>1002</v>
      </c>
      <c r="D698" s="454" t="s">
        <v>999</v>
      </c>
      <c r="E698" s="520">
        <f>SUMPRODUCT(D687:D696,E687:E696)</f>
        <v>0</v>
      </c>
      <c r="F698" s="454" t="s">
        <v>1003</v>
      </c>
      <c r="G698" s="521">
        <f>SUM(G687:G696)</f>
        <v>0</v>
      </c>
    </row>
    <row r="699" spans="1:7" ht="19.899999999999999" customHeight="1">
      <c r="A699" s="501"/>
      <c r="B699" s="462"/>
      <c r="C699" s="470"/>
      <c r="D699" s="469"/>
      <c r="E699" s="456"/>
      <c r="F699" s="454"/>
      <c r="G699" s="507"/>
    </row>
    <row r="700" spans="1:7" ht="19.899999999999999" customHeight="1">
      <c r="A700" s="508"/>
      <c r="B700" s="462"/>
      <c r="C700" s="454" t="s">
        <v>1004</v>
      </c>
      <c r="D700" s="471"/>
      <c r="E700" s="472" t="str">
        <f ca="1">G682&amp;"/día"</f>
        <v>gl/día</v>
      </c>
      <c r="F700" s="448"/>
      <c r="G700" s="503"/>
    </row>
    <row r="701" spans="1:7" ht="19.899999999999999" customHeight="1">
      <c r="A701" s="501"/>
      <c r="B701" s="462"/>
      <c r="C701" s="160"/>
      <c r="D701" s="455"/>
      <c r="E701" s="456"/>
      <c r="F701" s="454"/>
      <c r="G701" s="503"/>
    </row>
    <row r="702" spans="1:7" ht="19.899999999999999" customHeight="1">
      <c r="A702" s="637" t="s">
        <v>575</v>
      </c>
      <c r="B702" s="638"/>
      <c r="C702" s="639" t="s">
        <v>0</v>
      </c>
      <c r="D702" s="647" t="s">
        <v>1863</v>
      </c>
      <c r="E702" s="647" t="s">
        <v>1862</v>
      </c>
      <c r="F702" s="643" t="s">
        <v>1005</v>
      </c>
      <c r="G702" s="645" t="s">
        <v>25</v>
      </c>
    </row>
    <row r="703" spans="1:7" ht="19.899999999999999" customHeight="1">
      <c r="A703" s="473" t="s">
        <v>576</v>
      </c>
      <c r="B703" s="473" t="s">
        <v>577</v>
      </c>
      <c r="C703" s="640"/>
      <c r="D703" s="648"/>
      <c r="E703" s="642"/>
      <c r="F703" s="644"/>
      <c r="G703" s="646"/>
    </row>
    <row r="704" spans="1:7" ht="19.899999999999999" customHeight="1">
      <c r="A704" s="509"/>
      <c r="B704" s="160"/>
      <c r="C704" s="451" t="s">
        <v>1006</v>
      </c>
      <c r="D704" s="456"/>
      <c r="E704" s="456"/>
      <c r="F704" s="160"/>
      <c r="G704" s="510"/>
    </row>
    <row r="705" spans="1:7" ht="19.899999999999999" customHeight="1">
      <c r="A705" s="511">
        <f t="shared" ref="A705:A713" si="193">IFERROR(VLOOKUP(C705,T_Insumos,4,FALSE),0)</f>
        <v>0</v>
      </c>
      <c r="B705" s="474">
        <f t="shared" ref="B705:B713" si="194">IFERROR(VLOOKUP(C705,T_Insumos,5,FALSE),0)</f>
        <v>0</v>
      </c>
      <c r="C705" s="465"/>
      <c r="D705" s="475">
        <f t="shared" ref="D705:D713" si="195">IFERROR(VLOOKUP(C705,T_Insumos,3,FALSE),0)</f>
        <v>0</v>
      </c>
      <c r="E705" s="468">
        <f>D705*$G$323</f>
        <v>0</v>
      </c>
      <c r="F705" s="471">
        <f>+$D$325</f>
        <v>0</v>
      </c>
      <c r="G705" s="468">
        <f>IFERROR(ROUND(E705/F705,2),0)</f>
        <v>0</v>
      </c>
    </row>
    <row r="706" spans="1:7" ht="19.899999999999999" customHeight="1">
      <c r="A706" s="511"/>
      <c r="B706" s="474"/>
      <c r="C706" s="465"/>
      <c r="D706" s="475">
        <f t="shared" si="195"/>
        <v>0</v>
      </c>
      <c r="E706" s="468">
        <f>D706*$G$323</f>
        <v>0</v>
      </c>
      <c r="F706" s="471">
        <f t="shared" ref="F706:F708" si="196">+$D$325</f>
        <v>0</v>
      </c>
      <c r="G706" s="468">
        <f t="shared" ref="G706:G713" si="197">IFERROR(ROUND(E706/F706,2),0)</f>
        <v>0</v>
      </c>
    </row>
    <row r="707" spans="1:7" ht="19.899999999999999" customHeight="1">
      <c r="A707" s="511">
        <f t="shared" ref="A707:A715" si="198">IFERROR(VLOOKUP(C707,T_Insumos,4,FALSE),0)</f>
        <v>0</v>
      </c>
      <c r="B707" s="474">
        <f t="shared" ref="B707:B715" si="199">IFERROR(VLOOKUP(C707,T_Insumos,5,FALSE),0)</f>
        <v>0</v>
      </c>
      <c r="C707" s="476"/>
      <c r="D707" s="475">
        <f t="shared" si="195"/>
        <v>0</v>
      </c>
      <c r="E707" s="468">
        <f>D707*$E$323</f>
        <v>0</v>
      </c>
      <c r="F707" s="471">
        <f t="shared" si="196"/>
        <v>0</v>
      </c>
      <c r="G707" s="468">
        <f t="shared" si="197"/>
        <v>0</v>
      </c>
    </row>
    <row r="708" spans="1:7" ht="19.899999999999999" customHeight="1">
      <c r="A708" s="511">
        <f t="shared" si="198"/>
        <v>0</v>
      </c>
      <c r="B708" s="474">
        <f t="shared" si="199"/>
        <v>0</v>
      </c>
      <c r="C708" s="476"/>
      <c r="D708" s="475">
        <f t="shared" si="195"/>
        <v>0</v>
      </c>
      <c r="E708" s="468">
        <f>D708*$E$323</f>
        <v>0</v>
      </c>
      <c r="F708" s="471">
        <f t="shared" si="196"/>
        <v>0</v>
      </c>
      <c r="G708" s="468">
        <f t="shared" si="197"/>
        <v>0</v>
      </c>
    </row>
    <row r="709" spans="1:7" ht="19.899999999999999" customHeight="1">
      <c r="A709" s="511">
        <f t="shared" si="198"/>
        <v>0</v>
      </c>
      <c r="B709" s="474">
        <f t="shared" si="199"/>
        <v>0</v>
      </c>
      <c r="C709" s="476"/>
      <c r="D709" s="475">
        <f t="shared" si="195"/>
        <v>0</v>
      </c>
      <c r="E709" s="468"/>
      <c r="F709" s="471">
        <f>IF(C709="",0,IFERROR(VLOOKUP(COUNTIF($A$1:A709,"ANALISIS DE PRECIOS"),T_Rendimiento_Equipo,5,FALSE),0))</f>
        <v>0</v>
      </c>
      <c r="G709" s="468">
        <f t="shared" si="197"/>
        <v>0</v>
      </c>
    </row>
    <row r="710" spans="1:7" ht="19.899999999999999" customHeight="1">
      <c r="A710" s="511">
        <f t="shared" si="198"/>
        <v>0</v>
      </c>
      <c r="B710" s="474">
        <f t="shared" si="199"/>
        <v>0</v>
      </c>
      <c r="C710" s="476"/>
      <c r="D710" s="475">
        <f t="shared" si="195"/>
        <v>0</v>
      </c>
      <c r="E710" s="468"/>
      <c r="F710" s="471">
        <f>IF(C710="",0,IFERROR(VLOOKUP(COUNTIF($A$1:A710,"ANALISIS DE PRECIOS"),T_Rendimiento_Equipo,5,FALSE),0))</f>
        <v>0</v>
      </c>
      <c r="G710" s="468">
        <f t="shared" si="197"/>
        <v>0</v>
      </c>
    </row>
    <row r="711" spans="1:7" ht="19.899999999999999" customHeight="1">
      <c r="A711" s="511">
        <f t="shared" si="198"/>
        <v>0</v>
      </c>
      <c r="B711" s="474">
        <f t="shared" si="199"/>
        <v>0</v>
      </c>
      <c r="C711" s="476"/>
      <c r="D711" s="475">
        <f t="shared" si="195"/>
        <v>0</v>
      </c>
      <c r="E711" s="468"/>
      <c r="F711" s="471">
        <f>IF(C711="",0,IFERROR(VLOOKUP(COUNTIF($A$1:A711,"ANALISIS DE PRECIOS"),T_Rendimiento_Equipo,5,FALSE),0))</f>
        <v>0</v>
      </c>
      <c r="G711" s="468">
        <f t="shared" si="197"/>
        <v>0</v>
      </c>
    </row>
    <row r="712" spans="1:7" ht="19.899999999999999" customHeight="1">
      <c r="A712" s="511">
        <f t="shared" si="198"/>
        <v>0</v>
      </c>
      <c r="B712" s="474">
        <f t="shared" si="199"/>
        <v>0</v>
      </c>
      <c r="C712" s="476"/>
      <c r="D712" s="475">
        <f t="shared" si="195"/>
        <v>0</v>
      </c>
      <c r="E712" s="468"/>
      <c r="F712" s="471">
        <f>IF(C712="",0,IFERROR(VLOOKUP(COUNTIF($A$1:A712,"ANALISIS DE PRECIOS"),T_Rendimiento_Equipo,5,FALSE),0))</f>
        <v>0</v>
      </c>
      <c r="G712" s="468">
        <f t="shared" si="197"/>
        <v>0</v>
      </c>
    </row>
    <row r="713" spans="1:7" ht="19.899999999999999" customHeight="1">
      <c r="A713" s="511">
        <f t="shared" si="198"/>
        <v>0</v>
      </c>
      <c r="B713" s="474">
        <f t="shared" si="199"/>
        <v>0</v>
      </c>
      <c r="C713" s="465"/>
      <c r="D713" s="475">
        <f t="shared" si="195"/>
        <v>0</v>
      </c>
      <c r="E713" s="468"/>
      <c r="F713" s="471">
        <f>IF(C713="",0,IFERROR(VLOOKUP(COUNTIF($A$1:A713,"ANALISIS DE PRECIOS"),T_Rendimiento_Equipo,5,FALSE),0))</f>
        <v>0</v>
      </c>
      <c r="G713" s="468">
        <f t="shared" si="197"/>
        <v>0</v>
      </c>
    </row>
    <row r="714" spans="1:7" ht="19.899999999999999" customHeight="1">
      <c r="A714" s="512"/>
      <c r="B714" s="455"/>
      <c r="C714" s="160"/>
      <c r="D714" s="455"/>
      <c r="E714" s="456"/>
      <c r="F714" s="615" t="s">
        <v>26</v>
      </c>
      <c r="G714" s="513">
        <f>SUBTOTAL(9,G705:G713)</f>
        <v>0</v>
      </c>
    </row>
    <row r="715" spans="1:7" ht="19.899999999999999" customHeight="1">
      <c r="A715" s="509"/>
      <c r="B715" s="160"/>
      <c r="C715" s="451" t="s">
        <v>712</v>
      </c>
      <c r="D715" s="455"/>
      <c r="E715" s="456"/>
      <c r="F715" s="457"/>
      <c r="G715" s="510"/>
    </row>
    <row r="716" spans="1:7" ht="19.899999999999999" customHeight="1">
      <c r="A716" s="637" t="s">
        <v>575</v>
      </c>
      <c r="B716" s="638"/>
      <c r="C716" s="639" t="s">
        <v>0</v>
      </c>
      <c r="D716" s="641" t="s">
        <v>23</v>
      </c>
      <c r="E716" s="641" t="s">
        <v>1829</v>
      </c>
      <c r="F716" s="643" t="s">
        <v>1005</v>
      </c>
      <c r="G716" s="645" t="s">
        <v>25</v>
      </c>
    </row>
    <row r="717" spans="1:7" ht="19.899999999999999" customHeight="1">
      <c r="A717" s="473" t="s">
        <v>576</v>
      </c>
      <c r="B717" s="473" t="s">
        <v>577</v>
      </c>
      <c r="C717" s="640"/>
      <c r="D717" s="642"/>
      <c r="E717" s="642"/>
      <c r="F717" s="644"/>
      <c r="G717" s="646"/>
    </row>
    <row r="718" spans="1:7" ht="19.899999999999999" customHeight="1">
      <c r="A718" s="511"/>
      <c r="B718" s="474"/>
      <c r="C718" s="478"/>
      <c r="D718" s="471"/>
      <c r="E718" s="468">
        <f t="shared" ref="E718:E722" si="200">IFERROR(VLOOKUP(C718,T_Insumos,3,FALSE),0)</f>
        <v>0</v>
      </c>
      <c r="F718" s="471">
        <f>+$D$325</f>
        <v>0</v>
      </c>
      <c r="G718" s="468">
        <f>IFERROR(ROUND(D718*E718/F718,2),0)</f>
        <v>0</v>
      </c>
    </row>
    <row r="719" spans="1:7" ht="19.899999999999999" customHeight="1">
      <c r="A719" s="511"/>
      <c r="B719" s="474"/>
      <c r="C719" s="465"/>
      <c r="D719" s="471"/>
      <c r="E719" s="468">
        <f t="shared" si="200"/>
        <v>0</v>
      </c>
      <c r="F719" s="471">
        <f t="shared" ref="F719:F723" si="201">+$D$325</f>
        <v>0</v>
      </c>
      <c r="G719" s="468">
        <f t="shared" ref="G719:G724" si="202">IFERROR(ROUND(D719*E719/F719,2),0)</f>
        <v>0</v>
      </c>
    </row>
    <row r="720" spans="1:7" ht="19.899999999999999" customHeight="1">
      <c r="A720" s="511"/>
      <c r="B720" s="474"/>
      <c r="C720" s="465"/>
      <c r="D720" s="471"/>
      <c r="E720" s="468">
        <f t="shared" si="200"/>
        <v>0</v>
      </c>
      <c r="F720" s="471">
        <f t="shared" si="201"/>
        <v>0</v>
      </c>
      <c r="G720" s="468">
        <f t="shared" si="202"/>
        <v>0</v>
      </c>
    </row>
    <row r="721" spans="1:7" ht="19.899999999999999" customHeight="1">
      <c r="A721" s="511"/>
      <c r="B721" s="474"/>
      <c r="C721" s="465"/>
      <c r="D721" s="471"/>
      <c r="E721" s="468">
        <f t="shared" si="200"/>
        <v>0</v>
      </c>
      <c r="F721" s="471">
        <f t="shared" si="201"/>
        <v>0</v>
      </c>
      <c r="G721" s="468">
        <f t="shared" si="202"/>
        <v>0</v>
      </c>
    </row>
    <row r="722" spans="1:7" ht="19.899999999999999" customHeight="1">
      <c r="A722" s="511">
        <f t="shared" ref="A722:A724" si="203">IFERROR(VLOOKUP(C722,T_Insumos,4,FALSE),0)</f>
        <v>0</v>
      </c>
      <c r="B722" s="474">
        <f t="shared" ref="B722:B724" si="204">IFERROR(VLOOKUP(C722,T_Insumos,5,FALSE),0)</f>
        <v>0</v>
      </c>
      <c r="C722" s="465"/>
      <c r="D722" s="471"/>
      <c r="E722" s="468">
        <f t="shared" si="200"/>
        <v>0</v>
      </c>
      <c r="F722" s="471">
        <f>IF(C722="",0,IFERROR(VLOOKUP(COUNTIF($A$1:A722,"ANALISIS DE PRECIOS"),T_Rendimiento_Equipo,5,FALSE),0))</f>
        <v>0</v>
      </c>
      <c r="G722" s="468">
        <f t="shared" si="202"/>
        <v>0</v>
      </c>
    </row>
    <row r="723" spans="1:7" ht="19.899999999999999" customHeight="1">
      <c r="A723" s="511">
        <f t="shared" si="203"/>
        <v>0</v>
      </c>
      <c r="B723" s="474">
        <f t="shared" si="204"/>
        <v>0</v>
      </c>
      <c r="C723" s="465"/>
      <c r="D723" s="479"/>
      <c r="E723" s="468">
        <f>SUMPRODUCT(D718:D721,E718:E721)</f>
        <v>0</v>
      </c>
      <c r="F723" s="471">
        <f t="shared" si="201"/>
        <v>0</v>
      </c>
      <c r="G723" s="468">
        <f t="shared" si="202"/>
        <v>0</v>
      </c>
    </row>
    <row r="724" spans="1:7" ht="19.899999999999999" customHeight="1">
      <c r="A724" s="511">
        <f t="shared" si="203"/>
        <v>0</v>
      </c>
      <c r="B724" s="474">
        <f t="shared" si="204"/>
        <v>0</v>
      </c>
      <c r="C724" s="474"/>
      <c r="D724" s="480"/>
      <c r="E724" s="468">
        <f t="shared" ref="E724:E726" si="205">IFERROR(VLOOKUP(C724,T_Insumos,3,FALSE),0)</f>
        <v>0</v>
      </c>
      <c r="F724" s="471">
        <f>IF(C724="",0,IFERROR(VLOOKUP(COUNTIF($A$1:A724,"ANALISIS DE PRECIOS"),T_Rendimiento_Equipo,5,FALSE),0))</f>
        <v>0</v>
      </c>
      <c r="G724" s="468">
        <f t="shared" si="202"/>
        <v>0</v>
      </c>
    </row>
    <row r="725" spans="1:7" ht="19.899999999999999" customHeight="1">
      <c r="A725" s="512"/>
      <c r="B725" s="455"/>
      <c r="C725" s="160"/>
      <c r="D725" s="455"/>
      <c r="E725" s="456"/>
      <c r="F725" s="615" t="s">
        <v>27</v>
      </c>
      <c r="G725" s="514">
        <f>SUBTOTAL(9,G718:G724)</f>
        <v>0</v>
      </c>
    </row>
    <row r="726" spans="1:7" ht="19.899999999999999" customHeight="1">
      <c r="A726" s="509"/>
      <c r="B726" s="160"/>
      <c r="C726" s="451" t="s">
        <v>1012</v>
      </c>
      <c r="D726" s="455"/>
      <c r="E726" s="456"/>
      <c r="F726" s="457"/>
      <c r="G726" s="510"/>
    </row>
    <row r="727" spans="1:7" ht="19.899999999999999" customHeight="1">
      <c r="A727" s="637" t="s">
        <v>575</v>
      </c>
      <c r="B727" s="638"/>
      <c r="C727" s="639" t="s">
        <v>0</v>
      </c>
      <c r="D727" s="639" t="s">
        <v>1864</v>
      </c>
      <c r="E727" s="641" t="s">
        <v>23</v>
      </c>
      <c r="F727" s="643" t="s">
        <v>24</v>
      </c>
      <c r="G727" s="645" t="s">
        <v>25</v>
      </c>
    </row>
    <row r="728" spans="1:7" ht="19.899999999999999" customHeight="1">
      <c r="A728" s="473" t="s">
        <v>576</v>
      </c>
      <c r="B728" s="473" t="s">
        <v>577</v>
      </c>
      <c r="C728" s="640"/>
      <c r="D728" s="640"/>
      <c r="E728" s="642"/>
      <c r="F728" s="644"/>
      <c r="G728" s="646"/>
    </row>
    <row r="729" spans="1:7" ht="19.899999999999999" customHeight="1">
      <c r="A729" s="511">
        <f t="shared" ref="A729:A739" si="206">IFERROR(VLOOKUP(C729,T_Insumos,4,FALSE),0)</f>
        <v>0</v>
      </c>
      <c r="B729" s="474">
        <f t="shared" ref="B729:B739" si="207">IFERROR(VLOOKUP(C729,T_Insumos,5,FALSE),0)</f>
        <v>0</v>
      </c>
      <c r="C729" s="474"/>
      <c r="D729" s="522">
        <f t="shared" ref="D729:D739" si="208">IFERROR(VLOOKUP(C729,T_Insumos,2,FALSE),0)</f>
        <v>0</v>
      </c>
      <c r="E729" s="466"/>
      <c r="F729" s="468">
        <f t="shared" ref="F729:F739" si="209">IFERROR(VLOOKUP(C729,T_Insumos,3,FALSE),0)</f>
        <v>0</v>
      </c>
      <c r="G729" s="468">
        <f>ROUND(E729*F729,2)</f>
        <v>0</v>
      </c>
    </row>
    <row r="730" spans="1:7" ht="19.899999999999999" customHeight="1">
      <c r="A730" s="511">
        <f t="shared" si="206"/>
        <v>0</v>
      </c>
      <c r="B730" s="474">
        <f t="shared" si="207"/>
        <v>0</v>
      </c>
      <c r="C730" s="474"/>
      <c r="D730" s="522">
        <f t="shared" si="208"/>
        <v>0</v>
      </c>
      <c r="E730" s="466"/>
      <c r="F730" s="468">
        <f t="shared" si="209"/>
        <v>0</v>
      </c>
      <c r="G730" s="468">
        <f t="shared" ref="G730:G739" si="210">ROUND(E730*F730,2)</f>
        <v>0</v>
      </c>
    </row>
    <row r="731" spans="1:7" ht="19.899999999999999" customHeight="1">
      <c r="A731" s="511">
        <f t="shared" si="206"/>
        <v>0</v>
      </c>
      <c r="B731" s="474">
        <f t="shared" si="207"/>
        <v>0</v>
      </c>
      <c r="C731" s="474"/>
      <c r="D731" s="522">
        <f t="shared" si="208"/>
        <v>0</v>
      </c>
      <c r="E731" s="466"/>
      <c r="F731" s="468">
        <f t="shared" si="209"/>
        <v>0</v>
      </c>
      <c r="G731" s="468">
        <f t="shared" si="210"/>
        <v>0</v>
      </c>
    </row>
    <row r="732" spans="1:7" ht="19.899999999999999" customHeight="1">
      <c r="A732" s="511">
        <f t="shared" si="206"/>
        <v>0</v>
      </c>
      <c r="B732" s="474">
        <f t="shared" si="207"/>
        <v>0</v>
      </c>
      <c r="C732" s="474"/>
      <c r="D732" s="522">
        <f t="shared" si="208"/>
        <v>0</v>
      </c>
      <c r="E732" s="466"/>
      <c r="F732" s="468">
        <f t="shared" si="209"/>
        <v>0</v>
      </c>
      <c r="G732" s="468">
        <f t="shared" si="210"/>
        <v>0</v>
      </c>
    </row>
    <row r="733" spans="1:7" ht="19.899999999999999" customHeight="1">
      <c r="A733" s="511">
        <f t="shared" si="206"/>
        <v>0</v>
      </c>
      <c r="B733" s="474">
        <f t="shared" si="207"/>
        <v>0</v>
      </c>
      <c r="C733" s="474"/>
      <c r="D733" s="522">
        <f t="shared" si="208"/>
        <v>0</v>
      </c>
      <c r="E733" s="466"/>
      <c r="F733" s="468">
        <f t="shared" si="209"/>
        <v>0</v>
      </c>
      <c r="G733" s="468">
        <f t="shared" si="210"/>
        <v>0</v>
      </c>
    </row>
    <row r="734" spans="1:7" ht="19.899999999999999" customHeight="1">
      <c r="A734" s="511">
        <f t="shared" si="206"/>
        <v>0</v>
      </c>
      <c r="B734" s="474">
        <f t="shared" si="207"/>
        <v>0</v>
      </c>
      <c r="C734" s="474"/>
      <c r="D734" s="522">
        <f t="shared" si="208"/>
        <v>0</v>
      </c>
      <c r="E734" s="466"/>
      <c r="F734" s="468">
        <f t="shared" si="209"/>
        <v>0</v>
      </c>
      <c r="G734" s="468">
        <f t="shared" si="210"/>
        <v>0</v>
      </c>
    </row>
    <row r="735" spans="1:7" ht="19.899999999999999" customHeight="1">
      <c r="A735" s="511">
        <f t="shared" si="206"/>
        <v>0</v>
      </c>
      <c r="B735" s="474">
        <f t="shared" si="207"/>
        <v>0</v>
      </c>
      <c r="C735" s="474"/>
      <c r="D735" s="522">
        <f t="shared" si="208"/>
        <v>0</v>
      </c>
      <c r="E735" s="466"/>
      <c r="F735" s="468">
        <f t="shared" si="209"/>
        <v>0</v>
      </c>
      <c r="G735" s="468">
        <f t="shared" si="210"/>
        <v>0</v>
      </c>
    </row>
    <row r="736" spans="1:7" ht="19.899999999999999" customHeight="1">
      <c r="A736" s="511">
        <f t="shared" si="206"/>
        <v>0</v>
      </c>
      <c r="B736" s="474">
        <f t="shared" si="207"/>
        <v>0</v>
      </c>
      <c r="C736" s="474"/>
      <c r="D736" s="522">
        <f t="shared" si="208"/>
        <v>0</v>
      </c>
      <c r="E736" s="466"/>
      <c r="F736" s="468">
        <f t="shared" si="209"/>
        <v>0</v>
      </c>
      <c r="G736" s="468">
        <f t="shared" si="210"/>
        <v>0</v>
      </c>
    </row>
    <row r="737" spans="1:7" ht="19.899999999999999" customHeight="1">
      <c r="A737" s="511">
        <f t="shared" si="206"/>
        <v>0</v>
      </c>
      <c r="B737" s="474">
        <f t="shared" si="207"/>
        <v>0</v>
      </c>
      <c r="C737" s="474"/>
      <c r="D737" s="522">
        <f t="shared" si="208"/>
        <v>0</v>
      </c>
      <c r="E737" s="466"/>
      <c r="F737" s="468">
        <f t="shared" si="209"/>
        <v>0</v>
      </c>
      <c r="G737" s="468">
        <f t="shared" si="210"/>
        <v>0</v>
      </c>
    </row>
    <row r="738" spans="1:7" ht="19.899999999999999" customHeight="1">
      <c r="A738" s="511">
        <f t="shared" si="206"/>
        <v>0</v>
      </c>
      <c r="B738" s="474">
        <f t="shared" si="207"/>
        <v>0</v>
      </c>
      <c r="C738" s="474"/>
      <c r="D738" s="522">
        <f t="shared" si="208"/>
        <v>0</v>
      </c>
      <c r="E738" s="466"/>
      <c r="F738" s="468">
        <f t="shared" si="209"/>
        <v>0</v>
      </c>
      <c r="G738" s="468">
        <f t="shared" si="210"/>
        <v>0</v>
      </c>
    </row>
    <row r="739" spans="1:7" ht="19.899999999999999" customHeight="1">
      <c r="A739" s="511">
        <f t="shared" si="206"/>
        <v>0</v>
      </c>
      <c r="B739" s="474">
        <f t="shared" si="207"/>
        <v>0</v>
      </c>
      <c r="C739" s="474"/>
      <c r="D739" s="522">
        <f t="shared" si="208"/>
        <v>0</v>
      </c>
      <c r="E739" s="466"/>
      <c r="F739" s="468">
        <f t="shared" si="209"/>
        <v>0</v>
      </c>
      <c r="G739" s="468">
        <f t="shared" si="210"/>
        <v>0</v>
      </c>
    </row>
    <row r="740" spans="1:7" ht="19.899999999999999" customHeight="1">
      <c r="A740" s="509"/>
      <c r="B740" s="160"/>
      <c r="C740" s="160"/>
      <c r="D740" s="455"/>
      <c r="E740" s="456"/>
      <c r="F740" s="615" t="s">
        <v>28</v>
      </c>
      <c r="G740" s="514">
        <f>SUBTOTAL(9,G729:G739)</f>
        <v>0</v>
      </c>
    </row>
    <row r="741" spans="1:7" ht="19.899999999999999" customHeight="1">
      <c r="A741" s="509"/>
      <c r="B741" s="160"/>
      <c r="C741" s="451" t="s">
        <v>1013</v>
      </c>
      <c r="D741" s="455"/>
      <c r="E741" s="456"/>
      <c r="F741" s="457"/>
      <c r="G741" s="510"/>
    </row>
    <row r="742" spans="1:7" ht="19.899999999999999" customHeight="1">
      <c r="A742" s="637" t="s">
        <v>575</v>
      </c>
      <c r="B742" s="638"/>
      <c r="C742" s="639" t="s">
        <v>0</v>
      </c>
      <c r="D742" s="639" t="s">
        <v>1864</v>
      </c>
      <c r="E742" s="641" t="s">
        <v>23</v>
      </c>
      <c r="F742" s="643" t="s">
        <v>24</v>
      </c>
      <c r="G742" s="645" t="s">
        <v>25</v>
      </c>
    </row>
    <row r="743" spans="1:7" ht="19.899999999999999" customHeight="1">
      <c r="A743" s="473" t="s">
        <v>576</v>
      </c>
      <c r="B743" s="473" t="s">
        <v>577</v>
      </c>
      <c r="C743" s="640"/>
      <c r="D743" s="640"/>
      <c r="E743" s="642"/>
      <c r="F743" s="644"/>
      <c r="G743" s="646"/>
    </row>
    <row r="744" spans="1:7" ht="19.899999999999999" customHeight="1">
      <c r="A744" s="511">
        <f>IFERROR(VLOOKUP(C744,T_Insumos,4,FALSE),0)</f>
        <v>0</v>
      </c>
      <c r="B744" s="474">
        <f>IFERROR(VLOOKUP(C744,T_Insumos,5,FALSE),0)</f>
        <v>0</v>
      </c>
      <c r="C744" s="465"/>
      <c r="D744" s="522">
        <f>IF(C744=0,0,"$/tnkm")</f>
        <v>0</v>
      </c>
      <c r="E744" s="466"/>
      <c r="F744" s="468">
        <f>IFERROR(VLOOKUP(C744,T_Insumos,3,FALSE),0)</f>
        <v>0</v>
      </c>
      <c r="G744" s="468">
        <f>ROUND(E744*F744,2)</f>
        <v>0</v>
      </c>
    </row>
    <row r="745" spans="1:7" ht="19.899999999999999" customHeight="1">
      <c r="A745" s="511">
        <f>IFERROR(VLOOKUP(C745,T_Insumos,4,FALSE),0)</f>
        <v>0</v>
      </c>
      <c r="B745" s="474">
        <f>IFERROR(VLOOKUP(C745,T_Insumos,5,FALSE),0)</f>
        <v>0</v>
      </c>
      <c r="C745" s="465"/>
      <c r="D745" s="522">
        <f>IF(C745=0,0,"$/tnkm")</f>
        <v>0</v>
      </c>
      <c r="E745" s="482"/>
      <c r="F745" s="468">
        <f>IFERROR(VLOOKUP(C745,T_Insumos,3,FALSE),0)</f>
        <v>0</v>
      </c>
      <c r="G745" s="468">
        <f t="shared" ref="G745" si="211">ROUND(E745*F745,2)</f>
        <v>0</v>
      </c>
    </row>
    <row r="746" spans="1:7" ht="19.899999999999999" customHeight="1">
      <c r="A746" s="509"/>
      <c r="B746" s="160"/>
      <c r="C746" s="160"/>
      <c r="D746" s="455"/>
      <c r="E746" s="456"/>
      <c r="F746" s="615" t="s">
        <v>1014</v>
      </c>
      <c r="G746" s="514">
        <f>SUBTOTAL(9,G744:G745)</f>
        <v>0</v>
      </c>
    </row>
    <row r="747" spans="1:7" ht="19.899999999999999" customHeight="1">
      <c r="A747" s="512"/>
      <c r="B747" s="455"/>
      <c r="C747" s="160"/>
      <c r="D747" s="455"/>
      <c r="E747" s="456"/>
      <c r="F747" s="457"/>
      <c r="G747" s="510"/>
    </row>
    <row r="748" spans="1:7" ht="19.899999999999999" customHeight="1">
      <c r="A748" s="570">
        <f>B682</f>
        <v>2.2999999999999998</v>
      </c>
      <c r="B748" s="567" t="str">
        <f ca="1">C682</f>
        <v>Instalacion tablero de potencia y control de electrobomba sumergible con control de velocidad, sistema de iluminacion monitoreo remoto de presion y caudal</v>
      </c>
      <c r="C748" s="455"/>
      <c r="D748" s="455" t="s">
        <v>1830</v>
      </c>
      <c r="E748" s="568"/>
      <c r="F748" s="569" t="str">
        <f ca="1">"$/"&amp;G682</f>
        <v>$/gl</v>
      </c>
      <c r="G748" s="519">
        <f>SUBTOTAL(9,G705:G747)</f>
        <v>0</v>
      </c>
    </row>
    <row r="749" spans="1:7" ht="19.899999999999999" customHeight="1">
      <c r="A749" s="515"/>
      <c r="B749" s="516"/>
      <c r="C749" s="517"/>
      <c r="D749" s="517" t="s">
        <v>2040</v>
      </c>
      <c r="E749" s="518"/>
      <c r="F749" s="571" t="str">
        <f ca="1">"$/"&amp;G682</f>
        <v>$/gl</v>
      </c>
      <c r="G749" s="519">
        <f>ROUND(G748*Coeficiente_Paso,2)</f>
        <v>0</v>
      </c>
    </row>
    <row r="750" spans="1:7" ht="19.899999999999999" customHeight="1">
      <c r="A750" s="160"/>
      <c r="B750" s="160"/>
      <c r="C750" s="160"/>
      <c r="D750" s="160"/>
      <c r="E750" s="160"/>
      <c r="F750" s="160"/>
      <c r="G750" s="160"/>
    </row>
    <row r="751" spans="1:7" ht="19.899999999999999" customHeight="1">
      <c r="A751" s="633" t="s">
        <v>30</v>
      </c>
      <c r="B751" s="634"/>
      <c r="C751" s="634"/>
      <c r="D751" s="634"/>
      <c r="E751" s="634"/>
      <c r="F751" s="634"/>
      <c r="G751" s="635"/>
    </row>
    <row r="752" spans="1:7" ht="19.899999999999999" customHeight="1">
      <c r="A752" s="498" t="s">
        <v>710</v>
      </c>
      <c r="B752" s="449" t="str">
        <f>Comitente</f>
        <v>DEPARTAMENTO DE HIDRAULICA</v>
      </c>
      <c r="C752" s="450"/>
      <c r="D752" s="451"/>
      <c r="E752" s="451"/>
      <c r="F752" s="452"/>
      <c r="G752" s="499"/>
    </row>
    <row r="753" spans="1:7" ht="19.899999999999999" customHeight="1">
      <c r="A753" s="498" t="s">
        <v>711</v>
      </c>
      <c r="B753" s="449">
        <f>Contratista</f>
        <v>0</v>
      </c>
      <c r="C753" s="453"/>
      <c r="D753" s="453"/>
      <c r="E753" s="453"/>
      <c r="F753" s="449"/>
      <c r="G753" s="500"/>
    </row>
    <row r="754" spans="1:7" ht="19.899999999999999" customHeight="1">
      <c r="A754" s="498" t="s">
        <v>20</v>
      </c>
      <c r="B754" s="449" t="str">
        <f>Obra</f>
        <v>EJECUCION DE PERFORACION - SISTEMA DE RIEGO</v>
      </c>
      <c r="C754" s="453"/>
      <c r="D754" s="453"/>
      <c r="E754" s="453"/>
      <c r="F754" s="449" t="s">
        <v>31</v>
      </c>
      <c r="G754" s="500">
        <f>Fecha_Base</f>
        <v>0</v>
      </c>
    </row>
    <row r="755" spans="1:7" ht="19.899999999999999" customHeight="1">
      <c r="A755" s="501" t="s">
        <v>709</v>
      </c>
      <c r="B755" s="454" t="str">
        <f>Ubicación</f>
        <v>DEPARTAMENTO CHIMBAS</v>
      </c>
      <c r="C755" s="454"/>
      <c r="D755" s="455"/>
      <c r="E755" s="456"/>
      <c r="F755" s="457"/>
      <c r="G755" s="502"/>
    </row>
    <row r="756" spans="1:7" ht="19.899999999999999" customHeight="1">
      <c r="A756" s="501" t="s">
        <v>32</v>
      </c>
      <c r="B756" s="458">
        <f>IFERROR(VALUE(LEFT(B757,FIND(".",B757)-1)),"")</f>
        <v>2</v>
      </c>
      <c r="C756" s="160" t="str">
        <f ca="1">IFERROR(VLOOKUP(B756,T_Computo_Presupuesto,2,FALSE),0)</f>
        <v>INSTALACIONES ELECTROMECANICAS</v>
      </c>
      <c r="D756" s="160"/>
      <c r="E756" s="456"/>
      <c r="F756" s="457"/>
      <c r="G756" s="502"/>
    </row>
    <row r="757" spans="1:7" ht="19.899999999999999" customHeight="1">
      <c r="A757" s="501" t="s">
        <v>21</v>
      </c>
      <c r="B757" s="459">
        <f>IFERROR(VLOOKUP(COUNTIF($A$1:A757,"ANALISIS DE PRECIOS"),T_NumeroItem,2,FALSE),"")</f>
        <v>2.4</v>
      </c>
      <c r="C757" s="636" t="str">
        <f ca="1">IFERROR(VLOOKUP(B757,T_Computo_Presupuesto,2,FALSE),0)</f>
        <v>Construccion caseta para tablero y aprobaciones</v>
      </c>
      <c r="D757" s="636"/>
      <c r="E757" s="636"/>
      <c r="F757" s="454" t="s">
        <v>22</v>
      </c>
      <c r="G757" s="503" t="str">
        <f ca="1">IFERROR(VLOOKUP(B757,T_Computo_Presupuesto,4,FALSE),0)</f>
        <v>gl</v>
      </c>
    </row>
    <row r="758" spans="1:7" ht="19.899999999999999" customHeight="1">
      <c r="A758" s="501"/>
      <c r="B758" s="454"/>
      <c r="C758" s="160"/>
      <c r="D758" s="455"/>
      <c r="E758" s="456"/>
      <c r="F758" s="160"/>
      <c r="G758" s="504"/>
    </row>
    <row r="759" spans="1:7" ht="19.899999999999999" customHeight="1">
      <c r="A759" s="505"/>
      <c r="B759" s="460"/>
      <c r="C759" s="461" t="s">
        <v>997</v>
      </c>
      <c r="D759" s="460"/>
      <c r="E759" s="460"/>
      <c r="F759" s="460"/>
      <c r="G759" s="506"/>
    </row>
    <row r="760" spans="1:7" ht="19.899999999999999" customHeight="1">
      <c r="A760" s="501"/>
      <c r="B760" s="462"/>
      <c r="C760" s="160"/>
      <c r="D760" s="455"/>
      <c r="E760" s="456"/>
      <c r="F760" s="454"/>
      <c r="G760" s="503"/>
    </row>
    <row r="761" spans="1:7" ht="19.899999999999999" customHeight="1">
      <c r="A761" s="501"/>
      <c r="B761" s="462"/>
      <c r="C761" s="463" t="s">
        <v>998</v>
      </c>
      <c r="D761" s="464" t="s">
        <v>23</v>
      </c>
      <c r="E761" s="464" t="s">
        <v>999</v>
      </c>
      <c r="F761" s="464" t="s">
        <v>1000</v>
      </c>
      <c r="G761" s="463" t="s">
        <v>1001</v>
      </c>
    </row>
    <row r="762" spans="1:7" ht="19.899999999999999" customHeight="1">
      <c r="A762" s="501"/>
      <c r="B762" s="462"/>
      <c r="C762" s="465"/>
      <c r="D762" s="466"/>
      <c r="E762" s="467">
        <f t="shared" ref="E762:E771" si="212">IFERROR(VLOOKUP(C762,T_Equipos,4,FALSE),0)</f>
        <v>0</v>
      </c>
      <c r="F762" s="468"/>
      <c r="G762" s="468">
        <f>ROUND(D762*F762,2)</f>
        <v>0</v>
      </c>
    </row>
    <row r="763" spans="1:7" ht="19.899999999999999" customHeight="1">
      <c r="A763" s="501"/>
      <c r="B763" s="462"/>
      <c r="C763" s="465"/>
      <c r="D763" s="466"/>
      <c r="E763" s="467">
        <f t="shared" si="212"/>
        <v>0</v>
      </c>
      <c r="F763" s="468"/>
      <c r="G763" s="468">
        <f>ROUND(D763*F763,2)</f>
        <v>0</v>
      </c>
    </row>
    <row r="764" spans="1:7" ht="19.899999999999999" customHeight="1">
      <c r="A764" s="501"/>
      <c r="B764" s="462"/>
      <c r="C764" s="465"/>
      <c r="D764" s="466"/>
      <c r="E764" s="467">
        <f t="shared" si="212"/>
        <v>0</v>
      </c>
      <c r="F764" s="468"/>
      <c r="G764" s="468">
        <f>ROUND(D764*F764,2)</f>
        <v>0</v>
      </c>
    </row>
    <row r="765" spans="1:7" ht="19.899999999999999" customHeight="1">
      <c r="A765" s="501"/>
      <c r="B765" s="462"/>
      <c r="C765" s="465"/>
      <c r="D765" s="466"/>
      <c r="E765" s="467">
        <f t="shared" si="212"/>
        <v>0</v>
      </c>
      <c r="F765" s="468"/>
      <c r="G765" s="468">
        <f>ROUND(D765*F765,2)</f>
        <v>0</v>
      </c>
    </row>
    <row r="766" spans="1:7" ht="19.899999999999999" customHeight="1">
      <c r="A766" s="501"/>
      <c r="B766" s="462"/>
      <c r="C766" s="465"/>
      <c r="D766" s="466"/>
      <c r="E766" s="467">
        <f t="shared" si="212"/>
        <v>0</v>
      </c>
      <c r="F766" s="468"/>
      <c r="G766" s="468">
        <f t="shared" ref="G766:G771" si="213">ROUND(D766*F766,2)</f>
        <v>0</v>
      </c>
    </row>
    <row r="767" spans="1:7" ht="19.899999999999999" customHeight="1">
      <c r="A767" s="501"/>
      <c r="B767" s="462"/>
      <c r="C767" s="465"/>
      <c r="D767" s="466"/>
      <c r="E767" s="467">
        <f t="shared" si="212"/>
        <v>0</v>
      </c>
      <c r="F767" s="468">
        <f t="shared" ref="F767:F771" si="214">IFERROR(VLOOKUP(C767,T_Equipos,5,FALSE),0)</f>
        <v>0</v>
      </c>
      <c r="G767" s="468">
        <f t="shared" si="213"/>
        <v>0</v>
      </c>
    </row>
    <row r="768" spans="1:7" ht="19.899999999999999" customHeight="1">
      <c r="A768" s="501"/>
      <c r="B768" s="462"/>
      <c r="C768" s="465"/>
      <c r="D768" s="466"/>
      <c r="E768" s="467">
        <f t="shared" si="212"/>
        <v>0</v>
      </c>
      <c r="F768" s="468">
        <f t="shared" si="214"/>
        <v>0</v>
      </c>
      <c r="G768" s="468">
        <f t="shared" si="213"/>
        <v>0</v>
      </c>
    </row>
    <row r="769" spans="1:7" ht="19.899999999999999" customHeight="1">
      <c r="A769" s="501"/>
      <c r="B769" s="462"/>
      <c r="C769" s="465"/>
      <c r="D769" s="466"/>
      <c r="E769" s="467">
        <f t="shared" si="212"/>
        <v>0</v>
      </c>
      <c r="F769" s="468">
        <f t="shared" si="214"/>
        <v>0</v>
      </c>
      <c r="G769" s="468">
        <f t="shared" si="213"/>
        <v>0</v>
      </c>
    </row>
    <row r="770" spans="1:7" ht="19.899999999999999" customHeight="1">
      <c r="A770" s="501"/>
      <c r="B770" s="462"/>
      <c r="C770" s="465"/>
      <c r="D770" s="466"/>
      <c r="E770" s="467">
        <f t="shared" si="212"/>
        <v>0</v>
      </c>
      <c r="F770" s="468">
        <f t="shared" si="214"/>
        <v>0</v>
      </c>
      <c r="G770" s="468">
        <f t="shared" si="213"/>
        <v>0</v>
      </c>
    </row>
    <row r="771" spans="1:7" ht="19.899999999999999" customHeight="1">
      <c r="A771" s="501"/>
      <c r="B771" s="462"/>
      <c r="C771" s="465"/>
      <c r="D771" s="466"/>
      <c r="E771" s="467">
        <f t="shared" si="212"/>
        <v>0</v>
      </c>
      <c r="F771" s="468">
        <f t="shared" si="214"/>
        <v>0</v>
      </c>
      <c r="G771" s="468">
        <f t="shared" si="213"/>
        <v>0</v>
      </c>
    </row>
    <row r="772" spans="1:7" ht="19.899999999999999" customHeight="1">
      <c r="A772" s="501"/>
      <c r="B772" s="462"/>
      <c r="C772" s="160"/>
      <c r="D772" s="160"/>
      <c r="E772" s="469"/>
      <c r="F772" s="454"/>
      <c r="G772" s="503"/>
    </row>
    <row r="773" spans="1:7" ht="19.899999999999999" customHeight="1">
      <c r="A773" s="501"/>
      <c r="B773" s="160"/>
      <c r="C773" s="451" t="s">
        <v>1002</v>
      </c>
      <c r="D773" s="454" t="s">
        <v>999</v>
      </c>
      <c r="E773" s="520">
        <f>SUMPRODUCT(D762:D771,E762:E771)</f>
        <v>0</v>
      </c>
      <c r="F773" s="454" t="s">
        <v>1003</v>
      </c>
      <c r="G773" s="521">
        <f>SUM(G762:G771)</f>
        <v>0</v>
      </c>
    </row>
    <row r="774" spans="1:7" ht="19.899999999999999" customHeight="1">
      <c r="A774" s="501"/>
      <c r="B774" s="462"/>
      <c r="C774" s="470"/>
      <c r="D774" s="469"/>
      <c r="E774" s="456"/>
      <c r="F774" s="454"/>
      <c r="G774" s="507"/>
    </row>
    <row r="775" spans="1:7" ht="19.899999999999999" customHeight="1">
      <c r="A775" s="508"/>
      <c r="B775" s="462"/>
      <c r="C775" s="454" t="s">
        <v>1004</v>
      </c>
      <c r="D775" s="471"/>
      <c r="E775" s="472" t="str">
        <f ca="1">G757&amp;"/día"</f>
        <v>gl/día</v>
      </c>
      <c r="F775" s="448"/>
      <c r="G775" s="503"/>
    </row>
    <row r="776" spans="1:7" ht="19.899999999999999" customHeight="1">
      <c r="A776" s="501"/>
      <c r="B776" s="462"/>
      <c r="C776" s="160"/>
      <c r="D776" s="455"/>
      <c r="E776" s="456"/>
      <c r="F776" s="454"/>
      <c r="G776" s="503"/>
    </row>
    <row r="777" spans="1:7" ht="19.899999999999999" customHeight="1">
      <c r="A777" s="637" t="s">
        <v>575</v>
      </c>
      <c r="B777" s="638"/>
      <c r="C777" s="639" t="s">
        <v>0</v>
      </c>
      <c r="D777" s="647" t="s">
        <v>1863</v>
      </c>
      <c r="E777" s="647" t="s">
        <v>1862</v>
      </c>
      <c r="F777" s="643" t="s">
        <v>1005</v>
      </c>
      <c r="G777" s="645" t="s">
        <v>25</v>
      </c>
    </row>
    <row r="778" spans="1:7" ht="19.899999999999999" customHeight="1">
      <c r="A778" s="473" t="s">
        <v>576</v>
      </c>
      <c r="B778" s="473" t="s">
        <v>577</v>
      </c>
      <c r="C778" s="640"/>
      <c r="D778" s="648"/>
      <c r="E778" s="642"/>
      <c r="F778" s="644"/>
      <c r="G778" s="646"/>
    </row>
    <row r="779" spans="1:7" ht="19.899999999999999" customHeight="1">
      <c r="A779" s="509"/>
      <c r="B779" s="160"/>
      <c r="C779" s="451" t="s">
        <v>1006</v>
      </c>
      <c r="D779" s="456"/>
      <c r="E779" s="456"/>
      <c r="F779" s="160"/>
      <c r="G779" s="510"/>
    </row>
    <row r="780" spans="1:7" ht="19.899999999999999" customHeight="1">
      <c r="A780" s="511">
        <f t="shared" ref="A780:A788" si="215">IFERROR(VLOOKUP(C780,T_Insumos,4,FALSE),0)</f>
        <v>0</v>
      </c>
      <c r="B780" s="474">
        <f t="shared" ref="B780:B788" si="216">IFERROR(VLOOKUP(C780,T_Insumos,5,FALSE),0)</f>
        <v>0</v>
      </c>
      <c r="C780" s="465"/>
      <c r="D780" s="475">
        <f t="shared" ref="D780:D788" si="217">IFERROR(VLOOKUP(C780,T_Insumos,3,FALSE),0)</f>
        <v>0</v>
      </c>
      <c r="E780" s="468">
        <f>D780*$G$323</f>
        <v>0</v>
      </c>
      <c r="F780" s="471">
        <f>+$D$325</f>
        <v>0</v>
      </c>
      <c r="G780" s="468">
        <f>IFERROR(ROUND(E780/F780,2),0)</f>
        <v>0</v>
      </c>
    </row>
    <row r="781" spans="1:7" ht="19.899999999999999" customHeight="1">
      <c r="A781" s="511"/>
      <c r="B781" s="474"/>
      <c r="C781" s="465"/>
      <c r="D781" s="475">
        <f t="shared" si="217"/>
        <v>0</v>
      </c>
      <c r="E781" s="468">
        <f>D781*$G$323</f>
        <v>0</v>
      </c>
      <c r="F781" s="471">
        <f t="shared" ref="F781:F783" si="218">+$D$325</f>
        <v>0</v>
      </c>
      <c r="G781" s="468">
        <f t="shared" ref="G781:G788" si="219">IFERROR(ROUND(E781/F781,2),0)</f>
        <v>0</v>
      </c>
    </row>
    <row r="782" spans="1:7" ht="19.899999999999999" customHeight="1">
      <c r="A782" s="511">
        <f t="shared" ref="A782:A790" si="220">IFERROR(VLOOKUP(C782,T_Insumos,4,FALSE),0)</f>
        <v>0</v>
      </c>
      <c r="B782" s="474">
        <f t="shared" ref="B782:B790" si="221">IFERROR(VLOOKUP(C782,T_Insumos,5,FALSE),0)</f>
        <v>0</v>
      </c>
      <c r="C782" s="476"/>
      <c r="D782" s="475">
        <f t="shared" si="217"/>
        <v>0</v>
      </c>
      <c r="E782" s="468">
        <f>D782*$E$323</f>
        <v>0</v>
      </c>
      <c r="F782" s="471">
        <f t="shared" si="218"/>
        <v>0</v>
      </c>
      <c r="G782" s="468">
        <f t="shared" si="219"/>
        <v>0</v>
      </c>
    </row>
    <row r="783" spans="1:7" ht="19.899999999999999" customHeight="1">
      <c r="A783" s="511">
        <f t="shared" si="220"/>
        <v>0</v>
      </c>
      <c r="B783" s="474">
        <f t="shared" si="221"/>
        <v>0</v>
      </c>
      <c r="C783" s="476"/>
      <c r="D783" s="475">
        <f t="shared" si="217"/>
        <v>0</v>
      </c>
      <c r="E783" s="468">
        <f>D783*$E$323</f>
        <v>0</v>
      </c>
      <c r="F783" s="471">
        <f t="shared" si="218"/>
        <v>0</v>
      </c>
      <c r="G783" s="468">
        <f t="shared" si="219"/>
        <v>0</v>
      </c>
    </row>
    <row r="784" spans="1:7" ht="19.899999999999999" customHeight="1">
      <c r="A784" s="511">
        <f t="shared" si="220"/>
        <v>0</v>
      </c>
      <c r="B784" s="474">
        <f t="shared" si="221"/>
        <v>0</v>
      </c>
      <c r="C784" s="476"/>
      <c r="D784" s="475">
        <f t="shared" si="217"/>
        <v>0</v>
      </c>
      <c r="E784" s="468"/>
      <c r="F784" s="471">
        <f>IF(C784="",0,IFERROR(VLOOKUP(COUNTIF($A$1:A784,"ANALISIS DE PRECIOS"),T_Rendimiento_Equipo,5,FALSE),0))</f>
        <v>0</v>
      </c>
      <c r="G784" s="468">
        <f t="shared" si="219"/>
        <v>0</v>
      </c>
    </row>
    <row r="785" spans="1:7" ht="19.899999999999999" customHeight="1">
      <c r="A785" s="511">
        <f t="shared" si="220"/>
        <v>0</v>
      </c>
      <c r="B785" s="474">
        <f t="shared" si="221"/>
        <v>0</v>
      </c>
      <c r="C785" s="476"/>
      <c r="D785" s="475">
        <f t="shared" si="217"/>
        <v>0</v>
      </c>
      <c r="E785" s="468"/>
      <c r="F785" s="471">
        <f>IF(C785="",0,IFERROR(VLOOKUP(COUNTIF($A$1:A785,"ANALISIS DE PRECIOS"),T_Rendimiento_Equipo,5,FALSE),0))</f>
        <v>0</v>
      </c>
      <c r="G785" s="468">
        <f t="shared" si="219"/>
        <v>0</v>
      </c>
    </row>
    <row r="786" spans="1:7" ht="19.899999999999999" customHeight="1">
      <c r="A786" s="511">
        <f t="shared" si="220"/>
        <v>0</v>
      </c>
      <c r="B786" s="474">
        <f t="shared" si="221"/>
        <v>0</v>
      </c>
      <c r="C786" s="476"/>
      <c r="D786" s="475">
        <f t="shared" si="217"/>
        <v>0</v>
      </c>
      <c r="E786" s="468"/>
      <c r="F786" s="471">
        <f>IF(C786="",0,IFERROR(VLOOKUP(COUNTIF($A$1:A786,"ANALISIS DE PRECIOS"),T_Rendimiento_Equipo,5,FALSE),0))</f>
        <v>0</v>
      </c>
      <c r="G786" s="468">
        <f t="shared" si="219"/>
        <v>0</v>
      </c>
    </row>
    <row r="787" spans="1:7" ht="19.899999999999999" customHeight="1">
      <c r="A787" s="511">
        <f t="shared" si="220"/>
        <v>0</v>
      </c>
      <c r="B787" s="474">
        <f t="shared" si="221"/>
        <v>0</v>
      </c>
      <c r="C787" s="476"/>
      <c r="D787" s="475">
        <f t="shared" si="217"/>
        <v>0</v>
      </c>
      <c r="E787" s="468"/>
      <c r="F787" s="471">
        <f>IF(C787="",0,IFERROR(VLOOKUP(COUNTIF($A$1:A787,"ANALISIS DE PRECIOS"),T_Rendimiento_Equipo,5,FALSE),0))</f>
        <v>0</v>
      </c>
      <c r="G787" s="468">
        <f t="shared" si="219"/>
        <v>0</v>
      </c>
    </row>
    <row r="788" spans="1:7" ht="19.899999999999999" customHeight="1">
      <c r="A788" s="511">
        <f t="shared" si="220"/>
        <v>0</v>
      </c>
      <c r="B788" s="474">
        <f t="shared" si="221"/>
        <v>0</v>
      </c>
      <c r="C788" s="465"/>
      <c r="D788" s="475">
        <f t="shared" si="217"/>
        <v>0</v>
      </c>
      <c r="E788" s="468"/>
      <c r="F788" s="471">
        <f>IF(C788="",0,IFERROR(VLOOKUP(COUNTIF($A$1:A788,"ANALISIS DE PRECIOS"),T_Rendimiento_Equipo,5,FALSE),0))</f>
        <v>0</v>
      </c>
      <c r="G788" s="468">
        <f t="shared" si="219"/>
        <v>0</v>
      </c>
    </row>
    <row r="789" spans="1:7" ht="19.899999999999999" customHeight="1">
      <c r="A789" s="512"/>
      <c r="B789" s="455"/>
      <c r="C789" s="160"/>
      <c r="D789" s="455"/>
      <c r="E789" s="456"/>
      <c r="F789" s="615" t="s">
        <v>26</v>
      </c>
      <c r="G789" s="513">
        <f>SUBTOTAL(9,G780:G788)</f>
        <v>0</v>
      </c>
    </row>
    <row r="790" spans="1:7" ht="19.899999999999999" customHeight="1">
      <c r="A790" s="509"/>
      <c r="B790" s="160"/>
      <c r="C790" s="451" t="s">
        <v>712</v>
      </c>
      <c r="D790" s="455"/>
      <c r="E790" s="456"/>
      <c r="F790" s="457"/>
      <c r="G790" s="510"/>
    </row>
    <row r="791" spans="1:7" ht="19.899999999999999" customHeight="1">
      <c r="A791" s="637" t="s">
        <v>575</v>
      </c>
      <c r="B791" s="638"/>
      <c r="C791" s="639" t="s">
        <v>0</v>
      </c>
      <c r="D791" s="641" t="s">
        <v>23</v>
      </c>
      <c r="E791" s="641" t="s">
        <v>1829</v>
      </c>
      <c r="F791" s="643" t="s">
        <v>1005</v>
      </c>
      <c r="G791" s="645" t="s">
        <v>25</v>
      </c>
    </row>
    <row r="792" spans="1:7" ht="19.899999999999999" customHeight="1">
      <c r="A792" s="473" t="s">
        <v>576</v>
      </c>
      <c r="B792" s="473" t="s">
        <v>577</v>
      </c>
      <c r="C792" s="640"/>
      <c r="D792" s="642"/>
      <c r="E792" s="642"/>
      <c r="F792" s="644"/>
      <c r="G792" s="646"/>
    </row>
    <row r="793" spans="1:7" ht="19.899999999999999" customHeight="1">
      <c r="A793" s="511"/>
      <c r="B793" s="474"/>
      <c r="C793" s="478"/>
      <c r="D793" s="471"/>
      <c r="E793" s="468">
        <f t="shared" ref="E793:E797" si="222">IFERROR(VLOOKUP(C793,T_Insumos,3,FALSE),0)</f>
        <v>0</v>
      </c>
      <c r="F793" s="471">
        <f>+$D$325</f>
        <v>0</v>
      </c>
      <c r="G793" s="468">
        <f>IFERROR(ROUND(D793*E793/F793,2),0)</f>
        <v>0</v>
      </c>
    </row>
    <row r="794" spans="1:7" ht="19.899999999999999" customHeight="1">
      <c r="A794" s="511"/>
      <c r="B794" s="474"/>
      <c r="C794" s="465"/>
      <c r="D794" s="471"/>
      <c r="E794" s="468">
        <f t="shared" si="222"/>
        <v>0</v>
      </c>
      <c r="F794" s="471">
        <f t="shared" ref="F794:F798" si="223">+$D$325</f>
        <v>0</v>
      </c>
      <c r="G794" s="468">
        <f t="shared" ref="G794:G799" si="224">IFERROR(ROUND(D794*E794/F794,2),0)</f>
        <v>0</v>
      </c>
    </row>
    <row r="795" spans="1:7" ht="19.899999999999999" customHeight="1">
      <c r="A795" s="511"/>
      <c r="B795" s="474"/>
      <c r="C795" s="465"/>
      <c r="D795" s="471"/>
      <c r="E795" s="468">
        <f t="shared" si="222"/>
        <v>0</v>
      </c>
      <c r="F795" s="471">
        <f t="shared" si="223"/>
        <v>0</v>
      </c>
      <c r="G795" s="468">
        <f t="shared" si="224"/>
        <v>0</v>
      </c>
    </row>
    <row r="796" spans="1:7" ht="19.899999999999999" customHeight="1">
      <c r="A796" s="511"/>
      <c r="B796" s="474"/>
      <c r="C796" s="465"/>
      <c r="D796" s="471"/>
      <c r="E796" s="468">
        <f t="shared" si="222"/>
        <v>0</v>
      </c>
      <c r="F796" s="471">
        <f t="shared" si="223"/>
        <v>0</v>
      </c>
      <c r="G796" s="468">
        <f t="shared" si="224"/>
        <v>0</v>
      </c>
    </row>
    <row r="797" spans="1:7" ht="19.899999999999999" customHeight="1">
      <c r="A797" s="511">
        <f t="shared" ref="A797:A799" si="225">IFERROR(VLOOKUP(C797,T_Insumos,4,FALSE),0)</f>
        <v>0</v>
      </c>
      <c r="B797" s="474">
        <f t="shared" ref="B797:B799" si="226">IFERROR(VLOOKUP(C797,T_Insumos,5,FALSE),0)</f>
        <v>0</v>
      </c>
      <c r="C797" s="465"/>
      <c r="D797" s="471"/>
      <c r="E797" s="468">
        <f t="shared" si="222"/>
        <v>0</v>
      </c>
      <c r="F797" s="471">
        <f>IF(C797="",0,IFERROR(VLOOKUP(COUNTIF($A$1:A797,"ANALISIS DE PRECIOS"),T_Rendimiento_Equipo,5,FALSE),0))</f>
        <v>0</v>
      </c>
      <c r="G797" s="468">
        <f t="shared" si="224"/>
        <v>0</v>
      </c>
    </row>
    <row r="798" spans="1:7" ht="19.899999999999999" customHeight="1">
      <c r="A798" s="511">
        <f t="shared" si="225"/>
        <v>0</v>
      </c>
      <c r="B798" s="474">
        <f t="shared" si="226"/>
        <v>0</v>
      </c>
      <c r="C798" s="465"/>
      <c r="D798" s="479"/>
      <c r="E798" s="468">
        <f>SUMPRODUCT(D793:D796,E793:E796)</f>
        <v>0</v>
      </c>
      <c r="F798" s="471">
        <f t="shared" si="223"/>
        <v>0</v>
      </c>
      <c r="G798" s="468">
        <f t="shared" si="224"/>
        <v>0</v>
      </c>
    </row>
    <row r="799" spans="1:7" ht="19.899999999999999" customHeight="1">
      <c r="A799" s="511">
        <f t="shared" si="225"/>
        <v>0</v>
      </c>
      <c r="B799" s="474">
        <f t="shared" si="226"/>
        <v>0</v>
      </c>
      <c r="C799" s="474"/>
      <c r="D799" s="480"/>
      <c r="E799" s="468">
        <f t="shared" ref="E799:E801" si="227">IFERROR(VLOOKUP(C799,T_Insumos,3,FALSE),0)</f>
        <v>0</v>
      </c>
      <c r="F799" s="471">
        <f>IF(C799="",0,IFERROR(VLOOKUP(COUNTIF($A$1:A799,"ANALISIS DE PRECIOS"),T_Rendimiento_Equipo,5,FALSE),0))</f>
        <v>0</v>
      </c>
      <c r="G799" s="468">
        <f t="shared" si="224"/>
        <v>0</v>
      </c>
    </row>
    <row r="800" spans="1:7" ht="19.899999999999999" customHeight="1">
      <c r="A800" s="512"/>
      <c r="B800" s="455"/>
      <c r="C800" s="160"/>
      <c r="D800" s="455"/>
      <c r="E800" s="456"/>
      <c r="F800" s="615" t="s">
        <v>27</v>
      </c>
      <c r="G800" s="514">
        <f>SUBTOTAL(9,G793:G799)</f>
        <v>0</v>
      </c>
    </row>
    <row r="801" spans="1:7" ht="19.899999999999999" customHeight="1">
      <c r="A801" s="509"/>
      <c r="B801" s="160"/>
      <c r="C801" s="451" t="s">
        <v>1012</v>
      </c>
      <c r="D801" s="455"/>
      <c r="E801" s="456"/>
      <c r="F801" s="457"/>
      <c r="G801" s="510"/>
    </row>
    <row r="802" spans="1:7" ht="19.899999999999999" customHeight="1">
      <c r="A802" s="637" t="s">
        <v>575</v>
      </c>
      <c r="B802" s="638"/>
      <c r="C802" s="639" t="s">
        <v>0</v>
      </c>
      <c r="D802" s="639" t="s">
        <v>1864</v>
      </c>
      <c r="E802" s="641" t="s">
        <v>23</v>
      </c>
      <c r="F802" s="643" t="s">
        <v>24</v>
      </c>
      <c r="G802" s="645" t="s">
        <v>25</v>
      </c>
    </row>
    <row r="803" spans="1:7" ht="19.899999999999999" customHeight="1">
      <c r="A803" s="473" t="s">
        <v>576</v>
      </c>
      <c r="B803" s="473" t="s">
        <v>577</v>
      </c>
      <c r="C803" s="640"/>
      <c r="D803" s="640"/>
      <c r="E803" s="642"/>
      <c r="F803" s="644"/>
      <c r="G803" s="646"/>
    </row>
    <row r="804" spans="1:7" ht="19.899999999999999" customHeight="1">
      <c r="A804" s="511">
        <f t="shared" ref="A804:A814" si="228">IFERROR(VLOOKUP(C804,T_Insumos,4,FALSE),0)</f>
        <v>0</v>
      </c>
      <c r="B804" s="474">
        <f t="shared" ref="B804:B814" si="229">IFERROR(VLOOKUP(C804,T_Insumos,5,FALSE),0)</f>
        <v>0</v>
      </c>
      <c r="C804" s="474"/>
      <c r="D804" s="522">
        <f t="shared" ref="D804:D814" si="230">IFERROR(VLOOKUP(C804,T_Insumos,2,FALSE),0)</f>
        <v>0</v>
      </c>
      <c r="E804" s="466"/>
      <c r="F804" s="468">
        <f t="shared" ref="F804:F814" si="231">IFERROR(VLOOKUP(C804,T_Insumos,3,FALSE),0)</f>
        <v>0</v>
      </c>
      <c r="G804" s="468">
        <f>ROUND(E804*F804,2)</f>
        <v>0</v>
      </c>
    </row>
    <row r="805" spans="1:7" ht="19.899999999999999" customHeight="1">
      <c r="A805" s="511">
        <f t="shared" si="228"/>
        <v>0</v>
      </c>
      <c r="B805" s="474">
        <f t="shared" si="229"/>
        <v>0</v>
      </c>
      <c r="C805" s="474"/>
      <c r="D805" s="522">
        <f t="shared" si="230"/>
        <v>0</v>
      </c>
      <c r="E805" s="466"/>
      <c r="F805" s="468">
        <f t="shared" si="231"/>
        <v>0</v>
      </c>
      <c r="G805" s="468">
        <f t="shared" ref="G805:G814" si="232">ROUND(E805*F805,2)</f>
        <v>0</v>
      </c>
    </row>
    <row r="806" spans="1:7" ht="19.899999999999999" customHeight="1">
      <c r="A806" s="511">
        <f t="shared" si="228"/>
        <v>0</v>
      </c>
      <c r="B806" s="474">
        <f t="shared" si="229"/>
        <v>0</v>
      </c>
      <c r="C806" s="474"/>
      <c r="D806" s="522">
        <f t="shared" si="230"/>
        <v>0</v>
      </c>
      <c r="E806" s="466"/>
      <c r="F806" s="468">
        <f t="shared" si="231"/>
        <v>0</v>
      </c>
      <c r="G806" s="468">
        <f t="shared" si="232"/>
        <v>0</v>
      </c>
    </row>
    <row r="807" spans="1:7" ht="19.899999999999999" customHeight="1">
      <c r="A807" s="511">
        <f t="shared" si="228"/>
        <v>0</v>
      </c>
      <c r="B807" s="474">
        <f t="shared" si="229"/>
        <v>0</v>
      </c>
      <c r="C807" s="474"/>
      <c r="D807" s="522">
        <f t="shared" si="230"/>
        <v>0</v>
      </c>
      <c r="E807" s="466"/>
      <c r="F807" s="468">
        <f t="shared" si="231"/>
        <v>0</v>
      </c>
      <c r="G807" s="468">
        <f t="shared" si="232"/>
        <v>0</v>
      </c>
    </row>
    <row r="808" spans="1:7" ht="19.899999999999999" customHeight="1">
      <c r="A808" s="511">
        <f t="shared" si="228"/>
        <v>0</v>
      </c>
      <c r="B808" s="474">
        <f t="shared" si="229"/>
        <v>0</v>
      </c>
      <c r="C808" s="474"/>
      <c r="D808" s="522">
        <f t="shared" si="230"/>
        <v>0</v>
      </c>
      <c r="E808" s="466"/>
      <c r="F808" s="468">
        <f t="shared" si="231"/>
        <v>0</v>
      </c>
      <c r="G808" s="468">
        <f t="shared" si="232"/>
        <v>0</v>
      </c>
    </row>
    <row r="809" spans="1:7" ht="19.899999999999999" customHeight="1">
      <c r="A809" s="511">
        <f t="shared" si="228"/>
        <v>0</v>
      </c>
      <c r="B809" s="474">
        <f t="shared" si="229"/>
        <v>0</v>
      </c>
      <c r="C809" s="474"/>
      <c r="D809" s="522">
        <f t="shared" si="230"/>
        <v>0</v>
      </c>
      <c r="E809" s="466"/>
      <c r="F809" s="468">
        <f t="shared" si="231"/>
        <v>0</v>
      </c>
      <c r="G809" s="468">
        <f t="shared" si="232"/>
        <v>0</v>
      </c>
    </row>
    <row r="810" spans="1:7" ht="19.899999999999999" customHeight="1">
      <c r="A810" s="511">
        <f t="shared" si="228"/>
        <v>0</v>
      </c>
      <c r="B810" s="474">
        <f t="shared" si="229"/>
        <v>0</v>
      </c>
      <c r="C810" s="474"/>
      <c r="D810" s="522">
        <f t="shared" si="230"/>
        <v>0</v>
      </c>
      <c r="E810" s="466"/>
      <c r="F810" s="468">
        <f t="shared" si="231"/>
        <v>0</v>
      </c>
      <c r="G810" s="468">
        <f t="shared" si="232"/>
        <v>0</v>
      </c>
    </row>
    <row r="811" spans="1:7" ht="19.899999999999999" customHeight="1">
      <c r="A811" s="511">
        <f t="shared" si="228"/>
        <v>0</v>
      </c>
      <c r="B811" s="474">
        <f t="shared" si="229"/>
        <v>0</v>
      </c>
      <c r="C811" s="474"/>
      <c r="D811" s="522">
        <f t="shared" si="230"/>
        <v>0</v>
      </c>
      <c r="E811" s="466"/>
      <c r="F811" s="468">
        <f t="shared" si="231"/>
        <v>0</v>
      </c>
      <c r="G811" s="468">
        <f t="shared" si="232"/>
        <v>0</v>
      </c>
    </row>
    <row r="812" spans="1:7" ht="19.899999999999999" customHeight="1">
      <c r="A812" s="511">
        <f t="shared" si="228"/>
        <v>0</v>
      </c>
      <c r="B812" s="474">
        <f t="shared" si="229"/>
        <v>0</v>
      </c>
      <c r="C812" s="474"/>
      <c r="D812" s="522">
        <f t="shared" si="230"/>
        <v>0</v>
      </c>
      <c r="E812" s="466"/>
      <c r="F812" s="468">
        <f t="shared" si="231"/>
        <v>0</v>
      </c>
      <c r="G812" s="468">
        <f t="shared" si="232"/>
        <v>0</v>
      </c>
    </row>
    <row r="813" spans="1:7" ht="19.899999999999999" customHeight="1">
      <c r="A813" s="511">
        <f t="shared" si="228"/>
        <v>0</v>
      </c>
      <c r="B813" s="474">
        <f t="shared" si="229"/>
        <v>0</v>
      </c>
      <c r="C813" s="474"/>
      <c r="D813" s="522">
        <f t="shared" si="230"/>
        <v>0</v>
      </c>
      <c r="E813" s="466"/>
      <c r="F813" s="468">
        <f t="shared" si="231"/>
        <v>0</v>
      </c>
      <c r="G813" s="468">
        <f t="shared" si="232"/>
        <v>0</v>
      </c>
    </row>
    <row r="814" spans="1:7" ht="19.899999999999999" customHeight="1">
      <c r="A814" s="511">
        <f t="shared" si="228"/>
        <v>0</v>
      </c>
      <c r="B814" s="474">
        <f t="shared" si="229"/>
        <v>0</v>
      </c>
      <c r="C814" s="474"/>
      <c r="D814" s="522">
        <f t="shared" si="230"/>
        <v>0</v>
      </c>
      <c r="E814" s="466"/>
      <c r="F814" s="468">
        <f t="shared" si="231"/>
        <v>0</v>
      </c>
      <c r="G814" s="468">
        <f t="shared" si="232"/>
        <v>0</v>
      </c>
    </row>
    <row r="815" spans="1:7" ht="19.899999999999999" customHeight="1">
      <c r="A815" s="509"/>
      <c r="B815" s="160"/>
      <c r="C815" s="160"/>
      <c r="D815" s="455"/>
      <c r="E815" s="456"/>
      <c r="F815" s="615" t="s">
        <v>28</v>
      </c>
      <c r="G815" s="514">
        <f>SUBTOTAL(9,G804:G814)</f>
        <v>0</v>
      </c>
    </row>
    <row r="816" spans="1:7" ht="19.899999999999999" customHeight="1">
      <c r="A816" s="509"/>
      <c r="B816" s="160"/>
      <c r="C816" s="451" t="s">
        <v>1013</v>
      </c>
      <c r="D816" s="455"/>
      <c r="E816" s="456"/>
      <c r="F816" s="457"/>
      <c r="G816" s="510"/>
    </row>
    <row r="817" spans="1:7" ht="19.899999999999999" customHeight="1">
      <c r="A817" s="637" t="s">
        <v>575</v>
      </c>
      <c r="B817" s="638"/>
      <c r="C817" s="639" t="s">
        <v>0</v>
      </c>
      <c r="D817" s="639" t="s">
        <v>1864</v>
      </c>
      <c r="E817" s="641" t="s">
        <v>23</v>
      </c>
      <c r="F817" s="643" t="s">
        <v>24</v>
      </c>
      <c r="G817" s="645" t="s">
        <v>25</v>
      </c>
    </row>
    <row r="818" spans="1:7" ht="19.899999999999999" customHeight="1">
      <c r="A818" s="473" t="s">
        <v>576</v>
      </c>
      <c r="B818" s="473" t="s">
        <v>577</v>
      </c>
      <c r="C818" s="640"/>
      <c r="D818" s="640"/>
      <c r="E818" s="642"/>
      <c r="F818" s="644"/>
      <c r="G818" s="646"/>
    </row>
    <row r="819" spans="1:7" ht="19.899999999999999" customHeight="1">
      <c r="A819" s="511">
        <f>IFERROR(VLOOKUP(C819,T_Insumos,4,FALSE),0)</f>
        <v>0</v>
      </c>
      <c r="B819" s="474">
        <f>IFERROR(VLOOKUP(C819,T_Insumos,5,FALSE),0)</f>
        <v>0</v>
      </c>
      <c r="C819" s="465"/>
      <c r="D819" s="522">
        <f>IF(C819=0,0,"$/tnkm")</f>
        <v>0</v>
      </c>
      <c r="E819" s="466"/>
      <c r="F819" s="468">
        <f>IFERROR(VLOOKUP(C819,T_Insumos,3,FALSE),0)</f>
        <v>0</v>
      </c>
      <c r="G819" s="468">
        <f>ROUND(E819*F819,2)</f>
        <v>0</v>
      </c>
    </row>
    <row r="820" spans="1:7" ht="19.899999999999999" customHeight="1">
      <c r="A820" s="511">
        <f>IFERROR(VLOOKUP(C820,T_Insumos,4,FALSE),0)</f>
        <v>0</v>
      </c>
      <c r="B820" s="474">
        <f>IFERROR(VLOOKUP(C820,T_Insumos,5,FALSE),0)</f>
        <v>0</v>
      </c>
      <c r="C820" s="465"/>
      <c r="D820" s="522">
        <f>IF(C820=0,0,"$/tnkm")</f>
        <v>0</v>
      </c>
      <c r="E820" s="482"/>
      <c r="F820" s="468">
        <f>IFERROR(VLOOKUP(C820,T_Insumos,3,FALSE),0)</f>
        <v>0</v>
      </c>
      <c r="G820" s="468">
        <f t="shared" ref="G820" si="233">ROUND(E820*F820,2)</f>
        <v>0</v>
      </c>
    </row>
    <row r="821" spans="1:7" ht="19.899999999999999" customHeight="1">
      <c r="A821" s="509"/>
      <c r="B821" s="160"/>
      <c r="C821" s="160"/>
      <c r="D821" s="455"/>
      <c r="E821" s="456"/>
      <c r="F821" s="615" t="s">
        <v>1014</v>
      </c>
      <c r="G821" s="514">
        <f>SUBTOTAL(9,G819:G820)</f>
        <v>0</v>
      </c>
    </row>
    <row r="822" spans="1:7" ht="19.899999999999999" customHeight="1">
      <c r="A822" s="512"/>
      <c r="B822" s="455"/>
      <c r="C822" s="160"/>
      <c r="D822" s="455"/>
      <c r="E822" s="456"/>
      <c r="F822" s="457"/>
      <c r="G822" s="510"/>
    </row>
    <row r="823" spans="1:7" ht="19.899999999999999" customHeight="1">
      <c r="A823" s="570">
        <f>B757</f>
        <v>2.4</v>
      </c>
      <c r="B823" s="567" t="str">
        <f ca="1">C757</f>
        <v>Construccion caseta para tablero y aprobaciones</v>
      </c>
      <c r="C823" s="455"/>
      <c r="D823" s="455" t="s">
        <v>1830</v>
      </c>
      <c r="E823" s="568"/>
      <c r="F823" s="569" t="str">
        <f ca="1">"$/"&amp;G757</f>
        <v>$/gl</v>
      </c>
      <c r="G823" s="519">
        <f>SUBTOTAL(9,G780:G822)</f>
        <v>0</v>
      </c>
    </row>
    <row r="824" spans="1:7" ht="19.899999999999999" customHeight="1">
      <c r="A824" s="515"/>
      <c r="B824" s="516"/>
      <c r="C824" s="517"/>
      <c r="D824" s="517" t="s">
        <v>2040</v>
      </c>
      <c r="E824" s="518"/>
      <c r="F824" s="571" t="str">
        <f ca="1">"$/"&amp;G757</f>
        <v>$/gl</v>
      </c>
      <c r="G824" s="519">
        <f>ROUND(G823*Coeficiente_Paso,2)</f>
        <v>0</v>
      </c>
    </row>
    <row r="825" spans="1:7" ht="19.899999999999999" customHeight="1">
      <c r="A825" s="160"/>
      <c r="B825" s="160"/>
      <c r="C825" s="160"/>
      <c r="D825" s="160"/>
      <c r="E825" s="160"/>
      <c r="F825" s="160"/>
      <c r="G825" s="160"/>
    </row>
    <row r="826" spans="1:7" ht="19.899999999999999" customHeight="1">
      <c r="A826" s="633" t="s">
        <v>30</v>
      </c>
      <c r="B826" s="634"/>
      <c r="C826" s="634"/>
      <c r="D826" s="634"/>
      <c r="E826" s="634"/>
      <c r="F826" s="634"/>
      <c r="G826" s="635"/>
    </row>
    <row r="827" spans="1:7" ht="19.899999999999999" customHeight="1">
      <c r="A827" s="498" t="s">
        <v>710</v>
      </c>
      <c r="B827" s="449" t="str">
        <f>Comitente</f>
        <v>DEPARTAMENTO DE HIDRAULICA</v>
      </c>
      <c r="C827" s="450"/>
      <c r="D827" s="451"/>
      <c r="E827" s="451"/>
      <c r="F827" s="452"/>
      <c r="G827" s="499"/>
    </row>
    <row r="828" spans="1:7" ht="19.899999999999999" customHeight="1">
      <c r="A828" s="498" t="s">
        <v>711</v>
      </c>
      <c r="B828" s="449">
        <f>Contratista</f>
        <v>0</v>
      </c>
      <c r="C828" s="453"/>
      <c r="D828" s="453"/>
      <c r="E828" s="453"/>
      <c r="F828" s="449"/>
      <c r="G828" s="500"/>
    </row>
    <row r="829" spans="1:7" ht="19.899999999999999" customHeight="1">
      <c r="A829" s="498" t="s">
        <v>20</v>
      </c>
      <c r="B829" s="449" t="str">
        <f>Obra</f>
        <v>EJECUCION DE PERFORACION - SISTEMA DE RIEGO</v>
      </c>
      <c r="C829" s="453"/>
      <c r="D829" s="453"/>
      <c r="E829" s="453"/>
      <c r="F829" s="449" t="s">
        <v>31</v>
      </c>
      <c r="G829" s="500">
        <f>Fecha_Base</f>
        <v>0</v>
      </c>
    </row>
    <row r="830" spans="1:7" ht="19.899999999999999" customHeight="1">
      <c r="A830" s="501" t="s">
        <v>709</v>
      </c>
      <c r="B830" s="454" t="str">
        <f>Ubicación</f>
        <v>DEPARTAMENTO CHIMBAS</v>
      </c>
      <c r="C830" s="454"/>
      <c r="D830" s="455"/>
      <c r="E830" s="456"/>
      <c r="F830" s="457"/>
      <c r="G830" s="502"/>
    </row>
    <row r="831" spans="1:7" ht="19.899999999999999" customHeight="1">
      <c r="A831" s="501" t="s">
        <v>32</v>
      </c>
      <c r="B831" s="458">
        <f>IFERROR(VALUE(LEFT(B832,FIND(".",B832)-1)),"")</f>
        <v>3</v>
      </c>
      <c r="C831" s="160" t="str">
        <f ca="1">IFERROR(VLOOKUP(B831,T_Computo_Presupuesto,2,FALSE),0)</f>
        <v>CAMARA SUBTERRANEA PARA PERFORACION</v>
      </c>
      <c r="D831" s="160"/>
      <c r="E831" s="456"/>
      <c r="F831" s="457"/>
      <c r="G831" s="502"/>
    </row>
    <row r="832" spans="1:7" ht="19.899999999999999" customHeight="1">
      <c r="A832" s="501" t="s">
        <v>21</v>
      </c>
      <c r="B832" s="459">
        <f>IFERROR(VLOOKUP(COUNTIF($A$1:A832,"ANALISIS DE PRECIOS"),T_NumeroItem,2,FALSE),"")</f>
        <v>3.1</v>
      </c>
      <c r="C832" s="636" t="str">
        <f ca="1">IFERROR(VLOOKUP(B832,T_Computo_Presupuesto,2,FALSE),0)</f>
        <v>Limpieza, replanteo y nivelacion</v>
      </c>
      <c r="D832" s="636"/>
      <c r="E832" s="636"/>
      <c r="F832" s="454" t="s">
        <v>22</v>
      </c>
      <c r="G832" s="503" t="str">
        <f ca="1">IFERROR(VLOOKUP(B832,T_Computo_Presupuesto,4,FALSE),0)</f>
        <v>m</v>
      </c>
    </row>
    <row r="833" spans="1:7" ht="19.899999999999999" customHeight="1">
      <c r="A833" s="501"/>
      <c r="B833" s="454"/>
      <c r="C833" s="160"/>
      <c r="D833" s="455"/>
      <c r="E833" s="456"/>
      <c r="F833" s="160"/>
      <c r="G833" s="504"/>
    </row>
    <row r="834" spans="1:7" ht="19.899999999999999" customHeight="1">
      <c r="A834" s="505"/>
      <c r="B834" s="460"/>
      <c r="C834" s="461" t="s">
        <v>997</v>
      </c>
      <c r="D834" s="460"/>
      <c r="E834" s="460"/>
      <c r="F834" s="460"/>
      <c r="G834" s="506"/>
    </row>
    <row r="835" spans="1:7" ht="19.899999999999999" customHeight="1">
      <c r="A835" s="501"/>
      <c r="B835" s="462"/>
      <c r="C835" s="160"/>
      <c r="D835" s="455"/>
      <c r="E835" s="456"/>
      <c r="F835" s="454"/>
      <c r="G835" s="503"/>
    </row>
    <row r="836" spans="1:7" ht="19.899999999999999" customHeight="1">
      <c r="A836" s="501"/>
      <c r="B836" s="462"/>
      <c r="C836" s="463" t="s">
        <v>998</v>
      </c>
      <c r="D836" s="464" t="s">
        <v>23</v>
      </c>
      <c r="E836" s="464" t="s">
        <v>999</v>
      </c>
      <c r="F836" s="464" t="s">
        <v>1000</v>
      </c>
      <c r="G836" s="463" t="s">
        <v>1001</v>
      </c>
    </row>
    <row r="837" spans="1:7" ht="19.899999999999999" customHeight="1">
      <c r="A837" s="501"/>
      <c r="B837" s="462"/>
      <c r="C837" s="465"/>
      <c r="D837" s="466"/>
      <c r="E837" s="467">
        <f t="shared" ref="E837:E846" si="234">IFERROR(VLOOKUP(C837,T_Equipos,4,FALSE),0)</f>
        <v>0</v>
      </c>
      <c r="F837" s="468"/>
      <c r="G837" s="468">
        <f>ROUND(D837*F837,2)</f>
        <v>0</v>
      </c>
    </row>
    <row r="838" spans="1:7" ht="19.899999999999999" customHeight="1">
      <c r="A838" s="501"/>
      <c r="B838" s="462"/>
      <c r="C838" s="465"/>
      <c r="D838" s="466"/>
      <c r="E838" s="467">
        <f t="shared" si="234"/>
        <v>0</v>
      </c>
      <c r="F838" s="468"/>
      <c r="G838" s="468">
        <f>ROUND(D838*F838,2)</f>
        <v>0</v>
      </c>
    </row>
    <row r="839" spans="1:7" ht="19.899999999999999" customHeight="1">
      <c r="A839" s="501"/>
      <c r="B839" s="462"/>
      <c r="C839" s="465"/>
      <c r="D839" s="466"/>
      <c r="E839" s="467">
        <f t="shared" si="234"/>
        <v>0</v>
      </c>
      <c r="F839" s="468"/>
      <c r="G839" s="468">
        <f>ROUND(D839*F839,2)</f>
        <v>0</v>
      </c>
    </row>
    <row r="840" spans="1:7" ht="19.899999999999999" customHeight="1">
      <c r="A840" s="501"/>
      <c r="B840" s="462"/>
      <c r="C840" s="465"/>
      <c r="D840" s="466"/>
      <c r="E840" s="467">
        <f t="shared" si="234"/>
        <v>0</v>
      </c>
      <c r="F840" s="468"/>
      <c r="G840" s="468">
        <f>ROUND(D840*F840,2)</f>
        <v>0</v>
      </c>
    </row>
    <row r="841" spans="1:7" ht="19.899999999999999" customHeight="1">
      <c r="A841" s="501"/>
      <c r="B841" s="462"/>
      <c r="C841" s="465"/>
      <c r="D841" s="466"/>
      <c r="E841" s="467">
        <f t="shared" si="234"/>
        <v>0</v>
      </c>
      <c r="F841" s="468"/>
      <c r="G841" s="468">
        <f t="shared" ref="G841:G846" si="235">ROUND(D841*F841,2)</f>
        <v>0</v>
      </c>
    </row>
    <row r="842" spans="1:7" ht="19.899999999999999" customHeight="1">
      <c r="A842" s="501"/>
      <c r="B842" s="462"/>
      <c r="C842" s="465"/>
      <c r="D842" s="466"/>
      <c r="E842" s="467">
        <f t="shared" si="234"/>
        <v>0</v>
      </c>
      <c r="F842" s="468">
        <f t="shared" ref="F842:F846" si="236">IFERROR(VLOOKUP(C842,T_Equipos,5,FALSE),0)</f>
        <v>0</v>
      </c>
      <c r="G842" s="468">
        <f t="shared" si="235"/>
        <v>0</v>
      </c>
    </row>
    <row r="843" spans="1:7" ht="19.899999999999999" customHeight="1">
      <c r="A843" s="501"/>
      <c r="B843" s="462"/>
      <c r="C843" s="465"/>
      <c r="D843" s="466"/>
      <c r="E843" s="467">
        <f t="shared" si="234"/>
        <v>0</v>
      </c>
      <c r="F843" s="468">
        <f t="shared" si="236"/>
        <v>0</v>
      </c>
      <c r="G843" s="468">
        <f t="shared" si="235"/>
        <v>0</v>
      </c>
    </row>
    <row r="844" spans="1:7" ht="19.899999999999999" customHeight="1">
      <c r="A844" s="501"/>
      <c r="B844" s="462"/>
      <c r="C844" s="465"/>
      <c r="D844" s="466"/>
      <c r="E844" s="467">
        <f t="shared" si="234"/>
        <v>0</v>
      </c>
      <c r="F844" s="468">
        <f t="shared" si="236"/>
        <v>0</v>
      </c>
      <c r="G844" s="468">
        <f t="shared" si="235"/>
        <v>0</v>
      </c>
    </row>
    <row r="845" spans="1:7" ht="19.899999999999999" customHeight="1">
      <c r="A845" s="501"/>
      <c r="B845" s="462"/>
      <c r="C845" s="465"/>
      <c r="D845" s="466"/>
      <c r="E845" s="467">
        <f t="shared" si="234"/>
        <v>0</v>
      </c>
      <c r="F845" s="468">
        <f t="shared" si="236"/>
        <v>0</v>
      </c>
      <c r="G845" s="468">
        <f t="shared" si="235"/>
        <v>0</v>
      </c>
    </row>
    <row r="846" spans="1:7" ht="19.899999999999999" customHeight="1">
      <c r="A846" s="501"/>
      <c r="B846" s="462"/>
      <c r="C846" s="465"/>
      <c r="D846" s="466"/>
      <c r="E846" s="467">
        <f t="shared" si="234"/>
        <v>0</v>
      </c>
      <c r="F846" s="468">
        <f t="shared" si="236"/>
        <v>0</v>
      </c>
      <c r="G846" s="468">
        <f t="shared" si="235"/>
        <v>0</v>
      </c>
    </row>
    <row r="847" spans="1:7" ht="19.899999999999999" customHeight="1">
      <c r="A847" s="501"/>
      <c r="B847" s="462"/>
      <c r="C847" s="160"/>
      <c r="D847" s="160"/>
      <c r="E847" s="469"/>
      <c r="F847" s="454"/>
      <c r="G847" s="503"/>
    </row>
    <row r="848" spans="1:7" ht="19.899999999999999" customHeight="1">
      <c r="A848" s="501"/>
      <c r="B848" s="160"/>
      <c r="C848" s="451" t="s">
        <v>1002</v>
      </c>
      <c r="D848" s="454" t="s">
        <v>999</v>
      </c>
      <c r="E848" s="520">
        <f>SUMPRODUCT(D837:D846,E837:E846)</f>
        <v>0</v>
      </c>
      <c r="F848" s="454" t="s">
        <v>1003</v>
      </c>
      <c r="G848" s="521">
        <f>SUM(G837:G846)</f>
        <v>0</v>
      </c>
    </row>
    <row r="849" spans="1:7" ht="19.899999999999999" customHeight="1">
      <c r="A849" s="501"/>
      <c r="B849" s="462"/>
      <c r="C849" s="470"/>
      <c r="D849" s="469"/>
      <c r="E849" s="456"/>
      <c r="F849" s="454"/>
      <c r="G849" s="507"/>
    </row>
    <row r="850" spans="1:7" ht="19.899999999999999" customHeight="1">
      <c r="A850" s="508"/>
      <c r="B850" s="462"/>
      <c r="C850" s="454" t="s">
        <v>1004</v>
      </c>
      <c r="D850" s="471"/>
      <c r="E850" s="472" t="str">
        <f ca="1">G832&amp;"/día"</f>
        <v>m/día</v>
      </c>
      <c r="F850" s="448"/>
      <c r="G850" s="503"/>
    </row>
    <row r="851" spans="1:7" ht="19.899999999999999" customHeight="1">
      <c r="A851" s="501"/>
      <c r="B851" s="462"/>
      <c r="C851" s="160"/>
      <c r="D851" s="455"/>
      <c r="E851" s="456"/>
      <c r="F851" s="454"/>
      <c r="G851" s="503"/>
    </row>
    <row r="852" spans="1:7" ht="19.899999999999999" customHeight="1">
      <c r="A852" s="637" t="s">
        <v>575</v>
      </c>
      <c r="B852" s="638"/>
      <c r="C852" s="639" t="s">
        <v>0</v>
      </c>
      <c r="D852" s="647" t="s">
        <v>1863</v>
      </c>
      <c r="E852" s="647" t="s">
        <v>1862</v>
      </c>
      <c r="F852" s="643" t="s">
        <v>1005</v>
      </c>
      <c r="G852" s="645" t="s">
        <v>25</v>
      </c>
    </row>
    <row r="853" spans="1:7" ht="19.899999999999999" customHeight="1">
      <c r="A853" s="473" t="s">
        <v>576</v>
      </c>
      <c r="B853" s="473" t="s">
        <v>577</v>
      </c>
      <c r="C853" s="640"/>
      <c r="D853" s="648"/>
      <c r="E853" s="642"/>
      <c r="F853" s="644"/>
      <c r="G853" s="646"/>
    </row>
    <row r="854" spans="1:7" ht="19.899999999999999" customHeight="1">
      <c r="A854" s="509"/>
      <c r="B854" s="160"/>
      <c r="C854" s="451" t="s">
        <v>1006</v>
      </c>
      <c r="D854" s="456"/>
      <c r="E854" s="456"/>
      <c r="F854" s="160"/>
      <c r="G854" s="510"/>
    </row>
    <row r="855" spans="1:7" ht="19.899999999999999" customHeight="1">
      <c r="A855" s="511">
        <f t="shared" ref="A855:A863" si="237">IFERROR(VLOOKUP(C855,T_Insumos,4,FALSE),0)</f>
        <v>0</v>
      </c>
      <c r="B855" s="474">
        <f t="shared" ref="B855:B863" si="238">IFERROR(VLOOKUP(C855,T_Insumos,5,FALSE),0)</f>
        <v>0</v>
      </c>
      <c r="C855" s="465"/>
      <c r="D855" s="475">
        <f t="shared" ref="D855:D863" si="239">IFERROR(VLOOKUP(C855,T_Insumos,3,FALSE),0)</f>
        <v>0</v>
      </c>
      <c r="E855" s="468">
        <f>D855*$G$323</f>
        <v>0</v>
      </c>
      <c r="F855" s="471">
        <f>+$D$325</f>
        <v>0</v>
      </c>
      <c r="G855" s="468">
        <f>IFERROR(ROUND(E855/F855,2),0)</f>
        <v>0</v>
      </c>
    </row>
    <row r="856" spans="1:7" ht="19.899999999999999" customHeight="1">
      <c r="A856" s="511"/>
      <c r="B856" s="474"/>
      <c r="C856" s="465"/>
      <c r="D856" s="475">
        <f t="shared" si="239"/>
        <v>0</v>
      </c>
      <c r="E856" s="468">
        <f>D856*$G$323</f>
        <v>0</v>
      </c>
      <c r="F856" s="471">
        <f t="shared" ref="F856:F858" si="240">+$D$325</f>
        <v>0</v>
      </c>
      <c r="G856" s="468">
        <f t="shared" ref="G856:G863" si="241">IFERROR(ROUND(E856/F856,2),0)</f>
        <v>0</v>
      </c>
    </row>
    <row r="857" spans="1:7" ht="19.899999999999999" customHeight="1">
      <c r="A857" s="511">
        <f t="shared" ref="A857:A865" si="242">IFERROR(VLOOKUP(C857,T_Insumos,4,FALSE),0)</f>
        <v>0</v>
      </c>
      <c r="B857" s="474">
        <f t="shared" ref="B857:B865" si="243">IFERROR(VLOOKUP(C857,T_Insumos,5,FALSE),0)</f>
        <v>0</v>
      </c>
      <c r="C857" s="476"/>
      <c r="D857" s="475">
        <f t="shared" si="239"/>
        <v>0</v>
      </c>
      <c r="E857" s="468">
        <f>D857*$E$323</f>
        <v>0</v>
      </c>
      <c r="F857" s="471">
        <f t="shared" si="240"/>
        <v>0</v>
      </c>
      <c r="G857" s="468">
        <f t="shared" si="241"/>
        <v>0</v>
      </c>
    </row>
    <row r="858" spans="1:7" ht="19.899999999999999" customHeight="1">
      <c r="A858" s="511">
        <f t="shared" si="242"/>
        <v>0</v>
      </c>
      <c r="B858" s="474">
        <f t="shared" si="243"/>
        <v>0</v>
      </c>
      <c r="C858" s="476"/>
      <c r="D858" s="475">
        <f t="shared" si="239"/>
        <v>0</v>
      </c>
      <c r="E858" s="468">
        <f>D858*$E$323</f>
        <v>0</v>
      </c>
      <c r="F858" s="471">
        <f t="shared" si="240"/>
        <v>0</v>
      </c>
      <c r="G858" s="468">
        <f t="shared" si="241"/>
        <v>0</v>
      </c>
    </row>
    <row r="859" spans="1:7" ht="19.899999999999999" customHeight="1">
      <c r="A859" s="511">
        <f t="shared" si="242"/>
        <v>0</v>
      </c>
      <c r="B859" s="474">
        <f t="shared" si="243"/>
        <v>0</v>
      </c>
      <c r="C859" s="476"/>
      <c r="D859" s="475">
        <f t="shared" si="239"/>
        <v>0</v>
      </c>
      <c r="E859" s="468"/>
      <c r="F859" s="471">
        <f>IF(C859="",0,IFERROR(VLOOKUP(COUNTIF($A$1:A859,"ANALISIS DE PRECIOS"),T_Rendimiento_Equipo,5,FALSE),0))</f>
        <v>0</v>
      </c>
      <c r="G859" s="468">
        <f t="shared" si="241"/>
        <v>0</v>
      </c>
    </row>
    <row r="860" spans="1:7" ht="19.899999999999999" customHeight="1">
      <c r="A860" s="511">
        <f t="shared" si="242"/>
        <v>0</v>
      </c>
      <c r="B860" s="474">
        <f t="shared" si="243"/>
        <v>0</v>
      </c>
      <c r="C860" s="476"/>
      <c r="D860" s="475">
        <f t="shared" si="239"/>
        <v>0</v>
      </c>
      <c r="E860" s="468"/>
      <c r="F860" s="471">
        <f>IF(C860="",0,IFERROR(VLOOKUP(COUNTIF($A$1:A860,"ANALISIS DE PRECIOS"),T_Rendimiento_Equipo,5,FALSE),0))</f>
        <v>0</v>
      </c>
      <c r="G860" s="468">
        <f t="shared" si="241"/>
        <v>0</v>
      </c>
    </row>
    <row r="861" spans="1:7" ht="19.899999999999999" customHeight="1">
      <c r="A861" s="511">
        <f t="shared" si="242"/>
        <v>0</v>
      </c>
      <c r="B861" s="474">
        <f t="shared" si="243"/>
        <v>0</v>
      </c>
      <c r="C861" s="476"/>
      <c r="D861" s="475">
        <f t="shared" si="239"/>
        <v>0</v>
      </c>
      <c r="E861" s="468"/>
      <c r="F861" s="471">
        <f>IF(C861="",0,IFERROR(VLOOKUP(COUNTIF($A$1:A861,"ANALISIS DE PRECIOS"),T_Rendimiento_Equipo,5,FALSE),0))</f>
        <v>0</v>
      </c>
      <c r="G861" s="468">
        <f t="shared" si="241"/>
        <v>0</v>
      </c>
    </row>
    <row r="862" spans="1:7" ht="19.899999999999999" customHeight="1">
      <c r="A862" s="511">
        <f t="shared" si="242"/>
        <v>0</v>
      </c>
      <c r="B862" s="474">
        <f t="shared" si="243"/>
        <v>0</v>
      </c>
      <c r="C862" s="476"/>
      <c r="D862" s="475">
        <f t="shared" si="239"/>
        <v>0</v>
      </c>
      <c r="E862" s="468"/>
      <c r="F862" s="471">
        <f>IF(C862="",0,IFERROR(VLOOKUP(COUNTIF($A$1:A862,"ANALISIS DE PRECIOS"),T_Rendimiento_Equipo,5,FALSE),0))</f>
        <v>0</v>
      </c>
      <c r="G862" s="468">
        <f t="shared" si="241"/>
        <v>0</v>
      </c>
    </row>
    <row r="863" spans="1:7" ht="19.899999999999999" customHeight="1">
      <c r="A863" s="511">
        <f t="shared" si="242"/>
        <v>0</v>
      </c>
      <c r="B863" s="474">
        <f t="shared" si="243"/>
        <v>0</v>
      </c>
      <c r="C863" s="465"/>
      <c r="D863" s="475">
        <f t="shared" si="239"/>
        <v>0</v>
      </c>
      <c r="E863" s="468"/>
      <c r="F863" s="471">
        <f>IF(C863="",0,IFERROR(VLOOKUP(COUNTIF($A$1:A863,"ANALISIS DE PRECIOS"),T_Rendimiento_Equipo,5,FALSE),0))</f>
        <v>0</v>
      </c>
      <c r="G863" s="468">
        <f t="shared" si="241"/>
        <v>0</v>
      </c>
    </row>
    <row r="864" spans="1:7" ht="19.899999999999999" customHeight="1">
      <c r="A864" s="512"/>
      <c r="B864" s="455"/>
      <c r="C864" s="160"/>
      <c r="D864" s="455"/>
      <c r="E864" s="456"/>
      <c r="F864" s="615" t="s">
        <v>26</v>
      </c>
      <c r="G864" s="513">
        <f>SUBTOTAL(9,G855:G863)</f>
        <v>0</v>
      </c>
    </row>
    <row r="865" spans="1:7" ht="19.899999999999999" customHeight="1">
      <c r="A865" s="509"/>
      <c r="B865" s="160"/>
      <c r="C865" s="451" t="s">
        <v>712</v>
      </c>
      <c r="D865" s="455"/>
      <c r="E865" s="456"/>
      <c r="F865" s="457"/>
      <c r="G865" s="510"/>
    </row>
    <row r="866" spans="1:7" ht="19.899999999999999" customHeight="1">
      <c r="A866" s="637" t="s">
        <v>575</v>
      </c>
      <c r="B866" s="638"/>
      <c r="C866" s="639" t="s">
        <v>0</v>
      </c>
      <c r="D866" s="641" t="s">
        <v>23</v>
      </c>
      <c r="E866" s="641" t="s">
        <v>1829</v>
      </c>
      <c r="F866" s="643" t="s">
        <v>1005</v>
      </c>
      <c r="G866" s="645" t="s">
        <v>25</v>
      </c>
    </row>
    <row r="867" spans="1:7" ht="19.899999999999999" customHeight="1">
      <c r="A867" s="473" t="s">
        <v>576</v>
      </c>
      <c r="B867" s="473" t="s">
        <v>577</v>
      </c>
      <c r="C867" s="640"/>
      <c r="D867" s="642"/>
      <c r="E867" s="642"/>
      <c r="F867" s="644"/>
      <c r="G867" s="646"/>
    </row>
    <row r="868" spans="1:7" ht="19.899999999999999" customHeight="1">
      <c r="A868" s="511"/>
      <c r="B868" s="474"/>
      <c r="C868" s="478"/>
      <c r="D868" s="471"/>
      <c r="E868" s="468">
        <f t="shared" ref="E868:E872" si="244">IFERROR(VLOOKUP(C868,T_Insumos,3,FALSE),0)</f>
        <v>0</v>
      </c>
      <c r="F868" s="471">
        <f>+$D$325</f>
        <v>0</v>
      </c>
      <c r="G868" s="468">
        <f>IFERROR(ROUND(D868*E868/F868,2),0)</f>
        <v>0</v>
      </c>
    </row>
    <row r="869" spans="1:7" ht="19.899999999999999" customHeight="1">
      <c r="A869" s="511"/>
      <c r="B869" s="474"/>
      <c r="C869" s="465"/>
      <c r="D869" s="471"/>
      <c r="E869" s="468">
        <f t="shared" si="244"/>
        <v>0</v>
      </c>
      <c r="F869" s="471">
        <f t="shared" ref="F869:F873" si="245">+$D$325</f>
        <v>0</v>
      </c>
      <c r="G869" s="468">
        <f t="shared" ref="G869:G874" si="246">IFERROR(ROUND(D869*E869/F869,2),0)</f>
        <v>0</v>
      </c>
    </row>
    <row r="870" spans="1:7" ht="19.899999999999999" customHeight="1">
      <c r="A870" s="511"/>
      <c r="B870" s="474"/>
      <c r="C870" s="465"/>
      <c r="D870" s="471"/>
      <c r="E870" s="468">
        <f t="shared" si="244"/>
        <v>0</v>
      </c>
      <c r="F870" s="471">
        <f t="shared" si="245"/>
        <v>0</v>
      </c>
      <c r="G870" s="468">
        <f t="shared" si="246"/>
        <v>0</v>
      </c>
    </row>
    <row r="871" spans="1:7" ht="19.899999999999999" customHeight="1">
      <c r="A871" s="511"/>
      <c r="B871" s="474"/>
      <c r="C871" s="465"/>
      <c r="D871" s="471"/>
      <c r="E871" s="468">
        <f t="shared" si="244"/>
        <v>0</v>
      </c>
      <c r="F871" s="471">
        <f t="shared" si="245"/>
        <v>0</v>
      </c>
      <c r="G871" s="468">
        <f t="shared" si="246"/>
        <v>0</v>
      </c>
    </row>
    <row r="872" spans="1:7" ht="19.899999999999999" customHeight="1">
      <c r="A872" s="511">
        <f t="shared" ref="A872:A874" si="247">IFERROR(VLOOKUP(C872,T_Insumos,4,FALSE),0)</f>
        <v>0</v>
      </c>
      <c r="B872" s="474">
        <f t="shared" ref="B872:B874" si="248">IFERROR(VLOOKUP(C872,T_Insumos,5,FALSE),0)</f>
        <v>0</v>
      </c>
      <c r="C872" s="465"/>
      <c r="D872" s="471"/>
      <c r="E872" s="468">
        <f t="shared" si="244"/>
        <v>0</v>
      </c>
      <c r="F872" s="471">
        <f>IF(C872="",0,IFERROR(VLOOKUP(COUNTIF($A$1:A872,"ANALISIS DE PRECIOS"),T_Rendimiento_Equipo,5,FALSE),0))</f>
        <v>0</v>
      </c>
      <c r="G872" s="468">
        <f t="shared" si="246"/>
        <v>0</v>
      </c>
    </row>
    <row r="873" spans="1:7" ht="19.899999999999999" customHeight="1">
      <c r="A873" s="511">
        <f t="shared" si="247"/>
        <v>0</v>
      </c>
      <c r="B873" s="474">
        <f t="shared" si="248"/>
        <v>0</v>
      </c>
      <c r="C873" s="465"/>
      <c r="D873" s="479"/>
      <c r="E873" s="468">
        <f>SUMPRODUCT(D868:D871,E868:E871)</f>
        <v>0</v>
      </c>
      <c r="F873" s="471">
        <f t="shared" si="245"/>
        <v>0</v>
      </c>
      <c r="G873" s="468">
        <f t="shared" si="246"/>
        <v>0</v>
      </c>
    </row>
    <row r="874" spans="1:7" ht="19.899999999999999" customHeight="1">
      <c r="A874" s="511">
        <f t="shared" si="247"/>
        <v>0</v>
      </c>
      <c r="B874" s="474">
        <f t="shared" si="248"/>
        <v>0</v>
      </c>
      <c r="C874" s="474"/>
      <c r="D874" s="480"/>
      <c r="E874" s="468">
        <f t="shared" ref="E874:E876" si="249">IFERROR(VLOOKUP(C874,T_Insumos,3,FALSE),0)</f>
        <v>0</v>
      </c>
      <c r="F874" s="471">
        <f>IF(C874="",0,IFERROR(VLOOKUP(COUNTIF($A$1:A874,"ANALISIS DE PRECIOS"),T_Rendimiento_Equipo,5,FALSE),0))</f>
        <v>0</v>
      </c>
      <c r="G874" s="468">
        <f t="shared" si="246"/>
        <v>0</v>
      </c>
    </row>
    <row r="875" spans="1:7" ht="19.899999999999999" customHeight="1">
      <c r="A875" s="512"/>
      <c r="B875" s="455"/>
      <c r="C875" s="160"/>
      <c r="D875" s="455"/>
      <c r="E875" s="456"/>
      <c r="F875" s="615" t="s">
        <v>27</v>
      </c>
      <c r="G875" s="514">
        <f>SUBTOTAL(9,G868:G874)</f>
        <v>0</v>
      </c>
    </row>
    <row r="876" spans="1:7" ht="19.899999999999999" customHeight="1">
      <c r="A876" s="509"/>
      <c r="B876" s="160"/>
      <c r="C876" s="451" t="s">
        <v>1012</v>
      </c>
      <c r="D876" s="455"/>
      <c r="E876" s="456"/>
      <c r="F876" s="457"/>
      <c r="G876" s="510"/>
    </row>
    <row r="877" spans="1:7" ht="19.899999999999999" customHeight="1">
      <c r="A877" s="637" t="s">
        <v>575</v>
      </c>
      <c r="B877" s="638"/>
      <c r="C877" s="639" t="s">
        <v>0</v>
      </c>
      <c r="D877" s="639" t="s">
        <v>1864</v>
      </c>
      <c r="E877" s="641" t="s">
        <v>23</v>
      </c>
      <c r="F877" s="643" t="s">
        <v>24</v>
      </c>
      <c r="G877" s="645" t="s">
        <v>25</v>
      </c>
    </row>
    <row r="878" spans="1:7" ht="19.899999999999999" customHeight="1">
      <c r="A878" s="473" t="s">
        <v>576</v>
      </c>
      <c r="B878" s="473" t="s">
        <v>577</v>
      </c>
      <c r="C878" s="640"/>
      <c r="D878" s="640"/>
      <c r="E878" s="642"/>
      <c r="F878" s="644"/>
      <c r="G878" s="646"/>
    </row>
    <row r="879" spans="1:7" ht="19.899999999999999" customHeight="1">
      <c r="A879" s="511">
        <f t="shared" ref="A879:A889" si="250">IFERROR(VLOOKUP(C879,T_Insumos,4,FALSE),0)</f>
        <v>0</v>
      </c>
      <c r="B879" s="474">
        <f t="shared" ref="B879:B889" si="251">IFERROR(VLOOKUP(C879,T_Insumos,5,FALSE),0)</f>
        <v>0</v>
      </c>
      <c r="C879" s="474"/>
      <c r="D879" s="522">
        <f t="shared" ref="D879:D889" si="252">IFERROR(VLOOKUP(C879,T_Insumos,2,FALSE),0)</f>
        <v>0</v>
      </c>
      <c r="E879" s="466"/>
      <c r="F879" s="468">
        <f t="shared" ref="F879:F889" si="253">IFERROR(VLOOKUP(C879,T_Insumos,3,FALSE),0)</f>
        <v>0</v>
      </c>
      <c r="G879" s="468">
        <f>ROUND(E879*F879,2)</f>
        <v>0</v>
      </c>
    </row>
    <row r="880" spans="1:7" ht="19.899999999999999" customHeight="1">
      <c r="A880" s="511">
        <f t="shared" si="250"/>
        <v>0</v>
      </c>
      <c r="B880" s="474">
        <f t="shared" si="251"/>
        <v>0</v>
      </c>
      <c r="C880" s="474"/>
      <c r="D880" s="522">
        <f t="shared" si="252"/>
        <v>0</v>
      </c>
      <c r="E880" s="466"/>
      <c r="F880" s="468">
        <f t="shared" si="253"/>
        <v>0</v>
      </c>
      <c r="G880" s="468">
        <f t="shared" ref="G880:G889" si="254">ROUND(E880*F880,2)</f>
        <v>0</v>
      </c>
    </row>
    <row r="881" spans="1:7" ht="19.899999999999999" customHeight="1">
      <c r="A881" s="511">
        <f t="shared" si="250"/>
        <v>0</v>
      </c>
      <c r="B881" s="474">
        <f t="shared" si="251"/>
        <v>0</v>
      </c>
      <c r="C881" s="474"/>
      <c r="D881" s="522">
        <f t="shared" si="252"/>
        <v>0</v>
      </c>
      <c r="E881" s="466"/>
      <c r="F881" s="468">
        <f t="shared" si="253"/>
        <v>0</v>
      </c>
      <c r="G881" s="468">
        <f t="shared" si="254"/>
        <v>0</v>
      </c>
    </row>
    <row r="882" spans="1:7" ht="19.899999999999999" customHeight="1">
      <c r="A882" s="511">
        <f t="shared" si="250"/>
        <v>0</v>
      </c>
      <c r="B882" s="474">
        <f t="shared" si="251"/>
        <v>0</v>
      </c>
      <c r="C882" s="474"/>
      <c r="D882" s="522">
        <f t="shared" si="252"/>
        <v>0</v>
      </c>
      <c r="E882" s="466"/>
      <c r="F882" s="468">
        <f t="shared" si="253"/>
        <v>0</v>
      </c>
      <c r="G882" s="468">
        <f t="shared" si="254"/>
        <v>0</v>
      </c>
    </row>
    <row r="883" spans="1:7" ht="19.899999999999999" customHeight="1">
      <c r="A883" s="511">
        <f t="shared" si="250"/>
        <v>0</v>
      </c>
      <c r="B883" s="474">
        <f t="shared" si="251"/>
        <v>0</v>
      </c>
      <c r="C883" s="474"/>
      <c r="D883" s="522">
        <f t="shared" si="252"/>
        <v>0</v>
      </c>
      <c r="E883" s="466"/>
      <c r="F883" s="468">
        <f t="shared" si="253"/>
        <v>0</v>
      </c>
      <c r="G883" s="468">
        <f t="shared" si="254"/>
        <v>0</v>
      </c>
    </row>
    <row r="884" spans="1:7" ht="19.899999999999999" customHeight="1">
      <c r="A884" s="511">
        <f t="shared" si="250"/>
        <v>0</v>
      </c>
      <c r="B884" s="474">
        <f t="shared" si="251"/>
        <v>0</v>
      </c>
      <c r="C884" s="474"/>
      <c r="D884" s="522">
        <f t="shared" si="252"/>
        <v>0</v>
      </c>
      <c r="E884" s="466"/>
      <c r="F884" s="468">
        <f t="shared" si="253"/>
        <v>0</v>
      </c>
      <c r="G884" s="468">
        <f t="shared" si="254"/>
        <v>0</v>
      </c>
    </row>
    <row r="885" spans="1:7" ht="19.899999999999999" customHeight="1">
      <c r="A885" s="511">
        <f t="shared" si="250"/>
        <v>0</v>
      </c>
      <c r="B885" s="474">
        <f t="shared" si="251"/>
        <v>0</v>
      </c>
      <c r="C885" s="474"/>
      <c r="D885" s="522">
        <f t="shared" si="252"/>
        <v>0</v>
      </c>
      <c r="E885" s="466"/>
      <c r="F885" s="468">
        <f t="shared" si="253"/>
        <v>0</v>
      </c>
      <c r="G885" s="468">
        <f t="shared" si="254"/>
        <v>0</v>
      </c>
    </row>
    <row r="886" spans="1:7" ht="19.899999999999999" customHeight="1">
      <c r="A886" s="511">
        <f t="shared" si="250"/>
        <v>0</v>
      </c>
      <c r="B886" s="474">
        <f t="shared" si="251"/>
        <v>0</v>
      </c>
      <c r="C886" s="474"/>
      <c r="D886" s="522">
        <f t="shared" si="252"/>
        <v>0</v>
      </c>
      <c r="E886" s="466"/>
      <c r="F886" s="468">
        <f t="shared" si="253"/>
        <v>0</v>
      </c>
      <c r="G886" s="468">
        <f t="shared" si="254"/>
        <v>0</v>
      </c>
    </row>
    <row r="887" spans="1:7" ht="19.899999999999999" customHeight="1">
      <c r="A887" s="511">
        <f t="shared" si="250"/>
        <v>0</v>
      </c>
      <c r="B887" s="474">
        <f t="shared" si="251"/>
        <v>0</v>
      </c>
      <c r="C887" s="474"/>
      <c r="D887" s="522">
        <f t="shared" si="252"/>
        <v>0</v>
      </c>
      <c r="E887" s="466"/>
      <c r="F887" s="468">
        <f t="shared" si="253"/>
        <v>0</v>
      </c>
      <c r="G887" s="468">
        <f t="shared" si="254"/>
        <v>0</v>
      </c>
    </row>
    <row r="888" spans="1:7" ht="19.899999999999999" customHeight="1">
      <c r="A888" s="511">
        <f t="shared" si="250"/>
        <v>0</v>
      </c>
      <c r="B888" s="474">
        <f t="shared" si="251"/>
        <v>0</v>
      </c>
      <c r="C888" s="474"/>
      <c r="D888" s="522">
        <f t="shared" si="252"/>
        <v>0</v>
      </c>
      <c r="E888" s="466"/>
      <c r="F888" s="468">
        <f t="shared" si="253"/>
        <v>0</v>
      </c>
      <c r="G888" s="468">
        <f t="shared" si="254"/>
        <v>0</v>
      </c>
    </row>
    <row r="889" spans="1:7" ht="19.899999999999999" customHeight="1">
      <c r="A889" s="511">
        <f t="shared" si="250"/>
        <v>0</v>
      </c>
      <c r="B889" s="474">
        <f t="shared" si="251"/>
        <v>0</v>
      </c>
      <c r="C889" s="474"/>
      <c r="D889" s="522">
        <f t="shared" si="252"/>
        <v>0</v>
      </c>
      <c r="E889" s="466"/>
      <c r="F889" s="468">
        <f t="shared" si="253"/>
        <v>0</v>
      </c>
      <c r="G889" s="468">
        <f t="shared" si="254"/>
        <v>0</v>
      </c>
    </row>
    <row r="890" spans="1:7" ht="19.899999999999999" customHeight="1">
      <c r="A890" s="509"/>
      <c r="B890" s="160"/>
      <c r="C890" s="160"/>
      <c r="D890" s="455"/>
      <c r="E890" s="456"/>
      <c r="F890" s="615" t="s">
        <v>28</v>
      </c>
      <c r="G890" s="514">
        <f>SUBTOTAL(9,G879:G889)</f>
        <v>0</v>
      </c>
    </row>
    <row r="891" spans="1:7" ht="19.899999999999999" customHeight="1">
      <c r="A891" s="509"/>
      <c r="B891" s="160"/>
      <c r="C891" s="451" t="s">
        <v>1013</v>
      </c>
      <c r="D891" s="455"/>
      <c r="E891" s="456"/>
      <c r="F891" s="457"/>
      <c r="G891" s="510"/>
    </row>
    <row r="892" spans="1:7" ht="19.899999999999999" customHeight="1">
      <c r="A892" s="637" t="s">
        <v>575</v>
      </c>
      <c r="B892" s="638"/>
      <c r="C892" s="639" t="s">
        <v>0</v>
      </c>
      <c r="D892" s="639" t="s">
        <v>1864</v>
      </c>
      <c r="E892" s="641" t="s">
        <v>23</v>
      </c>
      <c r="F892" s="643" t="s">
        <v>24</v>
      </c>
      <c r="G892" s="645" t="s">
        <v>25</v>
      </c>
    </row>
    <row r="893" spans="1:7" ht="19.899999999999999" customHeight="1">
      <c r="A893" s="473" t="s">
        <v>576</v>
      </c>
      <c r="B893" s="473" t="s">
        <v>577</v>
      </c>
      <c r="C893" s="640"/>
      <c r="D893" s="640"/>
      <c r="E893" s="642"/>
      <c r="F893" s="644"/>
      <c r="G893" s="646"/>
    </row>
    <row r="894" spans="1:7" ht="19.899999999999999" customHeight="1">
      <c r="A894" s="511">
        <f>IFERROR(VLOOKUP(C894,T_Insumos,4,FALSE),0)</f>
        <v>0</v>
      </c>
      <c r="B894" s="474">
        <f>IFERROR(VLOOKUP(C894,T_Insumos,5,FALSE),0)</f>
        <v>0</v>
      </c>
      <c r="C894" s="465"/>
      <c r="D894" s="522">
        <f>IF(C894=0,0,"$/tnkm")</f>
        <v>0</v>
      </c>
      <c r="E894" s="466"/>
      <c r="F894" s="468">
        <f>IFERROR(VLOOKUP(C894,T_Insumos,3,FALSE),0)</f>
        <v>0</v>
      </c>
      <c r="G894" s="468">
        <f>ROUND(E894*F894,2)</f>
        <v>0</v>
      </c>
    </row>
    <row r="895" spans="1:7" ht="19.899999999999999" customHeight="1">
      <c r="A895" s="511">
        <f>IFERROR(VLOOKUP(C895,T_Insumos,4,FALSE),0)</f>
        <v>0</v>
      </c>
      <c r="B895" s="474">
        <f>IFERROR(VLOOKUP(C895,T_Insumos,5,FALSE),0)</f>
        <v>0</v>
      </c>
      <c r="C895" s="465"/>
      <c r="D895" s="522">
        <f>IF(C895=0,0,"$/tnkm")</f>
        <v>0</v>
      </c>
      <c r="E895" s="482"/>
      <c r="F895" s="468">
        <f>IFERROR(VLOOKUP(C895,T_Insumos,3,FALSE),0)</f>
        <v>0</v>
      </c>
      <c r="G895" s="468">
        <f t="shared" ref="G895" si="255">ROUND(E895*F895,2)</f>
        <v>0</v>
      </c>
    </row>
    <row r="896" spans="1:7" ht="19.899999999999999" customHeight="1">
      <c r="A896" s="509"/>
      <c r="B896" s="160"/>
      <c r="C896" s="160"/>
      <c r="D896" s="455"/>
      <c r="E896" s="456"/>
      <c r="F896" s="615" t="s">
        <v>1014</v>
      </c>
      <c r="G896" s="514">
        <f>SUBTOTAL(9,G894:G895)</f>
        <v>0</v>
      </c>
    </row>
    <row r="897" spans="1:7" ht="19.899999999999999" customHeight="1">
      <c r="A897" s="512"/>
      <c r="B897" s="455"/>
      <c r="C897" s="160"/>
      <c r="D897" s="455"/>
      <c r="E897" s="456"/>
      <c r="F897" s="457"/>
      <c r="G897" s="510"/>
    </row>
    <row r="898" spans="1:7" ht="19.899999999999999" customHeight="1">
      <c r="A898" s="570">
        <f>B832</f>
        <v>3.1</v>
      </c>
      <c r="B898" s="567" t="str">
        <f ca="1">C832</f>
        <v>Limpieza, replanteo y nivelacion</v>
      </c>
      <c r="C898" s="455"/>
      <c r="D898" s="455" t="s">
        <v>1830</v>
      </c>
      <c r="E898" s="568"/>
      <c r="F898" s="569" t="str">
        <f ca="1">"$/"&amp;G832</f>
        <v>$/m</v>
      </c>
      <c r="G898" s="519">
        <f>SUBTOTAL(9,G855:G897)</f>
        <v>0</v>
      </c>
    </row>
    <row r="899" spans="1:7" ht="19.899999999999999" customHeight="1">
      <c r="A899" s="515"/>
      <c r="B899" s="516"/>
      <c r="C899" s="517"/>
      <c r="D899" s="517" t="s">
        <v>2040</v>
      </c>
      <c r="E899" s="518"/>
      <c r="F899" s="571" t="str">
        <f ca="1">"$/"&amp;G832</f>
        <v>$/m</v>
      </c>
      <c r="G899" s="519">
        <f>ROUND(G898*Coeficiente_Paso,2)</f>
        <v>0</v>
      </c>
    </row>
    <row r="900" spans="1:7" ht="19.899999999999999" customHeight="1">
      <c r="A900" s="160"/>
      <c r="B900" s="160"/>
      <c r="C900" s="160"/>
      <c r="D900" s="160"/>
      <c r="E900" s="160"/>
      <c r="F900" s="160"/>
      <c r="G900" s="160"/>
    </row>
    <row r="901" spans="1:7" ht="19.899999999999999" customHeight="1">
      <c r="A901" s="633" t="s">
        <v>30</v>
      </c>
      <c r="B901" s="634"/>
      <c r="C901" s="634"/>
      <c r="D901" s="634"/>
      <c r="E901" s="634"/>
      <c r="F901" s="634"/>
      <c r="G901" s="635"/>
    </row>
    <row r="902" spans="1:7" ht="19.899999999999999" customHeight="1">
      <c r="A902" s="498" t="s">
        <v>710</v>
      </c>
      <c r="B902" s="449" t="str">
        <f>Comitente</f>
        <v>DEPARTAMENTO DE HIDRAULICA</v>
      </c>
      <c r="C902" s="450"/>
      <c r="D902" s="451"/>
      <c r="E902" s="451"/>
      <c r="F902" s="452"/>
      <c r="G902" s="499"/>
    </row>
    <row r="903" spans="1:7" ht="19.899999999999999" customHeight="1">
      <c r="A903" s="498" t="s">
        <v>711</v>
      </c>
      <c r="B903" s="449">
        <f>Contratista</f>
        <v>0</v>
      </c>
      <c r="C903" s="453"/>
      <c r="D903" s="453"/>
      <c r="E903" s="453"/>
      <c r="F903" s="449"/>
      <c r="G903" s="500"/>
    </row>
    <row r="904" spans="1:7" ht="19.899999999999999" customHeight="1">
      <c r="A904" s="498" t="s">
        <v>20</v>
      </c>
      <c r="B904" s="449" t="str">
        <f>Obra</f>
        <v>EJECUCION DE PERFORACION - SISTEMA DE RIEGO</v>
      </c>
      <c r="C904" s="453"/>
      <c r="D904" s="453"/>
      <c r="E904" s="453"/>
      <c r="F904" s="449" t="s">
        <v>31</v>
      </c>
      <c r="G904" s="500">
        <f>Fecha_Base</f>
        <v>0</v>
      </c>
    </row>
    <row r="905" spans="1:7" ht="19.899999999999999" customHeight="1">
      <c r="A905" s="501" t="s">
        <v>709</v>
      </c>
      <c r="B905" s="454" t="str">
        <f>Ubicación</f>
        <v>DEPARTAMENTO CHIMBAS</v>
      </c>
      <c r="C905" s="454"/>
      <c r="D905" s="455"/>
      <c r="E905" s="456"/>
      <c r="F905" s="457"/>
      <c r="G905" s="502"/>
    </row>
    <row r="906" spans="1:7" ht="19.899999999999999" customHeight="1">
      <c r="A906" s="501" t="s">
        <v>32</v>
      </c>
      <c r="B906" s="458">
        <f>IFERROR(VALUE(LEFT(B907,FIND(".",B907)-1)),"")</f>
        <v>3</v>
      </c>
      <c r="C906" s="160" t="str">
        <f ca="1">IFERROR(VLOOKUP(B906,T_Computo_Presupuesto,2,FALSE),0)</f>
        <v>CAMARA SUBTERRANEA PARA PERFORACION</v>
      </c>
      <c r="D906" s="160"/>
      <c r="E906" s="456"/>
      <c r="F906" s="457"/>
      <c r="G906" s="502"/>
    </row>
    <row r="907" spans="1:7" ht="19.899999999999999" customHeight="1">
      <c r="A907" s="501" t="s">
        <v>21</v>
      </c>
      <c r="B907" s="459">
        <f>IFERROR(VLOOKUP(COUNTIF($A$1:A907,"ANALISIS DE PRECIOS"),T_NumeroItem,2,FALSE),"")</f>
        <v>3.2</v>
      </c>
      <c r="C907" s="636" t="str">
        <f ca="1">IFERROR(VLOOKUP(B907,T_Computo_Presupuesto,2,FALSE),0)</f>
        <v>Excavacion de zanja para camara subterranea</v>
      </c>
      <c r="D907" s="636"/>
      <c r="E907" s="636"/>
      <c r="F907" s="454" t="s">
        <v>22</v>
      </c>
      <c r="G907" s="503" t="str">
        <f ca="1">IFERROR(VLOOKUP(B907,T_Computo_Presupuesto,4,FALSE),0)</f>
        <v>m3</v>
      </c>
    </row>
    <row r="908" spans="1:7" ht="19.899999999999999" customHeight="1">
      <c r="A908" s="501"/>
      <c r="B908" s="454"/>
      <c r="C908" s="160"/>
      <c r="D908" s="455"/>
      <c r="E908" s="456"/>
      <c r="F908" s="160"/>
      <c r="G908" s="504"/>
    </row>
    <row r="909" spans="1:7" ht="19.899999999999999" customHeight="1">
      <c r="A909" s="505"/>
      <c r="B909" s="460"/>
      <c r="C909" s="461" t="s">
        <v>997</v>
      </c>
      <c r="D909" s="460"/>
      <c r="E909" s="460"/>
      <c r="F909" s="460"/>
      <c r="G909" s="506"/>
    </row>
    <row r="910" spans="1:7" ht="19.899999999999999" customHeight="1">
      <c r="A910" s="501"/>
      <c r="B910" s="462"/>
      <c r="C910" s="160"/>
      <c r="D910" s="455"/>
      <c r="E910" s="456"/>
      <c r="F910" s="454"/>
      <c r="G910" s="503"/>
    </row>
    <row r="911" spans="1:7" ht="19.899999999999999" customHeight="1">
      <c r="A911" s="501"/>
      <c r="B911" s="462"/>
      <c r="C911" s="463" t="s">
        <v>998</v>
      </c>
      <c r="D911" s="464" t="s">
        <v>23</v>
      </c>
      <c r="E911" s="464" t="s">
        <v>999</v>
      </c>
      <c r="F911" s="464" t="s">
        <v>1000</v>
      </c>
      <c r="G911" s="463" t="s">
        <v>1001</v>
      </c>
    </row>
    <row r="912" spans="1:7" ht="19.899999999999999" customHeight="1">
      <c r="A912" s="501"/>
      <c r="B912" s="462"/>
      <c r="C912" s="465"/>
      <c r="D912" s="466"/>
      <c r="E912" s="467">
        <f t="shared" ref="E912:E921" si="256">IFERROR(VLOOKUP(C912,T_Equipos,4,FALSE),0)</f>
        <v>0</v>
      </c>
      <c r="F912" s="468"/>
      <c r="G912" s="468">
        <f>ROUND(D912*F912,2)</f>
        <v>0</v>
      </c>
    </row>
    <row r="913" spans="1:7" ht="19.899999999999999" customHeight="1">
      <c r="A913" s="501"/>
      <c r="B913" s="462"/>
      <c r="C913" s="465"/>
      <c r="D913" s="466"/>
      <c r="E913" s="467">
        <f t="shared" si="256"/>
        <v>0</v>
      </c>
      <c r="F913" s="468"/>
      <c r="G913" s="468">
        <f>ROUND(D913*F913,2)</f>
        <v>0</v>
      </c>
    </row>
    <row r="914" spans="1:7" ht="19.899999999999999" customHeight="1">
      <c r="A914" s="501"/>
      <c r="B914" s="462"/>
      <c r="C914" s="465"/>
      <c r="D914" s="466"/>
      <c r="E914" s="467">
        <f t="shared" si="256"/>
        <v>0</v>
      </c>
      <c r="F914" s="468"/>
      <c r="G914" s="468">
        <f>ROUND(D914*F914,2)</f>
        <v>0</v>
      </c>
    </row>
    <row r="915" spans="1:7" ht="19.899999999999999" customHeight="1">
      <c r="A915" s="501"/>
      <c r="B915" s="462"/>
      <c r="C915" s="465"/>
      <c r="D915" s="466"/>
      <c r="E915" s="467">
        <f t="shared" si="256"/>
        <v>0</v>
      </c>
      <c r="F915" s="468"/>
      <c r="G915" s="468">
        <f>ROUND(D915*F915,2)</f>
        <v>0</v>
      </c>
    </row>
    <row r="916" spans="1:7" ht="19.899999999999999" customHeight="1">
      <c r="A916" s="501"/>
      <c r="B916" s="462"/>
      <c r="C916" s="465"/>
      <c r="D916" s="466"/>
      <c r="E916" s="467">
        <f t="shared" si="256"/>
        <v>0</v>
      </c>
      <c r="F916" s="468"/>
      <c r="G916" s="468">
        <f t="shared" ref="G916:G921" si="257">ROUND(D916*F916,2)</f>
        <v>0</v>
      </c>
    </row>
    <row r="917" spans="1:7" ht="19.899999999999999" customHeight="1">
      <c r="A917" s="501"/>
      <c r="B917" s="462"/>
      <c r="C917" s="465"/>
      <c r="D917" s="466"/>
      <c r="E917" s="467">
        <f t="shared" si="256"/>
        <v>0</v>
      </c>
      <c r="F917" s="468">
        <f t="shared" ref="F917:F921" si="258">IFERROR(VLOOKUP(C917,T_Equipos,5,FALSE),0)</f>
        <v>0</v>
      </c>
      <c r="G917" s="468">
        <f t="shared" si="257"/>
        <v>0</v>
      </c>
    </row>
    <row r="918" spans="1:7" ht="19.899999999999999" customHeight="1">
      <c r="A918" s="501"/>
      <c r="B918" s="462"/>
      <c r="C918" s="465"/>
      <c r="D918" s="466"/>
      <c r="E918" s="467">
        <f t="shared" si="256"/>
        <v>0</v>
      </c>
      <c r="F918" s="468">
        <f t="shared" si="258"/>
        <v>0</v>
      </c>
      <c r="G918" s="468">
        <f t="shared" si="257"/>
        <v>0</v>
      </c>
    </row>
    <row r="919" spans="1:7" ht="19.899999999999999" customHeight="1">
      <c r="A919" s="501"/>
      <c r="B919" s="462"/>
      <c r="C919" s="465"/>
      <c r="D919" s="466"/>
      <c r="E919" s="467">
        <f t="shared" si="256"/>
        <v>0</v>
      </c>
      <c r="F919" s="468">
        <f t="shared" si="258"/>
        <v>0</v>
      </c>
      <c r="G919" s="468">
        <f t="shared" si="257"/>
        <v>0</v>
      </c>
    </row>
    <row r="920" spans="1:7" ht="19.899999999999999" customHeight="1">
      <c r="A920" s="501"/>
      <c r="B920" s="462"/>
      <c r="C920" s="465"/>
      <c r="D920" s="466"/>
      <c r="E920" s="467">
        <f t="shared" si="256"/>
        <v>0</v>
      </c>
      <c r="F920" s="468">
        <f t="shared" si="258"/>
        <v>0</v>
      </c>
      <c r="G920" s="468">
        <f t="shared" si="257"/>
        <v>0</v>
      </c>
    </row>
    <row r="921" spans="1:7" ht="19.899999999999999" customHeight="1">
      <c r="A921" s="501"/>
      <c r="B921" s="462"/>
      <c r="C921" s="465"/>
      <c r="D921" s="466"/>
      <c r="E921" s="467">
        <f t="shared" si="256"/>
        <v>0</v>
      </c>
      <c r="F921" s="468">
        <f t="shared" si="258"/>
        <v>0</v>
      </c>
      <c r="G921" s="468">
        <f t="shared" si="257"/>
        <v>0</v>
      </c>
    </row>
    <row r="922" spans="1:7" ht="19.899999999999999" customHeight="1">
      <c r="A922" s="501"/>
      <c r="B922" s="462"/>
      <c r="C922" s="160"/>
      <c r="D922" s="160"/>
      <c r="E922" s="469"/>
      <c r="F922" s="454"/>
      <c r="G922" s="503"/>
    </row>
    <row r="923" spans="1:7" ht="19.899999999999999" customHeight="1">
      <c r="A923" s="501"/>
      <c r="B923" s="160"/>
      <c r="C923" s="451" t="s">
        <v>1002</v>
      </c>
      <c r="D923" s="454" t="s">
        <v>999</v>
      </c>
      <c r="E923" s="520">
        <f>SUMPRODUCT(D912:D921,E912:E921)</f>
        <v>0</v>
      </c>
      <c r="F923" s="454" t="s">
        <v>1003</v>
      </c>
      <c r="G923" s="521">
        <f>SUM(G912:G921)</f>
        <v>0</v>
      </c>
    </row>
    <row r="924" spans="1:7" ht="19.899999999999999" customHeight="1">
      <c r="A924" s="501"/>
      <c r="B924" s="462"/>
      <c r="C924" s="470"/>
      <c r="D924" s="469"/>
      <c r="E924" s="456"/>
      <c r="F924" s="454"/>
      <c r="G924" s="507"/>
    </row>
    <row r="925" spans="1:7" ht="19.899999999999999" customHeight="1">
      <c r="A925" s="508"/>
      <c r="B925" s="462"/>
      <c r="C925" s="454" t="s">
        <v>1004</v>
      </c>
      <c r="D925" s="471"/>
      <c r="E925" s="472" t="str">
        <f ca="1">G907&amp;"/día"</f>
        <v>m3/día</v>
      </c>
      <c r="F925" s="448"/>
      <c r="G925" s="503"/>
    </row>
    <row r="926" spans="1:7" ht="19.899999999999999" customHeight="1">
      <c r="A926" s="501"/>
      <c r="B926" s="462"/>
      <c r="C926" s="160"/>
      <c r="D926" s="455"/>
      <c r="E926" s="456"/>
      <c r="F926" s="454"/>
      <c r="G926" s="503"/>
    </row>
    <row r="927" spans="1:7" ht="19.899999999999999" customHeight="1">
      <c r="A927" s="637" t="s">
        <v>575</v>
      </c>
      <c r="B927" s="638"/>
      <c r="C927" s="639" t="s">
        <v>0</v>
      </c>
      <c r="D927" s="647" t="s">
        <v>1863</v>
      </c>
      <c r="E927" s="647" t="s">
        <v>1862</v>
      </c>
      <c r="F927" s="643" t="s">
        <v>1005</v>
      </c>
      <c r="G927" s="645" t="s">
        <v>25</v>
      </c>
    </row>
    <row r="928" spans="1:7" ht="19.899999999999999" customHeight="1">
      <c r="A928" s="473" t="s">
        <v>576</v>
      </c>
      <c r="B928" s="473" t="s">
        <v>577</v>
      </c>
      <c r="C928" s="640"/>
      <c r="D928" s="648"/>
      <c r="E928" s="642"/>
      <c r="F928" s="644"/>
      <c r="G928" s="646"/>
    </row>
    <row r="929" spans="1:7" ht="19.899999999999999" customHeight="1">
      <c r="A929" s="509"/>
      <c r="B929" s="160"/>
      <c r="C929" s="451" t="s">
        <v>1006</v>
      </c>
      <c r="D929" s="456"/>
      <c r="E929" s="456"/>
      <c r="F929" s="160"/>
      <c r="G929" s="510"/>
    </row>
    <row r="930" spans="1:7" ht="19.899999999999999" customHeight="1">
      <c r="A930" s="511">
        <f t="shared" ref="A930:A938" si="259">IFERROR(VLOOKUP(C930,T_Insumos,4,FALSE),0)</f>
        <v>0</v>
      </c>
      <c r="B930" s="474">
        <f t="shared" ref="B930:B938" si="260">IFERROR(VLOOKUP(C930,T_Insumos,5,FALSE),0)</f>
        <v>0</v>
      </c>
      <c r="C930" s="465"/>
      <c r="D930" s="475">
        <f t="shared" ref="D930:D938" si="261">IFERROR(VLOOKUP(C930,T_Insumos,3,FALSE),0)</f>
        <v>0</v>
      </c>
      <c r="E930" s="468">
        <f>D930*$G$323</f>
        <v>0</v>
      </c>
      <c r="F930" s="471">
        <f>+$D$325</f>
        <v>0</v>
      </c>
      <c r="G930" s="468">
        <f>IFERROR(ROUND(E930/F930,2),0)</f>
        <v>0</v>
      </c>
    </row>
    <row r="931" spans="1:7" ht="19.899999999999999" customHeight="1">
      <c r="A931" s="511"/>
      <c r="B931" s="474"/>
      <c r="C931" s="465"/>
      <c r="D931" s="475">
        <f t="shared" si="261"/>
        <v>0</v>
      </c>
      <c r="E931" s="468">
        <f>D931*$G$323</f>
        <v>0</v>
      </c>
      <c r="F931" s="471">
        <f t="shared" ref="F931:F933" si="262">+$D$325</f>
        <v>0</v>
      </c>
      <c r="G931" s="468">
        <f t="shared" ref="G931:G938" si="263">IFERROR(ROUND(E931/F931,2),0)</f>
        <v>0</v>
      </c>
    </row>
    <row r="932" spans="1:7" ht="19.899999999999999" customHeight="1">
      <c r="A932" s="511">
        <f t="shared" ref="A932:A940" si="264">IFERROR(VLOOKUP(C932,T_Insumos,4,FALSE),0)</f>
        <v>0</v>
      </c>
      <c r="B932" s="474">
        <f t="shared" ref="B932:B940" si="265">IFERROR(VLOOKUP(C932,T_Insumos,5,FALSE),0)</f>
        <v>0</v>
      </c>
      <c r="C932" s="476"/>
      <c r="D932" s="475">
        <f t="shared" si="261"/>
        <v>0</v>
      </c>
      <c r="E932" s="468">
        <f>D932*$E$323</f>
        <v>0</v>
      </c>
      <c r="F932" s="471">
        <f t="shared" si="262"/>
        <v>0</v>
      </c>
      <c r="G932" s="468">
        <f t="shared" si="263"/>
        <v>0</v>
      </c>
    </row>
    <row r="933" spans="1:7" ht="19.899999999999999" customHeight="1">
      <c r="A933" s="511">
        <f t="shared" si="264"/>
        <v>0</v>
      </c>
      <c r="B933" s="474">
        <f t="shared" si="265"/>
        <v>0</v>
      </c>
      <c r="C933" s="476"/>
      <c r="D933" s="475">
        <f t="shared" si="261"/>
        <v>0</v>
      </c>
      <c r="E933" s="468">
        <f>D933*$E$323</f>
        <v>0</v>
      </c>
      <c r="F933" s="471">
        <f t="shared" si="262"/>
        <v>0</v>
      </c>
      <c r="G933" s="468">
        <f t="shared" si="263"/>
        <v>0</v>
      </c>
    </row>
    <row r="934" spans="1:7" ht="19.899999999999999" customHeight="1">
      <c r="A934" s="511">
        <f t="shared" si="264"/>
        <v>0</v>
      </c>
      <c r="B934" s="474">
        <f t="shared" si="265"/>
        <v>0</v>
      </c>
      <c r="C934" s="476"/>
      <c r="D934" s="475">
        <f t="shared" si="261"/>
        <v>0</v>
      </c>
      <c r="E934" s="468"/>
      <c r="F934" s="471">
        <f>IF(C934="",0,IFERROR(VLOOKUP(COUNTIF($A$1:A934,"ANALISIS DE PRECIOS"),T_Rendimiento_Equipo,5,FALSE),0))</f>
        <v>0</v>
      </c>
      <c r="G934" s="468">
        <f t="shared" si="263"/>
        <v>0</v>
      </c>
    </row>
    <row r="935" spans="1:7" ht="19.899999999999999" customHeight="1">
      <c r="A935" s="511">
        <f t="shared" si="264"/>
        <v>0</v>
      </c>
      <c r="B935" s="474">
        <f t="shared" si="265"/>
        <v>0</v>
      </c>
      <c r="C935" s="476"/>
      <c r="D935" s="475">
        <f t="shared" si="261"/>
        <v>0</v>
      </c>
      <c r="E935" s="468"/>
      <c r="F935" s="471">
        <f>IF(C935="",0,IFERROR(VLOOKUP(COUNTIF($A$1:A935,"ANALISIS DE PRECIOS"),T_Rendimiento_Equipo,5,FALSE),0))</f>
        <v>0</v>
      </c>
      <c r="G935" s="468">
        <f t="shared" si="263"/>
        <v>0</v>
      </c>
    </row>
    <row r="936" spans="1:7" ht="19.899999999999999" customHeight="1">
      <c r="A936" s="511">
        <f t="shared" si="264"/>
        <v>0</v>
      </c>
      <c r="B936" s="474">
        <f t="shared" si="265"/>
        <v>0</v>
      </c>
      <c r="C936" s="476"/>
      <c r="D936" s="475">
        <f t="shared" si="261"/>
        <v>0</v>
      </c>
      <c r="E936" s="468"/>
      <c r="F936" s="471">
        <f>IF(C936="",0,IFERROR(VLOOKUP(COUNTIF($A$1:A936,"ANALISIS DE PRECIOS"),T_Rendimiento_Equipo,5,FALSE),0))</f>
        <v>0</v>
      </c>
      <c r="G936" s="468">
        <f t="shared" si="263"/>
        <v>0</v>
      </c>
    </row>
    <row r="937" spans="1:7" ht="19.899999999999999" customHeight="1">
      <c r="A937" s="511">
        <f t="shared" si="264"/>
        <v>0</v>
      </c>
      <c r="B937" s="474">
        <f t="shared" si="265"/>
        <v>0</v>
      </c>
      <c r="C937" s="476"/>
      <c r="D937" s="475">
        <f t="shared" si="261"/>
        <v>0</v>
      </c>
      <c r="E937" s="468"/>
      <c r="F937" s="471">
        <f>IF(C937="",0,IFERROR(VLOOKUP(COUNTIF($A$1:A937,"ANALISIS DE PRECIOS"),T_Rendimiento_Equipo,5,FALSE),0))</f>
        <v>0</v>
      </c>
      <c r="G937" s="468">
        <f t="shared" si="263"/>
        <v>0</v>
      </c>
    </row>
    <row r="938" spans="1:7" ht="19.899999999999999" customHeight="1">
      <c r="A938" s="511">
        <f t="shared" si="264"/>
        <v>0</v>
      </c>
      <c r="B938" s="474">
        <f t="shared" si="265"/>
        <v>0</v>
      </c>
      <c r="C938" s="465"/>
      <c r="D938" s="475">
        <f t="shared" si="261"/>
        <v>0</v>
      </c>
      <c r="E938" s="468"/>
      <c r="F938" s="471">
        <f>IF(C938="",0,IFERROR(VLOOKUP(COUNTIF($A$1:A938,"ANALISIS DE PRECIOS"),T_Rendimiento_Equipo,5,FALSE),0))</f>
        <v>0</v>
      </c>
      <c r="G938" s="468">
        <f t="shared" si="263"/>
        <v>0</v>
      </c>
    </row>
    <row r="939" spans="1:7" ht="19.899999999999999" customHeight="1">
      <c r="A939" s="512"/>
      <c r="B939" s="455"/>
      <c r="C939" s="160"/>
      <c r="D939" s="455"/>
      <c r="E939" s="456"/>
      <c r="F939" s="615" t="s">
        <v>26</v>
      </c>
      <c r="G939" s="513">
        <f>SUBTOTAL(9,G930:G938)</f>
        <v>0</v>
      </c>
    </row>
    <row r="940" spans="1:7" ht="19.899999999999999" customHeight="1">
      <c r="A940" s="509"/>
      <c r="B940" s="160"/>
      <c r="C940" s="451" t="s">
        <v>712</v>
      </c>
      <c r="D940" s="455"/>
      <c r="E940" s="456"/>
      <c r="F940" s="457"/>
      <c r="G940" s="510"/>
    </row>
    <row r="941" spans="1:7" ht="19.899999999999999" customHeight="1">
      <c r="A941" s="637" t="s">
        <v>575</v>
      </c>
      <c r="B941" s="638"/>
      <c r="C941" s="639" t="s">
        <v>0</v>
      </c>
      <c r="D941" s="641" t="s">
        <v>23</v>
      </c>
      <c r="E941" s="641" t="s">
        <v>1829</v>
      </c>
      <c r="F941" s="643" t="s">
        <v>1005</v>
      </c>
      <c r="G941" s="645" t="s">
        <v>25</v>
      </c>
    </row>
    <row r="942" spans="1:7" ht="19.899999999999999" customHeight="1">
      <c r="A942" s="473" t="s">
        <v>576</v>
      </c>
      <c r="B942" s="473" t="s">
        <v>577</v>
      </c>
      <c r="C942" s="640"/>
      <c r="D942" s="642"/>
      <c r="E942" s="642"/>
      <c r="F942" s="644"/>
      <c r="G942" s="646"/>
    </row>
    <row r="943" spans="1:7" ht="19.899999999999999" customHeight="1">
      <c r="A943" s="511"/>
      <c r="B943" s="474"/>
      <c r="C943" s="478"/>
      <c r="D943" s="471"/>
      <c r="E943" s="468">
        <f t="shared" ref="E943:E947" si="266">IFERROR(VLOOKUP(C943,T_Insumos,3,FALSE),0)</f>
        <v>0</v>
      </c>
      <c r="F943" s="471">
        <f>+$D$325</f>
        <v>0</v>
      </c>
      <c r="G943" s="468">
        <f>IFERROR(ROUND(D943*E943/F943,2),0)</f>
        <v>0</v>
      </c>
    </row>
    <row r="944" spans="1:7" ht="19.899999999999999" customHeight="1">
      <c r="A944" s="511"/>
      <c r="B944" s="474"/>
      <c r="C944" s="465"/>
      <c r="D944" s="471"/>
      <c r="E944" s="468">
        <f t="shared" si="266"/>
        <v>0</v>
      </c>
      <c r="F944" s="471">
        <f t="shared" ref="F944:F948" si="267">+$D$325</f>
        <v>0</v>
      </c>
      <c r="G944" s="468">
        <f t="shared" ref="G944:G949" si="268">IFERROR(ROUND(D944*E944/F944,2),0)</f>
        <v>0</v>
      </c>
    </row>
    <row r="945" spans="1:7" ht="19.899999999999999" customHeight="1">
      <c r="A945" s="511"/>
      <c r="B945" s="474"/>
      <c r="C945" s="465"/>
      <c r="D945" s="471"/>
      <c r="E945" s="468">
        <f t="shared" si="266"/>
        <v>0</v>
      </c>
      <c r="F945" s="471">
        <f t="shared" si="267"/>
        <v>0</v>
      </c>
      <c r="G945" s="468">
        <f t="shared" si="268"/>
        <v>0</v>
      </c>
    </row>
    <row r="946" spans="1:7" ht="19.899999999999999" customHeight="1">
      <c r="A946" s="511"/>
      <c r="B946" s="474"/>
      <c r="C946" s="465"/>
      <c r="D946" s="471"/>
      <c r="E946" s="468">
        <f t="shared" si="266"/>
        <v>0</v>
      </c>
      <c r="F946" s="471">
        <f t="shared" si="267"/>
        <v>0</v>
      </c>
      <c r="G946" s="468">
        <f t="shared" si="268"/>
        <v>0</v>
      </c>
    </row>
    <row r="947" spans="1:7" ht="19.899999999999999" customHeight="1">
      <c r="A947" s="511">
        <f t="shared" ref="A947:A949" si="269">IFERROR(VLOOKUP(C947,T_Insumos,4,FALSE),0)</f>
        <v>0</v>
      </c>
      <c r="B947" s="474">
        <f t="shared" ref="B947:B949" si="270">IFERROR(VLOOKUP(C947,T_Insumos,5,FALSE),0)</f>
        <v>0</v>
      </c>
      <c r="C947" s="465"/>
      <c r="D947" s="471"/>
      <c r="E947" s="468">
        <f t="shared" si="266"/>
        <v>0</v>
      </c>
      <c r="F947" s="471">
        <f>IF(C947="",0,IFERROR(VLOOKUP(COUNTIF($A$1:A947,"ANALISIS DE PRECIOS"),T_Rendimiento_Equipo,5,FALSE),0))</f>
        <v>0</v>
      </c>
      <c r="G947" s="468">
        <f t="shared" si="268"/>
        <v>0</v>
      </c>
    </row>
    <row r="948" spans="1:7" ht="19.899999999999999" customHeight="1">
      <c r="A948" s="511">
        <f t="shared" si="269"/>
        <v>0</v>
      </c>
      <c r="B948" s="474">
        <f t="shared" si="270"/>
        <v>0</v>
      </c>
      <c r="C948" s="465"/>
      <c r="D948" s="479"/>
      <c r="E948" s="468">
        <f>SUMPRODUCT(D943:D946,E943:E946)</f>
        <v>0</v>
      </c>
      <c r="F948" s="471">
        <f t="shared" si="267"/>
        <v>0</v>
      </c>
      <c r="G948" s="468">
        <f t="shared" si="268"/>
        <v>0</v>
      </c>
    </row>
    <row r="949" spans="1:7" ht="19.899999999999999" customHeight="1">
      <c r="A949" s="511">
        <f t="shared" si="269"/>
        <v>0</v>
      </c>
      <c r="B949" s="474">
        <f t="shared" si="270"/>
        <v>0</v>
      </c>
      <c r="C949" s="474"/>
      <c r="D949" s="480"/>
      <c r="E949" s="468">
        <f t="shared" ref="E949:E951" si="271">IFERROR(VLOOKUP(C949,T_Insumos,3,FALSE),0)</f>
        <v>0</v>
      </c>
      <c r="F949" s="471">
        <f>IF(C949="",0,IFERROR(VLOOKUP(COUNTIF($A$1:A949,"ANALISIS DE PRECIOS"),T_Rendimiento_Equipo,5,FALSE),0))</f>
        <v>0</v>
      </c>
      <c r="G949" s="468">
        <f t="shared" si="268"/>
        <v>0</v>
      </c>
    </row>
    <row r="950" spans="1:7" ht="19.899999999999999" customHeight="1">
      <c r="A950" s="512"/>
      <c r="B950" s="455"/>
      <c r="C950" s="160"/>
      <c r="D950" s="455"/>
      <c r="E950" s="456"/>
      <c r="F950" s="615" t="s">
        <v>27</v>
      </c>
      <c r="G950" s="514">
        <f>SUBTOTAL(9,G943:G949)</f>
        <v>0</v>
      </c>
    </row>
    <row r="951" spans="1:7" ht="19.899999999999999" customHeight="1">
      <c r="A951" s="509"/>
      <c r="B951" s="160"/>
      <c r="C951" s="451" t="s">
        <v>1012</v>
      </c>
      <c r="D951" s="455"/>
      <c r="E951" s="456"/>
      <c r="F951" s="457"/>
      <c r="G951" s="510"/>
    </row>
    <row r="952" spans="1:7" ht="19.899999999999999" customHeight="1">
      <c r="A952" s="637" t="s">
        <v>575</v>
      </c>
      <c r="B952" s="638"/>
      <c r="C952" s="639" t="s">
        <v>0</v>
      </c>
      <c r="D952" s="639" t="s">
        <v>1864</v>
      </c>
      <c r="E952" s="641" t="s">
        <v>23</v>
      </c>
      <c r="F952" s="643" t="s">
        <v>24</v>
      </c>
      <c r="G952" s="645" t="s">
        <v>25</v>
      </c>
    </row>
    <row r="953" spans="1:7" ht="19.899999999999999" customHeight="1">
      <c r="A953" s="473" t="s">
        <v>576</v>
      </c>
      <c r="B953" s="473" t="s">
        <v>577</v>
      </c>
      <c r="C953" s="640"/>
      <c r="D953" s="640"/>
      <c r="E953" s="642"/>
      <c r="F953" s="644"/>
      <c r="G953" s="646"/>
    </row>
    <row r="954" spans="1:7" ht="19.899999999999999" customHeight="1">
      <c r="A954" s="511">
        <f t="shared" ref="A954:A964" si="272">IFERROR(VLOOKUP(C954,T_Insumos,4,FALSE),0)</f>
        <v>0</v>
      </c>
      <c r="B954" s="474">
        <f t="shared" ref="B954:B964" si="273">IFERROR(VLOOKUP(C954,T_Insumos,5,FALSE),0)</f>
        <v>0</v>
      </c>
      <c r="C954" s="474"/>
      <c r="D954" s="522">
        <f t="shared" ref="D954:D964" si="274">IFERROR(VLOOKUP(C954,T_Insumos,2,FALSE),0)</f>
        <v>0</v>
      </c>
      <c r="E954" s="466"/>
      <c r="F954" s="468">
        <f t="shared" ref="F954:F964" si="275">IFERROR(VLOOKUP(C954,T_Insumos,3,FALSE),0)</f>
        <v>0</v>
      </c>
      <c r="G954" s="468">
        <f>ROUND(E954*F954,2)</f>
        <v>0</v>
      </c>
    </row>
    <row r="955" spans="1:7" ht="19.899999999999999" customHeight="1">
      <c r="A955" s="511">
        <f t="shared" si="272"/>
        <v>0</v>
      </c>
      <c r="B955" s="474">
        <f t="shared" si="273"/>
        <v>0</v>
      </c>
      <c r="C955" s="474"/>
      <c r="D955" s="522">
        <f t="shared" si="274"/>
        <v>0</v>
      </c>
      <c r="E955" s="466"/>
      <c r="F955" s="468">
        <f t="shared" si="275"/>
        <v>0</v>
      </c>
      <c r="G955" s="468">
        <f t="shared" ref="G955:G964" si="276">ROUND(E955*F955,2)</f>
        <v>0</v>
      </c>
    </row>
    <row r="956" spans="1:7" ht="19.899999999999999" customHeight="1">
      <c r="A956" s="511">
        <f t="shared" si="272"/>
        <v>0</v>
      </c>
      <c r="B956" s="474">
        <f t="shared" si="273"/>
        <v>0</v>
      </c>
      <c r="C956" s="474"/>
      <c r="D956" s="522">
        <f t="shared" si="274"/>
        <v>0</v>
      </c>
      <c r="E956" s="466"/>
      <c r="F956" s="468">
        <f t="shared" si="275"/>
        <v>0</v>
      </c>
      <c r="G956" s="468">
        <f t="shared" si="276"/>
        <v>0</v>
      </c>
    </row>
    <row r="957" spans="1:7" ht="19.899999999999999" customHeight="1">
      <c r="A957" s="511">
        <f t="shared" si="272"/>
        <v>0</v>
      </c>
      <c r="B957" s="474">
        <f t="shared" si="273"/>
        <v>0</v>
      </c>
      <c r="C957" s="474"/>
      <c r="D957" s="522">
        <f t="shared" si="274"/>
        <v>0</v>
      </c>
      <c r="E957" s="466"/>
      <c r="F957" s="468">
        <f t="shared" si="275"/>
        <v>0</v>
      </c>
      <c r="G957" s="468">
        <f t="shared" si="276"/>
        <v>0</v>
      </c>
    </row>
    <row r="958" spans="1:7" ht="19.899999999999999" customHeight="1">
      <c r="A958" s="511">
        <f t="shared" si="272"/>
        <v>0</v>
      </c>
      <c r="B958" s="474">
        <f t="shared" si="273"/>
        <v>0</v>
      </c>
      <c r="C958" s="474"/>
      <c r="D958" s="522">
        <f t="shared" si="274"/>
        <v>0</v>
      </c>
      <c r="E958" s="466"/>
      <c r="F958" s="468">
        <f t="shared" si="275"/>
        <v>0</v>
      </c>
      <c r="G958" s="468">
        <f t="shared" si="276"/>
        <v>0</v>
      </c>
    </row>
    <row r="959" spans="1:7" ht="19.899999999999999" customHeight="1">
      <c r="A959" s="511">
        <f t="shared" si="272"/>
        <v>0</v>
      </c>
      <c r="B959" s="474">
        <f t="shared" si="273"/>
        <v>0</v>
      </c>
      <c r="C959" s="474"/>
      <c r="D959" s="522">
        <f t="shared" si="274"/>
        <v>0</v>
      </c>
      <c r="E959" s="466"/>
      <c r="F959" s="468">
        <f t="shared" si="275"/>
        <v>0</v>
      </c>
      <c r="G959" s="468">
        <f t="shared" si="276"/>
        <v>0</v>
      </c>
    </row>
    <row r="960" spans="1:7" ht="19.899999999999999" customHeight="1">
      <c r="A960" s="511">
        <f t="shared" si="272"/>
        <v>0</v>
      </c>
      <c r="B960" s="474">
        <f t="shared" si="273"/>
        <v>0</v>
      </c>
      <c r="C960" s="474"/>
      <c r="D960" s="522">
        <f t="shared" si="274"/>
        <v>0</v>
      </c>
      <c r="E960" s="466"/>
      <c r="F960" s="468">
        <f t="shared" si="275"/>
        <v>0</v>
      </c>
      <c r="G960" s="468">
        <f t="shared" si="276"/>
        <v>0</v>
      </c>
    </row>
    <row r="961" spans="1:7" ht="19.899999999999999" customHeight="1">
      <c r="A961" s="511">
        <f t="shared" si="272"/>
        <v>0</v>
      </c>
      <c r="B961" s="474">
        <f t="shared" si="273"/>
        <v>0</v>
      </c>
      <c r="C961" s="474"/>
      <c r="D961" s="522">
        <f t="shared" si="274"/>
        <v>0</v>
      </c>
      <c r="E961" s="466"/>
      <c r="F961" s="468">
        <f t="shared" si="275"/>
        <v>0</v>
      </c>
      <c r="G961" s="468">
        <f t="shared" si="276"/>
        <v>0</v>
      </c>
    </row>
    <row r="962" spans="1:7" ht="19.899999999999999" customHeight="1">
      <c r="A962" s="511">
        <f t="shared" si="272"/>
        <v>0</v>
      </c>
      <c r="B962" s="474">
        <f t="shared" si="273"/>
        <v>0</v>
      </c>
      <c r="C962" s="474"/>
      <c r="D962" s="522">
        <f t="shared" si="274"/>
        <v>0</v>
      </c>
      <c r="E962" s="466"/>
      <c r="F962" s="468">
        <f t="shared" si="275"/>
        <v>0</v>
      </c>
      <c r="G962" s="468">
        <f t="shared" si="276"/>
        <v>0</v>
      </c>
    </row>
    <row r="963" spans="1:7" ht="19.899999999999999" customHeight="1">
      <c r="A963" s="511">
        <f t="shared" si="272"/>
        <v>0</v>
      </c>
      <c r="B963" s="474">
        <f t="shared" si="273"/>
        <v>0</v>
      </c>
      <c r="C963" s="474"/>
      <c r="D963" s="522">
        <f t="shared" si="274"/>
        <v>0</v>
      </c>
      <c r="E963" s="466"/>
      <c r="F963" s="468">
        <f t="shared" si="275"/>
        <v>0</v>
      </c>
      <c r="G963" s="468">
        <f t="shared" si="276"/>
        <v>0</v>
      </c>
    </row>
    <row r="964" spans="1:7" ht="19.899999999999999" customHeight="1">
      <c r="A964" s="511">
        <f t="shared" si="272"/>
        <v>0</v>
      </c>
      <c r="B964" s="474">
        <f t="shared" si="273"/>
        <v>0</v>
      </c>
      <c r="C964" s="474"/>
      <c r="D964" s="522">
        <f t="shared" si="274"/>
        <v>0</v>
      </c>
      <c r="E964" s="466"/>
      <c r="F964" s="468">
        <f t="shared" si="275"/>
        <v>0</v>
      </c>
      <c r="G964" s="468">
        <f t="shared" si="276"/>
        <v>0</v>
      </c>
    </row>
    <row r="965" spans="1:7" ht="19.899999999999999" customHeight="1">
      <c r="A965" s="509"/>
      <c r="B965" s="160"/>
      <c r="C965" s="160"/>
      <c r="D965" s="455"/>
      <c r="E965" s="456"/>
      <c r="F965" s="615" t="s">
        <v>28</v>
      </c>
      <c r="G965" s="514">
        <f>SUBTOTAL(9,G954:G964)</f>
        <v>0</v>
      </c>
    </row>
    <row r="966" spans="1:7" ht="19.899999999999999" customHeight="1">
      <c r="A966" s="509"/>
      <c r="B966" s="160"/>
      <c r="C966" s="451" t="s">
        <v>1013</v>
      </c>
      <c r="D966" s="455"/>
      <c r="E966" s="456"/>
      <c r="F966" s="457"/>
      <c r="G966" s="510"/>
    </row>
    <row r="967" spans="1:7" ht="19.899999999999999" customHeight="1">
      <c r="A967" s="637" t="s">
        <v>575</v>
      </c>
      <c r="B967" s="638"/>
      <c r="C967" s="639" t="s">
        <v>0</v>
      </c>
      <c r="D967" s="639" t="s">
        <v>1864</v>
      </c>
      <c r="E967" s="641" t="s">
        <v>23</v>
      </c>
      <c r="F967" s="643" t="s">
        <v>24</v>
      </c>
      <c r="G967" s="645" t="s">
        <v>25</v>
      </c>
    </row>
    <row r="968" spans="1:7" ht="19.899999999999999" customHeight="1">
      <c r="A968" s="473" t="s">
        <v>576</v>
      </c>
      <c r="B968" s="473" t="s">
        <v>577</v>
      </c>
      <c r="C968" s="640"/>
      <c r="D968" s="640"/>
      <c r="E968" s="642"/>
      <c r="F968" s="644"/>
      <c r="G968" s="646"/>
    </row>
    <row r="969" spans="1:7" ht="19.899999999999999" customHeight="1">
      <c r="A969" s="511">
        <f>IFERROR(VLOOKUP(C969,T_Insumos,4,FALSE),0)</f>
        <v>0</v>
      </c>
      <c r="B969" s="474">
        <f>IFERROR(VLOOKUP(C969,T_Insumos,5,FALSE),0)</f>
        <v>0</v>
      </c>
      <c r="C969" s="465"/>
      <c r="D969" s="522">
        <f>IF(C969=0,0,"$/tnkm")</f>
        <v>0</v>
      </c>
      <c r="E969" s="466"/>
      <c r="F969" s="468">
        <f>IFERROR(VLOOKUP(C969,T_Insumos,3,FALSE),0)</f>
        <v>0</v>
      </c>
      <c r="G969" s="468">
        <f>ROUND(E969*F969,2)</f>
        <v>0</v>
      </c>
    </row>
    <row r="970" spans="1:7" ht="19.899999999999999" customHeight="1">
      <c r="A970" s="511">
        <f>IFERROR(VLOOKUP(C970,T_Insumos,4,FALSE),0)</f>
        <v>0</v>
      </c>
      <c r="B970" s="474">
        <f>IFERROR(VLOOKUP(C970,T_Insumos,5,FALSE),0)</f>
        <v>0</v>
      </c>
      <c r="C970" s="465"/>
      <c r="D970" s="522">
        <f>IF(C970=0,0,"$/tnkm")</f>
        <v>0</v>
      </c>
      <c r="E970" s="482"/>
      <c r="F970" s="468">
        <f>IFERROR(VLOOKUP(C970,T_Insumos,3,FALSE),0)</f>
        <v>0</v>
      </c>
      <c r="G970" s="468">
        <f t="shared" ref="G970" si="277">ROUND(E970*F970,2)</f>
        <v>0</v>
      </c>
    </row>
    <row r="971" spans="1:7" ht="19.899999999999999" customHeight="1">
      <c r="A971" s="509"/>
      <c r="B971" s="160"/>
      <c r="C971" s="160"/>
      <c r="D971" s="455"/>
      <c r="E971" s="456"/>
      <c r="F971" s="615" t="s">
        <v>1014</v>
      </c>
      <c r="G971" s="514">
        <f>SUBTOTAL(9,G969:G970)</f>
        <v>0</v>
      </c>
    </row>
    <row r="972" spans="1:7" ht="19.899999999999999" customHeight="1">
      <c r="A972" s="512"/>
      <c r="B972" s="455"/>
      <c r="C972" s="160"/>
      <c r="D972" s="455"/>
      <c r="E972" s="456"/>
      <c r="F972" s="457"/>
      <c r="G972" s="510"/>
    </row>
    <row r="973" spans="1:7" ht="19.899999999999999" customHeight="1">
      <c r="A973" s="570">
        <f>B907</f>
        <v>3.2</v>
      </c>
      <c r="B973" s="567" t="str">
        <f ca="1">C907</f>
        <v>Excavacion de zanja para camara subterranea</v>
      </c>
      <c r="C973" s="455"/>
      <c r="D973" s="455" t="s">
        <v>1830</v>
      </c>
      <c r="E973" s="568"/>
      <c r="F973" s="569" t="str">
        <f ca="1">"$/"&amp;G907</f>
        <v>$/m3</v>
      </c>
      <c r="G973" s="519">
        <f>SUBTOTAL(9,G930:G972)</f>
        <v>0</v>
      </c>
    </row>
    <row r="974" spans="1:7" ht="19.899999999999999" customHeight="1">
      <c r="A974" s="515"/>
      <c r="B974" s="516"/>
      <c r="C974" s="517"/>
      <c r="D974" s="517" t="s">
        <v>2040</v>
      </c>
      <c r="E974" s="518"/>
      <c r="F974" s="571" t="str">
        <f ca="1">"$/"&amp;G907</f>
        <v>$/m3</v>
      </c>
      <c r="G974" s="519">
        <f>ROUND(G973*Coeficiente_Paso,2)</f>
        <v>0</v>
      </c>
    </row>
    <row r="975" spans="1:7" ht="19.899999999999999" customHeight="1">
      <c r="A975" s="160"/>
      <c r="B975" s="160"/>
      <c r="C975" s="160"/>
      <c r="D975" s="160"/>
      <c r="E975" s="160"/>
      <c r="F975" s="160"/>
      <c r="G975" s="160"/>
    </row>
    <row r="976" spans="1:7" ht="19.899999999999999" customHeight="1">
      <c r="A976" s="633" t="s">
        <v>30</v>
      </c>
      <c r="B976" s="634"/>
      <c r="C976" s="634"/>
      <c r="D976" s="634"/>
      <c r="E976" s="634"/>
      <c r="F976" s="634"/>
      <c r="G976" s="635"/>
    </row>
    <row r="977" spans="1:7" ht="19.899999999999999" customHeight="1">
      <c r="A977" s="498" t="s">
        <v>710</v>
      </c>
      <c r="B977" s="449" t="str">
        <f>Comitente</f>
        <v>DEPARTAMENTO DE HIDRAULICA</v>
      </c>
      <c r="C977" s="450"/>
      <c r="D977" s="451"/>
      <c r="E977" s="451"/>
      <c r="F977" s="452"/>
      <c r="G977" s="499"/>
    </row>
    <row r="978" spans="1:7" ht="19.899999999999999" customHeight="1">
      <c r="A978" s="498" t="s">
        <v>711</v>
      </c>
      <c r="B978" s="449">
        <f>Contratista</f>
        <v>0</v>
      </c>
      <c r="C978" s="453"/>
      <c r="D978" s="453"/>
      <c r="E978" s="453"/>
      <c r="F978" s="449"/>
      <c r="G978" s="500"/>
    </row>
    <row r="979" spans="1:7" ht="19.899999999999999" customHeight="1">
      <c r="A979" s="498" t="s">
        <v>20</v>
      </c>
      <c r="B979" s="449" t="str">
        <f>Obra</f>
        <v>EJECUCION DE PERFORACION - SISTEMA DE RIEGO</v>
      </c>
      <c r="C979" s="453"/>
      <c r="D979" s="453"/>
      <c r="E979" s="453"/>
      <c r="F979" s="449" t="s">
        <v>31</v>
      </c>
      <c r="G979" s="500">
        <f>Fecha_Base</f>
        <v>0</v>
      </c>
    </row>
    <row r="980" spans="1:7" ht="19.899999999999999" customHeight="1">
      <c r="A980" s="501" t="s">
        <v>709</v>
      </c>
      <c r="B980" s="454" t="str">
        <f>Ubicación</f>
        <v>DEPARTAMENTO CHIMBAS</v>
      </c>
      <c r="C980" s="454"/>
      <c r="D980" s="455"/>
      <c r="E980" s="456"/>
      <c r="F980" s="457"/>
      <c r="G980" s="502"/>
    </row>
    <row r="981" spans="1:7" ht="19.899999999999999" customHeight="1">
      <c r="A981" s="501" t="s">
        <v>32</v>
      </c>
      <c r="B981" s="458">
        <f>IFERROR(VALUE(LEFT(B982,FIND(".",B982)-1)),"")</f>
        <v>3</v>
      </c>
      <c r="C981" s="160" t="str">
        <f ca="1">IFERROR(VLOOKUP(B981,T_Computo_Presupuesto,2,FALSE),0)</f>
        <v>CAMARA SUBTERRANEA PARA PERFORACION</v>
      </c>
      <c r="D981" s="160"/>
      <c r="E981" s="456"/>
      <c r="F981" s="457"/>
      <c r="G981" s="502"/>
    </row>
    <row r="982" spans="1:7" ht="19.899999999999999" customHeight="1">
      <c r="A982" s="501" t="s">
        <v>21</v>
      </c>
      <c r="B982" s="459">
        <f>IFERROR(VLOOKUP(COUNTIF($A$1:A982,"ANALISIS DE PRECIOS"),T_NumeroItem,2,FALSE),"")</f>
        <v>3.3</v>
      </c>
      <c r="C982" s="636" t="str">
        <f ca="1">IFERROR(VLOOKUP(B982,T_Computo_Presupuesto,2,FALSE),0)</f>
        <v>Construccion de losa de fundacion H°A° H17</v>
      </c>
      <c r="D982" s="636"/>
      <c r="E982" s="636"/>
      <c r="F982" s="454" t="s">
        <v>22</v>
      </c>
      <c r="G982" s="503" t="str">
        <f ca="1">IFERROR(VLOOKUP(B982,T_Computo_Presupuesto,4,FALSE),0)</f>
        <v>m3</v>
      </c>
    </row>
    <row r="983" spans="1:7" ht="19.899999999999999" customHeight="1">
      <c r="A983" s="501"/>
      <c r="B983" s="454"/>
      <c r="C983" s="160"/>
      <c r="D983" s="455"/>
      <c r="E983" s="456"/>
      <c r="F983" s="160"/>
      <c r="G983" s="504"/>
    </row>
    <row r="984" spans="1:7" ht="19.899999999999999" customHeight="1">
      <c r="A984" s="505"/>
      <c r="B984" s="460"/>
      <c r="C984" s="461" t="s">
        <v>997</v>
      </c>
      <c r="D984" s="460"/>
      <c r="E984" s="460"/>
      <c r="F984" s="460"/>
      <c r="G984" s="506"/>
    </row>
    <row r="985" spans="1:7" ht="19.899999999999999" customHeight="1">
      <c r="A985" s="501"/>
      <c r="B985" s="462"/>
      <c r="C985" s="160"/>
      <c r="D985" s="455"/>
      <c r="E985" s="456"/>
      <c r="F985" s="454"/>
      <c r="G985" s="503"/>
    </row>
    <row r="986" spans="1:7" ht="19.899999999999999" customHeight="1">
      <c r="A986" s="501"/>
      <c r="B986" s="462"/>
      <c r="C986" s="463" t="s">
        <v>998</v>
      </c>
      <c r="D986" s="464" t="s">
        <v>23</v>
      </c>
      <c r="E986" s="464" t="s">
        <v>999</v>
      </c>
      <c r="F986" s="464" t="s">
        <v>1000</v>
      </c>
      <c r="G986" s="463" t="s">
        <v>1001</v>
      </c>
    </row>
    <row r="987" spans="1:7" ht="19.899999999999999" customHeight="1">
      <c r="A987" s="501"/>
      <c r="B987" s="462"/>
      <c r="C987" s="465"/>
      <c r="D987" s="466"/>
      <c r="E987" s="467">
        <f t="shared" ref="E987:E996" si="278">IFERROR(VLOOKUP(C987,T_Equipos,4,FALSE),0)</f>
        <v>0</v>
      </c>
      <c r="F987" s="468"/>
      <c r="G987" s="468">
        <f>ROUND(D987*F987,2)</f>
        <v>0</v>
      </c>
    </row>
    <row r="988" spans="1:7" ht="19.899999999999999" customHeight="1">
      <c r="A988" s="501"/>
      <c r="B988" s="462"/>
      <c r="C988" s="465"/>
      <c r="D988" s="466"/>
      <c r="E988" s="467">
        <f t="shared" si="278"/>
        <v>0</v>
      </c>
      <c r="F988" s="468"/>
      <c r="G988" s="468">
        <f>ROUND(D988*F988,2)</f>
        <v>0</v>
      </c>
    </row>
    <row r="989" spans="1:7" ht="19.899999999999999" customHeight="1">
      <c r="A989" s="501"/>
      <c r="B989" s="462"/>
      <c r="C989" s="465"/>
      <c r="D989" s="466"/>
      <c r="E989" s="467">
        <f t="shared" si="278"/>
        <v>0</v>
      </c>
      <c r="F989" s="468"/>
      <c r="G989" s="468">
        <f>ROUND(D989*F989,2)</f>
        <v>0</v>
      </c>
    </row>
    <row r="990" spans="1:7" ht="19.899999999999999" customHeight="1">
      <c r="A990" s="501"/>
      <c r="B990" s="462"/>
      <c r="C990" s="465"/>
      <c r="D990" s="466"/>
      <c r="E990" s="467">
        <f t="shared" si="278"/>
        <v>0</v>
      </c>
      <c r="F990" s="468"/>
      <c r="G990" s="468">
        <f>ROUND(D990*F990,2)</f>
        <v>0</v>
      </c>
    </row>
    <row r="991" spans="1:7" ht="19.899999999999999" customHeight="1">
      <c r="A991" s="501"/>
      <c r="B991" s="462"/>
      <c r="C991" s="465"/>
      <c r="D991" s="466"/>
      <c r="E991" s="467">
        <f t="shared" si="278"/>
        <v>0</v>
      </c>
      <c r="F991" s="468"/>
      <c r="G991" s="468">
        <f t="shared" ref="G991:G996" si="279">ROUND(D991*F991,2)</f>
        <v>0</v>
      </c>
    </row>
    <row r="992" spans="1:7" ht="19.899999999999999" customHeight="1">
      <c r="A992" s="501"/>
      <c r="B992" s="462"/>
      <c r="C992" s="465"/>
      <c r="D992" s="466"/>
      <c r="E992" s="467">
        <f t="shared" si="278"/>
        <v>0</v>
      </c>
      <c r="F992" s="468">
        <f t="shared" ref="F992:F996" si="280">IFERROR(VLOOKUP(C992,T_Equipos,5,FALSE),0)</f>
        <v>0</v>
      </c>
      <c r="G992" s="468">
        <f t="shared" si="279"/>
        <v>0</v>
      </c>
    </row>
    <row r="993" spans="1:7" ht="19.899999999999999" customHeight="1">
      <c r="A993" s="501"/>
      <c r="B993" s="462"/>
      <c r="C993" s="465"/>
      <c r="D993" s="466"/>
      <c r="E993" s="467">
        <f t="shared" si="278"/>
        <v>0</v>
      </c>
      <c r="F993" s="468">
        <f t="shared" si="280"/>
        <v>0</v>
      </c>
      <c r="G993" s="468">
        <f t="shared" si="279"/>
        <v>0</v>
      </c>
    </row>
    <row r="994" spans="1:7" ht="19.899999999999999" customHeight="1">
      <c r="A994" s="501"/>
      <c r="B994" s="462"/>
      <c r="C994" s="465"/>
      <c r="D994" s="466"/>
      <c r="E994" s="467">
        <f t="shared" si="278"/>
        <v>0</v>
      </c>
      <c r="F994" s="468">
        <f t="shared" si="280"/>
        <v>0</v>
      </c>
      <c r="G994" s="468">
        <f t="shared" si="279"/>
        <v>0</v>
      </c>
    </row>
    <row r="995" spans="1:7" ht="19.899999999999999" customHeight="1">
      <c r="A995" s="501"/>
      <c r="B995" s="462"/>
      <c r="C995" s="465"/>
      <c r="D995" s="466"/>
      <c r="E995" s="467">
        <f t="shared" si="278"/>
        <v>0</v>
      </c>
      <c r="F995" s="468">
        <f t="shared" si="280"/>
        <v>0</v>
      </c>
      <c r="G995" s="468">
        <f t="shared" si="279"/>
        <v>0</v>
      </c>
    </row>
    <row r="996" spans="1:7" ht="19.899999999999999" customHeight="1">
      <c r="A996" s="501"/>
      <c r="B996" s="462"/>
      <c r="C996" s="465"/>
      <c r="D996" s="466"/>
      <c r="E996" s="467">
        <f t="shared" si="278"/>
        <v>0</v>
      </c>
      <c r="F996" s="468">
        <f t="shared" si="280"/>
        <v>0</v>
      </c>
      <c r="G996" s="468">
        <f t="shared" si="279"/>
        <v>0</v>
      </c>
    </row>
    <row r="997" spans="1:7" ht="19.899999999999999" customHeight="1">
      <c r="A997" s="501"/>
      <c r="B997" s="462"/>
      <c r="C997" s="160"/>
      <c r="D997" s="160"/>
      <c r="E997" s="469"/>
      <c r="F997" s="454"/>
      <c r="G997" s="503"/>
    </row>
    <row r="998" spans="1:7" ht="19.899999999999999" customHeight="1">
      <c r="A998" s="501"/>
      <c r="B998" s="160"/>
      <c r="C998" s="451" t="s">
        <v>1002</v>
      </c>
      <c r="D998" s="454" t="s">
        <v>999</v>
      </c>
      <c r="E998" s="520">
        <f>SUMPRODUCT(D987:D996,E987:E996)</f>
        <v>0</v>
      </c>
      <c r="F998" s="454" t="s">
        <v>1003</v>
      </c>
      <c r="G998" s="521">
        <f>SUM(G987:G996)</f>
        <v>0</v>
      </c>
    </row>
    <row r="999" spans="1:7" ht="19.899999999999999" customHeight="1">
      <c r="A999" s="501"/>
      <c r="B999" s="462"/>
      <c r="C999" s="470"/>
      <c r="D999" s="469"/>
      <c r="E999" s="456"/>
      <c r="F999" s="454"/>
      <c r="G999" s="507"/>
    </row>
    <row r="1000" spans="1:7" ht="19.899999999999999" customHeight="1">
      <c r="A1000" s="508"/>
      <c r="B1000" s="462"/>
      <c r="C1000" s="454" t="s">
        <v>1004</v>
      </c>
      <c r="D1000" s="471"/>
      <c r="E1000" s="472" t="str">
        <f ca="1">G982&amp;"/día"</f>
        <v>m3/día</v>
      </c>
      <c r="F1000" s="448"/>
      <c r="G1000" s="503"/>
    </row>
    <row r="1001" spans="1:7" ht="19.899999999999999" customHeight="1">
      <c r="A1001" s="501"/>
      <c r="B1001" s="462"/>
      <c r="C1001" s="160"/>
      <c r="D1001" s="455"/>
      <c r="E1001" s="456"/>
      <c r="F1001" s="454"/>
      <c r="G1001" s="503"/>
    </row>
    <row r="1002" spans="1:7" ht="19.899999999999999" customHeight="1">
      <c r="A1002" s="637" t="s">
        <v>575</v>
      </c>
      <c r="B1002" s="638"/>
      <c r="C1002" s="639" t="s">
        <v>0</v>
      </c>
      <c r="D1002" s="647" t="s">
        <v>1863</v>
      </c>
      <c r="E1002" s="647" t="s">
        <v>1862</v>
      </c>
      <c r="F1002" s="643" t="s">
        <v>1005</v>
      </c>
      <c r="G1002" s="645" t="s">
        <v>25</v>
      </c>
    </row>
    <row r="1003" spans="1:7" ht="19.899999999999999" customHeight="1">
      <c r="A1003" s="473" t="s">
        <v>576</v>
      </c>
      <c r="B1003" s="473" t="s">
        <v>577</v>
      </c>
      <c r="C1003" s="640"/>
      <c r="D1003" s="648"/>
      <c r="E1003" s="642"/>
      <c r="F1003" s="644"/>
      <c r="G1003" s="646"/>
    </row>
    <row r="1004" spans="1:7" ht="19.899999999999999" customHeight="1">
      <c r="A1004" s="509"/>
      <c r="B1004" s="160"/>
      <c r="C1004" s="451" t="s">
        <v>1006</v>
      </c>
      <c r="D1004" s="456"/>
      <c r="E1004" s="456"/>
      <c r="F1004" s="160"/>
      <c r="G1004" s="510"/>
    </row>
    <row r="1005" spans="1:7" ht="19.899999999999999" customHeight="1">
      <c r="A1005" s="511">
        <f t="shared" ref="A1005:A1013" si="281">IFERROR(VLOOKUP(C1005,T_Insumos,4,FALSE),0)</f>
        <v>0</v>
      </c>
      <c r="B1005" s="474">
        <f t="shared" ref="B1005:B1013" si="282">IFERROR(VLOOKUP(C1005,T_Insumos,5,FALSE),0)</f>
        <v>0</v>
      </c>
      <c r="C1005" s="465"/>
      <c r="D1005" s="475">
        <f t="shared" ref="D1005:D1013" si="283">IFERROR(VLOOKUP(C1005,T_Insumos,3,FALSE),0)</f>
        <v>0</v>
      </c>
      <c r="E1005" s="468">
        <f>D1005*$G$323</f>
        <v>0</v>
      </c>
      <c r="F1005" s="471">
        <f>+$D$325</f>
        <v>0</v>
      </c>
      <c r="G1005" s="468">
        <f>IFERROR(ROUND(E1005/F1005,2),0)</f>
        <v>0</v>
      </c>
    </row>
    <row r="1006" spans="1:7" ht="19.899999999999999" customHeight="1">
      <c r="A1006" s="511"/>
      <c r="B1006" s="474"/>
      <c r="C1006" s="465"/>
      <c r="D1006" s="475">
        <f t="shared" si="283"/>
        <v>0</v>
      </c>
      <c r="E1006" s="468">
        <f>D1006*$G$323</f>
        <v>0</v>
      </c>
      <c r="F1006" s="471">
        <f t="shared" ref="F1006:F1008" si="284">+$D$325</f>
        <v>0</v>
      </c>
      <c r="G1006" s="468">
        <f t="shared" ref="G1006:G1013" si="285">IFERROR(ROUND(E1006/F1006,2),0)</f>
        <v>0</v>
      </c>
    </row>
    <row r="1007" spans="1:7" ht="19.899999999999999" customHeight="1">
      <c r="A1007" s="511">
        <f t="shared" ref="A1007:A1015" si="286">IFERROR(VLOOKUP(C1007,T_Insumos,4,FALSE),0)</f>
        <v>0</v>
      </c>
      <c r="B1007" s="474">
        <f t="shared" ref="B1007:B1015" si="287">IFERROR(VLOOKUP(C1007,T_Insumos,5,FALSE),0)</f>
        <v>0</v>
      </c>
      <c r="C1007" s="476"/>
      <c r="D1007" s="475">
        <f t="shared" si="283"/>
        <v>0</v>
      </c>
      <c r="E1007" s="468">
        <f>D1007*$E$323</f>
        <v>0</v>
      </c>
      <c r="F1007" s="471">
        <f t="shared" si="284"/>
        <v>0</v>
      </c>
      <c r="G1007" s="468">
        <f t="shared" si="285"/>
        <v>0</v>
      </c>
    </row>
    <row r="1008" spans="1:7" ht="19.899999999999999" customHeight="1">
      <c r="A1008" s="511">
        <f t="shared" si="286"/>
        <v>0</v>
      </c>
      <c r="B1008" s="474">
        <f t="shared" si="287"/>
        <v>0</v>
      </c>
      <c r="C1008" s="476"/>
      <c r="D1008" s="475">
        <f t="shared" si="283"/>
        <v>0</v>
      </c>
      <c r="E1008" s="468">
        <f>D1008*$E$323</f>
        <v>0</v>
      </c>
      <c r="F1008" s="471">
        <f t="shared" si="284"/>
        <v>0</v>
      </c>
      <c r="G1008" s="468">
        <f t="shared" si="285"/>
        <v>0</v>
      </c>
    </row>
    <row r="1009" spans="1:7" ht="19.899999999999999" customHeight="1">
      <c r="A1009" s="511">
        <f t="shared" si="286"/>
        <v>0</v>
      </c>
      <c r="B1009" s="474">
        <f t="shared" si="287"/>
        <v>0</v>
      </c>
      <c r="C1009" s="476"/>
      <c r="D1009" s="475">
        <f t="shared" si="283"/>
        <v>0</v>
      </c>
      <c r="E1009" s="468"/>
      <c r="F1009" s="471">
        <f>IF(C1009="",0,IFERROR(VLOOKUP(COUNTIF($A$1:A1009,"ANALISIS DE PRECIOS"),T_Rendimiento_Equipo,5,FALSE),0))</f>
        <v>0</v>
      </c>
      <c r="G1009" s="468">
        <f t="shared" si="285"/>
        <v>0</v>
      </c>
    </row>
    <row r="1010" spans="1:7" ht="19.899999999999999" customHeight="1">
      <c r="A1010" s="511">
        <f t="shared" si="286"/>
        <v>0</v>
      </c>
      <c r="B1010" s="474">
        <f t="shared" si="287"/>
        <v>0</v>
      </c>
      <c r="C1010" s="476"/>
      <c r="D1010" s="475">
        <f t="shared" si="283"/>
        <v>0</v>
      </c>
      <c r="E1010" s="468"/>
      <c r="F1010" s="471">
        <f>IF(C1010="",0,IFERROR(VLOOKUP(COUNTIF($A$1:A1010,"ANALISIS DE PRECIOS"),T_Rendimiento_Equipo,5,FALSE),0))</f>
        <v>0</v>
      </c>
      <c r="G1010" s="468">
        <f t="shared" si="285"/>
        <v>0</v>
      </c>
    </row>
    <row r="1011" spans="1:7" ht="19.899999999999999" customHeight="1">
      <c r="A1011" s="511">
        <f t="shared" si="286"/>
        <v>0</v>
      </c>
      <c r="B1011" s="474">
        <f t="shared" si="287"/>
        <v>0</v>
      </c>
      <c r="C1011" s="476"/>
      <c r="D1011" s="475">
        <f t="shared" si="283"/>
        <v>0</v>
      </c>
      <c r="E1011" s="468"/>
      <c r="F1011" s="471">
        <f>IF(C1011="",0,IFERROR(VLOOKUP(COUNTIF($A$1:A1011,"ANALISIS DE PRECIOS"),T_Rendimiento_Equipo,5,FALSE),0))</f>
        <v>0</v>
      </c>
      <c r="G1011" s="468">
        <f t="shared" si="285"/>
        <v>0</v>
      </c>
    </row>
    <row r="1012" spans="1:7" ht="19.899999999999999" customHeight="1">
      <c r="A1012" s="511">
        <f t="shared" si="286"/>
        <v>0</v>
      </c>
      <c r="B1012" s="474">
        <f t="shared" si="287"/>
        <v>0</v>
      </c>
      <c r="C1012" s="476"/>
      <c r="D1012" s="475">
        <f t="shared" si="283"/>
        <v>0</v>
      </c>
      <c r="E1012" s="468"/>
      <c r="F1012" s="471">
        <f>IF(C1012="",0,IFERROR(VLOOKUP(COUNTIF($A$1:A1012,"ANALISIS DE PRECIOS"),T_Rendimiento_Equipo,5,FALSE),0))</f>
        <v>0</v>
      </c>
      <c r="G1012" s="468">
        <f t="shared" si="285"/>
        <v>0</v>
      </c>
    </row>
    <row r="1013" spans="1:7" ht="19.899999999999999" customHeight="1">
      <c r="A1013" s="511">
        <f t="shared" si="286"/>
        <v>0</v>
      </c>
      <c r="B1013" s="474">
        <f t="shared" si="287"/>
        <v>0</v>
      </c>
      <c r="C1013" s="465"/>
      <c r="D1013" s="475">
        <f t="shared" si="283"/>
        <v>0</v>
      </c>
      <c r="E1013" s="468"/>
      <c r="F1013" s="471">
        <f>IF(C1013="",0,IFERROR(VLOOKUP(COUNTIF($A$1:A1013,"ANALISIS DE PRECIOS"),T_Rendimiento_Equipo,5,FALSE),0))</f>
        <v>0</v>
      </c>
      <c r="G1013" s="468">
        <f t="shared" si="285"/>
        <v>0</v>
      </c>
    </row>
    <row r="1014" spans="1:7" ht="19.899999999999999" customHeight="1">
      <c r="A1014" s="512"/>
      <c r="B1014" s="455"/>
      <c r="C1014" s="160"/>
      <c r="D1014" s="455"/>
      <c r="E1014" s="456"/>
      <c r="F1014" s="615" t="s">
        <v>26</v>
      </c>
      <c r="G1014" s="513">
        <f>SUBTOTAL(9,G1005:G1013)</f>
        <v>0</v>
      </c>
    </row>
    <row r="1015" spans="1:7" ht="19.899999999999999" customHeight="1">
      <c r="A1015" s="509"/>
      <c r="B1015" s="160"/>
      <c r="C1015" s="451" t="s">
        <v>712</v>
      </c>
      <c r="D1015" s="455"/>
      <c r="E1015" s="456"/>
      <c r="F1015" s="457"/>
      <c r="G1015" s="510"/>
    </row>
    <row r="1016" spans="1:7" ht="19.899999999999999" customHeight="1">
      <c r="A1016" s="637" t="s">
        <v>575</v>
      </c>
      <c r="B1016" s="638"/>
      <c r="C1016" s="639" t="s">
        <v>0</v>
      </c>
      <c r="D1016" s="641" t="s">
        <v>23</v>
      </c>
      <c r="E1016" s="641" t="s">
        <v>1829</v>
      </c>
      <c r="F1016" s="643" t="s">
        <v>1005</v>
      </c>
      <c r="G1016" s="645" t="s">
        <v>25</v>
      </c>
    </row>
    <row r="1017" spans="1:7" ht="19.899999999999999" customHeight="1">
      <c r="A1017" s="473" t="s">
        <v>576</v>
      </c>
      <c r="B1017" s="473" t="s">
        <v>577</v>
      </c>
      <c r="C1017" s="640"/>
      <c r="D1017" s="642"/>
      <c r="E1017" s="642"/>
      <c r="F1017" s="644"/>
      <c r="G1017" s="646"/>
    </row>
    <row r="1018" spans="1:7" ht="19.899999999999999" customHeight="1">
      <c r="A1018" s="511"/>
      <c r="B1018" s="474"/>
      <c r="C1018" s="478"/>
      <c r="D1018" s="471"/>
      <c r="E1018" s="468">
        <f t="shared" ref="E1018:E1022" si="288">IFERROR(VLOOKUP(C1018,T_Insumos,3,FALSE),0)</f>
        <v>0</v>
      </c>
      <c r="F1018" s="471">
        <f>+$D$325</f>
        <v>0</v>
      </c>
      <c r="G1018" s="468">
        <f>IFERROR(ROUND(D1018*E1018/F1018,2),0)</f>
        <v>0</v>
      </c>
    </row>
    <row r="1019" spans="1:7" ht="19.899999999999999" customHeight="1">
      <c r="A1019" s="511"/>
      <c r="B1019" s="474"/>
      <c r="C1019" s="465"/>
      <c r="D1019" s="471"/>
      <c r="E1019" s="468">
        <f t="shared" si="288"/>
        <v>0</v>
      </c>
      <c r="F1019" s="471">
        <f t="shared" ref="F1019:F1023" si="289">+$D$325</f>
        <v>0</v>
      </c>
      <c r="G1019" s="468">
        <f t="shared" ref="G1019:G1024" si="290">IFERROR(ROUND(D1019*E1019/F1019,2),0)</f>
        <v>0</v>
      </c>
    </row>
    <row r="1020" spans="1:7" ht="19.899999999999999" customHeight="1">
      <c r="A1020" s="511"/>
      <c r="B1020" s="474"/>
      <c r="C1020" s="465"/>
      <c r="D1020" s="471"/>
      <c r="E1020" s="468">
        <f t="shared" si="288"/>
        <v>0</v>
      </c>
      <c r="F1020" s="471">
        <f t="shared" si="289"/>
        <v>0</v>
      </c>
      <c r="G1020" s="468">
        <f t="shared" si="290"/>
        <v>0</v>
      </c>
    </row>
    <row r="1021" spans="1:7" ht="19.899999999999999" customHeight="1">
      <c r="A1021" s="511"/>
      <c r="B1021" s="474"/>
      <c r="C1021" s="465"/>
      <c r="D1021" s="471"/>
      <c r="E1021" s="468">
        <f t="shared" si="288"/>
        <v>0</v>
      </c>
      <c r="F1021" s="471">
        <f t="shared" si="289"/>
        <v>0</v>
      </c>
      <c r="G1021" s="468">
        <f t="shared" si="290"/>
        <v>0</v>
      </c>
    </row>
    <row r="1022" spans="1:7" ht="19.899999999999999" customHeight="1">
      <c r="A1022" s="511">
        <f t="shared" ref="A1022:A1024" si="291">IFERROR(VLOOKUP(C1022,T_Insumos,4,FALSE),0)</f>
        <v>0</v>
      </c>
      <c r="B1022" s="474">
        <f t="shared" ref="B1022:B1024" si="292">IFERROR(VLOOKUP(C1022,T_Insumos,5,FALSE),0)</f>
        <v>0</v>
      </c>
      <c r="C1022" s="465"/>
      <c r="D1022" s="471"/>
      <c r="E1022" s="468">
        <f t="shared" si="288"/>
        <v>0</v>
      </c>
      <c r="F1022" s="471">
        <f>IF(C1022="",0,IFERROR(VLOOKUP(COUNTIF($A$1:A1022,"ANALISIS DE PRECIOS"),T_Rendimiento_Equipo,5,FALSE),0))</f>
        <v>0</v>
      </c>
      <c r="G1022" s="468">
        <f t="shared" si="290"/>
        <v>0</v>
      </c>
    </row>
    <row r="1023" spans="1:7" ht="19.899999999999999" customHeight="1">
      <c r="A1023" s="511">
        <f t="shared" si="291"/>
        <v>0</v>
      </c>
      <c r="B1023" s="474">
        <f t="shared" si="292"/>
        <v>0</v>
      </c>
      <c r="C1023" s="465"/>
      <c r="D1023" s="479"/>
      <c r="E1023" s="468">
        <f>SUMPRODUCT(D1018:D1021,E1018:E1021)</f>
        <v>0</v>
      </c>
      <c r="F1023" s="471">
        <f t="shared" si="289"/>
        <v>0</v>
      </c>
      <c r="G1023" s="468">
        <f t="shared" si="290"/>
        <v>0</v>
      </c>
    </row>
    <row r="1024" spans="1:7" ht="19.899999999999999" customHeight="1">
      <c r="A1024" s="511">
        <f t="shared" si="291"/>
        <v>0</v>
      </c>
      <c r="B1024" s="474">
        <f t="shared" si="292"/>
        <v>0</v>
      </c>
      <c r="C1024" s="474"/>
      <c r="D1024" s="480"/>
      <c r="E1024" s="468">
        <f t="shared" ref="E1024:E1026" si="293">IFERROR(VLOOKUP(C1024,T_Insumos,3,FALSE),0)</f>
        <v>0</v>
      </c>
      <c r="F1024" s="471">
        <f>IF(C1024="",0,IFERROR(VLOOKUP(COUNTIF($A$1:A1024,"ANALISIS DE PRECIOS"),T_Rendimiento_Equipo,5,FALSE),0))</f>
        <v>0</v>
      </c>
      <c r="G1024" s="468">
        <f t="shared" si="290"/>
        <v>0</v>
      </c>
    </row>
    <row r="1025" spans="1:7" ht="19.899999999999999" customHeight="1">
      <c r="A1025" s="512"/>
      <c r="B1025" s="455"/>
      <c r="C1025" s="160"/>
      <c r="D1025" s="455"/>
      <c r="E1025" s="456"/>
      <c r="F1025" s="615" t="s">
        <v>27</v>
      </c>
      <c r="G1025" s="514">
        <f>SUBTOTAL(9,G1018:G1024)</f>
        <v>0</v>
      </c>
    </row>
    <row r="1026" spans="1:7" ht="19.899999999999999" customHeight="1">
      <c r="A1026" s="509"/>
      <c r="B1026" s="160"/>
      <c r="C1026" s="451" t="s">
        <v>1012</v>
      </c>
      <c r="D1026" s="455"/>
      <c r="E1026" s="456"/>
      <c r="F1026" s="457"/>
      <c r="G1026" s="510"/>
    </row>
    <row r="1027" spans="1:7" ht="19.899999999999999" customHeight="1">
      <c r="A1027" s="637" t="s">
        <v>575</v>
      </c>
      <c r="B1027" s="638"/>
      <c r="C1027" s="639" t="s">
        <v>0</v>
      </c>
      <c r="D1027" s="639" t="s">
        <v>1864</v>
      </c>
      <c r="E1027" s="641" t="s">
        <v>23</v>
      </c>
      <c r="F1027" s="643" t="s">
        <v>24</v>
      </c>
      <c r="G1027" s="645" t="s">
        <v>25</v>
      </c>
    </row>
    <row r="1028" spans="1:7" ht="19.899999999999999" customHeight="1">
      <c r="A1028" s="473" t="s">
        <v>576</v>
      </c>
      <c r="B1028" s="473" t="s">
        <v>577</v>
      </c>
      <c r="C1028" s="640"/>
      <c r="D1028" s="640"/>
      <c r="E1028" s="642"/>
      <c r="F1028" s="644"/>
      <c r="G1028" s="646"/>
    </row>
    <row r="1029" spans="1:7" ht="19.899999999999999" customHeight="1">
      <c r="A1029" s="511">
        <f t="shared" ref="A1029:A1039" si="294">IFERROR(VLOOKUP(C1029,T_Insumos,4,FALSE),0)</f>
        <v>0</v>
      </c>
      <c r="B1029" s="474">
        <f t="shared" ref="B1029:B1039" si="295">IFERROR(VLOOKUP(C1029,T_Insumos,5,FALSE),0)</f>
        <v>0</v>
      </c>
      <c r="C1029" s="474"/>
      <c r="D1029" s="522">
        <f t="shared" ref="D1029:D1039" si="296">IFERROR(VLOOKUP(C1029,T_Insumos,2,FALSE),0)</f>
        <v>0</v>
      </c>
      <c r="E1029" s="466"/>
      <c r="F1029" s="468">
        <f t="shared" ref="F1029:F1039" si="297">IFERROR(VLOOKUP(C1029,T_Insumos,3,FALSE),0)</f>
        <v>0</v>
      </c>
      <c r="G1029" s="468">
        <f>ROUND(E1029*F1029,2)</f>
        <v>0</v>
      </c>
    </row>
    <row r="1030" spans="1:7" ht="19.899999999999999" customHeight="1">
      <c r="A1030" s="511">
        <f t="shared" si="294"/>
        <v>0</v>
      </c>
      <c r="B1030" s="474">
        <f t="shared" si="295"/>
        <v>0</v>
      </c>
      <c r="C1030" s="474"/>
      <c r="D1030" s="522">
        <f t="shared" si="296"/>
        <v>0</v>
      </c>
      <c r="E1030" s="466"/>
      <c r="F1030" s="468">
        <f t="shared" si="297"/>
        <v>0</v>
      </c>
      <c r="G1030" s="468">
        <f t="shared" ref="G1030:G1039" si="298">ROUND(E1030*F1030,2)</f>
        <v>0</v>
      </c>
    </row>
    <row r="1031" spans="1:7" ht="19.899999999999999" customHeight="1">
      <c r="A1031" s="511">
        <f t="shared" si="294"/>
        <v>0</v>
      </c>
      <c r="B1031" s="474">
        <f t="shared" si="295"/>
        <v>0</v>
      </c>
      <c r="C1031" s="474"/>
      <c r="D1031" s="522">
        <f t="shared" si="296"/>
        <v>0</v>
      </c>
      <c r="E1031" s="466"/>
      <c r="F1031" s="468">
        <f t="shared" si="297"/>
        <v>0</v>
      </c>
      <c r="G1031" s="468">
        <f t="shared" si="298"/>
        <v>0</v>
      </c>
    </row>
    <row r="1032" spans="1:7" ht="19.899999999999999" customHeight="1">
      <c r="A1032" s="511">
        <f t="shared" si="294"/>
        <v>0</v>
      </c>
      <c r="B1032" s="474">
        <f t="shared" si="295"/>
        <v>0</v>
      </c>
      <c r="C1032" s="474"/>
      <c r="D1032" s="522">
        <f t="shared" si="296"/>
        <v>0</v>
      </c>
      <c r="E1032" s="466"/>
      <c r="F1032" s="468">
        <f t="shared" si="297"/>
        <v>0</v>
      </c>
      <c r="G1032" s="468">
        <f t="shared" si="298"/>
        <v>0</v>
      </c>
    </row>
    <row r="1033" spans="1:7" ht="19.899999999999999" customHeight="1">
      <c r="A1033" s="511">
        <f t="shared" si="294"/>
        <v>0</v>
      </c>
      <c r="B1033" s="474">
        <f t="shared" si="295"/>
        <v>0</v>
      </c>
      <c r="C1033" s="474"/>
      <c r="D1033" s="522">
        <f t="shared" si="296"/>
        <v>0</v>
      </c>
      <c r="E1033" s="466"/>
      <c r="F1033" s="468">
        <f t="shared" si="297"/>
        <v>0</v>
      </c>
      <c r="G1033" s="468">
        <f t="shared" si="298"/>
        <v>0</v>
      </c>
    </row>
    <row r="1034" spans="1:7" ht="19.899999999999999" customHeight="1">
      <c r="A1034" s="511">
        <f t="shared" si="294"/>
        <v>0</v>
      </c>
      <c r="B1034" s="474">
        <f t="shared" si="295"/>
        <v>0</v>
      </c>
      <c r="C1034" s="474"/>
      <c r="D1034" s="522">
        <f t="shared" si="296"/>
        <v>0</v>
      </c>
      <c r="E1034" s="466"/>
      <c r="F1034" s="468">
        <f t="shared" si="297"/>
        <v>0</v>
      </c>
      <c r="G1034" s="468">
        <f t="shared" si="298"/>
        <v>0</v>
      </c>
    </row>
    <row r="1035" spans="1:7" ht="19.899999999999999" customHeight="1">
      <c r="A1035" s="511">
        <f t="shared" si="294"/>
        <v>0</v>
      </c>
      <c r="B1035" s="474">
        <f t="shared" si="295"/>
        <v>0</v>
      </c>
      <c r="C1035" s="474"/>
      <c r="D1035" s="522">
        <f t="shared" si="296"/>
        <v>0</v>
      </c>
      <c r="E1035" s="466"/>
      <c r="F1035" s="468">
        <f t="shared" si="297"/>
        <v>0</v>
      </c>
      <c r="G1035" s="468">
        <f t="shared" si="298"/>
        <v>0</v>
      </c>
    </row>
    <row r="1036" spans="1:7" ht="19.899999999999999" customHeight="1">
      <c r="A1036" s="511">
        <f t="shared" si="294"/>
        <v>0</v>
      </c>
      <c r="B1036" s="474">
        <f t="shared" si="295"/>
        <v>0</v>
      </c>
      <c r="C1036" s="474"/>
      <c r="D1036" s="522">
        <f t="shared" si="296"/>
        <v>0</v>
      </c>
      <c r="E1036" s="466"/>
      <c r="F1036" s="468">
        <f t="shared" si="297"/>
        <v>0</v>
      </c>
      <c r="G1036" s="468">
        <f t="shared" si="298"/>
        <v>0</v>
      </c>
    </row>
    <row r="1037" spans="1:7" ht="19.899999999999999" customHeight="1">
      <c r="A1037" s="511">
        <f t="shared" si="294"/>
        <v>0</v>
      </c>
      <c r="B1037" s="474">
        <f t="shared" si="295"/>
        <v>0</v>
      </c>
      <c r="C1037" s="474"/>
      <c r="D1037" s="522">
        <f t="shared" si="296"/>
        <v>0</v>
      </c>
      <c r="E1037" s="466"/>
      <c r="F1037" s="468">
        <f t="shared" si="297"/>
        <v>0</v>
      </c>
      <c r="G1037" s="468">
        <f t="shared" si="298"/>
        <v>0</v>
      </c>
    </row>
    <row r="1038" spans="1:7" ht="19.899999999999999" customHeight="1">
      <c r="A1038" s="511">
        <f t="shared" si="294"/>
        <v>0</v>
      </c>
      <c r="B1038" s="474">
        <f t="shared" si="295"/>
        <v>0</v>
      </c>
      <c r="C1038" s="474"/>
      <c r="D1038" s="522">
        <f t="shared" si="296"/>
        <v>0</v>
      </c>
      <c r="E1038" s="466"/>
      <c r="F1038" s="468">
        <f t="shared" si="297"/>
        <v>0</v>
      </c>
      <c r="G1038" s="468">
        <f t="shared" si="298"/>
        <v>0</v>
      </c>
    </row>
    <row r="1039" spans="1:7" ht="19.899999999999999" customHeight="1">
      <c r="A1039" s="511">
        <f t="shared" si="294"/>
        <v>0</v>
      </c>
      <c r="B1039" s="474">
        <f t="shared" si="295"/>
        <v>0</v>
      </c>
      <c r="C1039" s="474"/>
      <c r="D1039" s="522">
        <f t="shared" si="296"/>
        <v>0</v>
      </c>
      <c r="E1039" s="466"/>
      <c r="F1039" s="468">
        <f t="shared" si="297"/>
        <v>0</v>
      </c>
      <c r="G1039" s="468">
        <f t="shared" si="298"/>
        <v>0</v>
      </c>
    </row>
    <row r="1040" spans="1:7" ht="19.899999999999999" customHeight="1">
      <c r="A1040" s="509"/>
      <c r="B1040" s="160"/>
      <c r="C1040" s="160"/>
      <c r="D1040" s="455"/>
      <c r="E1040" s="456"/>
      <c r="F1040" s="615" t="s">
        <v>28</v>
      </c>
      <c r="G1040" s="514">
        <f>SUBTOTAL(9,G1029:G1039)</f>
        <v>0</v>
      </c>
    </row>
    <row r="1041" spans="1:7" ht="19.899999999999999" customHeight="1">
      <c r="A1041" s="509"/>
      <c r="B1041" s="160"/>
      <c r="C1041" s="451" t="s">
        <v>1013</v>
      </c>
      <c r="D1041" s="455"/>
      <c r="E1041" s="456"/>
      <c r="F1041" s="457"/>
      <c r="G1041" s="510"/>
    </row>
    <row r="1042" spans="1:7" ht="19.899999999999999" customHeight="1">
      <c r="A1042" s="637" t="s">
        <v>575</v>
      </c>
      <c r="B1042" s="638"/>
      <c r="C1042" s="639" t="s">
        <v>0</v>
      </c>
      <c r="D1042" s="639" t="s">
        <v>1864</v>
      </c>
      <c r="E1042" s="641" t="s">
        <v>23</v>
      </c>
      <c r="F1042" s="643" t="s">
        <v>24</v>
      </c>
      <c r="G1042" s="645" t="s">
        <v>25</v>
      </c>
    </row>
    <row r="1043" spans="1:7" ht="19.899999999999999" customHeight="1">
      <c r="A1043" s="473" t="s">
        <v>576</v>
      </c>
      <c r="B1043" s="473" t="s">
        <v>577</v>
      </c>
      <c r="C1043" s="640"/>
      <c r="D1043" s="640"/>
      <c r="E1043" s="642"/>
      <c r="F1043" s="644"/>
      <c r="G1043" s="646"/>
    </row>
    <row r="1044" spans="1:7" ht="19.899999999999999" customHeight="1">
      <c r="A1044" s="511">
        <f>IFERROR(VLOOKUP(C1044,T_Insumos,4,FALSE),0)</f>
        <v>0</v>
      </c>
      <c r="B1044" s="474">
        <f>IFERROR(VLOOKUP(C1044,T_Insumos,5,FALSE),0)</f>
        <v>0</v>
      </c>
      <c r="C1044" s="465"/>
      <c r="D1044" s="522">
        <f>IF(C1044=0,0,"$/tnkm")</f>
        <v>0</v>
      </c>
      <c r="E1044" s="466"/>
      <c r="F1044" s="468">
        <f>IFERROR(VLOOKUP(C1044,T_Insumos,3,FALSE),0)</f>
        <v>0</v>
      </c>
      <c r="G1044" s="468">
        <f>ROUND(E1044*F1044,2)</f>
        <v>0</v>
      </c>
    </row>
    <row r="1045" spans="1:7" ht="19.899999999999999" customHeight="1">
      <c r="A1045" s="511">
        <f>IFERROR(VLOOKUP(C1045,T_Insumos,4,FALSE),0)</f>
        <v>0</v>
      </c>
      <c r="B1045" s="474">
        <f>IFERROR(VLOOKUP(C1045,T_Insumos,5,FALSE),0)</f>
        <v>0</v>
      </c>
      <c r="C1045" s="465"/>
      <c r="D1045" s="522">
        <f>IF(C1045=0,0,"$/tnkm")</f>
        <v>0</v>
      </c>
      <c r="E1045" s="482"/>
      <c r="F1045" s="468">
        <f>IFERROR(VLOOKUP(C1045,T_Insumos,3,FALSE),0)</f>
        <v>0</v>
      </c>
      <c r="G1045" s="468">
        <f t="shared" ref="G1045" si="299">ROUND(E1045*F1045,2)</f>
        <v>0</v>
      </c>
    </row>
    <row r="1046" spans="1:7" ht="19.899999999999999" customHeight="1">
      <c r="A1046" s="509"/>
      <c r="B1046" s="160"/>
      <c r="C1046" s="160"/>
      <c r="D1046" s="455"/>
      <c r="E1046" s="456"/>
      <c r="F1046" s="615" t="s">
        <v>1014</v>
      </c>
      <c r="G1046" s="514">
        <f>SUBTOTAL(9,G1044:G1045)</f>
        <v>0</v>
      </c>
    </row>
    <row r="1047" spans="1:7" ht="19.899999999999999" customHeight="1">
      <c r="A1047" s="512"/>
      <c r="B1047" s="455"/>
      <c r="C1047" s="160"/>
      <c r="D1047" s="455"/>
      <c r="E1047" s="456"/>
      <c r="F1047" s="457"/>
      <c r="G1047" s="510"/>
    </row>
    <row r="1048" spans="1:7" ht="19.899999999999999" customHeight="1">
      <c r="A1048" s="570">
        <f>B982</f>
        <v>3.3</v>
      </c>
      <c r="B1048" s="567" t="str">
        <f ca="1">C982</f>
        <v>Construccion de losa de fundacion H°A° H17</v>
      </c>
      <c r="C1048" s="455"/>
      <c r="D1048" s="455" t="s">
        <v>1830</v>
      </c>
      <c r="E1048" s="568"/>
      <c r="F1048" s="569" t="str">
        <f ca="1">"$/"&amp;G982</f>
        <v>$/m3</v>
      </c>
      <c r="G1048" s="519">
        <f>SUBTOTAL(9,G1005:G1047)</f>
        <v>0</v>
      </c>
    </row>
    <row r="1049" spans="1:7" ht="19.899999999999999" customHeight="1">
      <c r="A1049" s="515"/>
      <c r="B1049" s="516"/>
      <c r="C1049" s="517"/>
      <c r="D1049" s="517" t="s">
        <v>2040</v>
      </c>
      <c r="E1049" s="518"/>
      <c r="F1049" s="571" t="str">
        <f ca="1">"$/"&amp;G982</f>
        <v>$/m3</v>
      </c>
      <c r="G1049" s="519">
        <f>ROUND(G1048*Coeficiente_Paso,2)</f>
        <v>0</v>
      </c>
    </row>
    <row r="1050" spans="1:7" ht="19.899999999999999" customHeight="1">
      <c r="A1050" s="160"/>
      <c r="B1050" s="160"/>
      <c r="C1050" s="160"/>
      <c r="D1050" s="160"/>
      <c r="E1050" s="160"/>
      <c r="F1050" s="160"/>
      <c r="G1050" s="160"/>
    </row>
    <row r="1051" spans="1:7" ht="19.899999999999999" customHeight="1">
      <c r="A1051" s="633" t="s">
        <v>30</v>
      </c>
      <c r="B1051" s="634"/>
      <c r="C1051" s="634"/>
      <c r="D1051" s="634"/>
      <c r="E1051" s="634"/>
      <c r="F1051" s="634"/>
      <c r="G1051" s="635"/>
    </row>
    <row r="1052" spans="1:7" ht="19.899999999999999" customHeight="1">
      <c r="A1052" s="498" t="s">
        <v>710</v>
      </c>
      <c r="B1052" s="449" t="str">
        <f>Comitente</f>
        <v>DEPARTAMENTO DE HIDRAULICA</v>
      </c>
      <c r="C1052" s="450"/>
      <c r="D1052" s="451"/>
      <c r="E1052" s="451"/>
      <c r="F1052" s="452"/>
      <c r="G1052" s="499"/>
    </row>
    <row r="1053" spans="1:7" ht="19.899999999999999" customHeight="1">
      <c r="A1053" s="498" t="s">
        <v>711</v>
      </c>
      <c r="B1053" s="449">
        <f>Contratista</f>
        <v>0</v>
      </c>
      <c r="C1053" s="453"/>
      <c r="D1053" s="453"/>
      <c r="E1053" s="453"/>
      <c r="F1053" s="449"/>
      <c r="G1053" s="500"/>
    </row>
    <row r="1054" spans="1:7" ht="19.899999999999999" customHeight="1">
      <c r="A1054" s="498" t="s">
        <v>20</v>
      </c>
      <c r="B1054" s="449" t="str">
        <f>Obra</f>
        <v>EJECUCION DE PERFORACION - SISTEMA DE RIEGO</v>
      </c>
      <c r="C1054" s="453"/>
      <c r="D1054" s="453"/>
      <c r="E1054" s="453"/>
      <c r="F1054" s="449" t="s">
        <v>31</v>
      </c>
      <c r="G1054" s="500">
        <f>Fecha_Base</f>
        <v>0</v>
      </c>
    </row>
    <row r="1055" spans="1:7" ht="19.899999999999999" customHeight="1">
      <c r="A1055" s="501" t="s">
        <v>709</v>
      </c>
      <c r="B1055" s="454" t="str">
        <f>Ubicación</f>
        <v>DEPARTAMENTO CHIMBAS</v>
      </c>
      <c r="C1055" s="454"/>
      <c r="D1055" s="455"/>
      <c r="E1055" s="456"/>
      <c r="F1055" s="457"/>
      <c r="G1055" s="502"/>
    </row>
    <row r="1056" spans="1:7" ht="19.899999999999999" customHeight="1">
      <c r="A1056" s="501" t="s">
        <v>32</v>
      </c>
      <c r="B1056" s="458">
        <f>IFERROR(VALUE(LEFT(B1057,FIND(".",B1057)-1)),"")</f>
        <v>3</v>
      </c>
      <c r="C1056" s="160" t="str">
        <f ca="1">IFERROR(VLOOKUP(B1056,T_Computo_Presupuesto,2,FALSE),0)</f>
        <v>CAMARA SUBTERRANEA PARA PERFORACION</v>
      </c>
      <c r="D1056" s="160"/>
      <c r="E1056" s="456"/>
      <c r="F1056" s="457"/>
      <c r="G1056" s="502"/>
    </row>
    <row r="1057" spans="1:7" ht="19.899999999999999" customHeight="1">
      <c r="A1057" s="501" t="s">
        <v>21</v>
      </c>
      <c r="B1057" s="459">
        <f>IFERROR(VLOOKUP(COUNTIF($A$1:A1057,"ANALISIS DE PRECIOS"),T_NumeroItem,2,FALSE),"")</f>
        <v>3.4</v>
      </c>
      <c r="C1057" s="636" t="str">
        <f ca="1">IFERROR(VLOOKUP(B1057,T_Computo_Presupuesto,2,FALSE),0)</f>
        <v>Muros de H°A° H17</v>
      </c>
      <c r="D1057" s="636"/>
      <c r="E1057" s="636"/>
      <c r="F1057" s="454" t="s">
        <v>22</v>
      </c>
      <c r="G1057" s="503" t="str">
        <f ca="1">IFERROR(VLOOKUP(B1057,T_Computo_Presupuesto,4,FALSE),0)</f>
        <v>m3</v>
      </c>
    </row>
    <row r="1058" spans="1:7" ht="19.899999999999999" customHeight="1">
      <c r="A1058" s="501"/>
      <c r="B1058" s="454"/>
      <c r="C1058" s="160"/>
      <c r="D1058" s="455"/>
      <c r="E1058" s="456"/>
      <c r="F1058" s="160"/>
      <c r="G1058" s="504"/>
    </row>
    <row r="1059" spans="1:7" ht="19.899999999999999" customHeight="1">
      <c r="A1059" s="505"/>
      <c r="B1059" s="460"/>
      <c r="C1059" s="461" t="s">
        <v>997</v>
      </c>
      <c r="D1059" s="460"/>
      <c r="E1059" s="460"/>
      <c r="F1059" s="460"/>
      <c r="G1059" s="506"/>
    </row>
    <row r="1060" spans="1:7" ht="19.899999999999999" customHeight="1">
      <c r="A1060" s="501"/>
      <c r="B1060" s="462"/>
      <c r="C1060" s="160"/>
      <c r="D1060" s="455"/>
      <c r="E1060" s="456"/>
      <c r="F1060" s="454"/>
      <c r="G1060" s="503"/>
    </row>
    <row r="1061" spans="1:7" ht="19.899999999999999" customHeight="1">
      <c r="A1061" s="501"/>
      <c r="B1061" s="462"/>
      <c r="C1061" s="463" t="s">
        <v>998</v>
      </c>
      <c r="D1061" s="464" t="s">
        <v>23</v>
      </c>
      <c r="E1061" s="464" t="s">
        <v>999</v>
      </c>
      <c r="F1061" s="464" t="s">
        <v>1000</v>
      </c>
      <c r="G1061" s="463" t="s">
        <v>1001</v>
      </c>
    </row>
    <row r="1062" spans="1:7" ht="19.899999999999999" customHeight="1">
      <c r="A1062" s="501"/>
      <c r="B1062" s="462"/>
      <c r="C1062" s="465"/>
      <c r="D1062" s="466"/>
      <c r="E1062" s="467">
        <f t="shared" ref="E1062:E1071" si="300">IFERROR(VLOOKUP(C1062,T_Equipos,4,FALSE),0)</f>
        <v>0</v>
      </c>
      <c r="F1062" s="468"/>
      <c r="G1062" s="468">
        <f>ROUND(D1062*F1062,2)</f>
        <v>0</v>
      </c>
    </row>
    <row r="1063" spans="1:7" ht="19.899999999999999" customHeight="1">
      <c r="A1063" s="501"/>
      <c r="B1063" s="462"/>
      <c r="C1063" s="465"/>
      <c r="D1063" s="466"/>
      <c r="E1063" s="467">
        <f t="shared" si="300"/>
        <v>0</v>
      </c>
      <c r="F1063" s="468"/>
      <c r="G1063" s="468">
        <f>ROUND(D1063*F1063,2)</f>
        <v>0</v>
      </c>
    </row>
    <row r="1064" spans="1:7" ht="19.899999999999999" customHeight="1">
      <c r="A1064" s="501"/>
      <c r="B1064" s="462"/>
      <c r="C1064" s="465"/>
      <c r="D1064" s="466"/>
      <c r="E1064" s="467">
        <f t="shared" si="300"/>
        <v>0</v>
      </c>
      <c r="F1064" s="468"/>
      <c r="G1064" s="468">
        <f>ROUND(D1064*F1064,2)</f>
        <v>0</v>
      </c>
    </row>
    <row r="1065" spans="1:7" ht="19.899999999999999" customHeight="1">
      <c r="A1065" s="501"/>
      <c r="B1065" s="462"/>
      <c r="C1065" s="465"/>
      <c r="D1065" s="466"/>
      <c r="E1065" s="467">
        <f t="shared" si="300"/>
        <v>0</v>
      </c>
      <c r="F1065" s="468"/>
      <c r="G1065" s="468">
        <f>ROUND(D1065*F1065,2)</f>
        <v>0</v>
      </c>
    </row>
    <row r="1066" spans="1:7" ht="19.899999999999999" customHeight="1">
      <c r="A1066" s="501"/>
      <c r="B1066" s="462"/>
      <c r="C1066" s="465"/>
      <c r="D1066" s="466"/>
      <c r="E1066" s="467">
        <f t="shared" si="300"/>
        <v>0</v>
      </c>
      <c r="F1066" s="468"/>
      <c r="G1066" s="468">
        <f t="shared" ref="G1066:G1071" si="301">ROUND(D1066*F1066,2)</f>
        <v>0</v>
      </c>
    </row>
    <row r="1067" spans="1:7" ht="19.899999999999999" customHeight="1">
      <c r="A1067" s="501"/>
      <c r="B1067" s="462"/>
      <c r="C1067" s="465"/>
      <c r="D1067" s="466"/>
      <c r="E1067" s="467">
        <f t="shared" si="300"/>
        <v>0</v>
      </c>
      <c r="F1067" s="468">
        <f t="shared" ref="F1067:F1071" si="302">IFERROR(VLOOKUP(C1067,T_Equipos,5,FALSE),0)</f>
        <v>0</v>
      </c>
      <c r="G1067" s="468">
        <f t="shared" si="301"/>
        <v>0</v>
      </c>
    </row>
    <row r="1068" spans="1:7" ht="19.899999999999999" customHeight="1">
      <c r="A1068" s="501"/>
      <c r="B1068" s="462"/>
      <c r="C1068" s="465"/>
      <c r="D1068" s="466"/>
      <c r="E1068" s="467">
        <f t="shared" si="300"/>
        <v>0</v>
      </c>
      <c r="F1068" s="468">
        <f t="shared" si="302"/>
        <v>0</v>
      </c>
      <c r="G1068" s="468">
        <f t="shared" si="301"/>
        <v>0</v>
      </c>
    </row>
    <row r="1069" spans="1:7" ht="19.899999999999999" customHeight="1">
      <c r="A1069" s="501"/>
      <c r="B1069" s="462"/>
      <c r="C1069" s="465"/>
      <c r="D1069" s="466"/>
      <c r="E1069" s="467">
        <f t="shared" si="300"/>
        <v>0</v>
      </c>
      <c r="F1069" s="468">
        <f t="shared" si="302"/>
        <v>0</v>
      </c>
      <c r="G1069" s="468">
        <f t="shared" si="301"/>
        <v>0</v>
      </c>
    </row>
    <row r="1070" spans="1:7" ht="19.899999999999999" customHeight="1">
      <c r="A1070" s="501"/>
      <c r="B1070" s="462"/>
      <c r="C1070" s="465"/>
      <c r="D1070" s="466"/>
      <c r="E1070" s="467">
        <f t="shared" si="300"/>
        <v>0</v>
      </c>
      <c r="F1070" s="468">
        <f t="shared" si="302"/>
        <v>0</v>
      </c>
      <c r="G1070" s="468">
        <f t="shared" si="301"/>
        <v>0</v>
      </c>
    </row>
    <row r="1071" spans="1:7" ht="19.899999999999999" customHeight="1">
      <c r="A1071" s="501"/>
      <c r="B1071" s="462"/>
      <c r="C1071" s="465"/>
      <c r="D1071" s="466"/>
      <c r="E1071" s="467">
        <f t="shared" si="300"/>
        <v>0</v>
      </c>
      <c r="F1071" s="468">
        <f t="shared" si="302"/>
        <v>0</v>
      </c>
      <c r="G1071" s="468">
        <f t="shared" si="301"/>
        <v>0</v>
      </c>
    </row>
    <row r="1072" spans="1:7" ht="19.899999999999999" customHeight="1">
      <c r="A1072" s="501"/>
      <c r="B1072" s="462"/>
      <c r="C1072" s="160"/>
      <c r="D1072" s="160"/>
      <c r="E1072" s="469"/>
      <c r="F1072" s="454"/>
      <c r="G1072" s="503"/>
    </row>
    <row r="1073" spans="1:7" ht="19.899999999999999" customHeight="1">
      <c r="A1073" s="501"/>
      <c r="B1073" s="160"/>
      <c r="C1073" s="451" t="s">
        <v>1002</v>
      </c>
      <c r="D1073" s="454" t="s">
        <v>999</v>
      </c>
      <c r="E1073" s="520">
        <f>SUMPRODUCT(D1062:D1071,E1062:E1071)</f>
        <v>0</v>
      </c>
      <c r="F1073" s="454" t="s">
        <v>1003</v>
      </c>
      <c r="G1073" s="521">
        <f>SUM(G1062:G1071)</f>
        <v>0</v>
      </c>
    </row>
    <row r="1074" spans="1:7" ht="19.899999999999999" customHeight="1">
      <c r="A1074" s="501"/>
      <c r="B1074" s="462"/>
      <c r="C1074" s="470"/>
      <c r="D1074" s="469"/>
      <c r="E1074" s="456"/>
      <c r="F1074" s="454"/>
      <c r="G1074" s="507"/>
    </row>
    <row r="1075" spans="1:7" ht="19.899999999999999" customHeight="1">
      <c r="A1075" s="508"/>
      <c r="B1075" s="462"/>
      <c r="C1075" s="454" t="s">
        <v>1004</v>
      </c>
      <c r="D1075" s="471"/>
      <c r="E1075" s="472" t="str">
        <f ca="1">G1057&amp;"/día"</f>
        <v>m3/día</v>
      </c>
      <c r="F1075" s="448"/>
      <c r="G1075" s="503"/>
    </row>
    <row r="1076" spans="1:7" ht="19.899999999999999" customHeight="1">
      <c r="A1076" s="501"/>
      <c r="B1076" s="462"/>
      <c r="C1076" s="160"/>
      <c r="D1076" s="455"/>
      <c r="E1076" s="456"/>
      <c r="F1076" s="454"/>
      <c r="G1076" s="503"/>
    </row>
    <row r="1077" spans="1:7" ht="19.899999999999999" customHeight="1">
      <c r="A1077" s="637" t="s">
        <v>575</v>
      </c>
      <c r="B1077" s="638"/>
      <c r="C1077" s="639" t="s">
        <v>0</v>
      </c>
      <c r="D1077" s="647" t="s">
        <v>1863</v>
      </c>
      <c r="E1077" s="647" t="s">
        <v>1862</v>
      </c>
      <c r="F1077" s="643" t="s">
        <v>1005</v>
      </c>
      <c r="G1077" s="645" t="s">
        <v>25</v>
      </c>
    </row>
    <row r="1078" spans="1:7" ht="19.899999999999999" customHeight="1">
      <c r="A1078" s="473" t="s">
        <v>576</v>
      </c>
      <c r="B1078" s="473" t="s">
        <v>577</v>
      </c>
      <c r="C1078" s="640"/>
      <c r="D1078" s="648"/>
      <c r="E1078" s="642"/>
      <c r="F1078" s="644"/>
      <c r="G1078" s="646"/>
    </row>
    <row r="1079" spans="1:7" ht="19.899999999999999" customHeight="1">
      <c r="A1079" s="509"/>
      <c r="B1079" s="160"/>
      <c r="C1079" s="451" t="s">
        <v>1006</v>
      </c>
      <c r="D1079" s="456"/>
      <c r="E1079" s="456"/>
      <c r="F1079" s="160"/>
      <c r="G1079" s="510"/>
    </row>
    <row r="1080" spans="1:7" ht="19.899999999999999" customHeight="1">
      <c r="A1080" s="511">
        <f t="shared" ref="A1080:A1088" si="303">IFERROR(VLOOKUP(C1080,T_Insumos,4,FALSE),0)</f>
        <v>0</v>
      </c>
      <c r="B1080" s="474">
        <f t="shared" ref="B1080:B1088" si="304">IFERROR(VLOOKUP(C1080,T_Insumos,5,FALSE),0)</f>
        <v>0</v>
      </c>
      <c r="C1080" s="465"/>
      <c r="D1080" s="475">
        <f t="shared" ref="D1080:D1088" si="305">IFERROR(VLOOKUP(C1080,T_Insumos,3,FALSE),0)</f>
        <v>0</v>
      </c>
      <c r="E1080" s="468">
        <f>D1080*$G$323</f>
        <v>0</v>
      </c>
      <c r="F1080" s="471">
        <f>+$D$325</f>
        <v>0</v>
      </c>
      <c r="G1080" s="468">
        <f>IFERROR(ROUND(E1080/F1080,2),0)</f>
        <v>0</v>
      </c>
    </row>
    <row r="1081" spans="1:7" ht="19.899999999999999" customHeight="1">
      <c r="A1081" s="511"/>
      <c r="B1081" s="474"/>
      <c r="C1081" s="465"/>
      <c r="D1081" s="475">
        <f t="shared" si="305"/>
        <v>0</v>
      </c>
      <c r="E1081" s="468">
        <f>D1081*$G$323</f>
        <v>0</v>
      </c>
      <c r="F1081" s="471">
        <f t="shared" ref="F1081:F1083" si="306">+$D$325</f>
        <v>0</v>
      </c>
      <c r="G1081" s="468">
        <f t="shared" ref="G1081:G1088" si="307">IFERROR(ROUND(E1081/F1081,2),0)</f>
        <v>0</v>
      </c>
    </row>
    <row r="1082" spans="1:7" ht="19.899999999999999" customHeight="1">
      <c r="A1082" s="511">
        <f t="shared" ref="A1082:A1090" si="308">IFERROR(VLOOKUP(C1082,T_Insumos,4,FALSE),0)</f>
        <v>0</v>
      </c>
      <c r="B1082" s="474">
        <f t="shared" ref="B1082:B1090" si="309">IFERROR(VLOOKUP(C1082,T_Insumos,5,FALSE),0)</f>
        <v>0</v>
      </c>
      <c r="C1082" s="476"/>
      <c r="D1082" s="475">
        <f t="shared" si="305"/>
        <v>0</v>
      </c>
      <c r="E1082" s="468">
        <f>D1082*$E$323</f>
        <v>0</v>
      </c>
      <c r="F1082" s="471">
        <f t="shared" si="306"/>
        <v>0</v>
      </c>
      <c r="G1082" s="468">
        <f t="shared" si="307"/>
        <v>0</v>
      </c>
    </row>
    <row r="1083" spans="1:7" ht="19.899999999999999" customHeight="1">
      <c r="A1083" s="511">
        <f t="shared" si="308"/>
        <v>0</v>
      </c>
      <c r="B1083" s="474">
        <f t="shared" si="309"/>
        <v>0</v>
      </c>
      <c r="C1083" s="476"/>
      <c r="D1083" s="475">
        <f t="shared" si="305"/>
        <v>0</v>
      </c>
      <c r="E1083" s="468">
        <f>D1083*$E$323</f>
        <v>0</v>
      </c>
      <c r="F1083" s="471">
        <f t="shared" si="306"/>
        <v>0</v>
      </c>
      <c r="G1083" s="468">
        <f t="shared" si="307"/>
        <v>0</v>
      </c>
    </row>
    <row r="1084" spans="1:7" ht="19.899999999999999" customHeight="1">
      <c r="A1084" s="511">
        <f t="shared" si="308"/>
        <v>0</v>
      </c>
      <c r="B1084" s="474">
        <f t="shared" si="309"/>
        <v>0</v>
      </c>
      <c r="C1084" s="476"/>
      <c r="D1084" s="475">
        <f t="shared" si="305"/>
        <v>0</v>
      </c>
      <c r="E1084" s="468"/>
      <c r="F1084" s="471">
        <f>IF(C1084="",0,IFERROR(VLOOKUP(COUNTIF($A$1:A1084,"ANALISIS DE PRECIOS"),T_Rendimiento_Equipo,5,FALSE),0))</f>
        <v>0</v>
      </c>
      <c r="G1084" s="468">
        <f t="shared" si="307"/>
        <v>0</v>
      </c>
    </row>
    <row r="1085" spans="1:7" ht="19.899999999999999" customHeight="1">
      <c r="A1085" s="511">
        <f t="shared" si="308"/>
        <v>0</v>
      </c>
      <c r="B1085" s="474">
        <f t="shared" si="309"/>
        <v>0</v>
      </c>
      <c r="C1085" s="476"/>
      <c r="D1085" s="475">
        <f t="shared" si="305"/>
        <v>0</v>
      </c>
      <c r="E1085" s="468"/>
      <c r="F1085" s="471">
        <f>IF(C1085="",0,IFERROR(VLOOKUP(COUNTIF($A$1:A1085,"ANALISIS DE PRECIOS"),T_Rendimiento_Equipo,5,FALSE),0))</f>
        <v>0</v>
      </c>
      <c r="G1085" s="468">
        <f t="shared" si="307"/>
        <v>0</v>
      </c>
    </row>
    <row r="1086" spans="1:7" ht="19.899999999999999" customHeight="1">
      <c r="A1086" s="511">
        <f t="shared" si="308"/>
        <v>0</v>
      </c>
      <c r="B1086" s="474">
        <f t="shared" si="309"/>
        <v>0</v>
      </c>
      <c r="C1086" s="476"/>
      <c r="D1086" s="475">
        <f t="shared" si="305"/>
        <v>0</v>
      </c>
      <c r="E1086" s="468"/>
      <c r="F1086" s="471">
        <f>IF(C1086="",0,IFERROR(VLOOKUP(COUNTIF($A$1:A1086,"ANALISIS DE PRECIOS"),T_Rendimiento_Equipo,5,FALSE),0))</f>
        <v>0</v>
      </c>
      <c r="G1086" s="468">
        <f t="shared" si="307"/>
        <v>0</v>
      </c>
    </row>
    <row r="1087" spans="1:7" ht="19.899999999999999" customHeight="1">
      <c r="A1087" s="511">
        <f t="shared" si="308"/>
        <v>0</v>
      </c>
      <c r="B1087" s="474">
        <f t="shared" si="309"/>
        <v>0</v>
      </c>
      <c r="C1087" s="476"/>
      <c r="D1087" s="475">
        <f t="shared" si="305"/>
        <v>0</v>
      </c>
      <c r="E1087" s="468"/>
      <c r="F1087" s="471">
        <f>IF(C1087="",0,IFERROR(VLOOKUP(COUNTIF($A$1:A1087,"ANALISIS DE PRECIOS"),T_Rendimiento_Equipo,5,FALSE),0))</f>
        <v>0</v>
      </c>
      <c r="G1087" s="468">
        <f t="shared" si="307"/>
        <v>0</v>
      </c>
    </row>
    <row r="1088" spans="1:7" ht="19.899999999999999" customHeight="1">
      <c r="A1088" s="511">
        <f t="shared" si="308"/>
        <v>0</v>
      </c>
      <c r="B1088" s="474">
        <f t="shared" si="309"/>
        <v>0</v>
      </c>
      <c r="C1088" s="465"/>
      <c r="D1088" s="475">
        <f t="shared" si="305"/>
        <v>0</v>
      </c>
      <c r="E1088" s="468"/>
      <c r="F1088" s="471">
        <f>IF(C1088="",0,IFERROR(VLOOKUP(COUNTIF($A$1:A1088,"ANALISIS DE PRECIOS"),T_Rendimiento_Equipo,5,FALSE),0))</f>
        <v>0</v>
      </c>
      <c r="G1088" s="468">
        <f t="shared" si="307"/>
        <v>0</v>
      </c>
    </row>
    <row r="1089" spans="1:7" ht="19.899999999999999" customHeight="1">
      <c r="A1089" s="512"/>
      <c r="B1089" s="455"/>
      <c r="C1089" s="160"/>
      <c r="D1089" s="455"/>
      <c r="E1089" s="456"/>
      <c r="F1089" s="615" t="s">
        <v>26</v>
      </c>
      <c r="G1089" s="513">
        <f>SUBTOTAL(9,G1080:G1088)</f>
        <v>0</v>
      </c>
    </row>
    <row r="1090" spans="1:7" ht="19.899999999999999" customHeight="1">
      <c r="A1090" s="509"/>
      <c r="B1090" s="160"/>
      <c r="C1090" s="451" t="s">
        <v>712</v>
      </c>
      <c r="D1090" s="455"/>
      <c r="E1090" s="456"/>
      <c r="F1090" s="457"/>
      <c r="G1090" s="510"/>
    </row>
    <row r="1091" spans="1:7" ht="19.899999999999999" customHeight="1">
      <c r="A1091" s="637" t="s">
        <v>575</v>
      </c>
      <c r="B1091" s="638"/>
      <c r="C1091" s="639" t="s">
        <v>0</v>
      </c>
      <c r="D1091" s="641" t="s">
        <v>23</v>
      </c>
      <c r="E1091" s="641" t="s">
        <v>1829</v>
      </c>
      <c r="F1091" s="643" t="s">
        <v>1005</v>
      </c>
      <c r="G1091" s="645" t="s">
        <v>25</v>
      </c>
    </row>
    <row r="1092" spans="1:7" ht="19.899999999999999" customHeight="1">
      <c r="A1092" s="473" t="s">
        <v>576</v>
      </c>
      <c r="B1092" s="473" t="s">
        <v>577</v>
      </c>
      <c r="C1092" s="640"/>
      <c r="D1092" s="642"/>
      <c r="E1092" s="642"/>
      <c r="F1092" s="644"/>
      <c r="G1092" s="646"/>
    </row>
    <row r="1093" spans="1:7" ht="19.899999999999999" customHeight="1">
      <c r="A1093" s="511"/>
      <c r="B1093" s="474"/>
      <c r="C1093" s="478"/>
      <c r="D1093" s="471"/>
      <c r="E1093" s="468">
        <f t="shared" ref="E1093:E1097" si="310">IFERROR(VLOOKUP(C1093,T_Insumos,3,FALSE),0)</f>
        <v>0</v>
      </c>
      <c r="F1093" s="471">
        <f>+$D$325</f>
        <v>0</v>
      </c>
      <c r="G1093" s="468">
        <f>IFERROR(ROUND(D1093*E1093/F1093,2),0)</f>
        <v>0</v>
      </c>
    </row>
    <row r="1094" spans="1:7" ht="19.899999999999999" customHeight="1">
      <c r="A1094" s="511"/>
      <c r="B1094" s="474"/>
      <c r="C1094" s="465"/>
      <c r="D1094" s="471"/>
      <c r="E1094" s="468">
        <f t="shared" si="310"/>
        <v>0</v>
      </c>
      <c r="F1094" s="471">
        <f t="shared" ref="F1094:F1098" si="311">+$D$325</f>
        <v>0</v>
      </c>
      <c r="G1094" s="468">
        <f t="shared" ref="G1094:G1099" si="312">IFERROR(ROUND(D1094*E1094/F1094,2),0)</f>
        <v>0</v>
      </c>
    </row>
    <row r="1095" spans="1:7" ht="19.899999999999999" customHeight="1">
      <c r="A1095" s="511"/>
      <c r="B1095" s="474"/>
      <c r="C1095" s="465"/>
      <c r="D1095" s="471"/>
      <c r="E1095" s="468">
        <f t="shared" si="310"/>
        <v>0</v>
      </c>
      <c r="F1095" s="471">
        <f t="shared" si="311"/>
        <v>0</v>
      </c>
      <c r="G1095" s="468">
        <f t="shared" si="312"/>
        <v>0</v>
      </c>
    </row>
    <row r="1096" spans="1:7" ht="19.899999999999999" customHeight="1">
      <c r="A1096" s="511"/>
      <c r="B1096" s="474"/>
      <c r="C1096" s="465"/>
      <c r="D1096" s="471"/>
      <c r="E1096" s="468">
        <f t="shared" si="310"/>
        <v>0</v>
      </c>
      <c r="F1096" s="471">
        <f t="shared" si="311"/>
        <v>0</v>
      </c>
      <c r="G1096" s="468">
        <f t="shared" si="312"/>
        <v>0</v>
      </c>
    </row>
    <row r="1097" spans="1:7" ht="19.899999999999999" customHeight="1">
      <c r="A1097" s="511">
        <f t="shared" ref="A1097:A1099" si="313">IFERROR(VLOOKUP(C1097,T_Insumos,4,FALSE),0)</f>
        <v>0</v>
      </c>
      <c r="B1097" s="474">
        <f t="shared" ref="B1097:B1099" si="314">IFERROR(VLOOKUP(C1097,T_Insumos,5,FALSE),0)</f>
        <v>0</v>
      </c>
      <c r="C1097" s="465"/>
      <c r="D1097" s="471"/>
      <c r="E1097" s="468">
        <f t="shared" si="310"/>
        <v>0</v>
      </c>
      <c r="F1097" s="471">
        <f>IF(C1097="",0,IFERROR(VLOOKUP(COUNTIF($A$1:A1097,"ANALISIS DE PRECIOS"),T_Rendimiento_Equipo,5,FALSE),0))</f>
        <v>0</v>
      </c>
      <c r="G1097" s="468">
        <f t="shared" si="312"/>
        <v>0</v>
      </c>
    </row>
    <row r="1098" spans="1:7" ht="19.899999999999999" customHeight="1">
      <c r="A1098" s="511">
        <f t="shared" si="313"/>
        <v>0</v>
      </c>
      <c r="B1098" s="474">
        <f t="shared" si="314"/>
        <v>0</v>
      </c>
      <c r="C1098" s="465"/>
      <c r="D1098" s="479"/>
      <c r="E1098" s="468">
        <f>SUMPRODUCT(D1093:D1096,E1093:E1096)</f>
        <v>0</v>
      </c>
      <c r="F1098" s="471">
        <f t="shared" si="311"/>
        <v>0</v>
      </c>
      <c r="G1098" s="468">
        <f t="shared" si="312"/>
        <v>0</v>
      </c>
    </row>
    <row r="1099" spans="1:7" ht="19.899999999999999" customHeight="1">
      <c r="A1099" s="511">
        <f t="shared" si="313"/>
        <v>0</v>
      </c>
      <c r="B1099" s="474">
        <f t="shared" si="314"/>
        <v>0</v>
      </c>
      <c r="C1099" s="474"/>
      <c r="D1099" s="480"/>
      <c r="E1099" s="468">
        <f t="shared" ref="E1099:E1101" si="315">IFERROR(VLOOKUP(C1099,T_Insumos,3,FALSE),0)</f>
        <v>0</v>
      </c>
      <c r="F1099" s="471">
        <f>IF(C1099="",0,IFERROR(VLOOKUP(COUNTIF($A$1:A1099,"ANALISIS DE PRECIOS"),T_Rendimiento_Equipo,5,FALSE),0))</f>
        <v>0</v>
      </c>
      <c r="G1099" s="468">
        <f t="shared" si="312"/>
        <v>0</v>
      </c>
    </row>
    <row r="1100" spans="1:7" ht="19.899999999999999" customHeight="1">
      <c r="A1100" s="512"/>
      <c r="B1100" s="455"/>
      <c r="C1100" s="160"/>
      <c r="D1100" s="455"/>
      <c r="E1100" s="456"/>
      <c r="F1100" s="615" t="s">
        <v>27</v>
      </c>
      <c r="G1100" s="514">
        <f>SUBTOTAL(9,G1093:G1099)</f>
        <v>0</v>
      </c>
    </row>
    <row r="1101" spans="1:7" ht="19.899999999999999" customHeight="1">
      <c r="A1101" s="509"/>
      <c r="B1101" s="160"/>
      <c r="C1101" s="451" t="s">
        <v>1012</v>
      </c>
      <c r="D1101" s="455"/>
      <c r="E1101" s="456"/>
      <c r="F1101" s="457"/>
      <c r="G1101" s="510"/>
    </row>
    <row r="1102" spans="1:7" ht="19.899999999999999" customHeight="1">
      <c r="A1102" s="637" t="s">
        <v>575</v>
      </c>
      <c r="B1102" s="638"/>
      <c r="C1102" s="639" t="s">
        <v>0</v>
      </c>
      <c r="D1102" s="639" t="s">
        <v>1864</v>
      </c>
      <c r="E1102" s="641" t="s">
        <v>23</v>
      </c>
      <c r="F1102" s="643" t="s">
        <v>24</v>
      </c>
      <c r="G1102" s="645" t="s">
        <v>25</v>
      </c>
    </row>
    <row r="1103" spans="1:7" ht="19.899999999999999" customHeight="1">
      <c r="A1103" s="473" t="s">
        <v>576</v>
      </c>
      <c r="B1103" s="473" t="s">
        <v>577</v>
      </c>
      <c r="C1103" s="640"/>
      <c r="D1103" s="640"/>
      <c r="E1103" s="642"/>
      <c r="F1103" s="644"/>
      <c r="G1103" s="646"/>
    </row>
    <row r="1104" spans="1:7" ht="19.899999999999999" customHeight="1">
      <c r="A1104" s="511">
        <f t="shared" ref="A1104:A1114" si="316">IFERROR(VLOOKUP(C1104,T_Insumos,4,FALSE),0)</f>
        <v>0</v>
      </c>
      <c r="B1104" s="474">
        <f t="shared" ref="B1104:B1114" si="317">IFERROR(VLOOKUP(C1104,T_Insumos,5,FALSE),0)</f>
        <v>0</v>
      </c>
      <c r="C1104" s="474"/>
      <c r="D1104" s="522">
        <f t="shared" ref="D1104:D1114" si="318">IFERROR(VLOOKUP(C1104,T_Insumos,2,FALSE),0)</f>
        <v>0</v>
      </c>
      <c r="E1104" s="466"/>
      <c r="F1104" s="468">
        <f t="shared" ref="F1104:F1114" si="319">IFERROR(VLOOKUP(C1104,T_Insumos,3,FALSE),0)</f>
        <v>0</v>
      </c>
      <c r="G1104" s="468">
        <f>ROUND(E1104*F1104,2)</f>
        <v>0</v>
      </c>
    </row>
    <row r="1105" spans="1:7" ht="19.899999999999999" customHeight="1">
      <c r="A1105" s="511">
        <f t="shared" si="316"/>
        <v>0</v>
      </c>
      <c r="B1105" s="474">
        <f t="shared" si="317"/>
        <v>0</v>
      </c>
      <c r="C1105" s="474"/>
      <c r="D1105" s="522">
        <f t="shared" si="318"/>
        <v>0</v>
      </c>
      <c r="E1105" s="466"/>
      <c r="F1105" s="468">
        <f t="shared" si="319"/>
        <v>0</v>
      </c>
      <c r="G1105" s="468">
        <f t="shared" ref="G1105:G1114" si="320">ROUND(E1105*F1105,2)</f>
        <v>0</v>
      </c>
    </row>
    <row r="1106" spans="1:7" ht="19.899999999999999" customHeight="1">
      <c r="A1106" s="511">
        <f t="shared" si="316"/>
        <v>0</v>
      </c>
      <c r="B1106" s="474">
        <f t="shared" si="317"/>
        <v>0</v>
      </c>
      <c r="C1106" s="474"/>
      <c r="D1106" s="522">
        <f t="shared" si="318"/>
        <v>0</v>
      </c>
      <c r="E1106" s="466"/>
      <c r="F1106" s="468">
        <f t="shared" si="319"/>
        <v>0</v>
      </c>
      <c r="G1106" s="468">
        <f t="shared" si="320"/>
        <v>0</v>
      </c>
    </row>
    <row r="1107" spans="1:7" ht="19.899999999999999" customHeight="1">
      <c r="A1107" s="511">
        <f t="shared" si="316"/>
        <v>0</v>
      </c>
      <c r="B1107" s="474">
        <f t="shared" si="317"/>
        <v>0</v>
      </c>
      <c r="C1107" s="474"/>
      <c r="D1107" s="522">
        <f t="shared" si="318"/>
        <v>0</v>
      </c>
      <c r="E1107" s="466"/>
      <c r="F1107" s="468">
        <f t="shared" si="319"/>
        <v>0</v>
      </c>
      <c r="G1107" s="468">
        <f t="shared" si="320"/>
        <v>0</v>
      </c>
    </row>
    <row r="1108" spans="1:7" ht="19.899999999999999" customHeight="1">
      <c r="A1108" s="511">
        <f t="shared" si="316"/>
        <v>0</v>
      </c>
      <c r="B1108" s="474">
        <f t="shared" si="317"/>
        <v>0</v>
      </c>
      <c r="C1108" s="474"/>
      <c r="D1108" s="522">
        <f t="shared" si="318"/>
        <v>0</v>
      </c>
      <c r="E1108" s="466"/>
      <c r="F1108" s="468">
        <f t="shared" si="319"/>
        <v>0</v>
      </c>
      <c r="G1108" s="468">
        <f t="shared" si="320"/>
        <v>0</v>
      </c>
    </row>
    <row r="1109" spans="1:7" ht="19.899999999999999" customHeight="1">
      <c r="A1109" s="511">
        <f t="shared" si="316"/>
        <v>0</v>
      </c>
      <c r="B1109" s="474">
        <f t="shared" si="317"/>
        <v>0</v>
      </c>
      <c r="C1109" s="474"/>
      <c r="D1109" s="522">
        <f t="shared" si="318"/>
        <v>0</v>
      </c>
      <c r="E1109" s="466"/>
      <c r="F1109" s="468">
        <f t="shared" si="319"/>
        <v>0</v>
      </c>
      <c r="G1109" s="468">
        <f t="shared" si="320"/>
        <v>0</v>
      </c>
    </row>
    <row r="1110" spans="1:7" ht="19.899999999999999" customHeight="1">
      <c r="A1110" s="511">
        <f t="shared" si="316"/>
        <v>0</v>
      </c>
      <c r="B1110" s="474">
        <f t="shared" si="317"/>
        <v>0</v>
      </c>
      <c r="C1110" s="474"/>
      <c r="D1110" s="522">
        <f t="shared" si="318"/>
        <v>0</v>
      </c>
      <c r="E1110" s="466"/>
      <c r="F1110" s="468">
        <f t="shared" si="319"/>
        <v>0</v>
      </c>
      <c r="G1110" s="468">
        <f t="shared" si="320"/>
        <v>0</v>
      </c>
    </row>
    <row r="1111" spans="1:7" ht="19.899999999999999" customHeight="1">
      <c r="A1111" s="511">
        <f t="shared" si="316"/>
        <v>0</v>
      </c>
      <c r="B1111" s="474">
        <f t="shared" si="317"/>
        <v>0</v>
      </c>
      <c r="C1111" s="474"/>
      <c r="D1111" s="522">
        <f t="shared" si="318"/>
        <v>0</v>
      </c>
      <c r="E1111" s="466"/>
      <c r="F1111" s="468">
        <f t="shared" si="319"/>
        <v>0</v>
      </c>
      <c r="G1111" s="468">
        <f t="shared" si="320"/>
        <v>0</v>
      </c>
    </row>
    <row r="1112" spans="1:7" ht="19.899999999999999" customHeight="1">
      <c r="A1112" s="511">
        <f t="shared" si="316"/>
        <v>0</v>
      </c>
      <c r="B1112" s="474">
        <f t="shared" si="317"/>
        <v>0</v>
      </c>
      <c r="C1112" s="474"/>
      <c r="D1112" s="522">
        <f t="shared" si="318"/>
        <v>0</v>
      </c>
      <c r="E1112" s="466"/>
      <c r="F1112" s="468">
        <f t="shared" si="319"/>
        <v>0</v>
      </c>
      <c r="G1112" s="468">
        <f t="shared" si="320"/>
        <v>0</v>
      </c>
    </row>
    <row r="1113" spans="1:7" ht="19.899999999999999" customHeight="1">
      <c r="A1113" s="511">
        <f t="shared" si="316"/>
        <v>0</v>
      </c>
      <c r="B1113" s="474">
        <f t="shared" si="317"/>
        <v>0</v>
      </c>
      <c r="C1113" s="474"/>
      <c r="D1113" s="522">
        <f t="shared" si="318"/>
        <v>0</v>
      </c>
      <c r="E1113" s="466"/>
      <c r="F1113" s="468">
        <f t="shared" si="319"/>
        <v>0</v>
      </c>
      <c r="G1113" s="468">
        <f t="shared" si="320"/>
        <v>0</v>
      </c>
    </row>
    <row r="1114" spans="1:7" ht="19.899999999999999" customHeight="1">
      <c r="A1114" s="511">
        <f t="shared" si="316"/>
        <v>0</v>
      </c>
      <c r="B1114" s="474">
        <f t="shared" si="317"/>
        <v>0</v>
      </c>
      <c r="C1114" s="474"/>
      <c r="D1114" s="522">
        <f t="shared" si="318"/>
        <v>0</v>
      </c>
      <c r="E1114" s="466"/>
      <c r="F1114" s="468">
        <f t="shared" si="319"/>
        <v>0</v>
      </c>
      <c r="G1114" s="468">
        <f t="shared" si="320"/>
        <v>0</v>
      </c>
    </row>
    <row r="1115" spans="1:7" ht="19.899999999999999" customHeight="1">
      <c r="A1115" s="509"/>
      <c r="B1115" s="160"/>
      <c r="C1115" s="160"/>
      <c r="D1115" s="455"/>
      <c r="E1115" s="456"/>
      <c r="F1115" s="615" t="s">
        <v>28</v>
      </c>
      <c r="G1115" s="514">
        <f>SUBTOTAL(9,G1104:G1114)</f>
        <v>0</v>
      </c>
    </row>
    <row r="1116" spans="1:7" ht="19.899999999999999" customHeight="1">
      <c r="A1116" s="509"/>
      <c r="B1116" s="160"/>
      <c r="C1116" s="451" t="s">
        <v>1013</v>
      </c>
      <c r="D1116" s="455"/>
      <c r="E1116" s="456"/>
      <c r="F1116" s="457"/>
      <c r="G1116" s="510"/>
    </row>
    <row r="1117" spans="1:7" ht="19.899999999999999" customHeight="1">
      <c r="A1117" s="637" t="s">
        <v>575</v>
      </c>
      <c r="B1117" s="638"/>
      <c r="C1117" s="639" t="s">
        <v>0</v>
      </c>
      <c r="D1117" s="639" t="s">
        <v>1864</v>
      </c>
      <c r="E1117" s="641" t="s">
        <v>23</v>
      </c>
      <c r="F1117" s="643" t="s">
        <v>24</v>
      </c>
      <c r="G1117" s="645" t="s">
        <v>25</v>
      </c>
    </row>
    <row r="1118" spans="1:7" ht="19.899999999999999" customHeight="1">
      <c r="A1118" s="473" t="s">
        <v>576</v>
      </c>
      <c r="B1118" s="473" t="s">
        <v>577</v>
      </c>
      <c r="C1118" s="640"/>
      <c r="D1118" s="640"/>
      <c r="E1118" s="642"/>
      <c r="F1118" s="644"/>
      <c r="G1118" s="646"/>
    </row>
    <row r="1119" spans="1:7" ht="19.899999999999999" customHeight="1">
      <c r="A1119" s="511">
        <f>IFERROR(VLOOKUP(C1119,T_Insumos,4,FALSE),0)</f>
        <v>0</v>
      </c>
      <c r="B1119" s="474">
        <f>IFERROR(VLOOKUP(C1119,T_Insumos,5,FALSE),0)</f>
        <v>0</v>
      </c>
      <c r="C1119" s="465"/>
      <c r="D1119" s="522">
        <f>IF(C1119=0,0,"$/tnkm")</f>
        <v>0</v>
      </c>
      <c r="E1119" s="466"/>
      <c r="F1119" s="468">
        <f>IFERROR(VLOOKUP(C1119,T_Insumos,3,FALSE),0)</f>
        <v>0</v>
      </c>
      <c r="G1119" s="468">
        <f>ROUND(E1119*F1119,2)</f>
        <v>0</v>
      </c>
    </row>
    <row r="1120" spans="1:7" ht="19.899999999999999" customHeight="1">
      <c r="A1120" s="511">
        <f>IFERROR(VLOOKUP(C1120,T_Insumos,4,FALSE),0)</f>
        <v>0</v>
      </c>
      <c r="B1120" s="474">
        <f>IFERROR(VLOOKUP(C1120,T_Insumos,5,FALSE),0)</f>
        <v>0</v>
      </c>
      <c r="C1120" s="465"/>
      <c r="D1120" s="522">
        <f>IF(C1120=0,0,"$/tnkm")</f>
        <v>0</v>
      </c>
      <c r="E1120" s="482"/>
      <c r="F1120" s="468">
        <f>IFERROR(VLOOKUP(C1120,T_Insumos,3,FALSE),0)</f>
        <v>0</v>
      </c>
      <c r="G1120" s="468">
        <f t="shared" ref="G1120" si="321">ROUND(E1120*F1120,2)</f>
        <v>0</v>
      </c>
    </row>
    <row r="1121" spans="1:7" ht="19.899999999999999" customHeight="1">
      <c r="A1121" s="509"/>
      <c r="B1121" s="160"/>
      <c r="C1121" s="160"/>
      <c r="D1121" s="455"/>
      <c r="E1121" s="456"/>
      <c r="F1121" s="615" t="s">
        <v>1014</v>
      </c>
      <c r="G1121" s="514">
        <f>SUBTOTAL(9,G1119:G1120)</f>
        <v>0</v>
      </c>
    </row>
    <row r="1122" spans="1:7" ht="19.899999999999999" customHeight="1">
      <c r="A1122" s="512"/>
      <c r="B1122" s="455"/>
      <c r="C1122" s="160"/>
      <c r="D1122" s="455"/>
      <c r="E1122" s="456"/>
      <c r="F1122" s="457"/>
      <c r="G1122" s="510"/>
    </row>
    <row r="1123" spans="1:7" ht="19.899999999999999" customHeight="1">
      <c r="A1123" s="570">
        <f>B1057</f>
        <v>3.4</v>
      </c>
      <c r="B1123" s="567" t="str">
        <f ca="1">C1057</f>
        <v>Muros de H°A° H17</v>
      </c>
      <c r="C1123" s="455"/>
      <c r="D1123" s="455" t="s">
        <v>1830</v>
      </c>
      <c r="E1123" s="568"/>
      <c r="F1123" s="569" t="str">
        <f ca="1">"$/"&amp;G1057</f>
        <v>$/m3</v>
      </c>
      <c r="G1123" s="519">
        <f>SUBTOTAL(9,G1080:G1122)</f>
        <v>0</v>
      </c>
    </row>
    <row r="1124" spans="1:7" ht="19.899999999999999" customHeight="1">
      <c r="A1124" s="515"/>
      <c r="B1124" s="516"/>
      <c r="C1124" s="517"/>
      <c r="D1124" s="517" t="s">
        <v>2040</v>
      </c>
      <c r="E1124" s="518"/>
      <c r="F1124" s="571" t="str">
        <f ca="1">"$/"&amp;G1057</f>
        <v>$/m3</v>
      </c>
      <c r="G1124" s="519">
        <f>ROUND(G1123*Coeficiente_Paso,2)</f>
        <v>0</v>
      </c>
    </row>
    <row r="1125" spans="1:7" ht="19.899999999999999" customHeight="1">
      <c r="A1125" s="160"/>
      <c r="B1125" s="160"/>
      <c r="C1125" s="160"/>
      <c r="D1125" s="160"/>
      <c r="E1125" s="160"/>
      <c r="F1125" s="160"/>
      <c r="G1125" s="160"/>
    </row>
    <row r="1126" spans="1:7" ht="19.899999999999999" customHeight="1">
      <c r="A1126" s="633" t="s">
        <v>30</v>
      </c>
      <c r="B1126" s="634"/>
      <c r="C1126" s="634"/>
      <c r="D1126" s="634"/>
      <c r="E1126" s="634"/>
      <c r="F1126" s="634"/>
      <c r="G1126" s="635"/>
    </row>
    <row r="1127" spans="1:7" ht="19.899999999999999" customHeight="1">
      <c r="A1127" s="498" t="s">
        <v>710</v>
      </c>
      <c r="B1127" s="449" t="str">
        <f>Comitente</f>
        <v>DEPARTAMENTO DE HIDRAULICA</v>
      </c>
      <c r="C1127" s="450"/>
      <c r="D1127" s="451"/>
      <c r="E1127" s="451"/>
      <c r="F1127" s="452"/>
      <c r="G1127" s="499"/>
    </row>
    <row r="1128" spans="1:7" ht="19.899999999999999" customHeight="1">
      <c r="A1128" s="498" t="s">
        <v>711</v>
      </c>
      <c r="B1128" s="449">
        <f>Contratista</f>
        <v>0</v>
      </c>
      <c r="C1128" s="453"/>
      <c r="D1128" s="453"/>
      <c r="E1128" s="453"/>
      <c r="F1128" s="449"/>
      <c r="G1128" s="500"/>
    </row>
    <row r="1129" spans="1:7" ht="19.899999999999999" customHeight="1">
      <c r="A1129" s="498" t="s">
        <v>20</v>
      </c>
      <c r="B1129" s="449" t="str">
        <f>Obra</f>
        <v>EJECUCION DE PERFORACION - SISTEMA DE RIEGO</v>
      </c>
      <c r="C1129" s="453"/>
      <c r="D1129" s="453"/>
      <c r="E1129" s="453"/>
      <c r="F1129" s="449" t="s">
        <v>31</v>
      </c>
      <c r="G1129" s="500">
        <f>Fecha_Base</f>
        <v>0</v>
      </c>
    </row>
    <row r="1130" spans="1:7" ht="19.899999999999999" customHeight="1">
      <c r="A1130" s="501" t="s">
        <v>709</v>
      </c>
      <c r="B1130" s="454" t="str">
        <f>Ubicación</f>
        <v>DEPARTAMENTO CHIMBAS</v>
      </c>
      <c r="C1130" s="454"/>
      <c r="D1130" s="455"/>
      <c r="E1130" s="456"/>
      <c r="F1130" s="457"/>
      <c r="G1130" s="502"/>
    </row>
    <row r="1131" spans="1:7" ht="19.899999999999999" customHeight="1">
      <c r="A1131" s="501" t="s">
        <v>32</v>
      </c>
      <c r="B1131" s="458">
        <f>IFERROR(VALUE(LEFT(B1132,FIND(".",B1132)-1)),"")</f>
        <v>3</v>
      </c>
      <c r="C1131" s="160" t="str">
        <f ca="1">IFERROR(VLOOKUP(B1131,T_Computo_Presupuesto,2,FALSE),0)</f>
        <v>CAMARA SUBTERRANEA PARA PERFORACION</v>
      </c>
      <c r="D1131" s="160"/>
      <c r="E1131" s="456"/>
      <c r="F1131" s="457"/>
      <c r="G1131" s="502"/>
    </row>
    <row r="1132" spans="1:7" ht="19.899999999999999" customHeight="1">
      <c r="A1132" s="501" t="s">
        <v>21</v>
      </c>
      <c r="B1132" s="459">
        <f>IFERROR(VLOOKUP(COUNTIF($A$1:A1132,"ANALISIS DE PRECIOS"),T_NumeroItem,2,FALSE),"")</f>
        <v>3.5</v>
      </c>
      <c r="C1132" s="636" t="str">
        <f ca="1">IFERROR(VLOOKUP(B1132,T_Computo_Presupuesto,2,FALSE),0)</f>
        <v>Construccion de losa superior H°A° H17</v>
      </c>
      <c r="D1132" s="636"/>
      <c r="E1132" s="636"/>
      <c r="F1132" s="454" t="s">
        <v>22</v>
      </c>
      <c r="G1132" s="503" t="str">
        <f ca="1">IFERROR(VLOOKUP(B1132,T_Computo_Presupuesto,4,FALSE),0)</f>
        <v>m3</v>
      </c>
    </row>
    <row r="1133" spans="1:7" ht="19.899999999999999" customHeight="1">
      <c r="A1133" s="501"/>
      <c r="B1133" s="454"/>
      <c r="C1133" s="160"/>
      <c r="D1133" s="455"/>
      <c r="E1133" s="456"/>
      <c r="F1133" s="160"/>
      <c r="G1133" s="504"/>
    </row>
    <row r="1134" spans="1:7" ht="19.899999999999999" customHeight="1">
      <c r="A1134" s="505"/>
      <c r="B1134" s="460"/>
      <c r="C1134" s="461" t="s">
        <v>997</v>
      </c>
      <c r="D1134" s="460"/>
      <c r="E1134" s="460"/>
      <c r="F1134" s="460"/>
      <c r="G1134" s="506"/>
    </row>
    <row r="1135" spans="1:7" ht="19.899999999999999" customHeight="1">
      <c r="A1135" s="501"/>
      <c r="B1135" s="462"/>
      <c r="C1135" s="160"/>
      <c r="D1135" s="455"/>
      <c r="E1135" s="456"/>
      <c r="F1135" s="454"/>
      <c r="G1135" s="503"/>
    </row>
    <row r="1136" spans="1:7" ht="19.899999999999999" customHeight="1">
      <c r="A1136" s="501"/>
      <c r="B1136" s="462"/>
      <c r="C1136" s="463" t="s">
        <v>998</v>
      </c>
      <c r="D1136" s="464" t="s">
        <v>23</v>
      </c>
      <c r="E1136" s="464" t="s">
        <v>999</v>
      </c>
      <c r="F1136" s="464" t="s">
        <v>1000</v>
      </c>
      <c r="G1136" s="463" t="s">
        <v>1001</v>
      </c>
    </row>
    <row r="1137" spans="1:7" ht="19.899999999999999" customHeight="1">
      <c r="A1137" s="501"/>
      <c r="B1137" s="462"/>
      <c r="C1137" s="465"/>
      <c r="D1137" s="466"/>
      <c r="E1137" s="467">
        <f t="shared" ref="E1137:E1146" si="322">IFERROR(VLOOKUP(C1137,T_Equipos,4,FALSE),0)</f>
        <v>0</v>
      </c>
      <c r="F1137" s="468"/>
      <c r="G1137" s="468">
        <f>ROUND(D1137*F1137,2)</f>
        <v>0</v>
      </c>
    </row>
    <row r="1138" spans="1:7" ht="19.899999999999999" customHeight="1">
      <c r="A1138" s="501"/>
      <c r="B1138" s="462"/>
      <c r="C1138" s="465"/>
      <c r="D1138" s="466"/>
      <c r="E1138" s="467">
        <f t="shared" si="322"/>
        <v>0</v>
      </c>
      <c r="F1138" s="468"/>
      <c r="G1138" s="468">
        <f>ROUND(D1138*F1138,2)</f>
        <v>0</v>
      </c>
    </row>
    <row r="1139" spans="1:7" ht="19.899999999999999" customHeight="1">
      <c r="A1139" s="501"/>
      <c r="B1139" s="462"/>
      <c r="C1139" s="465"/>
      <c r="D1139" s="466"/>
      <c r="E1139" s="467">
        <f t="shared" si="322"/>
        <v>0</v>
      </c>
      <c r="F1139" s="468"/>
      <c r="G1139" s="468">
        <f>ROUND(D1139*F1139,2)</f>
        <v>0</v>
      </c>
    </row>
    <row r="1140" spans="1:7" ht="19.899999999999999" customHeight="1">
      <c r="A1140" s="501"/>
      <c r="B1140" s="462"/>
      <c r="C1140" s="465"/>
      <c r="D1140" s="466"/>
      <c r="E1140" s="467">
        <f t="shared" si="322"/>
        <v>0</v>
      </c>
      <c r="F1140" s="468"/>
      <c r="G1140" s="468">
        <f>ROUND(D1140*F1140,2)</f>
        <v>0</v>
      </c>
    </row>
    <row r="1141" spans="1:7" ht="19.899999999999999" customHeight="1">
      <c r="A1141" s="501"/>
      <c r="B1141" s="462"/>
      <c r="C1141" s="465"/>
      <c r="D1141" s="466"/>
      <c r="E1141" s="467">
        <f t="shared" si="322"/>
        <v>0</v>
      </c>
      <c r="F1141" s="468"/>
      <c r="G1141" s="468">
        <f t="shared" ref="G1141:G1146" si="323">ROUND(D1141*F1141,2)</f>
        <v>0</v>
      </c>
    </row>
    <row r="1142" spans="1:7" ht="19.899999999999999" customHeight="1">
      <c r="A1142" s="501"/>
      <c r="B1142" s="462"/>
      <c r="C1142" s="465"/>
      <c r="D1142" s="466"/>
      <c r="E1142" s="467">
        <f t="shared" si="322"/>
        <v>0</v>
      </c>
      <c r="F1142" s="468">
        <f t="shared" ref="F1142:F1146" si="324">IFERROR(VLOOKUP(C1142,T_Equipos,5,FALSE),0)</f>
        <v>0</v>
      </c>
      <c r="G1142" s="468">
        <f t="shared" si="323"/>
        <v>0</v>
      </c>
    </row>
    <row r="1143" spans="1:7" ht="19.899999999999999" customHeight="1">
      <c r="A1143" s="501"/>
      <c r="B1143" s="462"/>
      <c r="C1143" s="465"/>
      <c r="D1143" s="466"/>
      <c r="E1143" s="467">
        <f t="shared" si="322"/>
        <v>0</v>
      </c>
      <c r="F1143" s="468">
        <f t="shared" si="324"/>
        <v>0</v>
      </c>
      <c r="G1143" s="468">
        <f t="shared" si="323"/>
        <v>0</v>
      </c>
    </row>
    <row r="1144" spans="1:7" ht="19.899999999999999" customHeight="1">
      <c r="A1144" s="501"/>
      <c r="B1144" s="462"/>
      <c r="C1144" s="465"/>
      <c r="D1144" s="466"/>
      <c r="E1144" s="467">
        <f t="shared" si="322"/>
        <v>0</v>
      </c>
      <c r="F1144" s="468">
        <f t="shared" si="324"/>
        <v>0</v>
      </c>
      <c r="G1144" s="468">
        <f t="shared" si="323"/>
        <v>0</v>
      </c>
    </row>
    <row r="1145" spans="1:7" ht="19.899999999999999" customHeight="1">
      <c r="A1145" s="501"/>
      <c r="B1145" s="462"/>
      <c r="C1145" s="465"/>
      <c r="D1145" s="466"/>
      <c r="E1145" s="467">
        <f t="shared" si="322"/>
        <v>0</v>
      </c>
      <c r="F1145" s="468">
        <f t="shared" si="324"/>
        <v>0</v>
      </c>
      <c r="G1145" s="468">
        <f t="shared" si="323"/>
        <v>0</v>
      </c>
    </row>
    <row r="1146" spans="1:7" ht="19.899999999999999" customHeight="1">
      <c r="A1146" s="501"/>
      <c r="B1146" s="462"/>
      <c r="C1146" s="465"/>
      <c r="D1146" s="466"/>
      <c r="E1146" s="467">
        <f t="shared" si="322"/>
        <v>0</v>
      </c>
      <c r="F1146" s="468">
        <f t="shared" si="324"/>
        <v>0</v>
      </c>
      <c r="G1146" s="468">
        <f t="shared" si="323"/>
        <v>0</v>
      </c>
    </row>
    <row r="1147" spans="1:7" ht="19.899999999999999" customHeight="1">
      <c r="A1147" s="501"/>
      <c r="B1147" s="462"/>
      <c r="C1147" s="160"/>
      <c r="D1147" s="160"/>
      <c r="E1147" s="469"/>
      <c r="F1147" s="454"/>
      <c r="G1147" s="503"/>
    </row>
    <row r="1148" spans="1:7" ht="19.899999999999999" customHeight="1">
      <c r="A1148" s="501"/>
      <c r="B1148" s="160"/>
      <c r="C1148" s="451" t="s">
        <v>1002</v>
      </c>
      <c r="D1148" s="454" t="s">
        <v>999</v>
      </c>
      <c r="E1148" s="520">
        <f>SUMPRODUCT(D1137:D1146,E1137:E1146)</f>
        <v>0</v>
      </c>
      <c r="F1148" s="454" t="s">
        <v>1003</v>
      </c>
      <c r="G1148" s="521">
        <f>SUM(G1137:G1146)</f>
        <v>0</v>
      </c>
    </row>
    <row r="1149" spans="1:7" ht="19.899999999999999" customHeight="1">
      <c r="A1149" s="501"/>
      <c r="B1149" s="462"/>
      <c r="C1149" s="470"/>
      <c r="D1149" s="469"/>
      <c r="E1149" s="456"/>
      <c r="F1149" s="454"/>
      <c r="G1149" s="507"/>
    </row>
    <row r="1150" spans="1:7" ht="19.899999999999999" customHeight="1">
      <c r="A1150" s="508"/>
      <c r="B1150" s="462"/>
      <c r="C1150" s="454" t="s">
        <v>1004</v>
      </c>
      <c r="D1150" s="471"/>
      <c r="E1150" s="472" t="str">
        <f ca="1">G1132&amp;"/día"</f>
        <v>m3/día</v>
      </c>
      <c r="F1150" s="448"/>
      <c r="G1150" s="503"/>
    </row>
    <row r="1151" spans="1:7" ht="19.899999999999999" customHeight="1">
      <c r="A1151" s="501"/>
      <c r="B1151" s="462"/>
      <c r="C1151" s="160"/>
      <c r="D1151" s="455"/>
      <c r="E1151" s="456"/>
      <c r="F1151" s="454"/>
      <c r="G1151" s="503"/>
    </row>
    <row r="1152" spans="1:7" ht="19.899999999999999" customHeight="1">
      <c r="A1152" s="637" t="s">
        <v>575</v>
      </c>
      <c r="B1152" s="638"/>
      <c r="C1152" s="639" t="s">
        <v>0</v>
      </c>
      <c r="D1152" s="647" t="s">
        <v>1863</v>
      </c>
      <c r="E1152" s="647" t="s">
        <v>1862</v>
      </c>
      <c r="F1152" s="643" t="s">
        <v>1005</v>
      </c>
      <c r="G1152" s="645" t="s">
        <v>25</v>
      </c>
    </row>
    <row r="1153" spans="1:7" ht="19.899999999999999" customHeight="1">
      <c r="A1153" s="473" t="s">
        <v>576</v>
      </c>
      <c r="B1153" s="473" t="s">
        <v>577</v>
      </c>
      <c r="C1153" s="640"/>
      <c r="D1153" s="648"/>
      <c r="E1153" s="642"/>
      <c r="F1153" s="644"/>
      <c r="G1153" s="646"/>
    </row>
    <row r="1154" spans="1:7" ht="19.899999999999999" customHeight="1">
      <c r="A1154" s="509"/>
      <c r="B1154" s="160"/>
      <c r="C1154" s="451" t="s">
        <v>1006</v>
      </c>
      <c r="D1154" s="456"/>
      <c r="E1154" s="456"/>
      <c r="F1154" s="160"/>
      <c r="G1154" s="510"/>
    </row>
    <row r="1155" spans="1:7" ht="19.899999999999999" customHeight="1">
      <c r="A1155" s="511">
        <f t="shared" ref="A1155:A1163" si="325">IFERROR(VLOOKUP(C1155,T_Insumos,4,FALSE),0)</f>
        <v>0</v>
      </c>
      <c r="B1155" s="474">
        <f t="shared" ref="B1155:B1163" si="326">IFERROR(VLOOKUP(C1155,T_Insumos,5,FALSE),0)</f>
        <v>0</v>
      </c>
      <c r="C1155" s="465"/>
      <c r="D1155" s="475">
        <f t="shared" ref="D1155:D1163" si="327">IFERROR(VLOOKUP(C1155,T_Insumos,3,FALSE),0)</f>
        <v>0</v>
      </c>
      <c r="E1155" s="468">
        <f>D1155*$G$323</f>
        <v>0</v>
      </c>
      <c r="F1155" s="471">
        <f>+$D$325</f>
        <v>0</v>
      </c>
      <c r="G1155" s="468">
        <f>IFERROR(ROUND(E1155/F1155,2),0)</f>
        <v>0</v>
      </c>
    </row>
    <row r="1156" spans="1:7" ht="19.899999999999999" customHeight="1">
      <c r="A1156" s="511"/>
      <c r="B1156" s="474"/>
      <c r="C1156" s="465"/>
      <c r="D1156" s="475">
        <f t="shared" si="327"/>
        <v>0</v>
      </c>
      <c r="E1156" s="468">
        <f>D1156*$G$323</f>
        <v>0</v>
      </c>
      <c r="F1156" s="471">
        <f t="shared" ref="F1156:F1158" si="328">+$D$325</f>
        <v>0</v>
      </c>
      <c r="G1156" s="468">
        <f t="shared" ref="G1156:G1163" si="329">IFERROR(ROUND(E1156/F1156,2),0)</f>
        <v>0</v>
      </c>
    </row>
    <row r="1157" spans="1:7" ht="19.899999999999999" customHeight="1">
      <c r="A1157" s="511">
        <f t="shared" ref="A1157:A1165" si="330">IFERROR(VLOOKUP(C1157,T_Insumos,4,FALSE),0)</f>
        <v>0</v>
      </c>
      <c r="B1157" s="474">
        <f t="shared" ref="B1157:B1165" si="331">IFERROR(VLOOKUP(C1157,T_Insumos,5,FALSE),0)</f>
        <v>0</v>
      </c>
      <c r="C1157" s="476"/>
      <c r="D1157" s="475">
        <f t="shared" si="327"/>
        <v>0</v>
      </c>
      <c r="E1157" s="468">
        <f>D1157*$E$323</f>
        <v>0</v>
      </c>
      <c r="F1157" s="471">
        <f t="shared" si="328"/>
        <v>0</v>
      </c>
      <c r="G1157" s="468">
        <f t="shared" si="329"/>
        <v>0</v>
      </c>
    </row>
    <row r="1158" spans="1:7" ht="19.899999999999999" customHeight="1">
      <c r="A1158" s="511">
        <f t="shared" si="330"/>
        <v>0</v>
      </c>
      <c r="B1158" s="474">
        <f t="shared" si="331"/>
        <v>0</v>
      </c>
      <c r="C1158" s="476"/>
      <c r="D1158" s="475">
        <f t="shared" si="327"/>
        <v>0</v>
      </c>
      <c r="E1158" s="468">
        <f>D1158*$E$323</f>
        <v>0</v>
      </c>
      <c r="F1158" s="471">
        <f t="shared" si="328"/>
        <v>0</v>
      </c>
      <c r="G1158" s="468">
        <f t="shared" si="329"/>
        <v>0</v>
      </c>
    </row>
    <row r="1159" spans="1:7" ht="19.899999999999999" customHeight="1">
      <c r="A1159" s="511">
        <f t="shared" si="330"/>
        <v>0</v>
      </c>
      <c r="B1159" s="474">
        <f t="shared" si="331"/>
        <v>0</v>
      </c>
      <c r="C1159" s="476"/>
      <c r="D1159" s="475">
        <f t="shared" si="327"/>
        <v>0</v>
      </c>
      <c r="E1159" s="468"/>
      <c r="F1159" s="471">
        <f>IF(C1159="",0,IFERROR(VLOOKUP(COUNTIF($A$1:A1159,"ANALISIS DE PRECIOS"),T_Rendimiento_Equipo,5,FALSE),0))</f>
        <v>0</v>
      </c>
      <c r="G1159" s="468">
        <f t="shared" si="329"/>
        <v>0</v>
      </c>
    </row>
    <row r="1160" spans="1:7" ht="19.899999999999999" customHeight="1">
      <c r="A1160" s="511">
        <f t="shared" si="330"/>
        <v>0</v>
      </c>
      <c r="B1160" s="474">
        <f t="shared" si="331"/>
        <v>0</v>
      </c>
      <c r="C1160" s="476"/>
      <c r="D1160" s="475">
        <f t="shared" si="327"/>
        <v>0</v>
      </c>
      <c r="E1160" s="468"/>
      <c r="F1160" s="471">
        <f>IF(C1160="",0,IFERROR(VLOOKUP(COUNTIF($A$1:A1160,"ANALISIS DE PRECIOS"),T_Rendimiento_Equipo,5,FALSE),0))</f>
        <v>0</v>
      </c>
      <c r="G1160" s="468">
        <f t="shared" si="329"/>
        <v>0</v>
      </c>
    </row>
    <row r="1161" spans="1:7" ht="19.899999999999999" customHeight="1">
      <c r="A1161" s="511">
        <f t="shared" si="330"/>
        <v>0</v>
      </c>
      <c r="B1161" s="474">
        <f t="shared" si="331"/>
        <v>0</v>
      </c>
      <c r="C1161" s="476"/>
      <c r="D1161" s="475">
        <f t="shared" si="327"/>
        <v>0</v>
      </c>
      <c r="E1161" s="468"/>
      <c r="F1161" s="471">
        <f>IF(C1161="",0,IFERROR(VLOOKUP(COUNTIF($A$1:A1161,"ANALISIS DE PRECIOS"),T_Rendimiento_Equipo,5,FALSE),0))</f>
        <v>0</v>
      </c>
      <c r="G1161" s="468">
        <f t="shared" si="329"/>
        <v>0</v>
      </c>
    </row>
    <row r="1162" spans="1:7" ht="19.899999999999999" customHeight="1">
      <c r="A1162" s="511">
        <f t="shared" si="330"/>
        <v>0</v>
      </c>
      <c r="B1162" s="474">
        <f t="shared" si="331"/>
        <v>0</v>
      </c>
      <c r="C1162" s="476"/>
      <c r="D1162" s="475">
        <f t="shared" si="327"/>
        <v>0</v>
      </c>
      <c r="E1162" s="468"/>
      <c r="F1162" s="471">
        <f>IF(C1162="",0,IFERROR(VLOOKUP(COUNTIF($A$1:A1162,"ANALISIS DE PRECIOS"),T_Rendimiento_Equipo,5,FALSE),0))</f>
        <v>0</v>
      </c>
      <c r="G1162" s="468">
        <f t="shared" si="329"/>
        <v>0</v>
      </c>
    </row>
    <row r="1163" spans="1:7" ht="19.899999999999999" customHeight="1">
      <c r="A1163" s="511">
        <f t="shared" si="330"/>
        <v>0</v>
      </c>
      <c r="B1163" s="474">
        <f t="shared" si="331"/>
        <v>0</v>
      </c>
      <c r="C1163" s="465"/>
      <c r="D1163" s="475">
        <f t="shared" si="327"/>
        <v>0</v>
      </c>
      <c r="E1163" s="468"/>
      <c r="F1163" s="471">
        <f>IF(C1163="",0,IFERROR(VLOOKUP(COUNTIF($A$1:A1163,"ANALISIS DE PRECIOS"),T_Rendimiento_Equipo,5,FALSE),0))</f>
        <v>0</v>
      </c>
      <c r="G1163" s="468">
        <f t="shared" si="329"/>
        <v>0</v>
      </c>
    </row>
    <row r="1164" spans="1:7" ht="19.899999999999999" customHeight="1">
      <c r="A1164" s="512"/>
      <c r="B1164" s="455"/>
      <c r="C1164" s="160"/>
      <c r="D1164" s="455"/>
      <c r="E1164" s="456"/>
      <c r="F1164" s="615" t="s">
        <v>26</v>
      </c>
      <c r="G1164" s="513">
        <f>SUBTOTAL(9,G1155:G1163)</f>
        <v>0</v>
      </c>
    </row>
    <row r="1165" spans="1:7" ht="19.899999999999999" customHeight="1">
      <c r="A1165" s="509"/>
      <c r="B1165" s="160"/>
      <c r="C1165" s="451" t="s">
        <v>712</v>
      </c>
      <c r="D1165" s="455"/>
      <c r="E1165" s="456"/>
      <c r="F1165" s="457"/>
      <c r="G1165" s="510"/>
    </row>
    <row r="1166" spans="1:7" ht="19.899999999999999" customHeight="1">
      <c r="A1166" s="637" t="s">
        <v>575</v>
      </c>
      <c r="B1166" s="638"/>
      <c r="C1166" s="639" t="s">
        <v>0</v>
      </c>
      <c r="D1166" s="641" t="s">
        <v>23</v>
      </c>
      <c r="E1166" s="641" t="s">
        <v>1829</v>
      </c>
      <c r="F1166" s="643" t="s">
        <v>1005</v>
      </c>
      <c r="G1166" s="645" t="s">
        <v>25</v>
      </c>
    </row>
    <row r="1167" spans="1:7" ht="19.899999999999999" customHeight="1">
      <c r="A1167" s="473" t="s">
        <v>576</v>
      </c>
      <c r="B1167" s="473" t="s">
        <v>577</v>
      </c>
      <c r="C1167" s="640"/>
      <c r="D1167" s="642"/>
      <c r="E1167" s="642"/>
      <c r="F1167" s="644"/>
      <c r="G1167" s="646"/>
    </row>
    <row r="1168" spans="1:7" ht="19.899999999999999" customHeight="1">
      <c r="A1168" s="511"/>
      <c r="B1168" s="474"/>
      <c r="C1168" s="478"/>
      <c r="D1168" s="471"/>
      <c r="E1168" s="468">
        <f t="shared" ref="E1168:E1172" si="332">IFERROR(VLOOKUP(C1168,T_Insumos,3,FALSE),0)</f>
        <v>0</v>
      </c>
      <c r="F1168" s="471">
        <f>+$D$325</f>
        <v>0</v>
      </c>
      <c r="G1168" s="468">
        <f>IFERROR(ROUND(D1168*E1168/F1168,2),0)</f>
        <v>0</v>
      </c>
    </row>
    <row r="1169" spans="1:7" ht="19.899999999999999" customHeight="1">
      <c r="A1169" s="511"/>
      <c r="B1169" s="474"/>
      <c r="C1169" s="465"/>
      <c r="D1169" s="471"/>
      <c r="E1169" s="468">
        <f t="shared" si="332"/>
        <v>0</v>
      </c>
      <c r="F1169" s="471">
        <f t="shared" ref="F1169:F1173" si="333">+$D$325</f>
        <v>0</v>
      </c>
      <c r="G1169" s="468">
        <f t="shared" ref="G1169:G1174" si="334">IFERROR(ROUND(D1169*E1169/F1169,2),0)</f>
        <v>0</v>
      </c>
    </row>
    <row r="1170" spans="1:7" ht="19.899999999999999" customHeight="1">
      <c r="A1170" s="511"/>
      <c r="B1170" s="474"/>
      <c r="C1170" s="465"/>
      <c r="D1170" s="471"/>
      <c r="E1170" s="468">
        <f t="shared" si="332"/>
        <v>0</v>
      </c>
      <c r="F1170" s="471">
        <f t="shared" si="333"/>
        <v>0</v>
      </c>
      <c r="G1170" s="468">
        <f t="shared" si="334"/>
        <v>0</v>
      </c>
    </row>
    <row r="1171" spans="1:7" ht="19.899999999999999" customHeight="1">
      <c r="A1171" s="511"/>
      <c r="B1171" s="474"/>
      <c r="C1171" s="465"/>
      <c r="D1171" s="471"/>
      <c r="E1171" s="468">
        <f t="shared" si="332"/>
        <v>0</v>
      </c>
      <c r="F1171" s="471">
        <f t="shared" si="333"/>
        <v>0</v>
      </c>
      <c r="G1171" s="468">
        <f t="shared" si="334"/>
        <v>0</v>
      </c>
    </row>
    <row r="1172" spans="1:7" ht="19.899999999999999" customHeight="1">
      <c r="A1172" s="511">
        <f t="shared" ref="A1172:A1174" si="335">IFERROR(VLOOKUP(C1172,T_Insumos,4,FALSE),0)</f>
        <v>0</v>
      </c>
      <c r="B1172" s="474">
        <f t="shared" ref="B1172:B1174" si="336">IFERROR(VLOOKUP(C1172,T_Insumos,5,FALSE),0)</f>
        <v>0</v>
      </c>
      <c r="C1172" s="465"/>
      <c r="D1172" s="471"/>
      <c r="E1172" s="468">
        <f t="shared" si="332"/>
        <v>0</v>
      </c>
      <c r="F1172" s="471">
        <f>IF(C1172="",0,IFERROR(VLOOKUP(COUNTIF($A$1:A1172,"ANALISIS DE PRECIOS"),T_Rendimiento_Equipo,5,FALSE),0))</f>
        <v>0</v>
      </c>
      <c r="G1172" s="468">
        <f t="shared" si="334"/>
        <v>0</v>
      </c>
    </row>
    <row r="1173" spans="1:7" ht="19.899999999999999" customHeight="1">
      <c r="A1173" s="511">
        <f t="shared" si="335"/>
        <v>0</v>
      </c>
      <c r="B1173" s="474">
        <f t="shared" si="336"/>
        <v>0</v>
      </c>
      <c r="C1173" s="465"/>
      <c r="D1173" s="479"/>
      <c r="E1173" s="468">
        <f>SUMPRODUCT(D1168:D1171,E1168:E1171)</f>
        <v>0</v>
      </c>
      <c r="F1173" s="471">
        <f t="shared" si="333"/>
        <v>0</v>
      </c>
      <c r="G1173" s="468">
        <f t="shared" si="334"/>
        <v>0</v>
      </c>
    </row>
    <row r="1174" spans="1:7" ht="19.899999999999999" customHeight="1">
      <c r="A1174" s="511">
        <f t="shared" si="335"/>
        <v>0</v>
      </c>
      <c r="B1174" s="474">
        <f t="shared" si="336"/>
        <v>0</v>
      </c>
      <c r="C1174" s="474"/>
      <c r="D1174" s="480"/>
      <c r="E1174" s="468">
        <f t="shared" ref="E1174:E1176" si="337">IFERROR(VLOOKUP(C1174,T_Insumos,3,FALSE),0)</f>
        <v>0</v>
      </c>
      <c r="F1174" s="471">
        <f>IF(C1174="",0,IFERROR(VLOOKUP(COUNTIF($A$1:A1174,"ANALISIS DE PRECIOS"),T_Rendimiento_Equipo,5,FALSE),0))</f>
        <v>0</v>
      </c>
      <c r="G1174" s="468">
        <f t="shared" si="334"/>
        <v>0</v>
      </c>
    </row>
    <row r="1175" spans="1:7" ht="19.899999999999999" customHeight="1">
      <c r="A1175" s="512"/>
      <c r="B1175" s="455"/>
      <c r="C1175" s="160"/>
      <c r="D1175" s="455"/>
      <c r="E1175" s="456"/>
      <c r="F1175" s="615" t="s">
        <v>27</v>
      </c>
      <c r="G1175" s="514">
        <f>SUBTOTAL(9,G1168:G1174)</f>
        <v>0</v>
      </c>
    </row>
    <row r="1176" spans="1:7" ht="19.899999999999999" customHeight="1">
      <c r="A1176" s="509"/>
      <c r="B1176" s="160"/>
      <c r="C1176" s="451" t="s">
        <v>1012</v>
      </c>
      <c r="D1176" s="455"/>
      <c r="E1176" s="456"/>
      <c r="F1176" s="457"/>
      <c r="G1176" s="510"/>
    </row>
    <row r="1177" spans="1:7" ht="19.899999999999999" customHeight="1">
      <c r="A1177" s="637" t="s">
        <v>575</v>
      </c>
      <c r="B1177" s="638"/>
      <c r="C1177" s="639" t="s">
        <v>0</v>
      </c>
      <c r="D1177" s="639" t="s">
        <v>1864</v>
      </c>
      <c r="E1177" s="641" t="s">
        <v>23</v>
      </c>
      <c r="F1177" s="643" t="s">
        <v>24</v>
      </c>
      <c r="G1177" s="645" t="s">
        <v>25</v>
      </c>
    </row>
    <row r="1178" spans="1:7" ht="19.899999999999999" customHeight="1">
      <c r="A1178" s="473" t="s">
        <v>576</v>
      </c>
      <c r="B1178" s="473" t="s">
        <v>577</v>
      </c>
      <c r="C1178" s="640"/>
      <c r="D1178" s="640"/>
      <c r="E1178" s="642"/>
      <c r="F1178" s="644"/>
      <c r="G1178" s="646"/>
    </row>
    <row r="1179" spans="1:7" ht="19.899999999999999" customHeight="1">
      <c r="A1179" s="511">
        <f t="shared" ref="A1179:A1189" si="338">IFERROR(VLOOKUP(C1179,T_Insumos,4,FALSE),0)</f>
        <v>0</v>
      </c>
      <c r="B1179" s="474">
        <f t="shared" ref="B1179:B1189" si="339">IFERROR(VLOOKUP(C1179,T_Insumos,5,FALSE),0)</f>
        <v>0</v>
      </c>
      <c r="C1179" s="474"/>
      <c r="D1179" s="522">
        <f t="shared" ref="D1179:D1189" si="340">IFERROR(VLOOKUP(C1179,T_Insumos,2,FALSE),0)</f>
        <v>0</v>
      </c>
      <c r="E1179" s="466"/>
      <c r="F1179" s="468">
        <f t="shared" ref="F1179:F1189" si="341">IFERROR(VLOOKUP(C1179,T_Insumos,3,FALSE),0)</f>
        <v>0</v>
      </c>
      <c r="G1179" s="468">
        <f>ROUND(E1179*F1179,2)</f>
        <v>0</v>
      </c>
    </row>
    <row r="1180" spans="1:7" ht="19.899999999999999" customHeight="1">
      <c r="A1180" s="511">
        <f t="shared" si="338"/>
        <v>0</v>
      </c>
      <c r="B1180" s="474">
        <f t="shared" si="339"/>
        <v>0</v>
      </c>
      <c r="C1180" s="474"/>
      <c r="D1180" s="522">
        <f t="shared" si="340"/>
        <v>0</v>
      </c>
      <c r="E1180" s="466"/>
      <c r="F1180" s="468">
        <f t="shared" si="341"/>
        <v>0</v>
      </c>
      <c r="G1180" s="468">
        <f t="shared" ref="G1180:G1189" si="342">ROUND(E1180*F1180,2)</f>
        <v>0</v>
      </c>
    </row>
    <row r="1181" spans="1:7" ht="19.899999999999999" customHeight="1">
      <c r="A1181" s="511">
        <f t="shared" si="338"/>
        <v>0</v>
      </c>
      <c r="B1181" s="474">
        <f t="shared" si="339"/>
        <v>0</v>
      </c>
      <c r="C1181" s="474"/>
      <c r="D1181" s="522">
        <f t="shared" si="340"/>
        <v>0</v>
      </c>
      <c r="E1181" s="466"/>
      <c r="F1181" s="468">
        <f t="shared" si="341"/>
        <v>0</v>
      </c>
      <c r="G1181" s="468">
        <f t="shared" si="342"/>
        <v>0</v>
      </c>
    </row>
    <row r="1182" spans="1:7" ht="19.899999999999999" customHeight="1">
      <c r="A1182" s="511">
        <f t="shared" si="338"/>
        <v>0</v>
      </c>
      <c r="B1182" s="474">
        <f t="shared" si="339"/>
        <v>0</v>
      </c>
      <c r="C1182" s="474"/>
      <c r="D1182" s="522">
        <f t="shared" si="340"/>
        <v>0</v>
      </c>
      <c r="E1182" s="466"/>
      <c r="F1182" s="468">
        <f t="shared" si="341"/>
        <v>0</v>
      </c>
      <c r="G1182" s="468">
        <f t="shared" si="342"/>
        <v>0</v>
      </c>
    </row>
    <row r="1183" spans="1:7" ht="19.899999999999999" customHeight="1">
      <c r="A1183" s="511">
        <f t="shared" si="338"/>
        <v>0</v>
      </c>
      <c r="B1183" s="474">
        <f t="shared" si="339"/>
        <v>0</v>
      </c>
      <c r="C1183" s="474"/>
      <c r="D1183" s="522">
        <f t="shared" si="340"/>
        <v>0</v>
      </c>
      <c r="E1183" s="466"/>
      <c r="F1183" s="468">
        <f t="shared" si="341"/>
        <v>0</v>
      </c>
      <c r="G1183" s="468">
        <f t="shared" si="342"/>
        <v>0</v>
      </c>
    </row>
    <row r="1184" spans="1:7" ht="19.899999999999999" customHeight="1">
      <c r="A1184" s="511">
        <f t="shared" si="338"/>
        <v>0</v>
      </c>
      <c r="B1184" s="474">
        <f t="shared" si="339"/>
        <v>0</v>
      </c>
      <c r="C1184" s="474"/>
      <c r="D1184" s="522">
        <f t="shared" si="340"/>
        <v>0</v>
      </c>
      <c r="E1184" s="466"/>
      <c r="F1184" s="468">
        <f t="shared" si="341"/>
        <v>0</v>
      </c>
      <c r="G1184" s="468">
        <f t="shared" si="342"/>
        <v>0</v>
      </c>
    </row>
    <row r="1185" spans="1:7" ht="19.899999999999999" customHeight="1">
      <c r="A1185" s="511">
        <f t="shared" si="338"/>
        <v>0</v>
      </c>
      <c r="B1185" s="474">
        <f t="shared" si="339"/>
        <v>0</v>
      </c>
      <c r="C1185" s="474"/>
      <c r="D1185" s="522">
        <f t="shared" si="340"/>
        <v>0</v>
      </c>
      <c r="E1185" s="466"/>
      <c r="F1185" s="468">
        <f t="shared" si="341"/>
        <v>0</v>
      </c>
      <c r="G1185" s="468">
        <f t="shared" si="342"/>
        <v>0</v>
      </c>
    </row>
    <row r="1186" spans="1:7" ht="19.899999999999999" customHeight="1">
      <c r="A1186" s="511">
        <f t="shared" si="338"/>
        <v>0</v>
      </c>
      <c r="B1186" s="474">
        <f t="shared" si="339"/>
        <v>0</v>
      </c>
      <c r="C1186" s="474"/>
      <c r="D1186" s="522">
        <f t="shared" si="340"/>
        <v>0</v>
      </c>
      <c r="E1186" s="466"/>
      <c r="F1186" s="468">
        <f t="shared" si="341"/>
        <v>0</v>
      </c>
      <c r="G1186" s="468">
        <f t="shared" si="342"/>
        <v>0</v>
      </c>
    </row>
    <row r="1187" spans="1:7" ht="19.899999999999999" customHeight="1">
      <c r="A1187" s="511">
        <f t="shared" si="338"/>
        <v>0</v>
      </c>
      <c r="B1187" s="474">
        <f t="shared" si="339"/>
        <v>0</v>
      </c>
      <c r="C1187" s="474"/>
      <c r="D1187" s="522">
        <f t="shared" si="340"/>
        <v>0</v>
      </c>
      <c r="E1187" s="466"/>
      <c r="F1187" s="468">
        <f t="shared" si="341"/>
        <v>0</v>
      </c>
      <c r="G1187" s="468">
        <f t="shared" si="342"/>
        <v>0</v>
      </c>
    </row>
    <row r="1188" spans="1:7" ht="19.899999999999999" customHeight="1">
      <c r="A1188" s="511">
        <f t="shared" si="338"/>
        <v>0</v>
      </c>
      <c r="B1188" s="474">
        <f t="shared" si="339"/>
        <v>0</v>
      </c>
      <c r="C1188" s="474"/>
      <c r="D1188" s="522">
        <f t="shared" si="340"/>
        <v>0</v>
      </c>
      <c r="E1188" s="466"/>
      <c r="F1188" s="468">
        <f t="shared" si="341"/>
        <v>0</v>
      </c>
      <c r="G1188" s="468">
        <f t="shared" si="342"/>
        <v>0</v>
      </c>
    </row>
    <row r="1189" spans="1:7" ht="19.899999999999999" customHeight="1">
      <c r="A1189" s="511">
        <f t="shared" si="338"/>
        <v>0</v>
      </c>
      <c r="B1189" s="474">
        <f t="shared" si="339"/>
        <v>0</v>
      </c>
      <c r="C1189" s="474"/>
      <c r="D1189" s="522">
        <f t="shared" si="340"/>
        <v>0</v>
      </c>
      <c r="E1189" s="466"/>
      <c r="F1189" s="468">
        <f t="shared" si="341"/>
        <v>0</v>
      </c>
      <c r="G1189" s="468">
        <f t="shared" si="342"/>
        <v>0</v>
      </c>
    </row>
    <row r="1190" spans="1:7" ht="19.899999999999999" customHeight="1">
      <c r="A1190" s="509"/>
      <c r="B1190" s="160"/>
      <c r="C1190" s="160"/>
      <c r="D1190" s="455"/>
      <c r="E1190" s="456"/>
      <c r="F1190" s="615" t="s">
        <v>28</v>
      </c>
      <c r="G1190" s="514">
        <f>SUBTOTAL(9,G1179:G1189)</f>
        <v>0</v>
      </c>
    </row>
    <row r="1191" spans="1:7" ht="19.899999999999999" customHeight="1">
      <c r="A1191" s="509"/>
      <c r="B1191" s="160"/>
      <c r="C1191" s="451" t="s">
        <v>1013</v>
      </c>
      <c r="D1191" s="455"/>
      <c r="E1191" s="456"/>
      <c r="F1191" s="457"/>
      <c r="G1191" s="510"/>
    </row>
    <row r="1192" spans="1:7" ht="19.899999999999999" customHeight="1">
      <c r="A1192" s="637" t="s">
        <v>575</v>
      </c>
      <c r="B1192" s="638"/>
      <c r="C1192" s="639" t="s">
        <v>0</v>
      </c>
      <c r="D1192" s="639" t="s">
        <v>1864</v>
      </c>
      <c r="E1192" s="641" t="s">
        <v>23</v>
      </c>
      <c r="F1192" s="643" t="s">
        <v>24</v>
      </c>
      <c r="G1192" s="645" t="s">
        <v>25</v>
      </c>
    </row>
    <row r="1193" spans="1:7" ht="19.899999999999999" customHeight="1">
      <c r="A1193" s="473" t="s">
        <v>576</v>
      </c>
      <c r="B1193" s="473" t="s">
        <v>577</v>
      </c>
      <c r="C1193" s="640"/>
      <c r="D1193" s="640"/>
      <c r="E1193" s="642"/>
      <c r="F1193" s="644"/>
      <c r="G1193" s="646"/>
    </row>
    <row r="1194" spans="1:7" ht="19.899999999999999" customHeight="1">
      <c r="A1194" s="511">
        <f>IFERROR(VLOOKUP(C1194,T_Insumos,4,FALSE),0)</f>
        <v>0</v>
      </c>
      <c r="B1194" s="474">
        <f>IFERROR(VLOOKUP(C1194,T_Insumos,5,FALSE),0)</f>
        <v>0</v>
      </c>
      <c r="C1194" s="465"/>
      <c r="D1194" s="522">
        <f>IF(C1194=0,0,"$/tnkm")</f>
        <v>0</v>
      </c>
      <c r="E1194" s="466"/>
      <c r="F1194" s="468">
        <f>IFERROR(VLOOKUP(C1194,T_Insumos,3,FALSE),0)</f>
        <v>0</v>
      </c>
      <c r="G1194" s="468">
        <f>ROUND(E1194*F1194,2)</f>
        <v>0</v>
      </c>
    </row>
    <row r="1195" spans="1:7" ht="19.899999999999999" customHeight="1">
      <c r="A1195" s="511">
        <f>IFERROR(VLOOKUP(C1195,T_Insumos,4,FALSE),0)</f>
        <v>0</v>
      </c>
      <c r="B1195" s="474">
        <f>IFERROR(VLOOKUP(C1195,T_Insumos,5,FALSE),0)</f>
        <v>0</v>
      </c>
      <c r="C1195" s="465"/>
      <c r="D1195" s="522">
        <f>IF(C1195=0,0,"$/tnkm")</f>
        <v>0</v>
      </c>
      <c r="E1195" s="482"/>
      <c r="F1195" s="468">
        <f>IFERROR(VLOOKUP(C1195,T_Insumos,3,FALSE),0)</f>
        <v>0</v>
      </c>
      <c r="G1195" s="468">
        <f t="shared" ref="G1195" si="343">ROUND(E1195*F1195,2)</f>
        <v>0</v>
      </c>
    </row>
    <row r="1196" spans="1:7" ht="19.899999999999999" customHeight="1">
      <c r="A1196" s="509"/>
      <c r="B1196" s="160"/>
      <c r="C1196" s="160"/>
      <c r="D1196" s="455"/>
      <c r="E1196" s="456"/>
      <c r="F1196" s="615" t="s">
        <v>1014</v>
      </c>
      <c r="G1196" s="514">
        <f>SUBTOTAL(9,G1194:G1195)</f>
        <v>0</v>
      </c>
    </row>
    <row r="1197" spans="1:7" ht="19.899999999999999" customHeight="1">
      <c r="A1197" s="512"/>
      <c r="B1197" s="455"/>
      <c r="C1197" s="160"/>
      <c r="D1197" s="455"/>
      <c r="E1197" s="456"/>
      <c r="F1197" s="457"/>
      <c r="G1197" s="510"/>
    </row>
    <row r="1198" spans="1:7" ht="19.899999999999999" customHeight="1">
      <c r="A1198" s="570">
        <f>B1132</f>
        <v>3.5</v>
      </c>
      <c r="B1198" s="567" t="str">
        <f ca="1">C1132</f>
        <v>Construccion de losa superior H°A° H17</v>
      </c>
      <c r="C1198" s="455"/>
      <c r="D1198" s="455" t="s">
        <v>1830</v>
      </c>
      <c r="E1198" s="568"/>
      <c r="F1198" s="569" t="str">
        <f ca="1">"$/"&amp;G1132</f>
        <v>$/m3</v>
      </c>
      <c r="G1198" s="519">
        <f>SUBTOTAL(9,G1155:G1197)</f>
        <v>0</v>
      </c>
    </row>
    <row r="1199" spans="1:7" ht="19.899999999999999" customHeight="1">
      <c r="A1199" s="515"/>
      <c r="B1199" s="516"/>
      <c r="C1199" s="517"/>
      <c r="D1199" s="517" t="s">
        <v>2040</v>
      </c>
      <c r="E1199" s="518"/>
      <c r="F1199" s="571" t="str">
        <f ca="1">"$/"&amp;G1132</f>
        <v>$/m3</v>
      </c>
      <c r="G1199" s="519">
        <f>ROUND(G1198*Coeficiente_Paso,2)</f>
        <v>0</v>
      </c>
    </row>
    <row r="1200" spans="1:7" ht="19.899999999999999" customHeight="1">
      <c r="A1200" s="160"/>
      <c r="B1200" s="160"/>
      <c r="C1200" s="160"/>
      <c r="D1200" s="160"/>
      <c r="E1200" s="160"/>
      <c r="F1200" s="160"/>
      <c r="G1200" s="160"/>
    </row>
    <row r="1201" spans="1:7" ht="19.899999999999999" customHeight="1">
      <c r="A1201" s="633" t="s">
        <v>30</v>
      </c>
      <c r="B1201" s="634"/>
      <c r="C1201" s="634"/>
      <c r="D1201" s="634"/>
      <c r="E1201" s="634"/>
      <c r="F1201" s="634"/>
      <c r="G1201" s="635"/>
    </row>
    <row r="1202" spans="1:7" ht="19.899999999999999" customHeight="1">
      <c r="A1202" s="498" t="s">
        <v>710</v>
      </c>
      <c r="B1202" s="449" t="str">
        <f>Comitente</f>
        <v>DEPARTAMENTO DE HIDRAULICA</v>
      </c>
      <c r="C1202" s="450"/>
      <c r="D1202" s="451"/>
      <c r="E1202" s="451"/>
      <c r="F1202" s="452"/>
      <c r="G1202" s="499"/>
    </row>
    <row r="1203" spans="1:7" ht="19.899999999999999" customHeight="1">
      <c r="A1203" s="498" t="s">
        <v>711</v>
      </c>
      <c r="B1203" s="449">
        <f>Contratista</f>
        <v>0</v>
      </c>
      <c r="C1203" s="453"/>
      <c r="D1203" s="453"/>
      <c r="E1203" s="453"/>
      <c r="F1203" s="449"/>
      <c r="G1203" s="500"/>
    </row>
    <row r="1204" spans="1:7" ht="19.899999999999999" customHeight="1">
      <c r="A1204" s="498" t="s">
        <v>20</v>
      </c>
      <c r="B1204" s="449" t="str">
        <f>Obra</f>
        <v>EJECUCION DE PERFORACION - SISTEMA DE RIEGO</v>
      </c>
      <c r="C1204" s="453"/>
      <c r="D1204" s="453"/>
      <c r="E1204" s="453"/>
      <c r="F1204" s="449" t="s">
        <v>31</v>
      </c>
      <c r="G1204" s="500">
        <f>Fecha_Base</f>
        <v>0</v>
      </c>
    </row>
    <row r="1205" spans="1:7" ht="19.899999999999999" customHeight="1">
      <c r="A1205" s="501" t="s">
        <v>709</v>
      </c>
      <c r="B1205" s="454" t="str">
        <f>Ubicación</f>
        <v>DEPARTAMENTO CHIMBAS</v>
      </c>
      <c r="C1205" s="454"/>
      <c r="D1205" s="455"/>
      <c r="E1205" s="456"/>
      <c r="F1205" s="457"/>
      <c r="G1205" s="502"/>
    </row>
    <row r="1206" spans="1:7" ht="19.899999999999999" customHeight="1">
      <c r="A1206" s="501" t="s">
        <v>32</v>
      </c>
      <c r="B1206" s="458">
        <f>IFERROR(VALUE(LEFT(B1207,FIND(".",B1207)-1)),"")</f>
        <v>3</v>
      </c>
      <c r="C1206" s="160" t="str">
        <f ca="1">IFERROR(VLOOKUP(B1206,T_Computo_Presupuesto,2,FALSE),0)</f>
        <v>CAMARA SUBTERRANEA PARA PERFORACION</v>
      </c>
      <c r="D1206" s="160"/>
      <c r="E1206" s="456"/>
      <c r="F1206" s="457"/>
      <c r="G1206" s="502"/>
    </row>
    <row r="1207" spans="1:7" ht="19.899999999999999" customHeight="1">
      <c r="A1207" s="501" t="s">
        <v>21</v>
      </c>
      <c r="B1207" s="459">
        <f>IFERROR(VLOOKUP(COUNTIF($A$1:A1207,"ANALISIS DE PRECIOS"),T_NumeroItem,2,FALSE),"")</f>
        <v>3.6</v>
      </c>
      <c r="C1207" s="636" t="str">
        <f ca="1">IFERROR(VLOOKUP(B1207,T_Computo_Presupuesto,2,FALSE),0)</f>
        <v>Tapa hermetica de ingreso</v>
      </c>
      <c r="D1207" s="636"/>
      <c r="E1207" s="636"/>
      <c r="F1207" s="454" t="s">
        <v>22</v>
      </c>
      <c r="G1207" s="503" t="str">
        <f ca="1">IFERROR(VLOOKUP(B1207,T_Computo_Presupuesto,4,FALSE),0)</f>
        <v>gl</v>
      </c>
    </row>
    <row r="1208" spans="1:7" ht="19.899999999999999" customHeight="1">
      <c r="A1208" s="501"/>
      <c r="B1208" s="454"/>
      <c r="C1208" s="160"/>
      <c r="D1208" s="455"/>
      <c r="E1208" s="456"/>
      <c r="F1208" s="160"/>
      <c r="G1208" s="504"/>
    </row>
    <row r="1209" spans="1:7" ht="19.899999999999999" customHeight="1">
      <c r="A1209" s="505"/>
      <c r="B1209" s="460"/>
      <c r="C1209" s="461" t="s">
        <v>997</v>
      </c>
      <c r="D1209" s="460"/>
      <c r="E1209" s="460"/>
      <c r="F1209" s="460"/>
      <c r="G1209" s="506"/>
    </row>
    <row r="1210" spans="1:7" ht="19.899999999999999" customHeight="1">
      <c r="A1210" s="501"/>
      <c r="B1210" s="462"/>
      <c r="C1210" s="160"/>
      <c r="D1210" s="455"/>
      <c r="E1210" s="456"/>
      <c r="F1210" s="454"/>
      <c r="G1210" s="503"/>
    </row>
    <row r="1211" spans="1:7" ht="19.899999999999999" customHeight="1">
      <c r="A1211" s="501"/>
      <c r="B1211" s="462"/>
      <c r="C1211" s="463" t="s">
        <v>998</v>
      </c>
      <c r="D1211" s="464" t="s">
        <v>23</v>
      </c>
      <c r="E1211" s="464" t="s">
        <v>999</v>
      </c>
      <c r="F1211" s="464" t="s">
        <v>1000</v>
      </c>
      <c r="G1211" s="463" t="s">
        <v>1001</v>
      </c>
    </row>
    <row r="1212" spans="1:7" ht="19.899999999999999" customHeight="1">
      <c r="A1212" s="501"/>
      <c r="B1212" s="462"/>
      <c r="C1212" s="465"/>
      <c r="D1212" s="466"/>
      <c r="E1212" s="467">
        <f t="shared" ref="E1212:E1221" si="344">IFERROR(VLOOKUP(C1212,T_Equipos,4,FALSE),0)</f>
        <v>0</v>
      </c>
      <c r="F1212" s="468"/>
      <c r="G1212" s="468">
        <f>ROUND(D1212*F1212,2)</f>
        <v>0</v>
      </c>
    </row>
    <row r="1213" spans="1:7" ht="19.899999999999999" customHeight="1">
      <c r="A1213" s="501"/>
      <c r="B1213" s="462"/>
      <c r="C1213" s="465"/>
      <c r="D1213" s="466"/>
      <c r="E1213" s="467">
        <f t="shared" si="344"/>
        <v>0</v>
      </c>
      <c r="F1213" s="468"/>
      <c r="G1213" s="468">
        <f>ROUND(D1213*F1213,2)</f>
        <v>0</v>
      </c>
    </row>
    <row r="1214" spans="1:7" ht="19.899999999999999" customHeight="1">
      <c r="A1214" s="501"/>
      <c r="B1214" s="462"/>
      <c r="C1214" s="465"/>
      <c r="D1214" s="466"/>
      <c r="E1214" s="467">
        <f t="shared" si="344"/>
        <v>0</v>
      </c>
      <c r="F1214" s="468"/>
      <c r="G1214" s="468">
        <f>ROUND(D1214*F1214,2)</f>
        <v>0</v>
      </c>
    </row>
    <row r="1215" spans="1:7" ht="19.899999999999999" customHeight="1">
      <c r="A1215" s="501"/>
      <c r="B1215" s="462"/>
      <c r="C1215" s="465"/>
      <c r="D1215" s="466"/>
      <c r="E1215" s="467">
        <f t="shared" si="344"/>
        <v>0</v>
      </c>
      <c r="F1215" s="468"/>
      <c r="G1215" s="468">
        <f>ROUND(D1215*F1215,2)</f>
        <v>0</v>
      </c>
    </row>
    <row r="1216" spans="1:7" ht="19.899999999999999" customHeight="1">
      <c r="A1216" s="501"/>
      <c r="B1216" s="462"/>
      <c r="C1216" s="465"/>
      <c r="D1216" s="466"/>
      <c r="E1216" s="467">
        <f t="shared" si="344"/>
        <v>0</v>
      </c>
      <c r="F1216" s="468"/>
      <c r="G1216" s="468">
        <f t="shared" ref="G1216:G1221" si="345">ROUND(D1216*F1216,2)</f>
        <v>0</v>
      </c>
    </row>
    <row r="1217" spans="1:7" ht="19.899999999999999" customHeight="1">
      <c r="A1217" s="501"/>
      <c r="B1217" s="462"/>
      <c r="C1217" s="465"/>
      <c r="D1217" s="466"/>
      <c r="E1217" s="467">
        <f t="shared" si="344"/>
        <v>0</v>
      </c>
      <c r="F1217" s="468">
        <f t="shared" ref="F1217:F1221" si="346">IFERROR(VLOOKUP(C1217,T_Equipos,5,FALSE),0)</f>
        <v>0</v>
      </c>
      <c r="G1217" s="468">
        <f t="shared" si="345"/>
        <v>0</v>
      </c>
    </row>
    <row r="1218" spans="1:7" ht="19.899999999999999" customHeight="1">
      <c r="A1218" s="501"/>
      <c r="B1218" s="462"/>
      <c r="C1218" s="465"/>
      <c r="D1218" s="466"/>
      <c r="E1218" s="467">
        <f t="shared" si="344"/>
        <v>0</v>
      </c>
      <c r="F1218" s="468">
        <f t="shared" si="346"/>
        <v>0</v>
      </c>
      <c r="G1218" s="468">
        <f t="shared" si="345"/>
        <v>0</v>
      </c>
    </row>
    <row r="1219" spans="1:7" ht="19.899999999999999" customHeight="1">
      <c r="A1219" s="501"/>
      <c r="B1219" s="462"/>
      <c r="C1219" s="465"/>
      <c r="D1219" s="466"/>
      <c r="E1219" s="467">
        <f t="shared" si="344"/>
        <v>0</v>
      </c>
      <c r="F1219" s="468">
        <f t="shared" si="346"/>
        <v>0</v>
      </c>
      <c r="G1219" s="468">
        <f t="shared" si="345"/>
        <v>0</v>
      </c>
    </row>
    <row r="1220" spans="1:7" ht="19.899999999999999" customHeight="1">
      <c r="A1220" s="501"/>
      <c r="B1220" s="462"/>
      <c r="C1220" s="465"/>
      <c r="D1220" s="466"/>
      <c r="E1220" s="467">
        <f t="shared" si="344"/>
        <v>0</v>
      </c>
      <c r="F1220" s="468">
        <f t="shared" si="346"/>
        <v>0</v>
      </c>
      <c r="G1220" s="468">
        <f t="shared" si="345"/>
        <v>0</v>
      </c>
    </row>
    <row r="1221" spans="1:7" ht="19.899999999999999" customHeight="1">
      <c r="A1221" s="501"/>
      <c r="B1221" s="462"/>
      <c r="C1221" s="465"/>
      <c r="D1221" s="466"/>
      <c r="E1221" s="467">
        <f t="shared" si="344"/>
        <v>0</v>
      </c>
      <c r="F1221" s="468">
        <f t="shared" si="346"/>
        <v>0</v>
      </c>
      <c r="G1221" s="468">
        <f t="shared" si="345"/>
        <v>0</v>
      </c>
    </row>
    <row r="1222" spans="1:7" ht="19.899999999999999" customHeight="1">
      <c r="A1222" s="501"/>
      <c r="B1222" s="462"/>
      <c r="C1222" s="160"/>
      <c r="D1222" s="160"/>
      <c r="E1222" s="469"/>
      <c r="F1222" s="454"/>
      <c r="G1222" s="503"/>
    </row>
    <row r="1223" spans="1:7" ht="19.899999999999999" customHeight="1">
      <c r="A1223" s="501"/>
      <c r="B1223" s="160"/>
      <c r="C1223" s="451" t="s">
        <v>1002</v>
      </c>
      <c r="D1223" s="454" t="s">
        <v>999</v>
      </c>
      <c r="E1223" s="520">
        <f>SUMPRODUCT(D1212:D1221,E1212:E1221)</f>
        <v>0</v>
      </c>
      <c r="F1223" s="454" t="s">
        <v>1003</v>
      </c>
      <c r="G1223" s="521">
        <f>SUM(G1212:G1221)</f>
        <v>0</v>
      </c>
    </row>
    <row r="1224" spans="1:7" ht="19.899999999999999" customHeight="1">
      <c r="A1224" s="501"/>
      <c r="B1224" s="462"/>
      <c r="C1224" s="470"/>
      <c r="D1224" s="469"/>
      <c r="E1224" s="456"/>
      <c r="F1224" s="454"/>
      <c r="G1224" s="507"/>
    </row>
    <row r="1225" spans="1:7" ht="19.899999999999999" customHeight="1">
      <c r="A1225" s="508"/>
      <c r="B1225" s="462"/>
      <c r="C1225" s="454" t="s">
        <v>1004</v>
      </c>
      <c r="D1225" s="471"/>
      <c r="E1225" s="472" t="str">
        <f ca="1">G1207&amp;"/día"</f>
        <v>gl/día</v>
      </c>
      <c r="F1225" s="448"/>
      <c r="G1225" s="503"/>
    </row>
    <row r="1226" spans="1:7" ht="19.899999999999999" customHeight="1">
      <c r="A1226" s="501"/>
      <c r="B1226" s="462"/>
      <c r="C1226" s="160"/>
      <c r="D1226" s="455"/>
      <c r="E1226" s="456"/>
      <c r="F1226" s="454"/>
      <c r="G1226" s="503"/>
    </row>
    <row r="1227" spans="1:7" ht="19.899999999999999" customHeight="1">
      <c r="A1227" s="637" t="s">
        <v>575</v>
      </c>
      <c r="B1227" s="638"/>
      <c r="C1227" s="639" t="s">
        <v>0</v>
      </c>
      <c r="D1227" s="647" t="s">
        <v>1863</v>
      </c>
      <c r="E1227" s="647" t="s">
        <v>1862</v>
      </c>
      <c r="F1227" s="643" t="s">
        <v>1005</v>
      </c>
      <c r="G1227" s="645" t="s">
        <v>25</v>
      </c>
    </row>
    <row r="1228" spans="1:7" ht="19.899999999999999" customHeight="1">
      <c r="A1228" s="473" t="s">
        <v>576</v>
      </c>
      <c r="B1228" s="473" t="s">
        <v>577</v>
      </c>
      <c r="C1228" s="640"/>
      <c r="D1228" s="648"/>
      <c r="E1228" s="642"/>
      <c r="F1228" s="644"/>
      <c r="G1228" s="646"/>
    </row>
    <row r="1229" spans="1:7" ht="19.899999999999999" customHeight="1">
      <c r="A1229" s="509"/>
      <c r="B1229" s="160"/>
      <c r="C1229" s="451" t="s">
        <v>1006</v>
      </c>
      <c r="D1229" s="456"/>
      <c r="E1229" s="456"/>
      <c r="F1229" s="160"/>
      <c r="G1229" s="510"/>
    </row>
    <row r="1230" spans="1:7" ht="19.899999999999999" customHeight="1">
      <c r="A1230" s="511">
        <f t="shared" ref="A1230:A1238" si="347">IFERROR(VLOOKUP(C1230,T_Insumos,4,FALSE),0)</f>
        <v>0</v>
      </c>
      <c r="B1230" s="474">
        <f t="shared" ref="B1230:B1238" si="348">IFERROR(VLOOKUP(C1230,T_Insumos,5,FALSE),0)</f>
        <v>0</v>
      </c>
      <c r="C1230" s="465"/>
      <c r="D1230" s="475">
        <f t="shared" ref="D1230:D1238" si="349">IFERROR(VLOOKUP(C1230,T_Insumos,3,FALSE),0)</f>
        <v>0</v>
      </c>
      <c r="E1230" s="468">
        <f>D1230*$G$323</f>
        <v>0</v>
      </c>
      <c r="F1230" s="471">
        <f>+$D$325</f>
        <v>0</v>
      </c>
      <c r="G1230" s="468">
        <f>IFERROR(ROUND(E1230/F1230,2),0)</f>
        <v>0</v>
      </c>
    </row>
    <row r="1231" spans="1:7" ht="19.899999999999999" customHeight="1">
      <c r="A1231" s="511"/>
      <c r="B1231" s="474"/>
      <c r="C1231" s="465"/>
      <c r="D1231" s="475">
        <f t="shared" si="349"/>
        <v>0</v>
      </c>
      <c r="E1231" s="468">
        <f>D1231*$G$323</f>
        <v>0</v>
      </c>
      <c r="F1231" s="471">
        <f t="shared" ref="F1231:F1233" si="350">+$D$325</f>
        <v>0</v>
      </c>
      <c r="G1231" s="468">
        <f t="shared" ref="G1231:G1238" si="351">IFERROR(ROUND(E1231/F1231,2),0)</f>
        <v>0</v>
      </c>
    </row>
    <row r="1232" spans="1:7" ht="19.899999999999999" customHeight="1">
      <c r="A1232" s="511">
        <f t="shared" ref="A1232:A1240" si="352">IFERROR(VLOOKUP(C1232,T_Insumos,4,FALSE),0)</f>
        <v>0</v>
      </c>
      <c r="B1232" s="474">
        <f t="shared" ref="B1232:B1240" si="353">IFERROR(VLOOKUP(C1232,T_Insumos,5,FALSE),0)</f>
        <v>0</v>
      </c>
      <c r="C1232" s="476"/>
      <c r="D1232" s="475">
        <f t="shared" si="349"/>
        <v>0</v>
      </c>
      <c r="E1232" s="468">
        <f>D1232*$E$323</f>
        <v>0</v>
      </c>
      <c r="F1232" s="471">
        <f t="shared" si="350"/>
        <v>0</v>
      </c>
      <c r="G1232" s="468">
        <f t="shared" si="351"/>
        <v>0</v>
      </c>
    </row>
    <row r="1233" spans="1:7" ht="19.899999999999999" customHeight="1">
      <c r="A1233" s="511">
        <f t="shared" si="352"/>
        <v>0</v>
      </c>
      <c r="B1233" s="474">
        <f t="shared" si="353"/>
        <v>0</v>
      </c>
      <c r="C1233" s="476"/>
      <c r="D1233" s="475">
        <f t="shared" si="349"/>
        <v>0</v>
      </c>
      <c r="E1233" s="468">
        <f>D1233*$E$323</f>
        <v>0</v>
      </c>
      <c r="F1233" s="471">
        <f t="shared" si="350"/>
        <v>0</v>
      </c>
      <c r="G1233" s="468">
        <f t="shared" si="351"/>
        <v>0</v>
      </c>
    </row>
    <row r="1234" spans="1:7" ht="19.899999999999999" customHeight="1">
      <c r="A1234" s="511">
        <f t="shared" si="352"/>
        <v>0</v>
      </c>
      <c r="B1234" s="474">
        <f t="shared" si="353"/>
        <v>0</v>
      </c>
      <c r="C1234" s="476"/>
      <c r="D1234" s="475">
        <f t="shared" si="349"/>
        <v>0</v>
      </c>
      <c r="E1234" s="468"/>
      <c r="F1234" s="471">
        <f>IF(C1234="",0,IFERROR(VLOOKUP(COUNTIF($A$1:A1234,"ANALISIS DE PRECIOS"),T_Rendimiento_Equipo,5,FALSE),0))</f>
        <v>0</v>
      </c>
      <c r="G1234" s="468">
        <f t="shared" si="351"/>
        <v>0</v>
      </c>
    </row>
    <row r="1235" spans="1:7" ht="19.899999999999999" customHeight="1">
      <c r="A1235" s="511">
        <f t="shared" si="352"/>
        <v>0</v>
      </c>
      <c r="B1235" s="474">
        <f t="shared" si="353"/>
        <v>0</v>
      </c>
      <c r="C1235" s="476"/>
      <c r="D1235" s="475">
        <f t="shared" si="349"/>
        <v>0</v>
      </c>
      <c r="E1235" s="468"/>
      <c r="F1235" s="471">
        <f>IF(C1235="",0,IFERROR(VLOOKUP(COUNTIF($A$1:A1235,"ANALISIS DE PRECIOS"),T_Rendimiento_Equipo,5,FALSE),0))</f>
        <v>0</v>
      </c>
      <c r="G1235" s="468">
        <f t="shared" si="351"/>
        <v>0</v>
      </c>
    </row>
    <row r="1236" spans="1:7" ht="19.899999999999999" customHeight="1">
      <c r="A1236" s="511">
        <f t="shared" si="352"/>
        <v>0</v>
      </c>
      <c r="B1236" s="474">
        <f t="shared" si="353"/>
        <v>0</v>
      </c>
      <c r="C1236" s="476"/>
      <c r="D1236" s="475">
        <f t="shared" si="349"/>
        <v>0</v>
      </c>
      <c r="E1236" s="468"/>
      <c r="F1236" s="471">
        <f>IF(C1236="",0,IFERROR(VLOOKUP(COUNTIF($A$1:A1236,"ANALISIS DE PRECIOS"),T_Rendimiento_Equipo,5,FALSE),0))</f>
        <v>0</v>
      </c>
      <c r="G1236" s="468">
        <f t="shared" si="351"/>
        <v>0</v>
      </c>
    </row>
    <row r="1237" spans="1:7" ht="19.899999999999999" customHeight="1">
      <c r="A1237" s="511">
        <f t="shared" si="352"/>
        <v>0</v>
      </c>
      <c r="B1237" s="474">
        <f t="shared" si="353"/>
        <v>0</v>
      </c>
      <c r="C1237" s="476"/>
      <c r="D1237" s="475">
        <f t="shared" si="349"/>
        <v>0</v>
      </c>
      <c r="E1237" s="468"/>
      <c r="F1237" s="471">
        <f>IF(C1237="",0,IFERROR(VLOOKUP(COUNTIF($A$1:A1237,"ANALISIS DE PRECIOS"),T_Rendimiento_Equipo,5,FALSE),0))</f>
        <v>0</v>
      </c>
      <c r="G1237" s="468">
        <f t="shared" si="351"/>
        <v>0</v>
      </c>
    </row>
    <row r="1238" spans="1:7" ht="19.899999999999999" customHeight="1">
      <c r="A1238" s="511">
        <f t="shared" si="352"/>
        <v>0</v>
      </c>
      <c r="B1238" s="474">
        <f t="shared" si="353"/>
        <v>0</v>
      </c>
      <c r="C1238" s="465"/>
      <c r="D1238" s="475">
        <f t="shared" si="349"/>
        <v>0</v>
      </c>
      <c r="E1238" s="468"/>
      <c r="F1238" s="471">
        <f>IF(C1238="",0,IFERROR(VLOOKUP(COUNTIF($A$1:A1238,"ANALISIS DE PRECIOS"),T_Rendimiento_Equipo,5,FALSE),0))</f>
        <v>0</v>
      </c>
      <c r="G1238" s="468">
        <f t="shared" si="351"/>
        <v>0</v>
      </c>
    </row>
    <row r="1239" spans="1:7" ht="19.899999999999999" customHeight="1">
      <c r="A1239" s="512"/>
      <c r="B1239" s="455"/>
      <c r="C1239" s="160"/>
      <c r="D1239" s="455"/>
      <c r="E1239" s="456"/>
      <c r="F1239" s="615" t="s">
        <v>26</v>
      </c>
      <c r="G1239" s="513">
        <f>SUBTOTAL(9,G1230:G1238)</f>
        <v>0</v>
      </c>
    </row>
    <row r="1240" spans="1:7" ht="19.899999999999999" customHeight="1">
      <c r="A1240" s="509"/>
      <c r="B1240" s="160"/>
      <c r="C1240" s="451" t="s">
        <v>712</v>
      </c>
      <c r="D1240" s="455"/>
      <c r="E1240" s="456"/>
      <c r="F1240" s="457"/>
      <c r="G1240" s="510"/>
    </row>
    <row r="1241" spans="1:7" ht="19.899999999999999" customHeight="1">
      <c r="A1241" s="637" t="s">
        <v>575</v>
      </c>
      <c r="B1241" s="638"/>
      <c r="C1241" s="639" t="s">
        <v>0</v>
      </c>
      <c r="D1241" s="641" t="s">
        <v>23</v>
      </c>
      <c r="E1241" s="641" t="s">
        <v>1829</v>
      </c>
      <c r="F1241" s="643" t="s">
        <v>1005</v>
      </c>
      <c r="G1241" s="645" t="s">
        <v>25</v>
      </c>
    </row>
    <row r="1242" spans="1:7" ht="19.899999999999999" customHeight="1">
      <c r="A1242" s="473" t="s">
        <v>576</v>
      </c>
      <c r="B1242" s="473" t="s">
        <v>577</v>
      </c>
      <c r="C1242" s="640"/>
      <c r="D1242" s="642"/>
      <c r="E1242" s="642"/>
      <c r="F1242" s="644"/>
      <c r="G1242" s="646"/>
    </row>
    <row r="1243" spans="1:7" ht="19.899999999999999" customHeight="1">
      <c r="A1243" s="511"/>
      <c r="B1243" s="474"/>
      <c r="C1243" s="478"/>
      <c r="D1243" s="471"/>
      <c r="E1243" s="468">
        <f t="shared" ref="E1243:E1247" si="354">IFERROR(VLOOKUP(C1243,T_Insumos,3,FALSE),0)</f>
        <v>0</v>
      </c>
      <c r="F1243" s="471">
        <f>+$D$325</f>
        <v>0</v>
      </c>
      <c r="G1243" s="468">
        <f>IFERROR(ROUND(D1243*E1243/F1243,2),0)</f>
        <v>0</v>
      </c>
    </row>
    <row r="1244" spans="1:7" ht="19.899999999999999" customHeight="1">
      <c r="A1244" s="511"/>
      <c r="B1244" s="474"/>
      <c r="C1244" s="465"/>
      <c r="D1244" s="471"/>
      <c r="E1244" s="468">
        <f t="shared" si="354"/>
        <v>0</v>
      </c>
      <c r="F1244" s="471">
        <f t="shared" ref="F1244:F1248" si="355">+$D$325</f>
        <v>0</v>
      </c>
      <c r="G1244" s="468">
        <f t="shared" ref="G1244:G1249" si="356">IFERROR(ROUND(D1244*E1244/F1244,2),0)</f>
        <v>0</v>
      </c>
    </row>
    <row r="1245" spans="1:7" ht="19.899999999999999" customHeight="1">
      <c r="A1245" s="511"/>
      <c r="B1245" s="474"/>
      <c r="C1245" s="465"/>
      <c r="D1245" s="471"/>
      <c r="E1245" s="468">
        <f t="shared" si="354"/>
        <v>0</v>
      </c>
      <c r="F1245" s="471">
        <f t="shared" si="355"/>
        <v>0</v>
      </c>
      <c r="G1245" s="468">
        <f t="shared" si="356"/>
        <v>0</v>
      </c>
    </row>
    <row r="1246" spans="1:7" ht="19.899999999999999" customHeight="1">
      <c r="A1246" s="511"/>
      <c r="B1246" s="474"/>
      <c r="C1246" s="465"/>
      <c r="D1246" s="471"/>
      <c r="E1246" s="468">
        <f t="shared" si="354"/>
        <v>0</v>
      </c>
      <c r="F1246" s="471">
        <f t="shared" si="355"/>
        <v>0</v>
      </c>
      <c r="G1246" s="468">
        <f t="shared" si="356"/>
        <v>0</v>
      </c>
    </row>
    <row r="1247" spans="1:7" ht="19.899999999999999" customHeight="1">
      <c r="A1247" s="511">
        <f t="shared" ref="A1247:A1249" si="357">IFERROR(VLOOKUP(C1247,T_Insumos,4,FALSE),0)</f>
        <v>0</v>
      </c>
      <c r="B1247" s="474">
        <f t="shared" ref="B1247:B1249" si="358">IFERROR(VLOOKUP(C1247,T_Insumos,5,FALSE),0)</f>
        <v>0</v>
      </c>
      <c r="C1247" s="465"/>
      <c r="D1247" s="471"/>
      <c r="E1247" s="468">
        <f t="shared" si="354"/>
        <v>0</v>
      </c>
      <c r="F1247" s="471">
        <f>IF(C1247="",0,IFERROR(VLOOKUP(COUNTIF($A$1:A1247,"ANALISIS DE PRECIOS"),T_Rendimiento_Equipo,5,FALSE),0))</f>
        <v>0</v>
      </c>
      <c r="G1247" s="468">
        <f t="shared" si="356"/>
        <v>0</v>
      </c>
    </row>
    <row r="1248" spans="1:7" ht="19.899999999999999" customHeight="1">
      <c r="A1248" s="511">
        <f t="shared" si="357"/>
        <v>0</v>
      </c>
      <c r="B1248" s="474">
        <f t="shared" si="358"/>
        <v>0</v>
      </c>
      <c r="C1248" s="465"/>
      <c r="D1248" s="479"/>
      <c r="E1248" s="468">
        <f>SUMPRODUCT(D1243:D1246,E1243:E1246)</f>
        <v>0</v>
      </c>
      <c r="F1248" s="471">
        <f t="shared" si="355"/>
        <v>0</v>
      </c>
      <c r="G1248" s="468">
        <f t="shared" si="356"/>
        <v>0</v>
      </c>
    </row>
    <row r="1249" spans="1:7" ht="19.899999999999999" customHeight="1">
      <c r="A1249" s="511">
        <f t="shared" si="357"/>
        <v>0</v>
      </c>
      <c r="B1249" s="474">
        <f t="shared" si="358"/>
        <v>0</v>
      </c>
      <c r="C1249" s="474"/>
      <c r="D1249" s="480"/>
      <c r="E1249" s="468">
        <f t="shared" ref="E1249:E1251" si="359">IFERROR(VLOOKUP(C1249,T_Insumos,3,FALSE),0)</f>
        <v>0</v>
      </c>
      <c r="F1249" s="471">
        <f>IF(C1249="",0,IFERROR(VLOOKUP(COUNTIF($A$1:A1249,"ANALISIS DE PRECIOS"),T_Rendimiento_Equipo,5,FALSE),0))</f>
        <v>0</v>
      </c>
      <c r="G1249" s="468">
        <f t="shared" si="356"/>
        <v>0</v>
      </c>
    </row>
    <row r="1250" spans="1:7" ht="19.899999999999999" customHeight="1">
      <c r="A1250" s="512"/>
      <c r="B1250" s="455"/>
      <c r="C1250" s="160"/>
      <c r="D1250" s="455"/>
      <c r="E1250" s="456"/>
      <c r="F1250" s="615" t="s">
        <v>27</v>
      </c>
      <c r="G1250" s="514">
        <f>SUBTOTAL(9,G1243:G1249)</f>
        <v>0</v>
      </c>
    </row>
    <row r="1251" spans="1:7" ht="19.899999999999999" customHeight="1">
      <c r="A1251" s="509"/>
      <c r="B1251" s="160"/>
      <c r="C1251" s="451" t="s">
        <v>1012</v>
      </c>
      <c r="D1251" s="455"/>
      <c r="E1251" s="456"/>
      <c r="F1251" s="457"/>
      <c r="G1251" s="510"/>
    </row>
    <row r="1252" spans="1:7" ht="19.899999999999999" customHeight="1">
      <c r="A1252" s="637" t="s">
        <v>575</v>
      </c>
      <c r="B1252" s="638"/>
      <c r="C1252" s="639" t="s">
        <v>0</v>
      </c>
      <c r="D1252" s="639" t="s">
        <v>1864</v>
      </c>
      <c r="E1252" s="641" t="s">
        <v>23</v>
      </c>
      <c r="F1252" s="643" t="s">
        <v>24</v>
      </c>
      <c r="G1252" s="645" t="s">
        <v>25</v>
      </c>
    </row>
    <row r="1253" spans="1:7" ht="19.899999999999999" customHeight="1">
      <c r="A1253" s="473" t="s">
        <v>576</v>
      </c>
      <c r="B1253" s="473" t="s">
        <v>577</v>
      </c>
      <c r="C1253" s="640"/>
      <c r="D1253" s="640"/>
      <c r="E1253" s="642"/>
      <c r="F1253" s="644"/>
      <c r="G1253" s="646"/>
    </row>
    <row r="1254" spans="1:7" ht="19.899999999999999" customHeight="1">
      <c r="A1254" s="511">
        <f t="shared" ref="A1254:A1264" si="360">IFERROR(VLOOKUP(C1254,T_Insumos,4,FALSE),0)</f>
        <v>0</v>
      </c>
      <c r="B1254" s="474">
        <f t="shared" ref="B1254:B1264" si="361">IFERROR(VLOOKUP(C1254,T_Insumos,5,FALSE),0)</f>
        <v>0</v>
      </c>
      <c r="C1254" s="474"/>
      <c r="D1254" s="522">
        <f t="shared" ref="D1254:D1264" si="362">IFERROR(VLOOKUP(C1254,T_Insumos,2,FALSE),0)</f>
        <v>0</v>
      </c>
      <c r="E1254" s="466"/>
      <c r="F1254" s="468">
        <f t="shared" ref="F1254:F1264" si="363">IFERROR(VLOOKUP(C1254,T_Insumos,3,FALSE),0)</f>
        <v>0</v>
      </c>
      <c r="G1254" s="468">
        <f>ROUND(E1254*F1254,2)</f>
        <v>0</v>
      </c>
    </row>
    <row r="1255" spans="1:7" ht="19.899999999999999" customHeight="1">
      <c r="A1255" s="511">
        <f t="shared" si="360"/>
        <v>0</v>
      </c>
      <c r="B1255" s="474">
        <f t="shared" si="361"/>
        <v>0</v>
      </c>
      <c r="C1255" s="474"/>
      <c r="D1255" s="522">
        <f t="shared" si="362"/>
        <v>0</v>
      </c>
      <c r="E1255" s="466"/>
      <c r="F1255" s="468">
        <f t="shared" si="363"/>
        <v>0</v>
      </c>
      <c r="G1255" s="468">
        <f t="shared" ref="G1255:G1264" si="364">ROUND(E1255*F1255,2)</f>
        <v>0</v>
      </c>
    </row>
    <row r="1256" spans="1:7" ht="19.899999999999999" customHeight="1">
      <c r="A1256" s="511">
        <f t="shared" si="360"/>
        <v>0</v>
      </c>
      <c r="B1256" s="474">
        <f t="shared" si="361"/>
        <v>0</v>
      </c>
      <c r="C1256" s="474"/>
      <c r="D1256" s="522">
        <f t="shared" si="362"/>
        <v>0</v>
      </c>
      <c r="E1256" s="466"/>
      <c r="F1256" s="468">
        <f t="shared" si="363"/>
        <v>0</v>
      </c>
      <c r="G1256" s="468">
        <f t="shared" si="364"/>
        <v>0</v>
      </c>
    </row>
    <row r="1257" spans="1:7" ht="19.899999999999999" customHeight="1">
      <c r="A1257" s="511">
        <f t="shared" si="360"/>
        <v>0</v>
      </c>
      <c r="B1257" s="474">
        <f t="shared" si="361"/>
        <v>0</v>
      </c>
      <c r="C1257" s="474"/>
      <c r="D1257" s="522">
        <f t="shared" si="362"/>
        <v>0</v>
      </c>
      <c r="E1257" s="466"/>
      <c r="F1257" s="468">
        <f t="shared" si="363"/>
        <v>0</v>
      </c>
      <c r="G1257" s="468">
        <f t="shared" si="364"/>
        <v>0</v>
      </c>
    </row>
    <row r="1258" spans="1:7" ht="19.899999999999999" customHeight="1">
      <c r="A1258" s="511">
        <f t="shared" si="360"/>
        <v>0</v>
      </c>
      <c r="B1258" s="474">
        <f t="shared" si="361"/>
        <v>0</v>
      </c>
      <c r="C1258" s="474"/>
      <c r="D1258" s="522">
        <f t="shared" si="362"/>
        <v>0</v>
      </c>
      <c r="E1258" s="466"/>
      <c r="F1258" s="468">
        <f t="shared" si="363"/>
        <v>0</v>
      </c>
      <c r="G1258" s="468">
        <f t="shared" si="364"/>
        <v>0</v>
      </c>
    </row>
    <row r="1259" spans="1:7" ht="19.899999999999999" customHeight="1">
      <c r="A1259" s="511">
        <f t="shared" si="360"/>
        <v>0</v>
      </c>
      <c r="B1259" s="474">
        <f t="shared" si="361"/>
        <v>0</v>
      </c>
      <c r="C1259" s="474"/>
      <c r="D1259" s="522">
        <f t="shared" si="362"/>
        <v>0</v>
      </c>
      <c r="E1259" s="466"/>
      <c r="F1259" s="468">
        <f t="shared" si="363"/>
        <v>0</v>
      </c>
      <c r="G1259" s="468">
        <f t="shared" si="364"/>
        <v>0</v>
      </c>
    </row>
    <row r="1260" spans="1:7" ht="19.899999999999999" customHeight="1">
      <c r="A1260" s="511">
        <f t="shared" si="360"/>
        <v>0</v>
      </c>
      <c r="B1260" s="474">
        <f t="shared" si="361"/>
        <v>0</v>
      </c>
      <c r="C1260" s="474"/>
      <c r="D1260" s="522">
        <f t="shared" si="362"/>
        <v>0</v>
      </c>
      <c r="E1260" s="466"/>
      <c r="F1260" s="468">
        <f t="shared" si="363"/>
        <v>0</v>
      </c>
      <c r="G1260" s="468">
        <f t="shared" si="364"/>
        <v>0</v>
      </c>
    </row>
    <row r="1261" spans="1:7" ht="19.899999999999999" customHeight="1">
      <c r="A1261" s="511">
        <f t="shared" si="360"/>
        <v>0</v>
      </c>
      <c r="B1261" s="474">
        <f t="shared" si="361"/>
        <v>0</v>
      </c>
      <c r="C1261" s="474"/>
      <c r="D1261" s="522">
        <f t="shared" si="362"/>
        <v>0</v>
      </c>
      <c r="E1261" s="466"/>
      <c r="F1261" s="468">
        <f t="shared" si="363"/>
        <v>0</v>
      </c>
      <c r="G1261" s="468">
        <f t="shared" si="364"/>
        <v>0</v>
      </c>
    </row>
    <row r="1262" spans="1:7" ht="19.899999999999999" customHeight="1">
      <c r="A1262" s="511">
        <f t="shared" si="360"/>
        <v>0</v>
      </c>
      <c r="B1262" s="474">
        <f t="shared" si="361"/>
        <v>0</v>
      </c>
      <c r="C1262" s="474"/>
      <c r="D1262" s="522">
        <f t="shared" si="362"/>
        <v>0</v>
      </c>
      <c r="E1262" s="466"/>
      <c r="F1262" s="468">
        <f t="shared" si="363"/>
        <v>0</v>
      </c>
      <c r="G1262" s="468">
        <f t="shared" si="364"/>
        <v>0</v>
      </c>
    </row>
    <row r="1263" spans="1:7" ht="19.899999999999999" customHeight="1">
      <c r="A1263" s="511">
        <f t="shared" si="360"/>
        <v>0</v>
      </c>
      <c r="B1263" s="474">
        <f t="shared" si="361"/>
        <v>0</v>
      </c>
      <c r="C1263" s="474"/>
      <c r="D1263" s="522">
        <f t="shared" si="362"/>
        <v>0</v>
      </c>
      <c r="E1263" s="466"/>
      <c r="F1263" s="468">
        <f t="shared" si="363"/>
        <v>0</v>
      </c>
      <c r="G1263" s="468">
        <f t="shared" si="364"/>
        <v>0</v>
      </c>
    </row>
    <row r="1264" spans="1:7" ht="19.899999999999999" customHeight="1">
      <c r="A1264" s="511">
        <f t="shared" si="360"/>
        <v>0</v>
      </c>
      <c r="B1264" s="474">
        <f t="shared" si="361"/>
        <v>0</v>
      </c>
      <c r="C1264" s="474"/>
      <c r="D1264" s="522">
        <f t="shared" si="362"/>
        <v>0</v>
      </c>
      <c r="E1264" s="466"/>
      <c r="F1264" s="468">
        <f t="shared" si="363"/>
        <v>0</v>
      </c>
      <c r="G1264" s="468">
        <f t="shared" si="364"/>
        <v>0</v>
      </c>
    </row>
    <row r="1265" spans="1:7" ht="19.899999999999999" customHeight="1">
      <c r="A1265" s="509"/>
      <c r="B1265" s="160"/>
      <c r="C1265" s="160"/>
      <c r="D1265" s="455"/>
      <c r="E1265" s="456"/>
      <c r="F1265" s="615" t="s">
        <v>28</v>
      </c>
      <c r="G1265" s="514">
        <f>SUBTOTAL(9,G1254:G1264)</f>
        <v>0</v>
      </c>
    </row>
    <row r="1266" spans="1:7" ht="19.899999999999999" customHeight="1">
      <c r="A1266" s="509"/>
      <c r="B1266" s="160"/>
      <c r="C1266" s="451" t="s">
        <v>1013</v>
      </c>
      <c r="D1266" s="455"/>
      <c r="E1266" s="456"/>
      <c r="F1266" s="457"/>
      <c r="G1266" s="510"/>
    </row>
    <row r="1267" spans="1:7" ht="19.899999999999999" customHeight="1">
      <c r="A1267" s="637" t="s">
        <v>575</v>
      </c>
      <c r="B1267" s="638"/>
      <c r="C1267" s="639" t="s">
        <v>0</v>
      </c>
      <c r="D1267" s="639" t="s">
        <v>1864</v>
      </c>
      <c r="E1267" s="641" t="s">
        <v>23</v>
      </c>
      <c r="F1267" s="643" t="s">
        <v>24</v>
      </c>
      <c r="G1267" s="645" t="s">
        <v>25</v>
      </c>
    </row>
    <row r="1268" spans="1:7" ht="19.899999999999999" customHeight="1">
      <c r="A1268" s="473" t="s">
        <v>576</v>
      </c>
      <c r="B1268" s="473" t="s">
        <v>577</v>
      </c>
      <c r="C1268" s="640"/>
      <c r="D1268" s="640"/>
      <c r="E1268" s="642"/>
      <c r="F1268" s="644"/>
      <c r="G1268" s="646"/>
    </row>
    <row r="1269" spans="1:7" ht="19.899999999999999" customHeight="1">
      <c r="A1269" s="511">
        <f>IFERROR(VLOOKUP(C1269,T_Insumos,4,FALSE),0)</f>
        <v>0</v>
      </c>
      <c r="B1269" s="474">
        <f>IFERROR(VLOOKUP(C1269,T_Insumos,5,FALSE),0)</f>
        <v>0</v>
      </c>
      <c r="C1269" s="465"/>
      <c r="D1269" s="522">
        <f>IF(C1269=0,0,"$/tnkm")</f>
        <v>0</v>
      </c>
      <c r="E1269" s="466"/>
      <c r="F1269" s="468">
        <f>IFERROR(VLOOKUP(C1269,T_Insumos,3,FALSE),0)</f>
        <v>0</v>
      </c>
      <c r="G1269" s="468">
        <f>ROUND(E1269*F1269,2)</f>
        <v>0</v>
      </c>
    </row>
    <row r="1270" spans="1:7" ht="19.899999999999999" customHeight="1">
      <c r="A1270" s="511">
        <f>IFERROR(VLOOKUP(C1270,T_Insumos,4,FALSE),0)</f>
        <v>0</v>
      </c>
      <c r="B1270" s="474">
        <f>IFERROR(VLOOKUP(C1270,T_Insumos,5,FALSE),0)</f>
        <v>0</v>
      </c>
      <c r="C1270" s="465"/>
      <c r="D1270" s="522">
        <f>IF(C1270=0,0,"$/tnkm")</f>
        <v>0</v>
      </c>
      <c r="E1270" s="482"/>
      <c r="F1270" s="468">
        <f>IFERROR(VLOOKUP(C1270,T_Insumos,3,FALSE),0)</f>
        <v>0</v>
      </c>
      <c r="G1270" s="468">
        <f t="shared" ref="G1270" si="365">ROUND(E1270*F1270,2)</f>
        <v>0</v>
      </c>
    </row>
    <row r="1271" spans="1:7" ht="19.899999999999999" customHeight="1">
      <c r="A1271" s="509"/>
      <c r="B1271" s="160"/>
      <c r="C1271" s="160"/>
      <c r="D1271" s="455"/>
      <c r="E1271" s="456"/>
      <c r="F1271" s="615" t="s">
        <v>1014</v>
      </c>
      <c r="G1271" s="514">
        <f>SUBTOTAL(9,G1269:G1270)</f>
        <v>0</v>
      </c>
    </row>
    <row r="1272" spans="1:7" ht="19.899999999999999" customHeight="1">
      <c r="A1272" s="512"/>
      <c r="B1272" s="455"/>
      <c r="C1272" s="160"/>
      <c r="D1272" s="455"/>
      <c r="E1272" s="456"/>
      <c r="F1272" s="457"/>
      <c r="G1272" s="510"/>
    </row>
    <row r="1273" spans="1:7" ht="19.899999999999999" customHeight="1">
      <c r="A1273" s="570">
        <f>B1207</f>
        <v>3.6</v>
      </c>
      <c r="B1273" s="567" t="str">
        <f ca="1">C1207</f>
        <v>Tapa hermetica de ingreso</v>
      </c>
      <c r="C1273" s="455"/>
      <c r="D1273" s="455" t="s">
        <v>1830</v>
      </c>
      <c r="E1273" s="568"/>
      <c r="F1273" s="569" t="str">
        <f ca="1">"$/"&amp;G1207</f>
        <v>$/gl</v>
      </c>
      <c r="G1273" s="519">
        <f>SUBTOTAL(9,G1230:G1272)</f>
        <v>0</v>
      </c>
    </row>
    <row r="1274" spans="1:7" ht="19.899999999999999" customHeight="1">
      <c r="A1274" s="515"/>
      <c r="B1274" s="516"/>
      <c r="C1274" s="517"/>
      <c r="D1274" s="517" t="s">
        <v>2040</v>
      </c>
      <c r="E1274" s="518"/>
      <c r="F1274" s="571" t="str">
        <f ca="1">"$/"&amp;G1207</f>
        <v>$/gl</v>
      </c>
      <c r="G1274" s="519">
        <f>ROUND(G1273*Coeficiente_Paso,2)</f>
        <v>0</v>
      </c>
    </row>
    <row r="1275" spans="1:7" ht="19.899999999999999" customHeight="1">
      <c r="A1275" s="160"/>
      <c r="B1275" s="160"/>
      <c r="C1275" s="160"/>
      <c r="D1275" s="160"/>
      <c r="E1275" s="160"/>
      <c r="F1275" s="160"/>
      <c r="G1275" s="160"/>
    </row>
    <row r="1276" spans="1:7" ht="19.899999999999999" customHeight="1">
      <c r="A1276" s="633" t="s">
        <v>30</v>
      </c>
      <c r="B1276" s="634"/>
      <c r="C1276" s="634"/>
      <c r="D1276" s="634"/>
      <c r="E1276" s="634"/>
      <c r="F1276" s="634"/>
      <c r="G1276" s="635"/>
    </row>
    <row r="1277" spans="1:7" ht="19.899999999999999" customHeight="1">
      <c r="A1277" s="498" t="s">
        <v>710</v>
      </c>
      <c r="B1277" s="449" t="str">
        <f>Comitente</f>
        <v>DEPARTAMENTO DE HIDRAULICA</v>
      </c>
      <c r="C1277" s="450"/>
      <c r="D1277" s="451"/>
      <c r="E1277" s="451"/>
      <c r="F1277" s="452"/>
      <c r="G1277" s="499"/>
    </row>
    <row r="1278" spans="1:7" ht="19.899999999999999" customHeight="1">
      <c r="A1278" s="498" t="s">
        <v>711</v>
      </c>
      <c r="B1278" s="449">
        <f>Contratista</f>
        <v>0</v>
      </c>
      <c r="C1278" s="453"/>
      <c r="D1278" s="453"/>
      <c r="E1278" s="453"/>
      <c r="F1278" s="449"/>
      <c r="G1278" s="500"/>
    </row>
    <row r="1279" spans="1:7" ht="19.899999999999999" customHeight="1">
      <c r="A1279" s="498" t="s">
        <v>20</v>
      </c>
      <c r="B1279" s="449" t="str">
        <f>Obra</f>
        <v>EJECUCION DE PERFORACION - SISTEMA DE RIEGO</v>
      </c>
      <c r="C1279" s="453"/>
      <c r="D1279" s="453"/>
      <c r="E1279" s="453"/>
      <c r="F1279" s="449" t="s">
        <v>31</v>
      </c>
      <c r="G1279" s="500">
        <f>Fecha_Base</f>
        <v>0</v>
      </c>
    </row>
    <row r="1280" spans="1:7" ht="19.899999999999999" customHeight="1">
      <c r="A1280" s="501" t="s">
        <v>709</v>
      </c>
      <c r="B1280" s="454" t="str">
        <f>Ubicación</f>
        <v>DEPARTAMENTO CHIMBAS</v>
      </c>
      <c r="C1280" s="454"/>
      <c r="D1280" s="455"/>
      <c r="E1280" s="456"/>
      <c r="F1280" s="457"/>
      <c r="G1280" s="502"/>
    </row>
    <row r="1281" spans="1:7" ht="19.899999999999999" customHeight="1">
      <c r="A1281" s="501" t="s">
        <v>32</v>
      </c>
      <c r="B1281" s="458">
        <f>IFERROR(VALUE(LEFT(B1282,FIND(".",B1282)-1)),"")</f>
        <v>3</v>
      </c>
      <c r="C1281" s="160" t="str">
        <f ca="1">IFERROR(VLOOKUP(B1281,T_Computo_Presupuesto,2,FALSE),0)</f>
        <v>CAMARA SUBTERRANEA PARA PERFORACION</v>
      </c>
      <c r="D1281" s="160"/>
      <c r="E1281" s="456"/>
      <c r="F1281" s="457"/>
      <c r="G1281" s="502"/>
    </row>
    <row r="1282" spans="1:7" ht="19.899999999999999" customHeight="1">
      <c r="A1282" s="501" t="s">
        <v>21</v>
      </c>
      <c r="B1282" s="459">
        <f>IFERROR(VLOOKUP(COUNTIF($A$1:A1282,"ANALISIS DE PRECIOS"),T_NumeroItem,2,FALSE),"")</f>
        <v>3.7</v>
      </c>
      <c r="C1282" s="636" t="str">
        <f ca="1">IFERROR(VLOOKUP(B1282,T_Computo_Presupuesto,2,FALSE),0)</f>
        <v>Limpieza Final</v>
      </c>
      <c r="D1282" s="636"/>
      <c r="E1282" s="636"/>
      <c r="F1282" s="454" t="s">
        <v>22</v>
      </c>
      <c r="G1282" s="503" t="str">
        <f ca="1">IFERROR(VLOOKUP(B1282,T_Computo_Presupuesto,4,FALSE),0)</f>
        <v>m2</v>
      </c>
    </row>
    <row r="1283" spans="1:7" ht="19.899999999999999" customHeight="1">
      <c r="A1283" s="501"/>
      <c r="B1283" s="454"/>
      <c r="C1283" s="160"/>
      <c r="D1283" s="455"/>
      <c r="E1283" s="456"/>
      <c r="F1283" s="160"/>
      <c r="G1283" s="504"/>
    </row>
    <row r="1284" spans="1:7" ht="19.899999999999999" customHeight="1">
      <c r="A1284" s="505"/>
      <c r="B1284" s="460"/>
      <c r="C1284" s="461" t="s">
        <v>997</v>
      </c>
      <c r="D1284" s="460"/>
      <c r="E1284" s="460"/>
      <c r="F1284" s="460"/>
      <c r="G1284" s="506"/>
    </row>
    <row r="1285" spans="1:7" ht="19.899999999999999" customHeight="1">
      <c r="A1285" s="501"/>
      <c r="B1285" s="462"/>
      <c r="C1285" s="160"/>
      <c r="D1285" s="455"/>
      <c r="E1285" s="456"/>
      <c r="F1285" s="454"/>
      <c r="G1285" s="503"/>
    </row>
    <row r="1286" spans="1:7" ht="19.899999999999999" customHeight="1">
      <c r="A1286" s="501"/>
      <c r="B1286" s="462"/>
      <c r="C1286" s="463" t="s">
        <v>998</v>
      </c>
      <c r="D1286" s="464" t="s">
        <v>23</v>
      </c>
      <c r="E1286" s="464" t="s">
        <v>999</v>
      </c>
      <c r="F1286" s="464" t="s">
        <v>1000</v>
      </c>
      <c r="G1286" s="463" t="s">
        <v>1001</v>
      </c>
    </row>
    <row r="1287" spans="1:7" ht="19.899999999999999" customHeight="1">
      <c r="A1287" s="501"/>
      <c r="B1287" s="462"/>
      <c r="C1287" s="465"/>
      <c r="D1287" s="466"/>
      <c r="E1287" s="467">
        <f t="shared" ref="E1287:E1296" si="366">IFERROR(VLOOKUP(C1287,T_Equipos,4,FALSE),0)</f>
        <v>0</v>
      </c>
      <c r="F1287" s="468"/>
      <c r="G1287" s="468">
        <f>ROUND(D1287*F1287,2)</f>
        <v>0</v>
      </c>
    </row>
    <row r="1288" spans="1:7" ht="19.899999999999999" customHeight="1">
      <c r="A1288" s="501"/>
      <c r="B1288" s="462"/>
      <c r="C1288" s="465"/>
      <c r="D1288" s="466"/>
      <c r="E1288" s="467">
        <f t="shared" si="366"/>
        <v>0</v>
      </c>
      <c r="F1288" s="468"/>
      <c r="G1288" s="468">
        <f>ROUND(D1288*F1288,2)</f>
        <v>0</v>
      </c>
    </row>
    <row r="1289" spans="1:7" ht="19.899999999999999" customHeight="1">
      <c r="A1289" s="501"/>
      <c r="B1289" s="462"/>
      <c r="C1289" s="465"/>
      <c r="D1289" s="466"/>
      <c r="E1289" s="467">
        <f t="shared" si="366"/>
        <v>0</v>
      </c>
      <c r="F1289" s="468"/>
      <c r="G1289" s="468">
        <f>ROUND(D1289*F1289,2)</f>
        <v>0</v>
      </c>
    </row>
    <row r="1290" spans="1:7" ht="19.899999999999999" customHeight="1">
      <c r="A1290" s="501"/>
      <c r="B1290" s="462"/>
      <c r="C1290" s="465"/>
      <c r="D1290" s="466"/>
      <c r="E1290" s="467">
        <f t="shared" si="366"/>
        <v>0</v>
      </c>
      <c r="F1290" s="468"/>
      <c r="G1290" s="468">
        <f>ROUND(D1290*F1290,2)</f>
        <v>0</v>
      </c>
    </row>
    <row r="1291" spans="1:7" ht="19.899999999999999" customHeight="1">
      <c r="A1291" s="501"/>
      <c r="B1291" s="462"/>
      <c r="C1291" s="465"/>
      <c r="D1291" s="466"/>
      <c r="E1291" s="467">
        <f t="shared" si="366"/>
        <v>0</v>
      </c>
      <c r="F1291" s="468"/>
      <c r="G1291" s="468">
        <f t="shared" ref="G1291:G1296" si="367">ROUND(D1291*F1291,2)</f>
        <v>0</v>
      </c>
    </row>
    <row r="1292" spans="1:7" ht="19.899999999999999" customHeight="1">
      <c r="A1292" s="501"/>
      <c r="B1292" s="462"/>
      <c r="C1292" s="465"/>
      <c r="D1292" s="466"/>
      <c r="E1292" s="467">
        <f t="shared" si="366"/>
        <v>0</v>
      </c>
      <c r="F1292" s="468">
        <f t="shared" ref="F1292:F1296" si="368">IFERROR(VLOOKUP(C1292,T_Equipos,5,FALSE),0)</f>
        <v>0</v>
      </c>
      <c r="G1292" s="468">
        <f t="shared" si="367"/>
        <v>0</v>
      </c>
    </row>
    <row r="1293" spans="1:7" ht="19.899999999999999" customHeight="1">
      <c r="A1293" s="501"/>
      <c r="B1293" s="462"/>
      <c r="C1293" s="465"/>
      <c r="D1293" s="466"/>
      <c r="E1293" s="467">
        <f t="shared" si="366"/>
        <v>0</v>
      </c>
      <c r="F1293" s="468">
        <f t="shared" si="368"/>
        <v>0</v>
      </c>
      <c r="G1293" s="468">
        <f t="shared" si="367"/>
        <v>0</v>
      </c>
    </row>
    <row r="1294" spans="1:7" ht="19.899999999999999" customHeight="1">
      <c r="A1294" s="501"/>
      <c r="B1294" s="462"/>
      <c r="C1294" s="465"/>
      <c r="D1294" s="466"/>
      <c r="E1294" s="467">
        <f t="shared" si="366"/>
        <v>0</v>
      </c>
      <c r="F1294" s="468">
        <f t="shared" si="368"/>
        <v>0</v>
      </c>
      <c r="G1294" s="468">
        <f t="shared" si="367"/>
        <v>0</v>
      </c>
    </row>
    <row r="1295" spans="1:7" ht="19.899999999999999" customHeight="1">
      <c r="A1295" s="501"/>
      <c r="B1295" s="462"/>
      <c r="C1295" s="465"/>
      <c r="D1295" s="466"/>
      <c r="E1295" s="467">
        <f t="shared" si="366"/>
        <v>0</v>
      </c>
      <c r="F1295" s="468">
        <f t="shared" si="368"/>
        <v>0</v>
      </c>
      <c r="G1295" s="468">
        <f t="shared" si="367"/>
        <v>0</v>
      </c>
    </row>
    <row r="1296" spans="1:7" ht="19.899999999999999" customHeight="1">
      <c r="A1296" s="501"/>
      <c r="B1296" s="462"/>
      <c r="C1296" s="465"/>
      <c r="D1296" s="466"/>
      <c r="E1296" s="467">
        <f t="shared" si="366"/>
        <v>0</v>
      </c>
      <c r="F1296" s="468">
        <f t="shared" si="368"/>
        <v>0</v>
      </c>
      <c r="G1296" s="468">
        <f t="shared" si="367"/>
        <v>0</v>
      </c>
    </row>
    <row r="1297" spans="1:7" ht="19.899999999999999" customHeight="1">
      <c r="A1297" s="501"/>
      <c r="B1297" s="462"/>
      <c r="C1297" s="160"/>
      <c r="D1297" s="160"/>
      <c r="E1297" s="469"/>
      <c r="F1297" s="454"/>
      <c r="G1297" s="503"/>
    </row>
    <row r="1298" spans="1:7" ht="19.899999999999999" customHeight="1">
      <c r="A1298" s="501"/>
      <c r="B1298" s="160"/>
      <c r="C1298" s="451" t="s">
        <v>1002</v>
      </c>
      <c r="D1298" s="454" t="s">
        <v>999</v>
      </c>
      <c r="E1298" s="520">
        <f>SUMPRODUCT(D1287:D1296,E1287:E1296)</f>
        <v>0</v>
      </c>
      <c r="F1298" s="454" t="s">
        <v>1003</v>
      </c>
      <c r="G1298" s="521">
        <f>SUM(G1287:G1296)</f>
        <v>0</v>
      </c>
    </row>
    <row r="1299" spans="1:7" ht="19.899999999999999" customHeight="1">
      <c r="A1299" s="501"/>
      <c r="B1299" s="462"/>
      <c r="C1299" s="470"/>
      <c r="D1299" s="469"/>
      <c r="E1299" s="456"/>
      <c r="F1299" s="454"/>
      <c r="G1299" s="507"/>
    </row>
    <row r="1300" spans="1:7" ht="19.899999999999999" customHeight="1">
      <c r="A1300" s="508"/>
      <c r="B1300" s="462"/>
      <c r="C1300" s="454" t="s">
        <v>1004</v>
      </c>
      <c r="D1300" s="471"/>
      <c r="E1300" s="472" t="str">
        <f ca="1">G1282&amp;"/día"</f>
        <v>m2/día</v>
      </c>
      <c r="F1300" s="448"/>
      <c r="G1300" s="503"/>
    </row>
    <row r="1301" spans="1:7" ht="19.899999999999999" customHeight="1">
      <c r="A1301" s="501"/>
      <c r="B1301" s="462"/>
      <c r="C1301" s="160"/>
      <c r="D1301" s="455"/>
      <c r="E1301" s="456"/>
      <c r="F1301" s="454"/>
      <c r="G1301" s="503"/>
    </row>
    <row r="1302" spans="1:7" ht="19.899999999999999" customHeight="1">
      <c r="A1302" s="637" t="s">
        <v>575</v>
      </c>
      <c r="B1302" s="638"/>
      <c r="C1302" s="639" t="s">
        <v>0</v>
      </c>
      <c r="D1302" s="647" t="s">
        <v>1863</v>
      </c>
      <c r="E1302" s="647" t="s">
        <v>1862</v>
      </c>
      <c r="F1302" s="643" t="s">
        <v>1005</v>
      </c>
      <c r="G1302" s="645" t="s">
        <v>25</v>
      </c>
    </row>
    <row r="1303" spans="1:7" ht="19.899999999999999" customHeight="1">
      <c r="A1303" s="473" t="s">
        <v>576</v>
      </c>
      <c r="B1303" s="473" t="s">
        <v>577</v>
      </c>
      <c r="C1303" s="640"/>
      <c r="D1303" s="648"/>
      <c r="E1303" s="642"/>
      <c r="F1303" s="644"/>
      <c r="G1303" s="646"/>
    </row>
    <row r="1304" spans="1:7" ht="19.899999999999999" customHeight="1">
      <c r="A1304" s="509"/>
      <c r="B1304" s="160"/>
      <c r="C1304" s="451" t="s">
        <v>1006</v>
      </c>
      <c r="D1304" s="456"/>
      <c r="E1304" s="456"/>
      <c r="F1304" s="160"/>
      <c r="G1304" s="510"/>
    </row>
    <row r="1305" spans="1:7" ht="19.899999999999999" customHeight="1">
      <c r="A1305" s="511">
        <f t="shared" ref="A1305:A1313" si="369">IFERROR(VLOOKUP(C1305,T_Insumos,4,FALSE),0)</f>
        <v>0</v>
      </c>
      <c r="B1305" s="474">
        <f t="shared" ref="B1305:B1313" si="370">IFERROR(VLOOKUP(C1305,T_Insumos,5,FALSE),0)</f>
        <v>0</v>
      </c>
      <c r="C1305" s="465"/>
      <c r="D1305" s="475">
        <f t="shared" ref="D1305:D1313" si="371">IFERROR(VLOOKUP(C1305,T_Insumos,3,FALSE),0)</f>
        <v>0</v>
      </c>
      <c r="E1305" s="468">
        <f>D1305*$G$323</f>
        <v>0</v>
      </c>
      <c r="F1305" s="471">
        <f>+$D$325</f>
        <v>0</v>
      </c>
      <c r="G1305" s="468">
        <f>IFERROR(ROUND(E1305/F1305,2),0)</f>
        <v>0</v>
      </c>
    </row>
    <row r="1306" spans="1:7" ht="19.899999999999999" customHeight="1">
      <c r="A1306" s="511"/>
      <c r="B1306" s="474"/>
      <c r="C1306" s="465"/>
      <c r="D1306" s="475">
        <f t="shared" si="371"/>
        <v>0</v>
      </c>
      <c r="E1306" s="468">
        <f>D1306*$G$323</f>
        <v>0</v>
      </c>
      <c r="F1306" s="471">
        <f t="shared" ref="F1306:F1308" si="372">+$D$325</f>
        <v>0</v>
      </c>
      <c r="G1306" s="468">
        <f t="shared" ref="G1306:G1313" si="373">IFERROR(ROUND(E1306/F1306,2),0)</f>
        <v>0</v>
      </c>
    </row>
    <row r="1307" spans="1:7" ht="19.899999999999999" customHeight="1">
      <c r="A1307" s="511">
        <f t="shared" ref="A1307:A1315" si="374">IFERROR(VLOOKUP(C1307,T_Insumos,4,FALSE),0)</f>
        <v>0</v>
      </c>
      <c r="B1307" s="474">
        <f t="shared" ref="B1307:B1315" si="375">IFERROR(VLOOKUP(C1307,T_Insumos,5,FALSE),0)</f>
        <v>0</v>
      </c>
      <c r="C1307" s="476"/>
      <c r="D1307" s="475">
        <f t="shared" si="371"/>
        <v>0</v>
      </c>
      <c r="E1307" s="468">
        <f>D1307*$E$323</f>
        <v>0</v>
      </c>
      <c r="F1307" s="471">
        <f t="shared" si="372"/>
        <v>0</v>
      </c>
      <c r="G1307" s="468">
        <f t="shared" si="373"/>
        <v>0</v>
      </c>
    </row>
    <row r="1308" spans="1:7" ht="19.899999999999999" customHeight="1">
      <c r="A1308" s="511">
        <f t="shared" si="374"/>
        <v>0</v>
      </c>
      <c r="B1308" s="474">
        <f t="shared" si="375"/>
        <v>0</v>
      </c>
      <c r="C1308" s="476"/>
      <c r="D1308" s="475">
        <f t="shared" si="371"/>
        <v>0</v>
      </c>
      <c r="E1308" s="468">
        <f>D1308*$E$323</f>
        <v>0</v>
      </c>
      <c r="F1308" s="471">
        <f t="shared" si="372"/>
        <v>0</v>
      </c>
      <c r="G1308" s="468">
        <f t="shared" si="373"/>
        <v>0</v>
      </c>
    </row>
    <row r="1309" spans="1:7" ht="19.899999999999999" customHeight="1">
      <c r="A1309" s="511">
        <f t="shared" si="374"/>
        <v>0</v>
      </c>
      <c r="B1309" s="474">
        <f t="shared" si="375"/>
        <v>0</v>
      </c>
      <c r="C1309" s="476"/>
      <c r="D1309" s="475">
        <f t="shared" si="371"/>
        <v>0</v>
      </c>
      <c r="E1309" s="468"/>
      <c r="F1309" s="471">
        <f>IF(C1309="",0,IFERROR(VLOOKUP(COUNTIF($A$1:A1309,"ANALISIS DE PRECIOS"),T_Rendimiento_Equipo,5,FALSE),0))</f>
        <v>0</v>
      </c>
      <c r="G1309" s="468">
        <f t="shared" si="373"/>
        <v>0</v>
      </c>
    </row>
    <row r="1310" spans="1:7" ht="19.899999999999999" customHeight="1">
      <c r="A1310" s="511">
        <f t="shared" si="374"/>
        <v>0</v>
      </c>
      <c r="B1310" s="474">
        <f t="shared" si="375"/>
        <v>0</v>
      </c>
      <c r="C1310" s="476"/>
      <c r="D1310" s="475">
        <f t="shared" si="371"/>
        <v>0</v>
      </c>
      <c r="E1310" s="468"/>
      <c r="F1310" s="471">
        <f>IF(C1310="",0,IFERROR(VLOOKUP(COUNTIF($A$1:A1310,"ANALISIS DE PRECIOS"),T_Rendimiento_Equipo,5,FALSE),0))</f>
        <v>0</v>
      </c>
      <c r="G1310" s="468">
        <f t="shared" si="373"/>
        <v>0</v>
      </c>
    </row>
    <row r="1311" spans="1:7" ht="19.899999999999999" customHeight="1">
      <c r="A1311" s="511">
        <f t="shared" si="374"/>
        <v>0</v>
      </c>
      <c r="B1311" s="474">
        <f t="shared" si="375"/>
        <v>0</v>
      </c>
      <c r="C1311" s="476"/>
      <c r="D1311" s="475">
        <f t="shared" si="371"/>
        <v>0</v>
      </c>
      <c r="E1311" s="468"/>
      <c r="F1311" s="471">
        <f>IF(C1311="",0,IFERROR(VLOOKUP(COUNTIF($A$1:A1311,"ANALISIS DE PRECIOS"),T_Rendimiento_Equipo,5,FALSE),0))</f>
        <v>0</v>
      </c>
      <c r="G1311" s="468">
        <f t="shared" si="373"/>
        <v>0</v>
      </c>
    </row>
    <row r="1312" spans="1:7" ht="19.899999999999999" customHeight="1">
      <c r="A1312" s="511">
        <f t="shared" si="374"/>
        <v>0</v>
      </c>
      <c r="B1312" s="474">
        <f t="shared" si="375"/>
        <v>0</v>
      </c>
      <c r="C1312" s="476"/>
      <c r="D1312" s="475">
        <f t="shared" si="371"/>
        <v>0</v>
      </c>
      <c r="E1312" s="468"/>
      <c r="F1312" s="471">
        <f>IF(C1312="",0,IFERROR(VLOOKUP(COUNTIF($A$1:A1312,"ANALISIS DE PRECIOS"),T_Rendimiento_Equipo,5,FALSE),0))</f>
        <v>0</v>
      </c>
      <c r="G1312" s="468">
        <f t="shared" si="373"/>
        <v>0</v>
      </c>
    </row>
    <row r="1313" spans="1:7" ht="19.899999999999999" customHeight="1">
      <c r="A1313" s="511">
        <f t="shared" si="374"/>
        <v>0</v>
      </c>
      <c r="B1313" s="474">
        <f t="shared" si="375"/>
        <v>0</v>
      </c>
      <c r="C1313" s="465"/>
      <c r="D1313" s="475">
        <f t="shared" si="371"/>
        <v>0</v>
      </c>
      <c r="E1313" s="468"/>
      <c r="F1313" s="471">
        <f>IF(C1313="",0,IFERROR(VLOOKUP(COUNTIF($A$1:A1313,"ANALISIS DE PRECIOS"),T_Rendimiento_Equipo,5,FALSE),0))</f>
        <v>0</v>
      </c>
      <c r="G1313" s="468">
        <f t="shared" si="373"/>
        <v>0</v>
      </c>
    </row>
    <row r="1314" spans="1:7" ht="19.899999999999999" customHeight="1">
      <c r="A1314" s="512"/>
      <c r="B1314" s="455"/>
      <c r="C1314" s="160"/>
      <c r="D1314" s="455"/>
      <c r="E1314" s="456"/>
      <c r="F1314" s="615" t="s">
        <v>26</v>
      </c>
      <c r="G1314" s="513">
        <f>SUBTOTAL(9,G1305:G1313)</f>
        <v>0</v>
      </c>
    </row>
    <row r="1315" spans="1:7" ht="19.899999999999999" customHeight="1">
      <c r="A1315" s="509"/>
      <c r="B1315" s="160"/>
      <c r="C1315" s="451" t="s">
        <v>712</v>
      </c>
      <c r="D1315" s="455"/>
      <c r="E1315" s="456"/>
      <c r="F1315" s="457"/>
      <c r="G1315" s="510"/>
    </row>
    <row r="1316" spans="1:7" ht="19.899999999999999" customHeight="1">
      <c r="A1316" s="637" t="s">
        <v>575</v>
      </c>
      <c r="B1316" s="638"/>
      <c r="C1316" s="639" t="s">
        <v>0</v>
      </c>
      <c r="D1316" s="641" t="s">
        <v>23</v>
      </c>
      <c r="E1316" s="641" t="s">
        <v>1829</v>
      </c>
      <c r="F1316" s="643" t="s">
        <v>1005</v>
      </c>
      <c r="G1316" s="645" t="s">
        <v>25</v>
      </c>
    </row>
    <row r="1317" spans="1:7" ht="19.899999999999999" customHeight="1">
      <c r="A1317" s="473" t="s">
        <v>576</v>
      </c>
      <c r="B1317" s="473" t="s">
        <v>577</v>
      </c>
      <c r="C1317" s="640"/>
      <c r="D1317" s="642"/>
      <c r="E1317" s="642"/>
      <c r="F1317" s="644"/>
      <c r="G1317" s="646"/>
    </row>
    <row r="1318" spans="1:7" ht="19.899999999999999" customHeight="1">
      <c r="A1318" s="511"/>
      <c r="B1318" s="474"/>
      <c r="C1318" s="478"/>
      <c r="D1318" s="471"/>
      <c r="E1318" s="468">
        <f t="shared" ref="E1318:E1322" si="376">IFERROR(VLOOKUP(C1318,T_Insumos,3,FALSE),0)</f>
        <v>0</v>
      </c>
      <c r="F1318" s="471">
        <f>+$D$325</f>
        <v>0</v>
      </c>
      <c r="G1318" s="468">
        <f>IFERROR(ROUND(D1318*E1318/F1318,2),0)</f>
        <v>0</v>
      </c>
    </row>
    <row r="1319" spans="1:7" ht="19.899999999999999" customHeight="1">
      <c r="A1319" s="511"/>
      <c r="B1319" s="474"/>
      <c r="C1319" s="465"/>
      <c r="D1319" s="471"/>
      <c r="E1319" s="468">
        <f t="shared" si="376"/>
        <v>0</v>
      </c>
      <c r="F1319" s="471">
        <f t="shared" ref="F1319:F1323" si="377">+$D$325</f>
        <v>0</v>
      </c>
      <c r="G1319" s="468">
        <f t="shared" ref="G1319:G1324" si="378">IFERROR(ROUND(D1319*E1319/F1319,2),0)</f>
        <v>0</v>
      </c>
    </row>
    <row r="1320" spans="1:7" ht="19.899999999999999" customHeight="1">
      <c r="A1320" s="511"/>
      <c r="B1320" s="474"/>
      <c r="C1320" s="465"/>
      <c r="D1320" s="471"/>
      <c r="E1320" s="468">
        <f t="shared" si="376"/>
        <v>0</v>
      </c>
      <c r="F1320" s="471">
        <f t="shared" si="377"/>
        <v>0</v>
      </c>
      <c r="G1320" s="468">
        <f t="shared" si="378"/>
        <v>0</v>
      </c>
    </row>
    <row r="1321" spans="1:7" ht="19.899999999999999" customHeight="1">
      <c r="A1321" s="511"/>
      <c r="B1321" s="474"/>
      <c r="C1321" s="465"/>
      <c r="D1321" s="471"/>
      <c r="E1321" s="468">
        <f t="shared" si="376"/>
        <v>0</v>
      </c>
      <c r="F1321" s="471">
        <f t="shared" si="377"/>
        <v>0</v>
      </c>
      <c r="G1321" s="468">
        <f t="shared" si="378"/>
        <v>0</v>
      </c>
    </row>
    <row r="1322" spans="1:7" ht="19.899999999999999" customHeight="1">
      <c r="A1322" s="511">
        <f t="shared" ref="A1322:A1324" si="379">IFERROR(VLOOKUP(C1322,T_Insumos,4,FALSE),0)</f>
        <v>0</v>
      </c>
      <c r="B1322" s="474">
        <f t="shared" ref="B1322:B1324" si="380">IFERROR(VLOOKUP(C1322,T_Insumos,5,FALSE),0)</f>
        <v>0</v>
      </c>
      <c r="C1322" s="465"/>
      <c r="D1322" s="471"/>
      <c r="E1322" s="468">
        <f t="shared" si="376"/>
        <v>0</v>
      </c>
      <c r="F1322" s="471">
        <f>IF(C1322="",0,IFERROR(VLOOKUP(COUNTIF($A$1:A1322,"ANALISIS DE PRECIOS"),T_Rendimiento_Equipo,5,FALSE),0))</f>
        <v>0</v>
      </c>
      <c r="G1322" s="468">
        <f t="shared" si="378"/>
        <v>0</v>
      </c>
    </row>
    <row r="1323" spans="1:7" ht="19.899999999999999" customHeight="1">
      <c r="A1323" s="511">
        <f t="shared" si="379"/>
        <v>0</v>
      </c>
      <c r="B1323" s="474">
        <f t="shared" si="380"/>
        <v>0</v>
      </c>
      <c r="C1323" s="465"/>
      <c r="D1323" s="479"/>
      <c r="E1323" s="468">
        <f>SUMPRODUCT(D1318:D1321,E1318:E1321)</f>
        <v>0</v>
      </c>
      <c r="F1323" s="471">
        <f t="shared" si="377"/>
        <v>0</v>
      </c>
      <c r="G1323" s="468">
        <f t="shared" si="378"/>
        <v>0</v>
      </c>
    </row>
    <row r="1324" spans="1:7" ht="19.899999999999999" customHeight="1">
      <c r="A1324" s="511">
        <f t="shared" si="379"/>
        <v>0</v>
      </c>
      <c r="B1324" s="474">
        <f t="shared" si="380"/>
        <v>0</v>
      </c>
      <c r="C1324" s="474"/>
      <c r="D1324" s="480"/>
      <c r="E1324" s="468">
        <f t="shared" ref="E1324:E1326" si="381">IFERROR(VLOOKUP(C1324,T_Insumos,3,FALSE),0)</f>
        <v>0</v>
      </c>
      <c r="F1324" s="471">
        <f>IF(C1324="",0,IFERROR(VLOOKUP(COUNTIF($A$1:A1324,"ANALISIS DE PRECIOS"),T_Rendimiento_Equipo,5,FALSE),0))</f>
        <v>0</v>
      </c>
      <c r="G1324" s="468">
        <f t="shared" si="378"/>
        <v>0</v>
      </c>
    </row>
    <row r="1325" spans="1:7" ht="19.899999999999999" customHeight="1">
      <c r="A1325" s="512"/>
      <c r="B1325" s="455"/>
      <c r="C1325" s="160"/>
      <c r="D1325" s="455"/>
      <c r="E1325" s="456"/>
      <c r="F1325" s="615" t="s">
        <v>27</v>
      </c>
      <c r="G1325" s="514">
        <f>SUBTOTAL(9,G1318:G1324)</f>
        <v>0</v>
      </c>
    </row>
    <row r="1326" spans="1:7" ht="19.899999999999999" customHeight="1">
      <c r="A1326" s="509"/>
      <c r="B1326" s="160"/>
      <c r="C1326" s="451" t="s">
        <v>1012</v>
      </c>
      <c r="D1326" s="455"/>
      <c r="E1326" s="456"/>
      <c r="F1326" s="457"/>
      <c r="G1326" s="510"/>
    </row>
    <row r="1327" spans="1:7" ht="19.899999999999999" customHeight="1">
      <c r="A1327" s="637" t="s">
        <v>575</v>
      </c>
      <c r="B1327" s="638"/>
      <c r="C1327" s="639" t="s">
        <v>0</v>
      </c>
      <c r="D1327" s="639" t="s">
        <v>1864</v>
      </c>
      <c r="E1327" s="641" t="s">
        <v>23</v>
      </c>
      <c r="F1327" s="643" t="s">
        <v>24</v>
      </c>
      <c r="G1327" s="645" t="s">
        <v>25</v>
      </c>
    </row>
    <row r="1328" spans="1:7" ht="19.899999999999999" customHeight="1">
      <c r="A1328" s="473" t="s">
        <v>576</v>
      </c>
      <c r="B1328" s="473" t="s">
        <v>577</v>
      </c>
      <c r="C1328" s="640"/>
      <c r="D1328" s="640"/>
      <c r="E1328" s="642"/>
      <c r="F1328" s="644"/>
      <c r="G1328" s="646"/>
    </row>
    <row r="1329" spans="1:7" ht="19.899999999999999" customHeight="1">
      <c r="A1329" s="511">
        <f t="shared" ref="A1329:A1339" si="382">IFERROR(VLOOKUP(C1329,T_Insumos,4,FALSE),0)</f>
        <v>0</v>
      </c>
      <c r="B1329" s="474">
        <f t="shared" ref="B1329:B1339" si="383">IFERROR(VLOOKUP(C1329,T_Insumos,5,FALSE),0)</f>
        <v>0</v>
      </c>
      <c r="C1329" s="474"/>
      <c r="D1329" s="522">
        <f t="shared" ref="D1329:D1339" si="384">IFERROR(VLOOKUP(C1329,T_Insumos,2,FALSE),0)</f>
        <v>0</v>
      </c>
      <c r="E1329" s="466"/>
      <c r="F1329" s="468">
        <f t="shared" ref="F1329:F1339" si="385">IFERROR(VLOOKUP(C1329,T_Insumos,3,FALSE),0)</f>
        <v>0</v>
      </c>
      <c r="G1329" s="468">
        <f>ROUND(E1329*F1329,2)</f>
        <v>0</v>
      </c>
    </row>
    <row r="1330" spans="1:7" ht="19.899999999999999" customHeight="1">
      <c r="A1330" s="511">
        <f t="shared" si="382"/>
        <v>0</v>
      </c>
      <c r="B1330" s="474">
        <f t="shared" si="383"/>
        <v>0</v>
      </c>
      <c r="C1330" s="474"/>
      <c r="D1330" s="522">
        <f t="shared" si="384"/>
        <v>0</v>
      </c>
      <c r="E1330" s="466"/>
      <c r="F1330" s="468">
        <f t="shared" si="385"/>
        <v>0</v>
      </c>
      <c r="G1330" s="468">
        <f t="shared" ref="G1330:G1339" si="386">ROUND(E1330*F1330,2)</f>
        <v>0</v>
      </c>
    </row>
    <row r="1331" spans="1:7" ht="19.899999999999999" customHeight="1">
      <c r="A1331" s="511">
        <f t="shared" si="382"/>
        <v>0</v>
      </c>
      <c r="B1331" s="474">
        <f t="shared" si="383"/>
        <v>0</v>
      </c>
      <c r="C1331" s="474"/>
      <c r="D1331" s="522">
        <f t="shared" si="384"/>
        <v>0</v>
      </c>
      <c r="E1331" s="466"/>
      <c r="F1331" s="468">
        <f t="shared" si="385"/>
        <v>0</v>
      </c>
      <c r="G1331" s="468">
        <f t="shared" si="386"/>
        <v>0</v>
      </c>
    </row>
    <row r="1332" spans="1:7" ht="19.899999999999999" customHeight="1">
      <c r="A1332" s="511">
        <f t="shared" si="382"/>
        <v>0</v>
      </c>
      <c r="B1332" s="474">
        <f t="shared" si="383"/>
        <v>0</v>
      </c>
      <c r="C1332" s="474"/>
      <c r="D1332" s="522">
        <f t="shared" si="384"/>
        <v>0</v>
      </c>
      <c r="E1332" s="466"/>
      <c r="F1332" s="468">
        <f t="shared" si="385"/>
        <v>0</v>
      </c>
      <c r="G1332" s="468">
        <f t="shared" si="386"/>
        <v>0</v>
      </c>
    </row>
    <row r="1333" spans="1:7" ht="19.899999999999999" customHeight="1">
      <c r="A1333" s="511">
        <f t="shared" si="382"/>
        <v>0</v>
      </c>
      <c r="B1333" s="474">
        <f t="shared" si="383"/>
        <v>0</v>
      </c>
      <c r="C1333" s="474"/>
      <c r="D1333" s="522">
        <f t="shared" si="384"/>
        <v>0</v>
      </c>
      <c r="E1333" s="466"/>
      <c r="F1333" s="468">
        <f t="shared" si="385"/>
        <v>0</v>
      </c>
      <c r="G1333" s="468">
        <f t="shared" si="386"/>
        <v>0</v>
      </c>
    </row>
    <row r="1334" spans="1:7" ht="19.899999999999999" customHeight="1">
      <c r="A1334" s="511">
        <f t="shared" si="382"/>
        <v>0</v>
      </c>
      <c r="B1334" s="474">
        <f t="shared" si="383"/>
        <v>0</v>
      </c>
      <c r="C1334" s="474"/>
      <c r="D1334" s="522">
        <f t="shared" si="384"/>
        <v>0</v>
      </c>
      <c r="E1334" s="466"/>
      <c r="F1334" s="468">
        <f t="shared" si="385"/>
        <v>0</v>
      </c>
      <c r="G1334" s="468">
        <f t="shared" si="386"/>
        <v>0</v>
      </c>
    </row>
    <row r="1335" spans="1:7" ht="19.899999999999999" customHeight="1">
      <c r="A1335" s="511">
        <f t="shared" si="382"/>
        <v>0</v>
      </c>
      <c r="B1335" s="474">
        <f t="shared" si="383"/>
        <v>0</v>
      </c>
      <c r="C1335" s="474"/>
      <c r="D1335" s="522">
        <f t="shared" si="384"/>
        <v>0</v>
      </c>
      <c r="E1335" s="466"/>
      <c r="F1335" s="468">
        <f t="shared" si="385"/>
        <v>0</v>
      </c>
      <c r="G1335" s="468">
        <f t="shared" si="386"/>
        <v>0</v>
      </c>
    </row>
    <row r="1336" spans="1:7" ht="19.899999999999999" customHeight="1">
      <c r="A1336" s="511">
        <f t="shared" si="382"/>
        <v>0</v>
      </c>
      <c r="B1336" s="474">
        <f t="shared" si="383"/>
        <v>0</v>
      </c>
      <c r="C1336" s="474"/>
      <c r="D1336" s="522">
        <f t="shared" si="384"/>
        <v>0</v>
      </c>
      <c r="E1336" s="466"/>
      <c r="F1336" s="468">
        <f t="shared" si="385"/>
        <v>0</v>
      </c>
      <c r="G1336" s="468">
        <f t="shared" si="386"/>
        <v>0</v>
      </c>
    </row>
    <row r="1337" spans="1:7" ht="19.899999999999999" customHeight="1">
      <c r="A1337" s="511">
        <f t="shared" si="382"/>
        <v>0</v>
      </c>
      <c r="B1337" s="474">
        <f t="shared" si="383"/>
        <v>0</v>
      </c>
      <c r="C1337" s="474"/>
      <c r="D1337" s="522">
        <f t="shared" si="384"/>
        <v>0</v>
      </c>
      <c r="E1337" s="466"/>
      <c r="F1337" s="468">
        <f t="shared" si="385"/>
        <v>0</v>
      </c>
      <c r="G1337" s="468">
        <f t="shared" si="386"/>
        <v>0</v>
      </c>
    </row>
    <row r="1338" spans="1:7" ht="19.899999999999999" customHeight="1">
      <c r="A1338" s="511">
        <f t="shared" si="382"/>
        <v>0</v>
      </c>
      <c r="B1338" s="474">
        <f t="shared" si="383"/>
        <v>0</v>
      </c>
      <c r="C1338" s="474"/>
      <c r="D1338" s="522">
        <f t="shared" si="384"/>
        <v>0</v>
      </c>
      <c r="E1338" s="466"/>
      <c r="F1338" s="468">
        <f t="shared" si="385"/>
        <v>0</v>
      </c>
      <c r="G1338" s="468">
        <f t="shared" si="386"/>
        <v>0</v>
      </c>
    </row>
    <row r="1339" spans="1:7" ht="19.899999999999999" customHeight="1">
      <c r="A1339" s="511">
        <f t="shared" si="382"/>
        <v>0</v>
      </c>
      <c r="B1339" s="474">
        <f t="shared" si="383"/>
        <v>0</v>
      </c>
      <c r="C1339" s="474"/>
      <c r="D1339" s="522">
        <f t="shared" si="384"/>
        <v>0</v>
      </c>
      <c r="E1339" s="466"/>
      <c r="F1339" s="468">
        <f t="shared" si="385"/>
        <v>0</v>
      </c>
      <c r="G1339" s="468">
        <f t="shared" si="386"/>
        <v>0</v>
      </c>
    </row>
    <row r="1340" spans="1:7" ht="19.899999999999999" customHeight="1">
      <c r="A1340" s="509"/>
      <c r="B1340" s="160"/>
      <c r="C1340" s="160"/>
      <c r="D1340" s="455"/>
      <c r="E1340" s="456"/>
      <c r="F1340" s="615" t="s">
        <v>28</v>
      </c>
      <c r="G1340" s="514">
        <f>SUBTOTAL(9,G1329:G1339)</f>
        <v>0</v>
      </c>
    </row>
    <row r="1341" spans="1:7" ht="19.899999999999999" customHeight="1">
      <c r="A1341" s="509"/>
      <c r="B1341" s="160"/>
      <c r="C1341" s="451" t="s">
        <v>1013</v>
      </c>
      <c r="D1341" s="455"/>
      <c r="E1341" s="456"/>
      <c r="F1341" s="457"/>
      <c r="G1341" s="510"/>
    </row>
    <row r="1342" spans="1:7" ht="19.899999999999999" customHeight="1">
      <c r="A1342" s="637" t="s">
        <v>575</v>
      </c>
      <c r="B1342" s="638"/>
      <c r="C1342" s="639" t="s">
        <v>0</v>
      </c>
      <c r="D1342" s="639" t="s">
        <v>1864</v>
      </c>
      <c r="E1342" s="641" t="s">
        <v>23</v>
      </c>
      <c r="F1342" s="643" t="s">
        <v>24</v>
      </c>
      <c r="G1342" s="645" t="s">
        <v>25</v>
      </c>
    </row>
    <row r="1343" spans="1:7" ht="19.899999999999999" customHeight="1">
      <c r="A1343" s="473" t="s">
        <v>576</v>
      </c>
      <c r="B1343" s="473" t="s">
        <v>577</v>
      </c>
      <c r="C1343" s="640"/>
      <c r="D1343" s="640"/>
      <c r="E1343" s="642"/>
      <c r="F1343" s="644"/>
      <c r="G1343" s="646"/>
    </row>
    <row r="1344" spans="1:7" ht="19.899999999999999" customHeight="1">
      <c r="A1344" s="511">
        <f>IFERROR(VLOOKUP(C1344,T_Insumos,4,FALSE),0)</f>
        <v>0</v>
      </c>
      <c r="B1344" s="474">
        <f>IFERROR(VLOOKUP(C1344,T_Insumos,5,FALSE),0)</f>
        <v>0</v>
      </c>
      <c r="C1344" s="465"/>
      <c r="D1344" s="522">
        <f>IF(C1344=0,0,"$/tnkm")</f>
        <v>0</v>
      </c>
      <c r="E1344" s="466"/>
      <c r="F1344" s="468">
        <f>IFERROR(VLOOKUP(C1344,T_Insumos,3,FALSE),0)</f>
        <v>0</v>
      </c>
      <c r="G1344" s="468">
        <f>ROUND(E1344*F1344,2)</f>
        <v>0</v>
      </c>
    </row>
    <row r="1345" spans="1:7" ht="19.899999999999999" customHeight="1">
      <c r="A1345" s="511">
        <f>IFERROR(VLOOKUP(C1345,T_Insumos,4,FALSE),0)</f>
        <v>0</v>
      </c>
      <c r="B1345" s="474">
        <f>IFERROR(VLOOKUP(C1345,T_Insumos,5,FALSE),0)</f>
        <v>0</v>
      </c>
      <c r="C1345" s="465"/>
      <c r="D1345" s="522">
        <f>IF(C1345=0,0,"$/tnkm")</f>
        <v>0</v>
      </c>
      <c r="E1345" s="482"/>
      <c r="F1345" s="468">
        <f>IFERROR(VLOOKUP(C1345,T_Insumos,3,FALSE),0)</f>
        <v>0</v>
      </c>
      <c r="G1345" s="468">
        <f t="shared" ref="G1345" si="387">ROUND(E1345*F1345,2)</f>
        <v>0</v>
      </c>
    </row>
    <row r="1346" spans="1:7" ht="19.899999999999999" customHeight="1">
      <c r="A1346" s="509"/>
      <c r="B1346" s="160"/>
      <c r="C1346" s="160"/>
      <c r="D1346" s="455"/>
      <c r="E1346" s="456"/>
      <c r="F1346" s="615" t="s">
        <v>1014</v>
      </c>
      <c r="G1346" s="514">
        <f>SUBTOTAL(9,G1344:G1345)</f>
        <v>0</v>
      </c>
    </row>
    <row r="1347" spans="1:7" ht="19.899999999999999" customHeight="1">
      <c r="A1347" s="512"/>
      <c r="B1347" s="455"/>
      <c r="C1347" s="160"/>
      <c r="D1347" s="455"/>
      <c r="E1347" s="456"/>
      <c r="F1347" s="457"/>
      <c r="G1347" s="510"/>
    </row>
    <row r="1348" spans="1:7" ht="19.899999999999999" customHeight="1">
      <c r="A1348" s="570">
        <f>B1282</f>
        <v>3.7</v>
      </c>
      <c r="B1348" s="567" t="str">
        <f ca="1">C1282</f>
        <v>Limpieza Final</v>
      </c>
      <c r="C1348" s="455"/>
      <c r="D1348" s="455" t="s">
        <v>1830</v>
      </c>
      <c r="E1348" s="568"/>
      <c r="F1348" s="569" t="str">
        <f ca="1">"$/"&amp;G1282</f>
        <v>$/m2</v>
      </c>
      <c r="G1348" s="519">
        <f>SUBTOTAL(9,G1305:G1347)</f>
        <v>0</v>
      </c>
    </row>
    <row r="1349" spans="1:7" ht="19.899999999999999" customHeight="1">
      <c r="A1349" s="515"/>
      <c r="B1349" s="516"/>
      <c r="C1349" s="517"/>
      <c r="D1349" s="517" t="s">
        <v>2040</v>
      </c>
      <c r="E1349" s="518"/>
      <c r="F1349" s="571" t="str">
        <f ca="1">"$/"&amp;G1282</f>
        <v>$/m2</v>
      </c>
      <c r="G1349" s="519">
        <f>ROUND(G1348*Coeficiente_Paso,2)</f>
        <v>0</v>
      </c>
    </row>
    <row r="1350" spans="1:7" ht="19.899999999999999" customHeight="1">
      <c r="A1350" s="160"/>
      <c r="B1350" s="160"/>
      <c r="C1350" s="160"/>
      <c r="D1350" s="160"/>
      <c r="E1350" s="160"/>
      <c r="F1350" s="160"/>
      <c r="G1350" s="160"/>
    </row>
    <row r="1351" spans="1:7" ht="19.899999999999999" customHeight="1">
      <c r="A1351" s="633" t="s">
        <v>30</v>
      </c>
      <c r="B1351" s="634"/>
      <c r="C1351" s="634"/>
      <c r="D1351" s="634"/>
      <c r="E1351" s="634"/>
      <c r="F1351" s="634"/>
      <c r="G1351" s="635"/>
    </row>
    <row r="1352" spans="1:7" ht="19.899999999999999" customHeight="1">
      <c r="A1352" s="498" t="s">
        <v>710</v>
      </c>
      <c r="B1352" s="449" t="str">
        <f>Comitente</f>
        <v>DEPARTAMENTO DE HIDRAULICA</v>
      </c>
      <c r="C1352" s="450"/>
      <c r="D1352" s="451"/>
      <c r="E1352" s="451"/>
      <c r="F1352" s="452"/>
      <c r="G1352" s="499"/>
    </row>
    <row r="1353" spans="1:7" ht="19.899999999999999" customHeight="1">
      <c r="A1353" s="498" t="s">
        <v>711</v>
      </c>
      <c r="B1353" s="449">
        <f>Contratista</f>
        <v>0</v>
      </c>
      <c r="C1353" s="453"/>
      <c r="D1353" s="453"/>
      <c r="E1353" s="453"/>
      <c r="F1353" s="449"/>
      <c r="G1353" s="500"/>
    </row>
    <row r="1354" spans="1:7" ht="19.899999999999999" customHeight="1">
      <c r="A1354" s="498" t="s">
        <v>20</v>
      </c>
      <c r="B1354" s="449" t="str">
        <f>Obra</f>
        <v>EJECUCION DE PERFORACION - SISTEMA DE RIEGO</v>
      </c>
      <c r="C1354" s="453"/>
      <c r="D1354" s="453"/>
      <c r="E1354" s="453"/>
      <c r="F1354" s="449" t="s">
        <v>31</v>
      </c>
      <c r="G1354" s="500">
        <f>Fecha_Base</f>
        <v>0</v>
      </c>
    </row>
    <row r="1355" spans="1:7" ht="19.899999999999999" customHeight="1">
      <c r="A1355" s="501" t="s">
        <v>709</v>
      </c>
      <c r="B1355" s="454" t="str">
        <f>Ubicación</f>
        <v>DEPARTAMENTO CHIMBAS</v>
      </c>
      <c r="C1355" s="454"/>
      <c r="D1355" s="455"/>
      <c r="E1355" s="456"/>
      <c r="F1355" s="457"/>
      <c r="G1355" s="502"/>
    </row>
    <row r="1356" spans="1:7" ht="19.899999999999999" customHeight="1">
      <c r="A1356" s="501" t="s">
        <v>32</v>
      </c>
      <c r="B1356" s="458">
        <f>IFERROR(VALUE(LEFT(B1357,FIND(".",B1357)-1)),"")</f>
        <v>4</v>
      </c>
      <c r="C1356" s="160" t="str">
        <f ca="1">IFERROR(VLOOKUP(B1356,T_Computo_Presupuesto,2,FALSE),0)</f>
        <v>CUENCO DE VERTIDO</v>
      </c>
      <c r="D1356" s="160"/>
      <c r="E1356" s="456"/>
      <c r="F1356" s="457"/>
      <c r="G1356" s="502"/>
    </row>
    <row r="1357" spans="1:7" ht="19.899999999999999" customHeight="1">
      <c r="A1357" s="501" t="s">
        <v>21</v>
      </c>
      <c r="B1357" s="459">
        <f>IFERROR(VLOOKUP(COUNTIF($A$1:A1357,"ANALISIS DE PRECIOS"),T_NumeroItem,2,FALSE),"")</f>
        <v>4.0999999999999996</v>
      </c>
      <c r="C1357" s="636" t="str">
        <f ca="1">IFERROR(VLOOKUP(B1357,T_Computo_Presupuesto,2,FALSE),0)</f>
        <v>Estructura de Hormigon Armado H17</v>
      </c>
      <c r="D1357" s="636"/>
      <c r="E1357" s="636"/>
      <c r="F1357" s="454" t="s">
        <v>22</v>
      </c>
      <c r="G1357" s="503" t="str">
        <f ca="1">IFERROR(VLOOKUP(B1357,T_Computo_Presupuesto,4,FALSE),0)</f>
        <v>m3</v>
      </c>
    </row>
    <row r="1358" spans="1:7" ht="19.899999999999999" customHeight="1">
      <c r="A1358" s="501"/>
      <c r="B1358" s="454"/>
      <c r="C1358" s="160"/>
      <c r="D1358" s="455"/>
      <c r="E1358" s="456"/>
      <c r="F1358" s="160"/>
      <c r="G1358" s="504"/>
    </row>
    <row r="1359" spans="1:7" ht="19.899999999999999" customHeight="1">
      <c r="A1359" s="505"/>
      <c r="B1359" s="460"/>
      <c r="C1359" s="461" t="s">
        <v>997</v>
      </c>
      <c r="D1359" s="460"/>
      <c r="E1359" s="460"/>
      <c r="F1359" s="460"/>
      <c r="G1359" s="506"/>
    </row>
    <row r="1360" spans="1:7" ht="19.899999999999999" customHeight="1">
      <c r="A1360" s="501"/>
      <c r="B1360" s="462"/>
      <c r="C1360" s="160"/>
      <c r="D1360" s="455"/>
      <c r="E1360" s="456"/>
      <c r="F1360" s="454"/>
      <c r="G1360" s="503"/>
    </row>
    <row r="1361" spans="1:7" ht="19.899999999999999" customHeight="1">
      <c r="A1361" s="501"/>
      <c r="B1361" s="462"/>
      <c r="C1361" s="463" t="s">
        <v>998</v>
      </c>
      <c r="D1361" s="464" t="s">
        <v>23</v>
      </c>
      <c r="E1361" s="464" t="s">
        <v>999</v>
      </c>
      <c r="F1361" s="464" t="s">
        <v>1000</v>
      </c>
      <c r="G1361" s="463" t="s">
        <v>1001</v>
      </c>
    </row>
    <row r="1362" spans="1:7" ht="19.899999999999999" customHeight="1">
      <c r="A1362" s="501"/>
      <c r="B1362" s="462"/>
      <c r="C1362" s="465"/>
      <c r="D1362" s="466"/>
      <c r="E1362" s="467">
        <f t="shared" ref="E1362:E1371" si="388">IFERROR(VLOOKUP(C1362,T_Equipos,4,FALSE),0)</f>
        <v>0</v>
      </c>
      <c r="F1362" s="468"/>
      <c r="G1362" s="468">
        <f>ROUND(D1362*F1362,2)</f>
        <v>0</v>
      </c>
    </row>
    <row r="1363" spans="1:7" ht="19.899999999999999" customHeight="1">
      <c r="A1363" s="501"/>
      <c r="B1363" s="462"/>
      <c r="C1363" s="465"/>
      <c r="D1363" s="466"/>
      <c r="E1363" s="467">
        <f t="shared" si="388"/>
        <v>0</v>
      </c>
      <c r="F1363" s="468"/>
      <c r="G1363" s="468">
        <f>ROUND(D1363*F1363,2)</f>
        <v>0</v>
      </c>
    </row>
    <row r="1364" spans="1:7" ht="19.899999999999999" customHeight="1">
      <c r="A1364" s="501"/>
      <c r="B1364" s="462"/>
      <c r="C1364" s="465"/>
      <c r="D1364" s="466"/>
      <c r="E1364" s="467">
        <f t="shared" si="388"/>
        <v>0</v>
      </c>
      <c r="F1364" s="468"/>
      <c r="G1364" s="468">
        <f>ROUND(D1364*F1364,2)</f>
        <v>0</v>
      </c>
    </row>
    <row r="1365" spans="1:7" ht="19.899999999999999" customHeight="1">
      <c r="A1365" s="501"/>
      <c r="B1365" s="462"/>
      <c r="C1365" s="465"/>
      <c r="D1365" s="466"/>
      <c r="E1365" s="467">
        <f t="shared" si="388"/>
        <v>0</v>
      </c>
      <c r="F1365" s="468"/>
      <c r="G1365" s="468">
        <f>ROUND(D1365*F1365,2)</f>
        <v>0</v>
      </c>
    </row>
    <row r="1366" spans="1:7" ht="19.899999999999999" customHeight="1">
      <c r="A1366" s="501"/>
      <c r="B1366" s="462"/>
      <c r="C1366" s="465"/>
      <c r="D1366" s="466"/>
      <c r="E1366" s="467">
        <f t="shared" si="388"/>
        <v>0</v>
      </c>
      <c r="F1366" s="468"/>
      <c r="G1366" s="468">
        <f t="shared" ref="G1366:G1371" si="389">ROUND(D1366*F1366,2)</f>
        <v>0</v>
      </c>
    </row>
    <row r="1367" spans="1:7" ht="19.899999999999999" customHeight="1">
      <c r="A1367" s="501"/>
      <c r="B1367" s="462"/>
      <c r="C1367" s="465"/>
      <c r="D1367" s="466"/>
      <c r="E1367" s="467">
        <f t="shared" si="388"/>
        <v>0</v>
      </c>
      <c r="F1367" s="468">
        <f t="shared" ref="F1367:F1371" si="390">IFERROR(VLOOKUP(C1367,T_Equipos,5,FALSE),0)</f>
        <v>0</v>
      </c>
      <c r="G1367" s="468">
        <f t="shared" si="389"/>
        <v>0</v>
      </c>
    </row>
    <row r="1368" spans="1:7" ht="19.899999999999999" customHeight="1">
      <c r="A1368" s="501"/>
      <c r="B1368" s="462"/>
      <c r="C1368" s="465"/>
      <c r="D1368" s="466"/>
      <c r="E1368" s="467">
        <f t="shared" si="388"/>
        <v>0</v>
      </c>
      <c r="F1368" s="468">
        <f t="shared" si="390"/>
        <v>0</v>
      </c>
      <c r="G1368" s="468">
        <f t="shared" si="389"/>
        <v>0</v>
      </c>
    </row>
    <row r="1369" spans="1:7" ht="19.899999999999999" customHeight="1">
      <c r="A1369" s="501"/>
      <c r="B1369" s="462"/>
      <c r="C1369" s="465"/>
      <c r="D1369" s="466"/>
      <c r="E1369" s="467">
        <f t="shared" si="388"/>
        <v>0</v>
      </c>
      <c r="F1369" s="468">
        <f t="shared" si="390"/>
        <v>0</v>
      </c>
      <c r="G1369" s="468">
        <f t="shared" si="389"/>
        <v>0</v>
      </c>
    </row>
    <row r="1370" spans="1:7" ht="19.899999999999999" customHeight="1">
      <c r="A1370" s="501"/>
      <c r="B1370" s="462"/>
      <c r="C1370" s="465"/>
      <c r="D1370" s="466"/>
      <c r="E1370" s="467">
        <f t="shared" si="388"/>
        <v>0</v>
      </c>
      <c r="F1370" s="468">
        <f t="shared" si="390"/>
        <v>0</v>
      </c>
      <c r="G1370" s="468">
        <f t="shared" si="389"/>
        <v>0</v>
      </c>
    </row>
    <row r="1371" spans="1:7" ht="19.899999999999999" customHeight="1">
      <c r="A1371" s="501"/>
      <c r="B1371" s="462"/>
      <c r="C1371" s="465"/>
      <c r="D1371" s="466"/>
      <c r="E1371" s="467">
        <f t="shared" si="388"/>
        <v>0</v>
      </c>
      <c r="F1371" s="468">
        <f t="shared" si="390"/>
        <v>0</v>
      </c>
      <c r="G1371" s="468">
        <f t="shared" si="389"/>
        <v>0</v>
      </c>
    </row>
    <row r="1372" spans="1:7" ht="19.899999999999999" customHeight="1">
      <c r="A1372" s="501"/>
      <c r="B1372" s="462"/>
      <c r="C1372" s="160"/>
      <c r="D1372" s="160"/>
      <c r="E1372" s="469"/>
      <c r="F1372" s="454"/>
      <c r="G1372" s="503"/>
    </row>
    <row r="1373" spans="1:7" ht="19.899999999999999" customHeight="1">
      <c r="A1373" s="501"/>
      <c r="B1373" s="160"/>
      <c r="C1373" s="451" t="s">
        <v>1002</v>
      </c>
      <c r="D1373" s="454" t="s">
        <v>999</v>
      </c>
      <c r="E1373" s="520">
        <f>SUMPRODUCT(D1362:D1371,E1362:E1371)</f>
        <v>0</v>
      </c>
      <c r="F1373" s="454" t="s">
        <v>1003</v>
      </c>
      <c r="G1373" s="521">
        <f>SUM(G1362:G1371)</f>
        <v>0</v>
      </c>
    </row>
    <row r="1374" spans="1:7" ht="19.899999999999999" customHeight="1">
      <c r="A1374" s="501"/>
      <c r="B1374" s="462"/>
      <c r="C1374" s="470"/>
      <c r="D1374" s="469"/>
      <c r="E1374" s="456"/>
      <c r="F1374" s="454"/>
      <c r="G1374" s="507"/>
    </row>
    <row r="1375" spans="1:7" ht="19.899999999999999" customHeight="1">
      <c r="A1375" s="508"/>
      <c r="B1375" s="462"/>
      <c r="C1375" s="454" t="s">
        <v>1004</v>
      </c>
      <c r="D1375" s="471"/>
      <c r="E1375" s="472" t="str">
        <f ca="1">G1357&amp;"/día"</f>
        <v>m3/día</v>
      </c>
      <c r="F1375" s="448"/>
      <c r="G1375" s="503"/>
    </row>
    <row r="1376" spans="1:7" ht="19.899999999999999" customHeight="1">
      <c r="A1376" s="501"/>
      <c r="B1376" s="462"/>
      <c r="C1376" s="160"/>
      <c r="D1376" s="455"/>
      <c r="E1376" s="456"/>
      <c r="F1376" s="454"/>
      <c r="G1376" s="503"/>
    </row>
    <row r="1377" spans="1:7" ht="19.899999999999999" customHeight="1">
      <c r="A1377" s="637" t="s">
        <v>575</v>
      </c>
      <c r="B1377" s="638"/>
      <c r="C1377" s="639" t="s">
        <v>0</v>
      </c>
      <c r="D1377" s="647" t="s">
        <v>1863</v>
      </c>
      <c r="E1377" s="647" t="s">
        <v>1862</v>
      </c>
      <c r="F1377" s="643" t="s">
        <v>1005</v>
      </c>
      <c r="G1377" s="645" t="s">
        <v>25</v>
      </c>
    </row>
    <row r="1378" spans="1:7" ht="19.899999999999999" customHeight="1">
      <c r="A1378" s="473" t="s">
        <v>576</v>
      </c>
      <c r="B1378" s="473" t="s">
        <v>577</v>
      </c>
      <c r="C1378" s="640"/>
      <c r="D1378" s="648"/>
      <c r="E1378" s="642"/>
      <c r="F1378" s="644"/>
      <c r="G1378" s="646"/>
    </row>
    <row r="1379" spans="1:7" ht="19.899999999999999" customHeight="1">
      <c r="A1379" s="509"/>
      <c r="B1379" s="160"/>
      <c r="C1379" s="451" t="s">
        <v>1006</v>
      </c>
      <c r="D1379" s="456"/>
      <c r="E1379" s="456"/>
      <c r="F1379" s="160"/>
      <c r="G1379" s="510"/>
    </row>
    <row r="1380" spans="1:7" ht="19.899999999999999" customHeight="1">
      <c r="A1380" s="511">
        <f t="shared" ref="A1380:A1388" si="391">IFERROR(VLOOKUP(C1380,T_Insumos,4,FALSE),0)</f>
        <v>0</v>
      </c>
      <c r="B1380" s="474">
        <f t="shared" ref="B1380:B1388" si="392">IFERROR(VLOOKUP(C1380,T_Insumos,5,FALSE),0)</f>
        <v>0</v>
      </c>
      <c r="C1380" s="465"/>
      <c r="D1380" s="475">
        <f t="shared" ref="D1380:D1388" si="393">IFERROR(VLOOKUP(C1380,T_Insumos,3,FALSE),0)</f>
        <v>0</v>
      </c>
      <c r="E1380" s="468">
        <f>D1380*$G$323</f>
        <v>0</v>
      </c>
      <c r="F1380" s="471">
        <f>+$D$325</f>
        <v>0</v>
      </c>
      <c r="G1380" s="468">
        <f>IFERROR(ROUND(E1380/F1380,2),0)</f>
        <v>0</v>
      </c>
    </row>
    <row r="1381" spans="1:7" ht="19.899999999999999" customHeight="1">
      <c r="A1381" s="511"/>
      <c r="B1381" s="474"/>
      <c r="C1381" s="465"/>
      <c r="D1381" s="475">
        <f t="shared" si="393"/>
        <v>0</v>
      </c>
      <c r="E1381" s="468">
        <f>D1381*$G$323</f>
        <v>0</v>
      </c>
      <c r="F1381" s="471">
        <f t="shared" ref="F1381:F1383" si="394">+$D$325</f>
        <v>0</v>
      </c>
      <c r="G1381" s="468">
        <f t="shared" ref="G1381:G1388" si="395">IFERROR(ROUND(E1381/F1381,2),0)</f>
        <v>0</v>
      </c>
    </row>
    <row r="1382" spans="1:7" ht="19.899999999999999" customHeight="1">
      <c r="A1382" s="511">
        <f t="shared" ref="A1382:A1390" si="396">IFERROR(VLOOKUP(C1382,T_Insumos,4,FALSE),0)</f>
        <v>0</v>
      </c>
      <c r="B1382" s="474">
        <f t="shared" ref="B1382:B1390" si="397">IFERROR(VLOOKUP(C1382,T_Insumos,5,FALSE),0)</f>
        <v>0</v>
      </c>
      <c r="C1382" s="476"/>
      <c r="D1382" s="475">
        <f t="shared" si="393"/>
        <v>0</v>
      </c>
      <c r="E1382" s="468">
        <f>D1382*$E$323</f>
        <v>0</v>
      </c>
      <c r="F1382" s="471">
        <f t="shared" si="394"/>
        <v>0</v>
      </c>
      <c r="G1382" s="468">
        <f t="shared" si="395"/>
        <v>0</v>
      </c>
    </row>
    <row r="1383" spans="1:7" ht="19.899999999999999" customHeight="1">
      <c r="A1383" s="511">
        <f t="shared" si="396"/>
        <v>0</v>
      </c>
      <c r="B1383" s="474">
        <f t="shared" si="397"/>
        <v>0</v>
      </c>
      <c r="C1383" s="476"/>
      <c r="D1383" s="475">
        <f t="shared" si="393"/>
        <v>0</v>
      </c>
      <c r="E1383" s="468">
        <f>D1383*$E$323</f>
        <v>0</v>
      </c>
      <c r="F1383" s="471">
        <f t="shared" si="394"/>
        <v>0</v>
      </c>
      <c r="G1383" s="468">
        <f t="shared" si="395"/>
        <v>0</v>
      </c>
    </row>
    <row r="1384" spans="1:7" ht="19.899999999999999" customHeight="1">
      <c r="A1384" s="511">
        <f t="shared" si="396"/>
        <v>0</v>
      </c>
      <c r="B1384" s="474">
        <f t="shared" si="397"/>
        <v>0</v>
      </c>
      <c r="C1384" s="476"/>
      <c r="D1384" s="475">
        <f t="shared" si="393"/>
        <v>0</v>
      </c>
      <c r="E1384" s="468"/>
      <c r="F1384" s="471">
        <f>IF(C1384="",0,IFERROR(VLOOKUP(COUNTIF($A$1:A1384,"ANALISIS DE PRECIOS"),T_Rendimiento_Equipo,5,FALSE),0))</f>
        <v>0</v>
      </c>
      <c r="G1384" s="468">
        <f t="shared" si="395"/>
        <v>0</v>
      </c>
    </row>
    <row r="1385" spans="1:7" ht="19.899999999999999" customHeight="1">
      <c r="A1385" s="511">
        <f t="shared" si="396"/>
        <v>0</v>
      </c>
      <c r="B1385" s="474">
        <f t="shared" si="397"/>
        <v>0</v>
      </c>
      <c r="C1385" s="476"/>
      <c r="D1385" s="475">
        <f t="shared" si="393"/>
        <v>0</v>
      </c>
      <c r="E1385" s="468"/>
      <c r="F1385" s="471">
        <f>IF(C1385="",0,IFERROR(VLOOKUP(COUNTIF($A$1:A1385,"ANALISIS DE PRECIOS"),T_Rendimiento_Equipo,5,FALSE),0))</f>
        <v>0</v>
      </c>
      <c r="G1385" s="468">
        <f t="shared" si="395"/>
        <v>0</v>
      </c>
    </row>
    <row r="1386" spans="1:7" ht="19.899999999999999" customHeight="1">
      <c r="A1386" s="511">
        <f t="shared" si="396"/>
        <v>0</v>
      </c>
      <c r="B1386" s="474">
        <f t="shared" si="397"/>
        <v>0</v>
      </c>
      <c r="C1386" s="476"/>
      <c r="D1386" s="475">
        <f t="shared" si="393"/>
        <v>0</v>
      </c>
      <c r="E1386" s="468"/>
      <c r="F1386" s="471">
        <f>IF(C1386="",0,IFERROR(VLOOKUP(COUNTIF($A$1:A1386,"ANALISIS DE PRECIOS"),T_Rendimiento_Equipo,5,FALSE),0))</f>
        <v>0</v>
      </c>
      <c r="G1386" s="468">
        <f t="shared" si="395"/>
        <v>0</v>
      </c>
    </row>
    <row r="1387" spans="1:7" ht="19.899999999999999" customHeight="1">
      <c r="A1387" s="511">
        <f t="shared" si="396"/>
        <v>0</v>
      </c>
      <c r="B1387" s="474">
        <f t="shared" si="397"/>
        <v>0</v>
      </c>
      <c r="C1387" s="476"/>
      <c r="D1387" s="475">
        <f t="shared" si="393"/>
        <v>0</v>
      </c>
      <c r="E1387" s="468"/>
      <c r="F1387" s="471">
        <f>IF(C1387="",0,IFERROR(VLOOKUP(COUNTIF($A$1:A1387,"ANALISIS DE PRECIOS"),T_Rendimiento_Equipo,5,FALSE),0))</f>
        <v>0</v>
      </c>
      <c r="G1387" s="468">
        <f t="shared" si="395"/>
        <v>0</v>
      </c>
    </row>
    <row r="1388" spans="1:7" ht="19.899999999999999" customHeight="1">
      <c r="A1388" s="511">
        <f t="shared" si="396"/>
        <v>0</v>
      </c>
      <c r="B1388" s="474">
        <f t="shared" si="397"/>
        <v>0</v>
      </c>
      <c r="C1388" s="465"/>
      <c r="D1388" s="475">
        <f t="shared" si="393"/>
        <v>0</v>
      </c>
      <c r="E1388" s="468"/>
      <c r="F1388" s="471">
        <f>IF(C1388="",0,IFERROR(VLOOKUP(COUNTIF($A$1:A1388,"ANALISIS DE PRECIOS"),T_Rendimiento_Equipo,5,FALSE),0))</f>
        <v>0</v>
      </c>
      <c r="G1388" s="468">
        <f t="shared" si="395"/>
        <v>0</v>
      </c>
    </row>
    <row r="1389" spans="1:7" ht="19.899999999999999" customHeight="1">
      <c r="A1389" s="512"/>
      <c r="B1389" s="455"/>
      <c r="C1389" s="160"/>
      <c r="D1389" s="455"/>
      <c r="E1389" s="456"/>
      <c r="F1389" s="615" t="s">
        <v>26</v>
      </c>
      <c r="G1389" s="513">
        <f>SUBTOTAL(9,G1380:G1388)</f>
        <v>0</v>
      </c>
    </row>
    <row r="1390" spans="1:7" ht="19.899999999999999" customHeight="1">
      <c r="A1390" s="509"/>
      <c r="B1390" s="160"/>
      <c r="C1390" s="451" t="s">
        <v>712</v>
      </c>
      <c r="D1390" s="455"/>
      <c r="E1390" s="456"/>
      <c r="F1390" s="457"/>
      <c r="G1390" s="510"/>
    </row>
    <row r="1391" spans="1:7" ht="19.899999999999999" customHeight="1">
      <c r="A1391" s="637" t="s">
        <v>575</v>
      </c>
      <c r="B1391" s="638"/>
      <c r="C1391" s="639" t="s">
        <v>0</v>
      </c>
      <c r="D1391" s="641" t="s">
        <v>23</v>
      </c>
      <c r="E1391" s="641" t="s">
        <v>1829</v>
      </c>
      <c r="F1391" s="643" t="s">
        <v>1005</v>
      </c>
      <c r="G1391" s="645" t="s">
        <v>25</v>
      </c>
    </row>
    <row r="1392" spans="1:7" ht="19.899999999999999" customHeight="1">
      <c r="A1392" s="473" t="s">
        <v>576</v>
      </c>
      <c r="B1392" s="473" t="s">
        <v>577</v>
      </c>
      <c r="C1392" s="640"/>
      <c r="D1392" s="642"/>
      <c r="E1392" s="642"/>
      <c r="F1392" s="644"/>
      <c r="G1392" s="646"/>
    </row>
    <row r="1393" spans="1:7" ht="19.899999999999999" customHeight="1">
      <c r="A1393" s="511"/>
      <c r="B1393" s="474"/>
      <c r="C1393" s="478"/>
      <c r="D1393" s="471"/>
      <c r="E1393" s="468">
        <f t="shared" ref="E1393:E1397" si="398">IFERROR(VLOOKUP(C1393,T_Insumos,3,FALSE),0)</f>
        <v>0</v>
      </c>
      <c r="F1393" s="471">
        <f>+$D$325</f>
        <v>0</v>
      </c>
      <c r="G1393" s="468">
        <f>IFERROR(ROUND(D1393*E1393/F1393,2),0)</f>
        <v>0</v>
      </c>
    </row>
    <row r="1394" spans="1:7" ht="19.899999999999999" customHeight="1">
      <c r="A1394" s="511"/>
      <c r="B1394" s="474"/>
      <c r="C1394" s="465"/>
      <c r="D1394" s="471"/>
      <c r="E1394" s="468">
        <f t="shared" si="398"/>
        <v>0</v>
      </c>
      <c r="F1394" s="471">
        <f t="shared" ref="F1394:F1398" si="399">+$D$325</f>
        <v>0</v>
      </c>
      <c r="G1394" s="468">
        <f t="shared" ref="G1394:G1399" si="400">IFERROR(ROUND(D1394*E1394/F1394,2),0)</f>
        <v>0</v>
      </c>
    </row>
    <row r="1395" spans="1:7" ht="19.899999999999999" customHeight="1">
      <c r="A1395" s="511"/>
      <c r="B1395" s="474"/>
      <c r="C1395" s="465"/>
      <c r="D1395" s="471"/>
      <c r="E1395" s="468">
        <f t="shared" si="398"/>
        <v>0</v>
      </c>
      <c r="F1395" s="471">
        <f t="shared" si="399"/>
        <v>0</v>
      </c>
      <c r="G1395" s="468">
        <f t="shared" si="400"/>
        <v>0</v>
      </c>
    </row>
    <row r="1396" spans="1:7" ht="19.899999999999999" customHeight="1">
      <c r="A1396" s="511"/>
      <c r="B1396" s="474"/>
      <c r="C1396" s="465"/>
      <c r="D1396" s="471"/>
      <c r="E1396" s="468">
        <f t="shared" si="398"/>
        <v>0</v>
      </c>
      <c r="F1396" s="471">
        <f t="shared" si="399"/>
        <v>0</v>
      </c>
      <c r="G1396" s="468">
        <f t="shared" si="400"/>
        <v>0</v>
      </c>
    </row>
    <row r="1397" spans="1:7" ht="19.899999999999999" customHeight="1">
      <c r="A1397" s="511">
        <f t="shared" ref="A1397:A1399" si="401">IFERROR(VLOOKUP(C1397,T_Insumos,4,FALSE),0)</f>
        <v>0</v>
      </c>
      <c r="B1397" s="474">
        <f t="shared" ref="B1397:B1399" si="402">IFERROR(VLOOKUP(C1397,T_Insumos,5,FALSE),0)</f>
        <v>0</v>
      </c>
      <c r="C1397" s="465"/>
      <c r="D1397" s="471"/>
      <c r="E1397" s="468">
        <f t="shared" si="398"/>
        <v>0</v>
      </c>
      <c r="F1397" s="471">
        <f>IF(C1397="",0,IFERROR(VLOOKUP(COUNTIF($A$1:A1397,"ANALISIS DE PRECIOS"),T_Rendimiento_Equipo,5,FALSE),0))</f>
        <v>0</v>
      </c>
      <c r="G1397" s="468">
        <f t="shared" si="400"/>
        <v>0</v>
      </c>
    </row>
    <row r="1398" spans="1:7" ht="19.899999999999999" customHeight="1">
      <c r="A1398" s="511">
        <f t="shared" si="401"/>
        <v>0</v>
      </c>
      <c r="B1398" s="474">
        <f t="shared" si="402"/>
        <v>0</v>
      </c>
      <c r="C1398" s="465"/>
      <c r="D1398" s="479"/>
      <c r="E1398" s="468">
        <f>SUMPRODUCT(D1393:D1396,E1393:E1396)</f>
        <v>0</v>
      </c>
      <c r="F1398" s="471">
        <f t="shared" si="399"/>
        <v>0</v>
      </c>
      <c r="G1398" s="468">
        <f t="shared" si="400"/>
        <v>0</v>
      </c>
    </row>
    <row r="1399" spans="1:7" ht="19.899999999999999" customHeight="1">
      <c r="A1399" s="511">
        <f t="shared" si="401"/>
        <v>0</v>
      </c>
      <c r="B1399" s="474">
        <f t="shared" si="402"/>
        <v>0</v>
      </c>
      <c r="C1399" s="474"/>
      <c r="D1399" s="480"/>
      <c r="E1399" s="468">
        <f t="shared" ref="E1399:E1401" si="403">IFERROR(VLOOKUP(C1399,T_Insumos,3,FALSE),0)</f>
        <v>0</v>
      </c>
      <c r="F1399" s="471">
        <f>IF(C1399="",0,IFERROR(VLOOKUP(COUNTIF($A$1:A1399,"ANALISIS DE PRECIOS"),T_Rendimiento_Equipo,5,FALSE),0))</f>
        <v>0</v>
      </c>
      <c r="G1399" s="468">
        <f t="shared" si="400"/>
        <v>0</v>
      </c>
    </row>
    <row r="1400" spans="1:7" ht="19.899999999999999" customHeight="1">
      <c r="A1400" s="512"/>
      <c r="B1400" s="455"/>
      <c r="C1400" s="160"/>
      <c r="D1400" s="455"/>
      <c r="E1400" s="456"/>
      <c r="F1400" s="615" t="s">
        <v>27</v>
      </c>
      <c r="G1400" s="514">
        <f>SUBTOTAL(9,G1393:G1399)</f>
        <v>0</v>
      </c>
    </row>
    <row r="1401" spans="1:7" ht="19.899999999999999" customHeight="1">
      <c r="A1401" s="509"/>
      <c r="B1401" s="160"/>
      <c r="C1401" s="451" t="s">
        <v>1012</v>
      </c>
      <c r="D1401" s="455"/>
      <c r="E1401" s="456"/>
      <c r="F1401" s="457"/>
      <c r="G1401" s="510"/>
    </row>
    <row r="1402" spans="1:7" ht="19.899999999999999" customHeight="1">
      <c r="A1402" s="637" t="s">
        <v>575</v>
      </c>
      <c r="B1402" s="638"/>
      <c r="C1402" s="639" t="s">
        <v>0</v>
      </c>
      <c r="D1402" s="639" t="s">
        <v>1864</v>
      </c>
      <c r="E1402" s="641" t="s">
        <v>23</v>
      </c>
      <c r="F1402" s="643" t="s">
        <v>24</v>
      </c>
      <c r="G1402" s="645" t="s">
        <v>25</v>
      </c>
    </row>
    <row r="1403" spans="1:7" ht="19.899999999999999" customHeight="1">
      <c r="A1403" s="473" t="s">
        <v>576</v>
      </c>
      <c r="B1403" s="473" t="s">
        <v>577</v>
      </c>
      <c r="C1403" s="640"/>
      <c r="D1403" s="640"/>
      <c r="E1403" s="642"/>
      <c r="F1403" s="644"/>
      <c r="G1403" s="646"/>
    </row>
    <row r="1404" spans="1:7" ht="19.899999999999999" customHeight="1">
      <c r="A1404" s="511">
        <f t="shared" ref="A1404:A1414" si="404">IFERROR(VLOOKUP(C1404,T_Insumos,4,FALSE),0)</f>
        <v>0</v>
      </c>
      <c r="B1404" s="474">
        <f t="shared" ref="B1404:B1414" si="405">IFERROR(VLOOKUP(C1404,T_Insumos,5,FALSE),0)</f>
        <v>0</v>
      </c>
      <c r="C1404" s="474"/>
      <c r="D1404" s="522">
        <f t="shared" ref="D1404:D1414" si="406">IFERROR(VLOOKUP(C1404,T_Insumos,2,FALSE),0)</f>
        <v>0</v>
      </c>
      <c r="E1404" s="466"/>
      <c r="F1404" s="468">
        <f t="shared" ref="F1404:F1414" si="407">IFERROR(VLOOKUP(C1404,T_Insumos,3,FALSE),0)</f>
        <v>0</v>
      </c>
      <c r="G1404" s="468">
        <f>ROUND(E1404*F1404,2)</f>
        <v>0</v>
      </c>
    </row>
    <row r="1405" spans="1:7" ht="19.899999999999999" customHeight="1">
      <c r="A1405" s="511">
        <f t="shared" si="404"/>
        <v>0</v>
      </c>
      <c r="B1405" s="474">
        <f t="shared" si="405"/>
        <v>0</v>
      </c>
      <c r="C1405" s="474"/>
      <c r="D1405" s="522">
        <f t="shared" si="406"/>
        <v>0</v>
      </c>
      <c r="E1405" s="466"/>
      <c r="F1405" s="468">
        <f t="shared" si="407"/>
        <v>0</v>
      </c>
      <c r="G1405" s="468">
        <f t="shared" ref="G1405:G1414" si="408">ROUND(E1405*F1405,2)</f>
        <v>0</v>
      </c>
    </row>
    <row r="1406" spans="1:7" ht="19.899999999999999" customHeight="1">
      <c r="A1406" s="511">
        <f t="shared" si="404"/>
        <v>0</v>
      </c>
      <c r="B1406" s="474">
        <f t="shared" si="405"/>
        <v>0</v>
      </c>
      <c r="C1406" s="474"/>
      <c r="D1406" s="522">
        <f t="shared" si="406"/>
        <v>0</v>
      </c>
      <c r="E1406" s="466"/>
      <c r="F1406" s="468">
        <f t="shared" si="407"/>
        <v>0</v>
      </c>
      <c r="G1406" s="468">
        <f t="shared" si="408"/>
        <v>0</v>
      </c>
    </row>
    <row r="1407" spans="1:7" ht="19.899999999999999" customHeight="1">
      <c r="A1407" s="511">
        <f t="shared" si="404"/>
        <v>0</v>
      </c>
      <c r="B1407" s="474">
        <f t="shared" si="405"/>
        <v>0</v>
      </c>
      <c r="C1407" s="474"/>
      <c r="D1407" s="522">
        <f t="shared" si="406"/>
        <v>0</v>
      </c>
      <c r="E1407" s="466"/>
      <c r="F1407" s="468">
        <f t="shared" si="407"/>
        <v>0</v>
      </c>
      <c r="G1407" s="468">
        <f t="shared" si="408"/>
        <v>0</v>
      </c>
    </row>
    <row r="1408" spans="1:7" ht="19.899999999999999" customHeight="1">
      <c r="A1408" s="511">
        <f t="shared" si="404"/>
        <v>0</v>
      </c>
      <c r="B1408" s="474">
        <f t="shared" si="405"/>
        <v>0</v>
      </c>
      <c r="C1408" s="474"/>
      <c r="D1408" s="522">
        <f t="shared" si="406"/>
        <v>0</v>
      </c>
      <c r="E1408" s="466"/>
      <c r="F1408" s="468">
        <f t="shared" si="407"/>
        <v>0</v>
      </c>
      <c r="G1408" s="468">
        <f t="shared" si="408"/>
        <v>0</v>
      </c>
    </row>
    <row r="1409" spans="1:7" ht="19.899999999999999" customHeight="1">
      <c r="A1409" s="511">
        <f t="shared" si="404"/>
        <v>0</v>
      </c>
      <c r="B1409" s="474">
        <f t="shared" si="405"/>
        <v>0</v>
      </c>
      <c r="C1409" s="474"/>
      <c r="D1409" s="522">
        <f t="shared" si="406"/>
        <v>0</v>
      </c>
      <c r="E1409" s="466"/>
      <c r="F1409" s="468">
        <f t="shared" si="407"/>
        <v>0</v>
      </c>
      <c r="G1409" s="468">
        <f t="shared" si="408"/>
        <v>0</v>
      </c>
    </row>
    <row r="1410" spans="1:7" ht="19.899999999999999" customHeight="1">
      <c r="A1410" s="511">
        <f t="shared" si="404"/>
        <v>0</v>
      </c>
      <c r="B1410" s="474">
        <f t="shared" si="405"/>
        <v>0</v>
      </c>
      <c r="C1410" s="474"/>
      <c r="D1410" s="522">
        <f t="shared" si="406"/>
        <v>0</v>
      </c>
      <c r="E1410" s="466"/>
      <c r="F1410" s="468">
        <f t="shared" si="407"/>
        <v>0</v>
      </c>
      <c r="G1410" s="468">
        <f t="shared" si="408"/>
        <v>0</v>
      </c>
    </row>
    <row r="1411" spans="1:7" ht="19.899999999999999" customHeight="1">
      <c r="A1411" s="511">
        <f t="shared" si="404"/>
        <v>0</v>
      </c>
      <c r="B1411" s="474">
        <f t="shared" si="405"/>
        <v>0</v>
      </c>
      <c r="C1411" s="474"/>
      <c r="D1411" s="522">
        <f t="shared" si="406"/>
        <v>0</v>
      </c>
      <c r="E1411" s="466"/>
      <c r="F1411" s="468">
        <f t="shared" si="407"/>
        <v>0</v>
      </c>
      <c r="G1411" s="468">
        <f t="shared" si="408"/>
        <v>0</v>
      </c>
    </row>
    <row r="1412" spans="1:7" ht="19.899999999999999" customHeight="1">
      <c r="A1412" s="511">
        <f t="shared" si="404"/>
        <v>0</v>
      </c>
      <c r="B1412" s="474">
        <f t="shared" si="405"/>
        <v>0</v>
      </c>
      <c r="C1412" s="474"/>
      <c r="D1412" s="522">
        <f t="shared" si="406"/>
        <v>0</v>
      </c>
      <c r="E1412" s="466"/>
      <c r="F1412" s="468">
        <f t="shared" si="407"/>
        <v>0</v>
      </c>
      <c r="G1412" s="468">
        <f t="shared" si="408"/>
        <v>0</v>
      </c>
    </row>
    <row r="1413" spans="1:7" ht="19.899999999999999" customHeight="1">
      <c r="A1413" s="511">
        <f t="shared" si="404"/>
        <v>0</v>
      </c>
      <c r="B1413" s="474">
        <f t="shared" si="405"/>
        <v>0</v>
      </c>
      <c r="C1413" s="474"/>
      <c r="D1413" s="522">
        <f t="shared" si="406"/>
        <v>0</v>
      </c>
      <c r="E1413" s="466"/>
      <c r="F1413" s="468">
        <f t="shared" si="407"/>
        <v>0</v>
      </c>
      <c r="G1413" s="468">
        <f t="shared" si="408"/>
        <v>0</v>
      </c>
    </row>
    <row r="1414" spans="1:7" ht="19.899999999999999" customHeight="1">
      <c r="A1414" s="511">
        <f t="shared" si="404"/>
        <v>0</v>
      </c>
      <c r="B1414" s="474">
        <f t="shared" si="405"/>
        <v>0</v>
      </c>
      <c r="C1414" s="474"/>
      <c r="D1414" s="522">
        <f t="shared" si="406"/>
        <v>0</v>
      </c>
      <c r="E1414" s="466"/>
      <c r="F1414" s="468">
        <f t="shared" si="407"/>
        <v>0</v>
      </c>
      <c r="G1414" s="468">
        <f t="shared" si="408"/>
        <v>0</v>
      </c>
    </row>
    <row r="1415" spans="1:7" ht="19.899999999999999" customHeight="1">
      <c r="A1415" s="509"/>
      <c r="B1415" s="160"/>
      <c r="C1415" s="160"/>
      <c r="D1415" s="455"/>
      <c r="E1415" s="456"/>
      <c r="F1415" s="615" t="s">
        <v>28</v>
      </c>
      <c r="G1415" s="514">
        <f>SUBTOTAL(9,G1404:G1414)</f>
        <v>0</v>
      </c>
    </row>
    <row r="1416" spans="1:7" ht="19.899999999999999" customHeight="1">
      <c r="A1416" s="509"/>
      <c r="B1416" s="160"/>
      <c r="C1416" s="451" t="s">
        <v>1013</v>
      </c>
      <c r="D1416" s="455"/>
      <c r="E1416" s="456"/>
      <c r="F1416" s="457"/>
      <c r="G1416" s="510"/>
    </row>
    <row r="1417" spans="1:7" ht="19.899999999999999" customHeight="1">
      <c r="A1417" s="637" t="s">
        <v>575</v>
      </c>
      <c r="B1417" s="638"/>
      <c r="C1417" s="639" t="s">
        <v>0</v>
      </c>
      <c r="D1417" s="639" t="s">
        <v>1864</v>
      </c>
      <c r="E1417" s="641" t="s">
        <v>23</v>
      </c>
      <c r="F1417" s="643" t="s">
        <v>24</v>
      </c>
      <c r="G1417" s="645" t="s">
        <v>25</v>
      </c>
    </row>
    <row r="1418" spans="1:7" ht="19.899999999999999" customHeight="1">
      <c r="A1418" s="473" t="s">
        <v>576</v>
      </c>
      <c r="B1418" s="473" t="s">
        <v>577</v>
      </c>
      <c r="C1418" s="640"/>
      <c r="D1418" s="640"/>
      <c r="E1418" s="642"/>
      <c r="F1418" s="644"/>
      <c r="G1418" s="646"/>
    </row>
    <row r="1419" spans="1:7" ht="19.899999999999999" customHeight="1">
      <c r="A1419" s="511">
        <f>IFERROR(VLOOKUP(C1419,T_Insumos,4,FALSE),0)</f>
        <v>0</v>
      </c>
      <c r="B1419" s="474">
        <f>IFERROR(VLOOKUP(C1419,T_Insumos,5,FALSE),0)</f>
        <v>0</v>
      </c>
      <c r="C1419" s="465"/>
      <c r="D1419" s="522">
        <f>IF(C1419=0,0,"$/tnkm")</f>
        <v>0</v>
      </c>
      <c r="E1419" s="466"/>
      <c r="F1419" s="468">
        <f>IFERROR(VLOOKUP(C1419,T_Insumos,3,FALSE),0)</f>
        <v>0</v>
      </c>
      <c r="G1419" s="468">
        <f>ROUND(E1419*F1419,2)</f>
        <v>0</v>
      </c>
    </row>
    <row r="1420" spans="1:7" ht="19.899999999999999" customHeight="1">
      <c r="A1420" s="511">
        <f>IFERROR(VLOOKUP(C1420,T_Insumos,4,FALSE),0)</f>
        <v>0</v>
      </c>
      <c r="B1420" s="474">
        <f>IFERROR(VLOOKUP(C1420,T_Insumos,5,FALSE),0)</f>
        <v>0</v>
      </c>
      <c r="C1420" s="465"/>
      <c r="D1420" s="522">
        <f>IF(C1420=0,0,"$/tnkm")</f>
        <v>0</v>
      </c>
      <c r="E1420" s="482"/>
      <c r="F1420" s="468">
        <f>IFERROR(VLOOKUP(C1420,T_Insumos,3,FALSE),0)</f>
        <v>0</v>
      </c>
      <c r="G1420" s="468">
        <f t="shared" ref="G1420" si="409">ROUND(E1420*F1420,2)</f>
        <v>0</v>
      </c>
    </row>
    <row r="1421" spans="1:7" ht="19.899999999999999" customHeight="1">
      <c r="A1421" s="509"/>
      <c r="B1421" s="160"/>
      <c r="C1421" s="160"/>
      <c r="D1421" s="455"/>
      <c r="E1421" s="456"/>
      <c r="F1421" s="615" t="s">
        <v>1014</v>
      </c>
      <c r="G1421" s="514">
        <f>SUBTOTAL(9,G1419:G1420)</f>
        <v>0</v>
      </c>
    </row>
    <row r="1422" spans="1:7" ht="19.899999999999999" customHeight="1">
      <c r="A1422" s="512"/>
      <c r="B1422" s="455"/>
      <c r="C1422" s="160"/>
      <c r="D1422" s="455"/>
      <c r="E1422" s="456"/>
      <c r="F1422" s="457"/>
      <c r="G1422" s="510"/>
    </row>
    <row r="1423" spans="1:7" ht="19.899999999999999" customHeight="1">
      <c r="A1423" s="570">
        <f>B1357</f>
        <v>4.0999999999999996</v>
      </c>
      <c r="B1423" s="567" t="str">
        <f ca="1">C1357</f>
        <v>Estructura de Hormigon Armado H17</v>
      </c>
      <c r="C1423" s="455"/>
      <c r="D1423" s="455" t="s">
        <v>1830</v>
      </c>
      <c r="E1423" s="568"/>
      <c r="F1423" s="569" t="str">
        <f ca="1">"$/"&amp;G1357</f>
        <v>$/m3</v>
      </c>
      <c r="G1423" s="519">
        <f>SUBTOTAL(9,G1380:G1422)</f>
        <v>0</v>
      </c>
    </row>
    <row r="1424" spans="1:7" ht="19.899999999999999" customHeight="1">
      <c r="A1424" s="515"/>
      <c r="B1424" s="516"/>
      <c r="C1424" s="517"/>
      <c r="D1424" s="517" t="s">
        <v>2040</v>
      </c>
      <c r="E1424" s="518"/>
      <c r="F1424" s="571" t="str">
        <f ca="1">"$/"&amp;G1357</f>
        <v>$/m3</v>
      </c>
      <c r="G1424" s="519">
        <f>ROUND(G1423*Coeficiente_Paso,2)</f>
        <v>0</v>
      </c>
    </row>
    <row r="1425" spans="1:7" ht="19.899999999999999" customHeight="1">
      <c r="A1425" s="160"/>
      <c r="B1425" s="160"/>
      <c r="C1425" s="160"/>
      <c r="D1425" s="160"/>
      <c r="E1425" s="160"/>
      <c r="F1425" s="160"/>
      <c r="G1425" s="160"/>
    </row>
    <row r="1426" spans="1:7" ht="19.899999999999999" customHeight="1">
      <c r="A1426" s="633" t="s">
        <v>30</v>
      </c>
      <c r="B1426" s="634"/>
      <c r="C1426" s="634"/>
      <c r="D1426" s="634"/>
      <c r="E1426" s="634"/>
      <c r="F1426" s="634"/>
      <c r="G1426" s="635"/>
    </row>
    <row r="1427" spans="1:7" ht="19.899999999999999" customHeight="1">
      <c r="A1427" s="498" t="s">
        <v>710</v>
      </c>
      <c r="B1427" s="449" t="str">
        <f>Comitente</f>
        <v>DEPARTAMENTO DE HIDRAULICA</v>
      </c>
      <c r="C1427" s="450"/>
      <c r="D1427" s="451"/>
      <c r="E1427" s="451"/>
      <c r="F1427" s="452"/>
      <c r="G1427" s="499"/>
    </row>
    <row r="1428" spans="1:7" ht="19.899999999999999" customHeight="1">
      <c r="A1428" s="498" t="s">
        <v>711</v>
      </c>
      <c r="B1428" s="449">
        <f>Contratista</f>
        <v>0</v>
      </c>
      <c r="C1428" s="453"/>
      <c r="D1428" s="453"/>
      <c r="E1428" s="453"/>
      <c r="F1428" s="449"/>
      <c r="G1428" s="500"/>
    </row>
    <row r="1429" spans="1:7" ht="19.899999999999999" customHeight="1">
      <c r="A1429" s="498" t="s">
        <v>20</v>
      </c>
      <c r="B1429" s="449" t="str">
        <f>Obra</f>
        <v>EJECUCION DE PERFORACION - SISTEMA DE RIEGO</v>
      </c>
      <c r="C1429" s="453"/>
      <c r="D1429" s="453"/>
      <c r="E1429" s="453"/>
      <c r="F1429" s="449" t="s">
        <v>31</v>
      </c>
      <c r="G1429" s="500">
        <f>Fecha_Base</f>
        <v>0</v>
      </c>
    </row>
    <row r="1430" spans="1:7" ht="19.899999999999999" customHeight="1">
      <c r="A1430" s="501" t="s">
        <v>709</v>
      </c>
      <c r="B1430" s="454" t="str">
        <f>Ubicación</f>
        <v>DEPARTAMENTO CHIMBAS</v>
      </c>
      <c r="C1430" s="454"/>
      <c r="D1430" s="455"/>
      <c r="E1430" s="456"/>
      <c r="F1430" s="457"/>
      <c r="G1430" s="502"/>
    </row>
    <row r="1431" spans="1:7" ht="19.899999999999999" customHeight="1">
      <c r="A1431" s="501" t="s">
        <v>32</v>
      </c>
      <c r="B1431" s="458">
        <f>IFERROR(VALUE(LEFT(B1432,FIND(".",B1432)-1)),"")</f>
        <v>4</v>
      </c>
      <c r="C1431" s="160" t="str">
        <f ca="1">IFERROR(VLOOKUP(B1431,T_Computo_Presupuesto,2,FALSE),0)</f>
        <v>CUENCO DE VERTIDO</v>
      </c>
      <c r="D1431" s="160"/>
      <c r="E1431" s="456"/>
      <c r="F1431" s="457"/>
      <c r="G1431" s="502"/>
    </row>
    <row r="1432" spans="1:7" ht="19.899999999999999" customHeight="1">
      <c r="A1432" s="501" t="s">
        <v>21</v>
      </c>
      <c r="B1432" s="459">
        <f>IFERROR(VLOOKUP(COUNTIF($A$1:A1432,"ANALISIS DE PRECIOS"),T_NumeroItem,2,FALSE),"")</f>
        <v>4.2</v>
      </c>
      <c r="C1432" s="636" t="str">
        <f ca="1">IFERROR(VLOOKUP(B1432,T_Computo_Presupuesto,2,FALSE),0)</f>
        <v>Hormigon de limpieza</v>
      </c>
      <c r="D1432" s="636"/>
      <c r="E1432" s="636"/>
      <c r="F1432" s="454" t="s">
        <v>22</v>
      </c>
      <c r="G1432" s="503" t="str">
        <f ca="1">IFERROR(VLOOKUP(B1432,T_Computo_Presupuesto,4,FALSE),0)</f>
        <v>m2</v>
      </c>
    </row>
    <row r="1433" spans="1:7" ht="19.899999999999999" customHeight="1">
      <c r="A1433" s="501"/>
      <c r="B1433" s="454"/>
      <c r="C1433" s="160"/>
      <c r="D1433" s="455"/>
      <c r="E1433" s="456"/>
      <c r="F1433" s="160"/>
      <c r="G1433" s="504"/>
    </row>
    <row r="1434" spans="1:7" ht="19.899999999999999" customHeight="1">
      <c r="A1434" s="505"/>
      <c r="B1434" s="460"/>
      <c r="C1434" s="461" t="s">
        <v>997</v>
      </c>
      <c r="D1434" s="460"/>
      <c r="E1434" s="460"/>
      <c r="F1434" s="460"/>
      <c r="G1434" s="506"/>
    </row>
    <row r="1435" spans="1:7" ht="19.899999999999999" customHeight="1">
      <c r="A1435" s="501"/>
      <c r="B1435" s="462"/>
      <c r="C1435" s="160"/>
      <c r="D1435" s="455"/>
      <c r="E1435" s="456"/>
      <c r="F1435" s="454"/>
      <c r="G1435" s="503"/>
    </row>
    <row r="1436" spans="1:7" ht="19.899999999999999" customHeight="1">
      <c r="A1436" s="501"/>
      <c r="B1436" s="462"/>
      <c r="C1436" s="463" t="s">
        <v>998</v>
      </c>
      <c r="D1436" s="464" t="s">
        <v>23</v>
      </c>
      <c r="E1436" s="464" t="s">
        <v>999</v>
      </c>
      <c r="F1436" s="464" t="s">
        <v>1000</v>
      </c>
      <c r="G1436" s="463" t="s">
        <v>1001</v>
      </c>
    </row>
    <row r="1437" spans="1:7" ht="19.899999999999999" customHeight="1">
      <c r="A1437" s="501"/>
      <c r="B1437" s="462"/>
      <c r="C1437" s="465"/>
      <c r="D1437" s="466"/>
      <c r="E1437" s="467">
        <f t="shared" ref="E1437:E1446" si="410">IFERROR(VLOOKUP(C1437,T_Equipos,4,FALSE),0)</f>
        <v>0</v>
      </c>
      <c r="F1437" s="468"/>
      <c r="G1437" s="468">
        <f>ROUND(D1437*F1437,2)</f>
        <v>0</v>
      </c>
    </row>
    <row r="1438" spans="1:7" ht="19.899999999999999" customHeight="1">
      <c r="A1438" s="501"/>
      <c r="B1438" s="462"/>
      <c r="C1438" s="465"/>
      <c r="D1438" s="466"/>
      <c r="E1438" s="467">
        <f t="shared" si="410"/>
        <v>0</v>
      </c>
      <c r="F1438" s="468"/>
      <c r="G1438" s="468">
        <f>ROUND(D1438*F1438,2)</f>
        <v>0</v>
      </c>
    </row>
    <row r="1439" spans="1:7" ht="19.899999999999999" customHeight="1">
      <c r="A1439" s="501"/>
      <c r="B1439" s="462"/>
      <c r="C1439" s="465"/>
      <c r="D1439" s="466"/>
      <c r="E1439" s="467">
        <f t="shared" si="410"/>
        <v>0</v>
      </c>
      <c r="F1439" s="468"/>
      <c r="G1439" s="468">
        <f>ROUND(D1439*F1439,2)</f>
        <v>0</v>
      </c>
    </row>
    <row r="1440" spans="1:7" ht="19.899999999999999" customHeight="1">
      <c r="A1440" s="501"/>
      <c r="B1440" s="462"/>
      <c r="C1440" s="465"/>
      <c r="D1440" s="466"/>
      <c r="E1440" s="467">
        <f t="shared" si="410"/>
        <v>0</v>
      </c>
      <c r="F1440" s="468"/>
      <c r="G1440" s="468">
        <f>ROUND(D1440*F1440,2)</f>
        <v>0</v>
      </c>
    </row>
    <row r="1441" spans="1:7" ht="19.899999999999999" customHeight="1">
      <c r="A1441" s="501"/>
      <c r="B1441" s="462"/>
      <c r="C1441" s="465"/>
      <c r="D1441" s="466"/>
      <c r="E1441" s="467">
        <f t="shared" si="410"/>
        <v>0</v>
      </c>
      <c r="F1441" s="468"/>
      <c r="G1441" s="468">
        <f t="shared" ref="G1441:G1446" si="411">ROUND(D1441*F1441,2)</f>
        <v>0</v>
      </c>
    </row>
    <row r="1442" spans="1:7" ht="19.899999999999999" customHeight="1">
      <c r="A1442" s="501"/>
      <c r="B1442" s="462"/>
      <c r="C1442" s="465"/>
      <c r="D1442" s="466"/>
      <c r="E1442" s="467">
        <f t="shared" si="410"/>
        <v>0</v>
      </c>
      <c r="F1442" s="468">
        <f t="shared" ref="F1442:F1446" si="412">IFERROR(VLOOKUP(C1442,T_Equipos,5,FALSE),0)</f>
        <v>0</v>
      </c>
      <c r="G1442" s="468">
        <f t="shared" si="411"/>
        <v>0</v>
      </c>
    </row>
    <row r="1443" spans="1:7" ht="19.899999999999999" customHeight="1">
      <c r="A1443" s="501"/>
      <c r="B1443" s="462"/>
      <c r="C1443" s="465"/>
      <c r="D1443" s="466"/>
      <c r="E1443" s="467">
        <f t="shared" si="410"/>
        <v>0</v>
      </c>
      <c r="F1443" s="468">
        <f t="shared" si="412"/>
        <v>0</v>
      </c>
      <c r="G1443" s="468">
        <f t="shared" si="411"/>
        <v>0</v>
      </c>
    </row>
    <row r="1444" spans="1:7" ht="19.899999999999999" customHeight="1">
      <c r="A1444" s="501"/>
      <c r="B1444" s="462"/>
      <c r="C1444" s="465"/>
      <c r="D1444" s="466"/>
      <c r="E1444" s="467">
        <f t="shared" si="410"/>
        <v>0</v>
      </c>
      <c r="F1444" s="468">
        <f t="shared" si="412"/>
        <v>0</v>
      </c>
      <c r="G1444" s="468">
        <f t="shared" si="411"/>
        <v>0</v>
      </c>
    </row>
    <row r="1445" spans="1:7" ht="19.899999999999999" customHeight="1">
      <c r="A1445" s="501"/>
      <c r="B1445" s="462"/>
      <c r="C1445" s="465"/>
      <c r="D1445" s="466"/>
      <c r="E1445" s="467">
        <f t="shared" si="410"/>
        <v>0</v>
      </c>
      <c r="F1445" s="468">
        <f t="shared" si="412"/>
        <v>0</v>
      </c>
      <c r="G1445" s="468">
        <f t="shared" si="411"/>
        <v>0</v>
      </c>
    </row>
    <row r="1446" spans="1:7" ht="19.899999999999999" customHeight="1">
      <c r="A1446" s="501"/>
      <c r="B1446" s="462"/>
      <c r="C1446" s="465"/>
      <c r="D1446" s="466"/>
      <c r="E1446" s="467">
        <f t="shared" si="410"/>
        <v>0</v>
      </c>
      <c r="F1446" s="468">
        <f t="shared" si="412"/>
        <v>0</v>
      </c>
      <c r="G1446" s="468">
        <f t="shared" si="411"/>
        <v>0</v>
      </c>
    </row>
    <row r="1447" spans="1:7" ht="19.899999999999999" customHeight="1">
      <c r="A1447" s="501"/>
      <c r="B1447" s="462"/>
      <c r="C1447" s="160"/>
      <c r="D1447" s="160"/>
      <c r="E1447" s="469"/>
      <c r="F1447" s="454"/>
      <c r="G1447" s="503"/>
    </row>
    <row r="1448" spans="1:7" ht="19.899999999999999" customHeight="1">
      <c r="A1448" s="501"/>
      <c r="B1448" s="160"/>
      <c r="C1448" s="451" t="s">
        <v>1002</v>
      </c>
      <c r="D1448" s="454" t="s">
        <v>999</v>
      </c>
      <c r="E1448" s="520">
        <f>SUMPRODUCT(D1437:D1446,E1437:E1446)</f>
        <v>0</v>
      </c>
      <c r="F1448" s="454" t="s">
        <v>1003</v>
      </c>
      <c r="G1448" s="521">
        <f>SUM(G1437:G1446)</f>
        <v>0</v>
      </c>
    </row>
    <row r="1449" spans="1:7" ht="19.899999999999999" customHeight="1">
      <c r="A1449" s="501"/>
      <c r="B1449" s="462"/>
      <c r="C1449" s="470"/>
      <c r="D1449" s="469"/>
      <c r="E1449" s="456"/>
      <c r="F1449" s="454"/>
      <c r="G1449" s="507"/>
    </row>
    <row r="1450" spans="1:7" ht="19.899999999999999" customHeight="1">
      <c r="A1450" s="508"/>
      <c r="B1450" s="462"/>
      <c r="C1450" s="454" t="s">
        <v>1004</v>
      </c>
      <c r="D1450" s="471"/>
      <c r="E1450" s="472" t="str">
        <f ca="1">G1432&amp;"/día"</f>
        <v>m2/día</v>
      </c>
      <c r="F1450" s="448"/>
      <c r="G1450" s="503"/>
    </row>
    <row r="1451" spans="1:7" ht="19.899999999999999" customHeight="1">
      <c r="A1451" s="501"/>
      <c r="B1451" s="462"/>
      <c r="C1451" s="160"/>
      <c r="D1451" s="455"/>
      <c r="E1451" s="456"/>
      <c r="F1451" s="454"/>
      <c r="G1451" s="503"/>
    </row>
    <row r="1452" spans="1:7" ht="19.899999999999999" customHeight="1">
      <c r="A1452" s="637" t="s">
        <v>575</v>
      </c>
      <c r="B1452" s="638"/>
      <c r="C1452" s="639" t="s">
        <v>0</v>
      </c>
      <c r="D1452" s="647" t="s">
        <v>1863</v>
      </c>
      <c r="E1452" s="647" t="s">
        <v>1862</v>
      </c>
      <c r="F1452" s="643" t="s">
        <v>1005</v>
      </c>
      <c r="G1452" s="645" t="s">
        <v>25</v>
      </c>
    </row>
    <row r="1453" spans="1:7" ht="19.899999999999999" customHeight="1">
      <c r="A1453" s="473" t="s">
        <v>576</v>
      </c>
      <c r="B1453" s="473" t="s">
        <v>577</v>
      </c>
      <c r="C1453" s="640"/>
      <c r="D1453" s="648"/>
      <c r="E1453" s="642"/>
      <c r="F1453" s="644"/>
      <c r="G1453" s="646"/>
    </row>
    <row r="1454" spans="1:7" ht="19.899999999999999" customHeight="1">
      <c r="A1454" s="509"/>
      <c r="B1454" s="160"/>
      <c r="C1454" s="451" t="s">
        <v>1006</v>
      </c>
      <c r="D1454" s="456"/>
      <c r="E1454" s="456"/>
      <c r="F1454" s="160"/>
      <c r="G1454" s="510"/>
    </row>
    <row r="1455" spans="1:7" ht="19.899999999999999" customHeight="1">
      <c r="A1455" s="511">
        <f t="shared" ref="A1455:A1463" si="413">IFERROR(VLOOKUP(C1455,T_Insumos,4,FALSE),0)</f>
        <v>0</v>
      </c>
      <c r="B1455" s="474">
        <f t="shared" ref="B1455:B1463" si="414">IFERROR(VLOOKUP(C1455,T_Insumos,5,FALSE),0)</f>
        <v>0</v>
      </c>
      <c r="C1455" s="465"/>
      <c r="D1455" s="475">
        <f t="shared" ref="D1455:D1463" si="415">IFERROR(VLOOKUP(C1455,T_Insumos,3,FALSE),0)</f>
        <v>0</v>
      </c>
      <c r="E1455" s="468">
        <f>D1455*$G$323</f>
        <v>0</v>
      </c>
      <c r="F1455" s="471">
        <f>+$D$325</f>
        <v>0</v>
      </c>
      <c r="G1455" s="468">
        <f>IFERROR(ROUND(E1455/F1455,2),0)</f>
        <v>0</v>
      </c>
    </row>
    <row r="1456" spans="1:7" ht="19.899999999999999" customHeight="1">
      <c r="A1456" s="511"/>
      <c r="B1456" s="474"/>
      <c r="C1456" s="465"/>
      <c r="D1456" s="475">
        <f t="shared" si="415"/>
        <v>0</v>
      </c>
      <c r="E1456" s="468">
        <f>D1456*$G$323</f>
        <v>0</v>
      </c>
      <c r="F1456" s="471">
        <f t="shared" ref="F1456:F1458" si="416">+$D$325</f>
        <v>0</v>
      </c>
      <c r="G1456" s="468">
        <f t="shared" ref="G1456:G1463" si="417">IFERROR(ROUND(E1456/F1456,2),0)</f>
        <v>0</v>
      </c>
    </row>
    <row r="1457" spans="1:7" ht="19.899999999999999" customHeight="1">
      <c r="A1457" s="511">
        <f t="shared" ref="A1457:A1465" si="418">IFERROR(VLOOKUP(C1457,T_Insumos,4,FALSE),0)</f>
        <v>0</v>
      </c>
      <c r="B1457" s="474">
        <f t="shared" ref="B1457:B1465" si="419">IFERROR(VLOOKUP(C1457,T_Insumos,5,FALSE),0)</f>
        <v>0</v>
      </c>
      <c r="C1457" s="476"/>
      <c r="D1457" s="475">
        <f t="shared" si="415"/>
        <v>0</v>
      </c>
      <c r="E1457" s="468">
        <f>D1457*$E$323</f>
        <v>0</v>
      </c>
      <c r="F1457" s="471">
        <f t="shared" si="416"/>
        <v>0</v>
      </c>
      <c r="G1457" s="468">
        <f t="shared" si="417"/>
        <v>0</v>
      </c>
    </row>
    <row r="1458" spans="1:7" ht="19.899999999999999" customHeight="1">
      <c r="A1458" s="511">
        <f t="shared" si="418"/>
        <v>0</v>
      </c>
      <c r="B1458" s="474">
        <f t="shared" si="419"/>
        <v>0</v>
      </c>
      <c r="C1458" s="476"/>
      <c r="D1458" s="475">
        <f t="shared" si="415"/>
        <v>0</v>
      </c>
      <c r="E1458" s="468">
        <f>D1458*$E$323</f>
        <v>0</v>
      </c>
      <c r="F1458" s="471">
        <f t="shared" si="416"/>
        <v>0</v>
      </c>
      <c r="G1458" s="468">
        <f t="shared" si="417"/>
        <v>0</v>
      </c>
    </row>
    <row r="1459" spans="1:7" ht="19.899999999999999" customHeight="1">
      <c r="A1459" s="511">
        <f t="shared" si="418"/>
        <v>0</v>
      </c>
      <c r="B1459" s="474">
        <f t="shared" si="419"/>
        <v>0</v>
      </c>
      <c r="C1459" s="476"/>
      <c r="D1459" s="475">
        <f t="shared" si="415"/>
        <v>0</v>
      </c>
      <c r="E1459" s="468"/>
      <c r="F1459" s="471">
        <f>IF(C1459="",0,IFERROR(VLOOKUP(COUNTIF($A$1:A1459,"ANALISIS DE PRECIOS"),T_Rendimiento_Equipo,5,FALSE),0))</f>
        <v>0</v>
      </c>
      <c r="G1459" s="468">
        <f t="shared" si="417"/>
        <v>0</v>
      </c>
    </row>
    <row r="1460" spans="1:7" ht="19.899999999999999" customHeight="1">
      <c r="A1460" s="511">
        <f t="shared" si="418"/>
        <v>0</v>
      </c>
      <c r="B1460" s="474">
        <f t="shared" si="419"/>
        <v>0</v>
      </c>
      <c r="C1460" s="476"/>
      <c r="D1460" s="475">
        <f t="shared" si="415"/>
        <v>0</v>
      </c>
      <c r="E1460" s="468"/>
      <c r="F1460" s="471">
        <f>IF(C1460="",0,IFERROR(VLOOKUP(COUNTIF($A$1:A1460,"ANALISIS DE PRECIOS"),T_Rendimiento_Equipo,5,FALSE),0))</f>
        <v>0</v>
      </c>
      <c r="G1460" s="468">
        <f t="shared" si="417"/>
        <v>0</v>
      </c>
    </row>
    <row r="1461" spans="1:7" ht="19.899999999999999" customHeight="1">
      <c r="A1461" s="511">
        <f t="shared" si="418"/>
        <v>0</v>
      </c>
      <c r="B1461" s="474">
        <f t="shared" si="419"/>
        <v>0</v>
      </c>
      <c r="C1461" s="476"/>
      <c r="D1461" s="475">
        <f t="shared" si="415"/>
        <v>0</v>
      </c>
      <c r="E1461" s="468"/>
      <c r="F1461" s="471">
        <f>IF(C1461="",0,IFERROR(VLOOKUP(COUNTIF($A$1:A1461,"ANALISIS DE PRECIOS"),T_Rendimiento_Equipo,5,FALSE),0))</f>
        <v>0</v>
      </c>
      <c r="G1461" s="468">
        <f t="shared" si="417"/>
        <v>0</v>
      </c>
    </row>
    <row r="1462" spans="1:7" ht="19.899999999999999" customHeight="1">
      <c r="A1462" s="511">
        <f t="shared" si="418"/>
        <v>0</v>
      </c>
      <c r="B1462" s="474">
        <f t="shared" si="419"/>
        <v>0</v>
      </c>
      <c r="C1462" s="476"/>
      <c r="D1462" s="475">
        <f t="shared" si="415"/>
        <v>0</v>
      </c>
      <c r="E1462" s="468"/>
      <c r="F1462" s="471">
        <f>IF(C1462="",0,IFERROR(VLOOKUP(COUNTIF($A$1:A1462,"ANALISIS DE PRECIOS"),T_Rendimiento_Equipo,5,FALSE),0))</f>
        <v>0</v>
      </c>
      <c r="G1462" s="468">
        <f t="shared" si="417"/>
        <v>0</v>
      </c>
    </row>
    <row r="1463" spans="1:7" ht="19.899999999999999" customHeight="1">
      <c r="A1463" s="511">
        <f t="shared" si="418"/>
        <v>0</v>
      </c>
      <c r="B1463" s="474">
        <f t="shared" si="419"/>
        <v>0</v>
      </c>
      <c r="C1463" s="465"/>
      <c r="D1463" s="475">
        <f t="shared" si="415"/>
        <v>0</v>
      </c>
      <c r="E1463" s="468"/>
      <c r="F1463" s="471">
        <f>IF(C1463="",0,IFERROR(VLOOKUP(COUNTIF($A$1:A1463,"ANALISIS DE PRECIOS"),T_Rendimiento_Equipo,5,FALSE),0))</f>
        <v>0</v>
      </c>
      <c r="G1463" s="468">
        <f t="shared" si="417"/>
        <v>0</v>
      </c>
    </row>
    <row r="1464" spans="1:7" ht="19.899999999999999" customHeight="1">
      <c r="A1464" s="512"/>
      <c r="B1464" s="455"/>
      <c r="C1464" s="160"/>
      <c r="D1464" s="455"/>
      <c r="E1464" s="456"/>
      <c r="F1464" s="615" t="s">
        <v>26</v>
      </c>
      <c r="G1464" s="513">
        <f>SUBTOTAL(9,G1455:G1463)</f>
        <v>0</v>
      </c>
    </row>
    <row r="1465" spans="1:7" ht="19.899999999999999" customHeight="1">
      <c r="A1465" s="509"/>
      <c r="B1465" s="160"/>
      <c r="C1465" s="451" t="s">
        <v>712</v>
      </c>
      <c r="D1465" s="455"/>
      <c r="E1465" s="456"/>
      <c r="F1465" s="457"/>
      <c r="G1465" s="510"/>
    </row>
    <row r="1466" spans="1:7" ht="19.899999999999999" customHeight="1">
      <c r="A1466" s="637" t="s">
        <v>575</v>
      </c>
      <c r="B1466" s="638"/>
      <c r="C1466" s="639" t="s">
        <v>0</v>
      </c>
      <c r="D1466" s="641" t="s">
        <v>23</v>
      </c>
      <c r="E1466" s="641" t="s">
        <v>1829</v>
      </c>
      <c r="F1466" s="643" t="s">
        <v>1005</v>
      </c>
      <c r="G1466" s="645" t="s">
        <v>25</v>
      </c>
    </row>
    <row r="1467" spans="1:7" ht="19.899999999999999" customHeight="1">
      <c r="A1467" s="473" t="s">
        <v>576</v>
      </c>
      <c r="B1467" s="473" t="s">
        <v>577</v>
      </c>
      <c r="C1467" s="640"/>
      <c r="D1467" s="642"/>
      <c r="E1467" s="642"/>
      <c r="F1467" s="644"/>
      <c r="G1467" s="646"/>
    </row>
    <row r="1468" spans="1:7" ht="19.899999999999999" customHeight="1">
      <c r="A1468" s="511"/>
      <c r="B1468" s="474"/>
      <c r="C1468" s="478"/>
      <c r="D1468" s="471"/>
      <c r="E1468" s="468">
        <f t="shared" ref="E1468:E1472" si="420">IFERROR(VLOOKUP(C1468,T_Insumos,3,FALSE),0)</f>
        <v>0</v>
      </c>
      <c r="F1468" s="471">
        <f>+$D$325</f>
        <v>0</v>
      </c>
      <c r="G1468" s="468">
        <f>IFERROR(ROUND(D1468*E1468/F1468,2),0)</f>
        <v>0</v>
      </c>
    </row>
    <row r="1469" spans="1:7" ht="19.899999999999999" customHeight="1">
      <c r="A1469" s="511"/>
      <c r="B1469" s="474"/>
      <c r="C1469" s="465"/>
      <c r="D1469" s="471"/>
      <c r="E1469" s="468">
        <f t="shared" si="420"/>
        <v>0</v>
      </c>
      <c r="F1469" s="471">
        <f t="shared" ref="F1469:F1473" si="421">+$D$325</f>
        <v>0</v>
      </c>
      <c r="G1469" s="468">
        <f t="shared" ref="G1469:G1474" si="422">IFERROR(ROUND(D1469*E1469/F1469,2),0)</f>
        <v>0</v>
      </c>
    </row>
    <row r="1470" spans="1:7" ht="19.899999999999999" customHeight="1">
      <c r="A1470" s="511"/>
      <c r="B1470" s="474"/>
      <c r="C1470" s="465"/>
      <c r="D1470" s="471"/>
      <c r="E1470" s="468">
        <f t="shared" si="420"/>
        <v>0</v>
      </c>
      <c r="F1470" s="471">
        <f t="shared" si="421"/>
        <v>0</v>
      </c>
      <c r="G1470" s="468">
        <f t="shared" si="422"/>
        <v>0</v>
      </c>
    </row>
    <row r="1471" spans="1:7" ht="19.899999999999999" customHeight="1">
      <c r="A1471" s="511"/>
      <c r="B1471" s="474"/>
      <c r="C1471" s="465"/>
      <c r="D1471" s="471"/>
      <c r="E1471" s="468">
        <f t="shared" si="420"/>
        <v>0</v>
      </c>
      <c r="F1471" s="471">
        <f t="shared" si="421"/>
        <v>0</v>
      </c>
      <c r="G1471" s="468">
        <f t="shared" si="422"/>
        <v>0</v>
      </c>
    </row>
    <row r="1472" spans="1:7" ht="19.899999999999999" customHeight="1">
      <c r="A1472" s="511">
        <f t="shared" ref="A1472:A1474" si="423">IFERROR(VLOOKUP(C1472,T_Insumos,4,FALSE),0)</f>
        <v>0</v>
      </c>
      <c r="B1472" s="474">
        <f t="shared" ref="B1472:B1474" si="424">IFERROR(VLOOKUP(C1472,T_Insumos,5,FALSE),0)</f>
        <v>0</v>
      </c>
      <c r="C1472" s="465"/>
      <c r="D1472" s="471"/>
      <c r="E1472" s="468">
        <f t="shared" si="420"/>
        <v>0</v>
      </c>
      <c r="F1472" s="471">
        <f>IF(C1472="",0,IFERROR(VLOOKUP(COUNTIF($A$1:A1472,"ANALISIS DE PRECIOS"),T_Rendimiento_Equipo,5,FALSE),0))</f>
        <v>0</v>
      </c>
      <c r="G1472" s="468">
        <f t="shared" si="422"/>
        <v>0</v>
      </c>
    </row>
    <row r="1473" spans="1:7" ht="19.899999999999999" customHeight="1">
      <c r="A1473" s="511">
        <f t="shared" si="423"/>
        <v>0</v>
      </c>
      <c r="B1473" s="474">
        <f t="shared" si="424"/>
        <v>0</v>
      </c>
      <c r="C1473" s="465"/>
      <c r="D1473" s="479"/>
      <c r="E1473" s="468">
        <f>SUMPRODUCT(D1468:D1471,E1468:E1471)</f>
        <v>0</v>
      </c>
      <c r="F1473" s="471">
        <f t="shared" si="421"/>
        <v>0</v>
      </c>
      <c r="G1473" s="468">
        <f t="shared" si="422"/>
        <v>0</v>
      </c>
    </row>
    <row r="1474" spans="1:7" ht="19.899999999999999" customHeight="1">
      <c r="A1474" s="511">
        <f t="shared" si="423"/>
        <v>0</v>
      </c>
      <c r="B1474" s="474">
        <f t="shared" si="424"/>
        <v>0</v>
      </c>
      <c r="C1474" s="474"/>
      <c r="D1474" s="480"/>
      <c r="E1474" s="468">
        <f t="shared" ref="E1474:E1476" si="425">IFERROR(VLOOKUP(C1474,T_Insumos,3,FALSE),0)</f>
        <v>0</v>
      </c>
      <c r="F1474" s="471">
        <f>IF(C1474="",0,IFERROR(VLOOKUP(COUNTIF($A$1:A1474,"ANALISIS DE PRECIOS"),T_Rendimiento_Equipo,5,FALSE),0))</f>
        <v>0</v>
      </c>
      <c r="G1474" s="468">
        <f t="shared" si="422"/>
        <v>0</v>
      </c>
    </row>
    <row r="1475" spans="1:7" ht="19.899999999999999" customHeight="1">
      <c r="A1475" s="512"/>
      <c r="B1475" s="455"/>
      <c r="C1475" s="160"/>
      <c r="D1475" s="455"/>
      <c r="E1475" s="456"/>
      <c r="F1475" s="615" t="s">
        <v>27</v>
      </c>
      <c r="G1475" s="514">
        <f>SUBTOTAL(9,G1468:G1474)</f>
        <v>0</v>
      </c>
    </row>
    <row r="1476" spans="1:7" ht="19.899999999999999" customHeight="1">
      <c r="A1476" s="509"/>
      <c r="B1476" s="160"/>
      <c r="C1476" s="451" t="s">
        <v>1012</v>
      </c>
      <c r="D1476" s="455"/>
      <c r="E1476" s="456"/>
      <c r="F1476" s="457"/>
      <c r="G1476" s="510"/>
    </row>
    <row r="1477" spans="1:7" ht="19.899999999999999" customHeight="1">
      <c r="A1477" s="637" t="s">
        <v>575</v>
      </c>
      <c r="B1477" s="638"/>
      <c r="C1477" s="639" t="s">
        <v>0</v>
      </c>
      <c r="D1477" s="639" t="s">
        <v>1864</v>
      </c>
      <c r="E1477" s="641" t="s">
        <v>23</v>
      </c>
      <c r="F1477" s="643" t="s">
        <v>24</v>
      </c>
      <c r="G1477" s="645" t="s">
        <v>25</v>
      </c>
    </row>
    <row r="1478" spans="1:7" ht="19.899999999999999" customHeight="1">
      <c r="A1478" s="473" t="s">
        <v>576</v>
      </c>
      <c r="B1478" s="473" t="s">
        <v>577</v>
      </c>
      <c r="C1478" s="640"/>
      <c r="D1478" s="640"/>
      <c r="E1478" s="642"/>
      <c r="F1478" s="644"/>
      <c r="G1478" s="646"/>
    </row>
    <row r="1479" spans="1:7" ht="19.899999999999999" customHeight="1">
      <c r="A1479" s="511">
        <f t="shared" ref="A1479:A1489" si="426">IFERROR(VLOOKUP(C1479,T_Insumos,4,FALSE),0)</f>
        <v>0</v>
      </c>
      <c r="B1479" s="474">
        <f t="shared" ref="B1479:B1489" si="427">IFERROR(VLOOKUP(C1479,T_Insumos,5,FALSE),0)</f>
        <v>0</v>
      </c>
      <c r="C1479" s="474"/>
      <c r="D1479" s="522">
        <f t="shared" ref="D1479:D1489" si="428">IFERROR(VLOOKUP(C1479,T_Insumos,2,FALSE),0)</f>
        <v>0</v>
      </c>
      <c r="E1479" s="466"/>
      <c r="F1479" s="468">
        <f t="shared" ref="F1479:F1489" si="429">IFERROR(VLOOKUP(C1479,T_Insumos,3,FALSE),0)</f>
        <v>0</v>
      </c>
      <c r="G1479" s="468">
        <f>ROUND(E1479*F1479,2)</f>
        <v>0</v>
      </c>
    </row>
    <row r="1480" spans="1:7" ht="19.899999999999999" customHeight="1">
      <c r="A1480" s="511">
        <f t="shared" si="426"/>
        <v>0</v>
      </c>
      <c r="B1480" s="474">
        <f t="shared" si="427"/>
        <v>0</v>
      </c>
      <c r="C1480" s="474"/>
      <c r="D1480" s="522">
        <f t="shared" si="428"/>
        <v>0</v>
      </c>
      <c r="E1480" s="466"/>
      <c r="F1480" s="468">
        <f t="shared" si="429"/>
        <v>0</v>
      </c>
      <c r="G1480" s="468">
        <f t="shared" ref="G1480:G1489" si="430">ROUND(E1480*F1480,2)</f>
        <v>0</v>
      </c>
    </row>
    <row r="1481" spans="1:7" ht="19.899999999999999" customHeight="1">
      <c r="A1481" s="511">
        <f t="shared" si="426"/>
        <v>0</v>
      </c>
      <c r="B1481" s="474">
        <f t="shared" si="427"/>
        <v>0</v>
      </c>
      <c r="C1481" s="474"/>
      <c r="D1481" s="522">
        <f t="shared" si="428"/>
        <v>0</v>
      </c>
      <c r="E1481" s="466"/>
      <c r="F1481" s="468">
        <f t="shared" si="429"/>
        <v>0</v>
      </c>
      <c r="G1481" s="468">
        <f t="shared" si="430"/>
        <v>0</v>
      </c>
    </row>
    <row r="1482" spans="1:7" ht="19.899999999999999" customHeight="1">
      <c r="A1482" s="511">
        <f t="shared" si="426"/>
        <v>0</v>
      </c>
      <c r="B1482" s="474">
        <f t="shared" si="427"/>
        <v>0</v>
      </c>
      <c r="C1482" s="474"/>
      <c r="D1482" s="522">
        <f t="shared" si="428"/>
        <v>0</v>
      </c>
      <c r="E1482" s="466"/>
      <c r="F1482" s="468">
        <f t="shared" si="429"/>
        <v>0</v>
      </c>
      <c r="G1482" s="468">
        <f t="shared" si="430"/>
        <v>0</v>
      </c>
    </row>
    <row r="1483" spans="1:7" ht="19.899999999999999" customHeight="1">
      <c r="A1483" s="511">
        <f t="shared" si="426"/>
        <v>0</v>
      </c>
      <c r="B1483" s="474">
        <f t="shared" si="427"/>
        <v>0</v>
      </c>
      <c r="C1483" s="474"/>
      <c r="D1483" s="522">
        <f t="shared" si="428"/>
        <v>0</v>
      </c>
      <c r="E1483" s="466"/>
      <c r="F1483" s="468">
        <f t="shared" si="429"/>
        <v>0</v>
      </c>
      <c r="G1483" s="468">
        <f t="shared" si="430"/>
        <v>0</v>
      </c>
    </row>
    <row r="1484" spans="1:7" ht="19.899999999999999" customHeight="1">
      <c r="A1484" s="511">
        <f t="shared" si="426"/>
        <v>0</v>
      </c>
      <c r="B1484" s="474">
        <f t="shared" si="427"/>
        <v>0</v>
      </c>
      <c r="C1484" s="474"/>
      <c r="D1484" s="522">
        <f t="shared" si="428"/>
        <v>0</v>
      </c>
      <c r="E1484" s="466"/>
      <c r="F1484" s="468">
        <f t="shared" si="429"/>
        <v>0</v>
      </c>
      <c r="G1484" s="468">
        <f t="shared" si="430"/>
        <v>0</v>
      </c>
    </row>
    <row r="1485" spans="1:7" ht="19.899999999999999" customHeight="1">
      <c r="A1485" s="511">
        <f t="shared" si="426"/>
        <v>0</v>
      </c>
      <c r="B1485" s="474">
        <f t="shared" si="427"/>
        <v>0</v>
      </c>
      <c r="C1485" s="474"/>
      <c r="D1485" s="522">
        <f t="shared" si="428"/>
        <v>0</v>
      </c>
      <c r="E1485" s="466"/>
      <c r="F1485" s="468">
        <f t="shared" si="429"/>
        <v>0</v>
      </c>
      <c r="G1485" s="468">
        <f t="shared" si="430"/>
        <v>0</v>
      </c>
    </row>
    <row r="1486" spans="1:7" ht="19.899999999999999" customHeight="1">
      <c r="A1486" s="511">
        <f t="shared" si="426"/>
        <v>0</v>
      </c>
      <c r="B1486" s="474">
        <f t="shared" si="427"/>
        <v>0</v>
      </c>
      <c r="C1486" s="474"/>
      <c r="D1486" s="522">
        <f t="shared" si="428"/>
        <v>0</v>
      </c>
      <c r="E1486" s="466"/>
      <c r="F1486" s="468">
        <f t="shared" si="429"/>
        <v>0</v>
      </c>
      <c r="G1486" s="468">
        <f t="shared" si="430"/>
        <v>0</v>
      </c>
    </row>
    <row r="1487" spans="1:7" ht="19.899999999999999" customHeight="1">
      <c r="A1487" s="511">
        <f t="shared" si="426"/>
        <v>0</v>
      </c>
      <c r="B1487" s="474">
        <f t="shared" si="427"/>
        <v>0</v>
      </c>
      <c r="C1487" s="474"/>
      <c r="D1487" s="522">
        <f t="shared" si="428"/>
        <v>0</v>
      </c>
      <c r="E1487" s="466"/>
      <c r="F1487" s="468">
        <f t="shared" si="429"/>
        <v>0</v>
      </c>
      <c r="G1487" s="468">
        <f t="shared" si="430"/>
        <v>0</v>
      </c>
    </row>
    <row r="1488" spans="1:7" ht="19.899999999999999" customHeight="1">
      <c r="A1488" s="511">
        <f t="shared" si="426"/>
        <v>0</v>
      </c>
      <c r="B1488" s="474">
        <f t="shared" si="427"/>
        <v>0</v>
      </c>
      <c r="C1488" s="474"/>
      <c r="D1488" s="522">
        <f t="shared" si="428"/>
        <v>0</v>
      </c>
      <c r="E1488" s="466"/>
      <c r="F1488" s="468">
        <f t="shared" si="429"/>
        <v>0</v>
      </c>
      <c r="G1488" s="468">
        <f t="shared" si="430"/>
        <v>0</v>
      </c>
    </row>
    <row r="1489" spans="1:7" ht="19.899999999999999" customHeight="1">
      <c r="A1489" s="511">
        <f t="shared" si="426"/>
        <v>0</v>
      </c>
      <c r="B1489" s="474">
        <f t="shared" si="427"/>
        <v>0</v>
      </c>
      <c r="C1489" s="474"/>
      <c r="D1489" s="522">
        <f t="shared" si="428"/>
        <v>0</v>
      </c>
      <c r="E1489" s="466"/>
      <c r="F1489" s="468">
        <f t="shared" si="429"/>
        <v>0</v>
      </c>
      <c r="G1489" s="468">
        <f t="shared" si="430"/>
        <v>0</v>
      </c>
    </row>
    <row r="1490" spans="1:7" ht="19.899999999999999" customHeight="1">
      <c r="A1490" s="509"/>
      <c r="B1490" s="160"/>
      <c r="C1490" s="160"/>
      <c r="D1490" s="455"/>
      <c r="E1490" s="456"/>
      <c r="F1490" s="615" t="s">
        <v>28</v>
      </c>
      <c r="G1490" s="514">
        <f>SUBTOTAL(9,G1479:G1489)</f>
        <v>0</v>
      </c>
    </row>
    <row r="1491" spans="1:7" ht="19.899999999999999" customHeight="1">
      <c r="A1491" s="509"/>
      <c r="B1491" s="160"/>
      <c r="C1491" s="451" t="s">
        <v>1013</v>
      </c>
      <c r="D1491" s="455"/>
      <c r="E1491" s="456"/>
      <c r="F1491" s="457"/>
      <c r="G1491" s="510"/>
    </row>
    <row r="1492" spans="1:7" ht="19.899999999999999" customHeight="1">
      <c r="A1492" s="637" t="s">
        <v>575</v>
      </c>
      <c r="B1492" s="638"/>
      <c r="C1492" s="639" t="s">
        <v>0</v>
      </c>
      <c r="D1492" s="639" t="s">
        <v>1864</v>
      </c>
      <c r="E1492" s="641" t="s">
        <v>23</v>
      </c>
      <c r="F1492" s="643" t="s">
        <v>24</v>
      </c>
      <c r="G1492" s="645" t="s">
        <v>25</v>
      </c>
    </row>
    <row r="1493" spans="1:7" ht="19.899999999999999" customHeight="1">
      <c r="A1493" s="473" t="s">
        <v>576</v>
      </c>
      <c r="B1493" s="473" t="s">
        <v>577</v>
      </c>
      <c r="C1493" s="640"/>
      <c r="D1493" s="640"/>
      <c r="E1493" s="642"/>
      <c r="F1493" s="644"/>
      <c r="G1493" s="646"/>
    </row>
    <row r="1494" spans="1:7" ht="19.899999999999999" customHeight="1">
      <c r="A1494" s="511">
        <f>IFERROR(VLOOKUP(C1494,T_Insumos,4,FALSE),0)</f>
        <v>0</v>
      </c>
      <c r="B1494" s="474">
        <f>IFERROR(VLOOKUP(C1494,T_Insumos,5,FALSE),0)</f>
        <v>0</v>
      </c>
      <c r="C1494" s="465"/>
      <c r="D1494" s="522">
        <f>IF(C1494=0,0,"$/tnkm")</f>
        <v>0</v>
      </c>
      <c r="E1494" s="466"/>
      <c r="F1494" s="468">
        <f>IFERROR(VLOOKUP(C1494,T_Insumos,3,FALSE),0)</f>
        <v>0</v>
      </c>
      <c r="G1494" s="468">
        <f>ROUND(E1494*F1494,2)</f>
        <v>0</v>
      </c>
    </row>
    <row r="1495" spans="1:7" ht="19.899999999999999" customHeight="1">
      <c r="A1495" s="511">
        <f>IFERROR(VLOOKUP(C1495,T_Insumos,4,FALSE),0)</f>
        <v>0</v>
      </c>
      <c r="B1495" s="474">
        <f>IFERROR(VLOOKUP(C1495,T_Insumos,5,FALSE),0)</f>
        <v>0</v>
      </c>
      <c r="C1495" s="465"/>
      <c r="D1495" s="522">
        <f>IF(C1495=0,0,"$/tnkm")</f>
        <v>0</v>
      </c>
      <c r="E1495" s="482"/>
      <c r="F1495" s="468">
        <f>IFERROR(VLOOKUP(C1495,T_Insumos,3,FALSE),0)</f>
        <v>0</v>
      </c>
      <c r="G1495" s="468">
        <f t="shared" ref="G1495" si="431">ROUND(E1495*F1495,2)</f>
        <v>0</v>
      </c>
    </row>
    <row r="1496" spans="1:7" ht="19.899999999999999" customHeight="1">
      <c r="A1496" s="509"/>
      <c r="B1496" s="160"/>
      <c r="C1496" s="160"/>
      <c r="D1496" s="455"/>
      <c r="E1496" s="456"/>
      <c r="F1496" s="615" t="s">
        <v>1014</v>
      </c>
      <c r="G1496" s="514">
        <f>SUBTOTAL(9,G1494:G1495)</f>
        <v>0</v>
      </c>
    </row>
    <row r="1497" spans="1:7" ht="19.899999999999999" customHeight="1">
      <c r="A1497" s="512"/>
      <c r="B1497" s="455"/>
      <c r="C1497" s="160"/>
      <c r="D1497" s="455"/>
      <c r="E1497" s="456"/>
      <c r="F1497" s="457"/>
      <c r="G1497" s="510"/>
    </row>
    <row r="1498" spans="1:7" ht="19.899999999999999" customHeight="1">
      <c r="A1498" s="570">
        <f>B1432</f>
        <v>4.2</v>
      </c>
      <c r="B1498" s="567" t="str">
        <f ca="1">C1432</f>
        <v>Hormigon de limpieza</v>
      </c>
      <c r="C1498" s="455"/>
      <c r="D1498" s="455" t="s">
        <v>1830</v>
      </c>
      <c r="E1498" s="568"/>
      <c r="F1498" s="569" t="str">
        <f ca="1">"$/"&amp;G1432</f>
        <v>$/m2</v>
      </c>
      <c r="G1498" s="519">
        <f>SUBTOTAL(9,G1455:G1497)</f>
        <v>0</v>
      </c>
    </row>
    <row r="1499" spans="1:7" ht="19.899999999999999" customHeight="1">
      <c r="A1499" s="515"/>
      <c r="B1499" s="516"/>
      <c r="C1499" s="517"/>
      <c r="D1499" s="517" t="s">
        <v>2040</v>
      </c>
      <c r="E1499" s="518"/>
      <c r="F1499" s="571" t="str">
        <f ca="1">"$/"&amp;G1432</f>
        <v>$/m2</v>
      </c>
      <c r="G1499" s="519">
        <f>ROUND(G1498*Coeficiente_Paso,2)</f>
        <v>0</v>
      </c>
    </row>
    <row r="1500" spans="1:7" ht="19.899999999999999" customHeight="1">
      <c r="A1500" s="160"/>
      <c r="B1500" s="160"/>
      <c r="C1500" s="160"/>
      <c r="D1500" s="160"/>
      <c r="E1500" s="160"/>
      <c r="F1500" s="160"/>
      <c r="G1500" s="160"/>
    </row>
    <row r="1501" spans="1:7" ht="19.899999999999999" customHeight="1">
      <c r="A1501" s="633" t="s">
        <v>30</v>
      </c>
      <c r="B1501" s="634"/>
      <c r="C1501" s="634"/>
      <c r="D1501" s="634"/>
      <c r="E1501" s="634"/>
      <c r="F1501" s="634"/>
      <c r="G1501" s="635"/>
    </row>
    <row r="1502" spans="1:7" ht="19.899999999999999" customHeight="1">
      <c r="A1502" s="498" t="s">
        <v>710</v>
      </c>
      <c r="B1502" s="449" t="str">
        <f>Comitente</f>
        <v>DEPARTAMENTO DE HIDRAULICA</v>
      </c>
      <c r="C1502" s="450"/>
      <c r="D1502" s="451"/>
      <c r="E1502" s="451"/>
      <c r="F1502" s="452"/>
      <c r="G1502" s="499"/>
    </row>
    <row r="1503" spans="1:7" ht="19.899999999999999" customHeight="1">
      <c r="A1503" s="498" t="s">
        <v>711</v>
      </c>
      <c r="B1503" s="449">
        <f>Contratista</f>
        <v>0</v>
      </c>
      <c r="C1503" s="453"/>
      <c r="D1503" s="453"/>
      <c r="E1503" s="453"/>
      <c r="F1503" s="449"/>
      <c r="G1503" s="500"/>
    </row>
    <row r="1504" spans="1:7" ht="19.899999999999999" customHeight="1">
      <c r="A1504" s="498" t="s">
        <v>20</v>
      </c>
      <c r="B1504" s="449" t="str">
        <f>Obra</f>
        <v>EJECUCION DE PERFORACION - SISTEMA DE RIEGO</v>
      </c>
      <c r="C1504" s="453"/>
      <c r="D1504" s="453"/>
      <c r="E1504" s="453"/>
      <c r="F1504" s="449" t="s">
        <v>31</v>
      </c>
      <c r="G1504" s="500">
        <f>Fecha_Base</f>
        <v>0</v>
      </c>
    </row>
    <row r="1505" spans="1:7" ht="19.899999999999999" customHeight="1">
      <c r="A1505" s="501" t="s">
        <v>709</v>
      </c>
      <c r="B1505" s="454" t="str">
        <f>Ubicación</f>
        <v>DEPARTAMENTO CHIMBAS</v>
      </c>
      <c r="C1505" s="454"/>
      <c r="D1505" s="455"/>
      <c r="E1505" s="456"/>
      <c r="F1505" s="457"/>
      <c r="G1505" s="502"/>
    </row>
    <row r="1506" spans="1:7" ht="19.899999999999999" customHeight="1">
      <c r="A1506" s="501" t="s">
        <v>32</v>
      </c>
      <c r="B1506" s="458">
        <f>IFERROR(VALUE(LEFT(B1507,FIND(".",B1507)-1)),"")</f>
        <v>4</v>
      </c>
      <c r="C1506" s="160" t="str">
        <f ca="1">IFERROR(VLOOKUP(B1506,T_Computo_Presupuesto,2,FALSE),0)</f>
        <v>CUENCO DE VERTIDO</v>
      </c>
      <c r="D1506" s="160"/>
      <c r="E1506" s="456"/>
      <c r="F1506" s="457"/>
      <c r="G1506" s="502"/>
    </row>
    <row r="1507" spans="1:7" ht="19.899999999999999" customHeight="1">
      <c r="A1507" s="501" t="s">
        <v>21</v>
      </c>
      <c r="B1507" s="459">
        <f>IFERROR(VLOOKUP(COUNTIF($A$1:A1507,"ANALISIS DE PRECIOS"),T_NumeroItem,2,FALSE),"")</f>
        <v>4.3</v>
      </c>
      <c r="C1507" s="636" t="str">
        <f ca="1">IFERROR(VLOOKUP(B1507,T_Computo_Presupuesto,2,FALSE),0)</f>
        <v>Excavacion</v>
      </c>
      <c r="D1507" s="636"/>
      <c r="E1507" s="636"/>
      <c r="F1507" s="454" t="s">
        <v>22</v>
      </c>
      <c r="G1507" s="503" t="str">
        <f ca="1">IFERROR(VLOOKUP(B1507,T_Computo_Presupuesto,4,FALSE),0)</f>
        <v>m3</v>
      </c>
    </row>
    <row r="1508" spans="1:7" ht="19.899999999999999" customHeight="1">
      <c r="A1508" s="501"/>
      <c r="B1508" s="454"/>
      <c r="C1508" s="160"/>
      <c r="D1508" s="455"/>
      <c r="E1508" s="456"/>
      <c r="F1508" s="160"/>
      <c r="G1508" s="504"/>
    </row>
    <row r="1509" spans="1:7" ht="19.899999999999999" customHeight="1">
      <c r="A1509" s="505"/>
      <c r="B1509" s="460"/>
      <c r="C1509" s="461" t="s">
        <v>997</v>
      </c>
      <c r="D1509" s="460"/>
      <c r="E1509" s="460"/>
      <c r="F1509" s="460"/>
      <c r="G1509" s="506"/>
    </row>
    <row r="1510" spans="1:7" ht="19.899999999999999" customHeight="1">
      <c r="A1510" s="501"/>
      <c r="B1510" s="462"/>
      <c r="C1510" s="160"/>
      <c r="D1510" s="455"/>
      <c r="E1510" s="456"/>
      <c r="F1510" s="454"/>
      <c r="G1510" s="503"/>
    </row>
    <row r="1511" spans="1:7" ht="19.899999999999999" customHeight="1">
      <c r="A1511" s="501"/>
      <c r="B1511" s="462"/>
      <c r="C1511" s="463" t="s">
        <v>998</v>
      </c>
      <c r="D1511" s="464" t="s">
        <v>23</v>
      </c>
      <c r="E1511" s="464" t="s">
        <v>999</v>
      </c>
      <c r="F1511" s="464" t="s">
        <v>1000</v>
      </c>
      <c r="G1511" s="463" t="s">
        <v>1001</v>
      </c>
    </row>
    <row r="1512" spans="1:7" ht="19.899999999999999" customHeight="1">
      <c r="A1512" s="501"/>
      <c r="B1512" s="462"/>
      <c r="C1512" s="465"/>
      <c r="D1512" s="466"/>
      <c r="E1512" s="467">
        <f t="shared" ref="E1512:E1521" si="432">IFERROR(VLOOKUP(C1512,T_Equipos,4,FALSE),0)</f>
        <v>0</v>
      </c>
      <c r="F1512" s="468"/>
      <c r="G1512" s="468">
        <f>ROUND(D1512*F1512,2)</f>
        <v>0</v>
      </c>
    </row>
    <row r="1513" spans="1:7" ht="19.899999999999999" customHeight="1">
      <c r="A1513" s="501"/>
      <c r="B1513" s="462"/>
      <c r="C1513" s="465"/>
      <c r="D1513" s="466"/>
      <c r="E1513" s="467">
        <f t="shared" si="432"/>
        <v>0</v>
      </c>
      <c r="F1513" s="468"/>
      <c r="G1513" s="468">
        <f>ROUND(D1513*F1513,2)</f>
        <v>0</v>
      </c>
    </row>
    <row r="1514" spans="1:7" ht="19.899999999999999" customHeight="1">
      <c r="A1514" s="501"/>
      <c r="B1514" s="462"/>
      <c r="C1514" s="465"/>
      <c r="D1514" s="466"/>
      <c r="E1514" s="467">
        <f t="shared" si="432"/>
        <v>0</v>
      </c>
      <c r="F1514" s="468"/>
      <c r="G1514" s="468">
        <f>ROUND(D1514*F1514,2)</f>
        <v>0</v>
      </c>
    </row>
    <row r="1515" spans="1:7" ht="19.899999999999999" customHeight="1">
      <c r="A1515" s="501"/>
      <c r="B1515" s="462"/>
      <c r="C1515" s="465"/>
      <c r="D1515" s="466"/>
      <c r="E1515" s="467">
        <f t="shared" si="432"/>
        <v>0</v>
      </c>
      <c r="F1515" s="468"/>
      <c r="G1515" s="468">
        <f>ROUND(D1515*F1515,2)</f>
        <v>0</v>
      </c>
    </row>
    <row r="1516" spans="1:7" ht="19.899999999999999" customHeight="1">
      <c r="A1516" s="501"/>
      <c r="B1516" s="462"/>
      <c r="C1516" s="465"/>
      <c r="D1516" s="466"/>
      <c r="E1516" s="467">
        <f t="shared" si="432"/>
        <v>0</v>
      </c>
      <c r="F1516" s="468"/>
      <c r="G1516" s="468">
        <f t="shared" ref="G1516:G1521" si="433">ROUND(D1516*F1516,2)</f>
        <v>0</v>
      </c>
    </row>
    <row r="1517" spans="1:7" ht="19.899999999999999" customHeight="1">
      <c r="A1517" s="501"/>
      <c r="B1517" s="462"/>
      <c r="C1517" s="465"/>
      <c r="D1517" s="466"/>
      <c r="E1517" s="467">
        <f t="shared" si="432"/>
        <v>0</v>
      </c>
      <c r="F1517" s="468">
        <f t="shared" ref="F1517:F1521" si="434">IFERROR(VLOOKUP(C1517,T_Equipos,5,FALSE),0)</f>
        <v>0</v>
      </c>
      <c r="G1517" s="468">
        <f t="shared" si="433"/>
        <v>0</v>
      </c>
    </row>
    <row r="1518" spans="1:7" ht="19.899999999999999" customHeight="1">
      <c r="A1518" s="501"/>
      <c r="B1518" s="462"/>
      <c r="C1518" s="465"/>
      <c r="D1518" s="466"/>
      <c r="E1518" s="467">
        <f t="shared" si="432"/>
        <v>0</v>
      </c>
      <c r="F1518" s="468">
        <f t="shared" si="434"/>
        <v>0</v>
      </c>
      <c r="G1518" s="468">
        <f t="shared" si="433"/>
        <v>0</v>
      </c>
    </row>
    <row r="1519" spans="1:7" ht="19.899999999999999" customHeight="1">
      <c r="A1519" s="501"/>
      <c r="B1519" s="462"/>
      <c r="C1519" s="465"/>
      <c r="D1519" s="466"/>
      <c r="E1519" s="467">
        <f t="shared" si="432"/>
        <v>0</v>
      </c>
      <c r="F1519" s="468">
        <f t="shared" si="434"/>
        <v>0</v>
      </c>
      <c r="G1519" s="468">
        <f t="shared" si="433"/>
        <v>0</v>
      </c>
    </row>
    <row r="1520" spans="1:7" ht="19.899999999999999" customHeight="1">
      <c r="A1520" s="501"/>
      <c r="B1520" s="462"/>
      <c r="C1520" s="465"/>
      <c r="D1520" s="466"/>
      <c r="E1520" s="467">
        <f t="shared" si="432"/>
        <v>0</v>
      </c>
      <c r="F1520" s="468">
        <f t="shared" si="434"/>
        <v>0</v>
      </c>
      <c r="G1520" s="468">
        <f t="shared" si="433"/>
        <v>0</v>
      </c>
    </row>
    <row r="1521" spans="1:7" ht="19.899999999999999" customHeight="1">
      <c r="A1521" s="501"/>
      <c r="B1521" s="462"/>
      <c r="C1521" s="465"/>
      <c r="D1521" s="466"/>
      <c r="E1521" s="467">
        <f t="shared" si="432"/>
        <v>0</v>
      </c>
      <c r="F1521" s="468">
        <f t="shared" si="434"/>
        <v>0</v>
      </c>
      <c r="G1521" s="468">
        <f t="shared" si="433"/>
        <v>0</v>
      </c>
    </row>
    <row r="1522" spans="1:7" ht="19.899999999999999" customHeight="1">
      <c r="A1522" s="501"/>
      <c r="B1522" s="462"/>
      <c r="C1522" s="160"/>
      <c r="D1522" s="160"/>
      <c r="E1522" s="469"/>
      <c r="F1522" s="454"/>
      <c r="G1522" s="503"/>
    </row>
    <row r="1523" spans="1:7" ht="19.899999999999999" customHeight="1">
      <c r="A1523" s="501"/>
      <c r="B1523" s="160"/>
      <c r="C1523" s="451" t="s">
        <v>1002</v>
      </c>
      <c r="D1523" s="454" t="s">
        <v>999</v>
      </c>
      <c r="E1523" s="520">
        <f>SUMPRODUCT(D1512:D1521,E1512:E1521)</f>
        <v>0</v>
      </c>
      <c r="F1523" s="454" t="s">
        <v>1003</v>
      </c>
      <c r="G1523" s="521">
        <f>SUM(G1512:G1521)</f>
        <v>0</v>
      </c>
    </row>
    <row r="1524" spans="1:7" ht="19.899999999999999" customHeight="1">
      <c r="A1524" s="501"/>
      <c r="B1524" s="462"/>
      <c r="C1524" s="470"/>
      <c r="D1524" s="469"/>
      <c r="E1524" s="456"/>
      <c r="F1524" s="454"/>
      <c r="G1524" s="507"/>
    </row>
    <row r="1525" spans="1:7" ht="19.899999999999999" customHeight="1">
      <c r="A1525" s="508"/>
      <c r="B1525" s="462"/>
      <c r="C1525" s="454" t="s">
        <v>1004</v>
      </c>
      <c r="D1525" s="471"/>
      <c r="E1525" s="472" t="str">
        <f ca="1">G1507&amp;"/día"</f>
        <v>m3/día</v>
      </c>
      <c r="F1525" s="448"/>
      <c r="G1525" s="503"/>
    </row>
    <row r="1526" spans="1:7" ht="19.899999999999999" customHeight="1">
      <c r="A1526" s="501"/>
      <c r="B1526" s="462"/>
      <c r="C1526" s="160"/>
      <c r="D1526" s="455"/>
      <c r="E1526" s="456"/>
      <c r="F1526" s="454"/>
      <c r="G1526" s="503"/>
    </row>
    <row r="1527" spans="1:7" ht="19.899999999999999" customHeight="1">
      <c r="A1527" s="637" t="s">
        <v>575</v>
      </c>
      <c r="B1527" s="638"/>
      <c r="C1527" s="639" t="s">
        <v>0</v>
      </c>
      <c r="D1527" s="647" t="s">
        <v>1863</v>
      </c>
      <c r="E1527" s="647" t="s">
        <v>1862</v>
      </c>
      <c r="F1527" s="643" t="s">
        <v>1005</v>
      </c>
      <c r="G1527" s="645" t="s">
        <v>25</v>
      </c>
    </row>
    <row r="1528" spans="1:7" ht="19.899999999999999" customHeight="1">
      <c r="A1528" s="473" t="s">
        <v>576</v>
      </c>
      <c r="B1528" s="473" t="s">
        <v>577</v>
      </c>
      <c r="C1528" s="640"/>
      <c r="D1528" s="648"/>
      <c r="E1528" s="642"/>
      <c r="F1528" s="644"/>
      <c r="G1528" s="646"/>
    </row>
    <row r="1529" spans="1:7" ht="19.899999999999999" customHeight="1">
      <c r="A1529" s="509"/>
      <c r="B1529" s="160"/>
      <c r="C1529" s="451" t="s">
        <v>1006</v>
      </c>
      <c r="D1529" s="456"/>
      <c r="E1529" s="456"/>
      <c r="F1529" s="160"/>
      <c r="G1529" s="510"/>
    </row>
    <row r="1530" spans="1:7" ht="19.899999999999999" customHeight="1">
      <c r="A1530" s="511">
        <f t="shared" ref="A1530:A1538" si="435">IFERROR(VLOOKUP(C1530,T_Insumos,4,FALSE),0)</f>
        <v>0</v>
      </c>
      <c r="B1530" s="474">
        <f t="shared" ref="B1530:B1538" si="436">IFERROR(VLOOKUP(C1530,T_Insumos,5,FALSE),0)</f>
        <v>0</v>
      </c>
      <c r="C1530" s="465"/>
      <c r="D1530" s="475">
        <f t="shared" ref="D1530:D1538" si="437">IFERROR(VLOOKUP(C1530,T_Insumos,3,FALSE),0)</f>
        <v>0</v>
      </c>
      <c r="E1530" s="468">
        <f>D1530*$G$323</f>
        <v>0</v>
      </c>
      <c r="F1530" s="471">
        <f>+$D$325</f>
        <v>0</v>
      </c>
      <c r="G1530" s="468">
        <f>IFERROR(ROUND(E1530/F1530,2),0)</f>
        <v>0</v>
      </c>
    </row>
    <row r="1531" spans="1:7" ht="19.899999999999999" customHeight="1">
      <c r="A1531" s="511"/>
      <c r="B1531" s="474"/>
      <c r="C1531" s="465"/>
      <c r="D1531" s="475">
        <f t="shared" si="437"/>
        <v>0</v>
      </c>
      <c r="E1531" s="468">
        <f>D1531*$G$323</f>
        <v>0</v>
      </c>
      <c r="F1531" s="471">
        <f t="shared" ref="F1531:F1533" si="438">+$D$325</f>
        <v>0</v>
      </c>
      <c r="G1531" s="468">
        <f t="shared" ref="G1531:G1538" si="439">IFERROR(ROUND(E1531/F1531,2),0)</f>
        <v>0</v>
      </c>
    </row>
    <row r="1532" spans="1:7" ht="19.899999999999999" customHeight="1">
      <c r="A1532" s="511">
        <f t="shared" ref="A1532:A1540" si="440">IFERROR(VLOOKUP(C1532,T_Insumos,4,FALSE),0)</f>
        <v>0</v>
      </c>
      <c r="B1532" s="474">
        <f t="shared" ref="B1532:B1540" si="441">IFERROR(VLOOKUP(C1532,T_Insumos,5,FALSE),0)</f>
        <v>0</v>
      </c>
      <c r="C1532" s="476"/>
      <c r="D1532" s="475">
        <f t="shared" si="437"/>
        <v>0</v>
      </c>
      <c r="E1532" s="468">
        <f>D1532*$E$323</f>
        <v>0</v>
      </c>
      <c r="F1532" s="471">
        <f t="shared" si="438"/>
        <v>0</v>
      </c>
      <c r="G1532" s="468">
        <f t="shared" si="439"/>
        <v>0</v>
      </c>
    </row>
    <row r="1533" spans="1:7" ht="19.899999999999999" customHeight="1">
      <c r="A1533" s="511">
        <f t="shared" si="440"/>
        <v>0</v>
      </c>
      <c r="B1533" s="474">
        <f t="shared" si="441"/>
        <v>0</v>
      </c>
      <c r="C1533" s="476"/>
      <c r="D1533" s="475">
        <f t="shared" si="437"/>
        <v>0</v>
      </c>
      <c r="E1533" s="468">
        <f>D1533*$E$323</f>
        <v>0</v>
      </c>
      <c r="F1533" s="471">
        <f t="shared" si="438"/>
        <v>0</v>
      </c>
      <c r="G1533" s="468">
        <f t="shared" si="439"/>
        <v>0</v>
      </c>
    </row>
    <row r="1534" spans="1:7" ht="19.899999999999999" customHeight="1">
      <c r="A1534" s="511">
        <f t="shared" si="440"/>
        <v>0</v>
      </c>
      <c r="B1534" s="474">
        <f t="shared" si="441"/>
        <v>0</v>
      </c>
      <c r="C1534" s="476"/>
      <c r="D1534" s="475">
        <f t="shared" si="437"/>
        <v>0</v>
      </c>
      <c r="E1534" s="468"/>
      <c r="F1534" s="471">
        <f>IF(C1534="",0,IFERROR(VLOOKUP(COUNTIF($A$1:A1534,"ANALISIS DE PRECIOS"),T_Rendimiento_Equipo,5,FALSE),0))</f>
        <v>0</v>
      </c>
      <c r="G1534" s="468">
        <f t="shared" si="439"/>
        <v>0</v>
      </c>
    </row>
    <row r="1535" spans="1:7" ht="19.899999999999999" customHeight="1">
      <c r="A1535" s="511">
        <f t="shared" si="440"/>
        <v>0</v>
      </c>
      <c r="B1535" s="474">
        <f t="shared" si="441"/>
        <v>0</v>
      </c>
      <c r="C1535" s="476"/>
      <c r="D1535" s="475">
        <f t="shared" si="437"/>
        <v>0</v>
      </c>
      <c r="E1535" s="468"/>
      <c r="F1535" s="471">
        <f>IF(C1535="",0,IFERROR(VLOOKUP(COUNTIF($A$1:A1535,"ANALISIS DE PRECIOS"),T_Rendimiento_Equipo,5,FALSE),0))</f>
        <v>0</v>
      </c>
      <c r="G1535" s="468">
        <f t="shared" si="439"/>
        <v>0</v>
      </c>
    </row>
    <row r="1536" spans="1:7" ht="19.899999999999999" customHeight="1">
      <c r="A1536" s="511">
        <f t="shared" si="440"/>
        <v>0</v>
      </c>
      <c r="B1536" s="474">
        <f t="shared" si="441"/>
        <v>0</v>
      </c>
      <c r="C1536" s="476"/>
      <c r="D1536" s="475">
        <f t="shared" si="437"/>
        <v>0</v>
      </c>
      <c r="E1536" s="468"/>
      <c r="F1536" s="471">
        <f>IF(C1536="",0,IFERROR(VLOOKUP(COUNTIF($A$1:A1536,"ANALISIS DE PRECIOS"),T_Rendimiento_Equipo,5,FALSE),0))</f>
        <v>0</v>
      </c>
      <c r="G1536" s="468">
        <f t="shared" si="439"/>
        <v>0</v>
      </c>
    </row>
    <row r="1537" spans="1:7" ht="19.899999999999999" customHeight="1">
      <c r="A1537" s="511">
        <f t="shared" si="440"/>
        <v>0</v>
      </c>
      <c r="B1537" s="474">
        <f t="shared" si="441"/>
        <v>0</v>
      </c>
      <c r="C1537" s="476"/>
      <c r="D1537" s="475">
        <f t="shared" si="437"/>
        <v>0</v>
      </c>
      <c r="E1537" s="468"/>
      <c r="F1537" s="471">
        <f>IF(C1537="",0,IFERROR(VLOOKUP(COUNTIF($A$1:A1537,"ANALISIS DE PRECIOS"),T_Rendimiento_Equipo,5,FALSE),0))</f>
        <v>0</v>
      </c>
      <c r="G1537" s="468">
        <f t="shared" si="439"/>
        <v>0</v>
      </c>
    </row>
    <row r="1538" spans="1:7" ht="19.899999999999999" customHeight="1">
      <c r="A1538" s="511">
        <f t="shared" si="440"/>
        <v>0</v>
      </c>
      <c r="B1538" s="474">
        <f t="shared" si="441"/>
        <v>0</v>
      </c>
      <c r="C1538" s="465"/>
      <c r="D1538" s="475">
        <f t="shared" si="437"/>
        <v>0</v>
      </c>
      <c r="E1538" s="468"/>
      <c r="F1538" s="471">
        <f>IF(C1538="",0,IFERROR(VLOOKUP(COUNTIF($A$1:A1538,"ANALISIS DE PRECIOS"),T_Rendimiento_Equipo,5,FALSE),0))</f>
        <v>0</v>
      </c>
      <c r="G1538" s="468">
        <f t="shared" si="439"/>
        <v>0</v>
      </c>
    </row>
    <row r="1539" spans="1:7" ht="19.899999999999999" customHeight="1">
      <c r="A1539" s="512"/>
      <c r="B1539" s="455"/>
      <c r="C1539" s="160"/>
      <c r="D1539" s="455"/>
      <c r="E1539" s="456"/>
      <c r="F1539" s="615" t="s">
        <v>26</v>
      </c>
      <c r="G1539" s="513">
        <f>SUBTOTAL(9,G1530:G1538)</f>
        <v>0</v>
      </c>
    </row>
    <row r="1540" spans="1:7" ht="19.899999999999999" customHeight="1">
      <c r="A1540" s="509"/>
      <c r="B1540" s="160"/>
      <c r="C1540" s="451" t="s">
        <v>712</v>
      </c>
      <c r="D1540" s="455"/>
      <c r="E1540" s="456"/>
      <c r="F1540" s="457"/>
      <c r="G1540" s="510"/>
    </row>
    <row r="1541" spans="1:7" ht="19.899999999999999" customHeight="1">
      <c r="A1541" s="637" t="s">
        <v>575</v>
      </c>
      <c r="B1541" s="638"/>
      <c r="C1541" s="639" t="s">
        <v>0</v>
      </c>
      <c r="D1541" s="641" t="s">
        <v>23</v>
      </c>
      <c r="E1541" s="641" t="s">
        <v>1829</v>
      </c>
      <c r="F1541" s="643" t="s">
        <v>1005</v>
      </c>
      <c r="G1541" s="645" t="s">
        <v>25</v>
      </c>
    </row>
    <row r="1542" spans="1:7" ht="19.899999999999999" customHeight="1">
      <c r="A1542" s="473" t="s">
        <v>576</v>
      </c>
      <c r="B1542" s="473" t="s">
        <v>577</v>
      </c>
      <c r="C1542" s="640"/>
      <c r="D1542" s="642"/>
      <c r="E1542" s="642"/>
      <c r="F1542" s="644"/>
      <c r="G1542" s="646"/>
    </row>
    <row r="1543" spans="1:7" ht="19.899999999999999" customHeight="1">
      <c r="A1543" s="511"/>
      <c r="B1543" s="474"/>
      <c r="C1543" s="478"/>
      <c r="D1543" s="471"/>
      <c r="E1543" s="468">
        <f t="shared" ref="E1543:E1547" si="442">IFERROR(VLOOKUP(C1543,T_Insumos,3,FALSE),0)</f>
        <v>0</v>
      </c>
      <c r="F1543" s="471">
        <f>+$D$325</f>
        <v>0</v>
      </c>
      <c r="G1543" s="468">
        <f>IFERROR(ROUND(D1543*E1543/F1543,2),0)</f>
        <v>0</v>
      </c>
    </row>
    <row r="1544" spans="1:7" ht="19.899999999999999" customHeight="1">
      <c r="A1544" s="511"/>
      <c r="B1544" s="474"/>
      <c r="C1544" s="465"/>
      <c r="D1544" s="471"/>
      <c r="E1544" s="468">
        <f t="shared" si="442"/>
        <v>0</v>
      </c>
      <c r="F1544" s="471">
        <f t="shared" ref="F1544:F1548" si="443">+$D$325</f>
        <v>0</v>
      </c>
      <c r="G1544" s="468">
        <f t="shared" ref="G1544:G1549" si="444">IFERROR(ROUND(D1544*E1544/F1544,2),0)</f>
        <v>0</v>
      </c>
    </row>
    <row r="1545" spans="1:7" ht="19.899999999999999" customHeight="1">
      <c r="A1545" s="511"/>
      <c r="B1545" s="474"/>
      <c r="C1545" s="465"/>
      <c r="D1545" s="471"/>
      <c r="E1545" s="468">
        <f t="shared" si="442"/>
        <v>0</v>
      </c>
      <c r="F1545" s="471">
        <f t="shared" si="443"/>
        <v>0</v>
      </c>
      <c r="G1545" s="468">
        <f t="shared" si="444"/>
        <v>0</v>
      </c>
    </row>
    <row r="1546" spans="1:7" ht="19.899999999999999" customHeight="1">
      <c r="A1546" s="511"/>
      <c r="B1546" s="474"/>
      <c r="C1546" s="465"/>
      <c r="D1546" s="471"/>
      <c r="E1546" s="468">
        <f t="shared" si="442"/>
        <v>0</v>
      </c>
      <c r="F1546" s="471">
        <f t="shared" si="443"/>
        <v>0</v>
      </c>
      <c r="G1546" s="468">
        <f t="shared" si="444"/>
        <v>0</v>
      </c>
    </row>
    <row r="1547" spans="1:7" ht="19.899999999999999" customHeight="1">
      <c r="A1547" s="511">
        <f t="shared" ref="A1547:A1549" si="445">IFERROR(VLOOKUP(C1547,T_Insumos,4,FALSE),0)</f>
        <v>0</v>
      </c>
      <c r="B1547" s="474">
        <f t="shared" ref="B1547:B1549" si="446">IFERROR(VLOOKUP(C1547,T_Insumos,5,FALSE),0)</f>
        <v>0</v>
      </c>
      <c r="C1547" s="465"/>
      <c r="D1547" s="471"/>
      <c r="E1547" s="468">
        <f t="shared" si="442"/>
        <v>0</v>
      </c>
      <c r="F1547" s="471">
        <f>IF(C1547="",0,IFERROR(VLOOKUP(COUNTIF($A$1:A1547,"ANALISIS DE PRECIOS"),T_Rendimiento_Equipo,5,FALSE),0))</f>
        <v>0</v>
      </c>
      <c r="G1547" s="468">
        <f t="shared" si="444"/>
        <v>0</v>
      </c>
    </row>
    <row r="1548" spans="1:7" ht="19.899999999999999" customHeight="1">
      <c r="A1548" s="511">
        <f t="shared" si="445"/>
        <v>0</v>
      </c>
      <c r="B1548" s="474">
        <f t="shared" si="446"/>
        <v>0</v>
      </c>
      <c r="C1548" s="465"/>
      <c r="D1548" s="479"/>
      <c r="E1548" s="468">
        <f>SUMPRODUCT(D1543:D1546,E1543:E1546)</f>
        <v>0</v>
      </c>
      <c r="F1548" s="471">
        <f t="shared" si="443"/>
        <v>0</v>
      </c>
      <c r="G1548" s="468">
        <f t="shared" si="444"/>
        <v>0</v>
      </c>
    </row>
    <row r="1549" spans="1:7" ht="19.899999999999999" customHeight="1">
      <c r="A1549" s="511">
        <f t="shared" si="445"/>
        <v>0</v>
      </c>
      <c r="B1549" s="474">
        <f t="shared" si="446"/>
        <v>0</v>
      </c>
      <c r="C1549" s="474"/>
      <c r="D1549" s="480"/>
      <c r="E1549" s="468">
        <f t="shared" ref="E1549:E1551" si="447">IFERROR(VLOOKUP(C1549,T_Insumos,3,FALSE),0)</f>
        <v>0</v>
      </c>
      <c r="F1549" s="471">
        <f>IF(C1549="",0,IFERROR(VLOOKUP(COUNTIF($A$1:A1549,"ANALISIS DE PRECIOS"),T_Rendimiento_Equipo,5,FALSE),0))</f>
        <v>0</v>
      </c>
      <c r="G1549" s="468">
        <f t="shared" si="444"/>
        <v>0</v>
      </c>
    </row>
    <row r="1550" spans="1:7" ht="19.899999999999999" customHeight="1">
      <c r="A1550" s="512"/>
      <c r="B1550" s="455"/>
      <c r="C1550" s="160"/>
      <c r="D1550" s="455"/>
      <c r="E1550" s="456"/>
      <c r="F1550" s="615" t="s">
        <v>27</v>
      </c>
      <c r="G1550" s="514">
        <f>SUBTOTAL(9,G1543:G1549)</f>
        <v>0</v>
      </c>
    </row>
    <row r="1551" spans="1:7" ht="19.899999999999999" customHeight="1">
      <c r="A1551" s="509"/>
      <c r="B1551" s="160"/>
      <c r="C1551" s="451" t="s">
        <v>1012</v>
      </c>
      <c r="D1551" s="455"/>
      <c r="E1551" s="456"/>
      <c r="F1551" s="457"/>
      <c r="G1551" s="510"/>
    </row>
    <row r="1552" spans="1:7" ht="19.899999999999999" customHeight="1">
      <c r="A1552" s="637" t="s">
        <v>575</v>
      </c>
      <c r="B1552" s="638"/>
      <c r="C1552" s="639" t="s">
        <v>0</v>
      </c>
      <c r="D1552" s="639" t="s">
        <v>1864</v>
      </c>
      <c r="E1552" s="641" t="s">
        <v>23</v>
      </c>
      <c r="F1552" s="643" t="s">
        <v>24</v>
      </c>
      <c r="G1552" s="645" t="s">
        <v>25</v>
      </c>
    </row>
    <row r="1553" spans="1:7" ht="19.899999999999999" customHeight="1">
      <c r="A1553" s="473" t="s">
        <v>576</v>
      </c>
      <c r="B1553" s="473" t="s">
        <v>577</v>
      </c>
      <c r="C1553" s="640"/>
      <c r="D1553" s="640"/>
      <c r="E1553" s="642"/>
      <c r="F1553" s="644"/>
      <c r="G1553" s="646"/>
    </row>
    <row r="1554" spans="1:7" ht="19.899999999999999" customHeight="1">
      <c r="A1554" s="511">
        <f t="shared" ref="A1554:A1564" si="448">IFERROR(VLOOKUP(C1554,T_Insumos,4,FALSE),0)</f>
        <v>0</v>
      </c>
      <c r="B1554" s="474">
        <f t="shared" ref="B1554:B1564" si="449">IFERROR(VLOOKUP(C1554,T_Insumos,5,FALSE),0)</f>
        <v>0</v>
      </c>
      <c r="C1554" s="474"/>
      <c r="D1554" s="522">
        <f t="shared" ref="D1554:D1564" si="450">IFERROR(VLOOKUP(C1554,T_Insumos,2,FALSE),0)</f>
        <v>0</v>
      </c>
      <c r="E1554" s="466"/>
      <c r="F1554" s="468">
        <f t="shared" ref="F1554:F1564" si="451">IFERROR(VLOOKUP(C1554,T_Insumos,3,FALSE),0)</f>
        <v>0</v>
      </c>
      <c r="G1554" s="468">
        <f>ROUND(E1554*F1554,2)</f>
        <v>0</v>
      </c>
    </row>
    <row r="1555" spans="1:7" ht="19.899999999999999" customHeight="1">
      <c r="A1555" s="511">
        <f t="shared" si="448"/>
        <v>0</v>
      </c>
      <c r="B1555" s="474">
        <f t="shared" si="449"/>
        <v>0</v>
      </c>
      <c r="C1555" s="474"/>
      <c r="D1555" s="522">
        <f t="shared" si="450"/>
        <v>0</v>
      </c>
      <c r="E1555" s="466"/>
      <c r="F1555" s="468">
        <f t="shared" si="451"/>
        <v>0</v>
      </c>
      <c r="G1555" s="468">
        <f t="shared" ref="G1555:G1564" si="452">ROUND(E1555*F1555,2)</f>
        <v>0</v>
      </c>
    </row>
    <row r="1556" spans="1:7" ht="19.899999999999999" customHeight="1">
      <c r="A1556" s="511">
        <f t="shared" si="448"/>
        <v>0</v>
      </c>
      <c r="B1556" s="474">
        <f t="shared" si="449"/>
        <v>0</v>
      </c>
      <c r="C1556" s="474"/>
      <c r="D1556" s="522">
        <f t="shared" si="450"/>
        <v>0</v>
      </c>
      <c r="E1556" s="466"/>
      <c r="F1556" s="468">
        <f t="shared" si="451"/>
        <v>0</v>
      </c>
      <c r="G1556" s="468">
        <f t="shared" si="452"/>
        <v>0</v>
      </c>
    </row>
    <row r="1557" spans="1:7" ht="19.899999999999999" customHeight="1">
      <c r="A1557" s="511">
        <f t="shared" si="448"/>
        <v>0</v>
      </c>
      <c r="B1557" s="474">
        <f t="shared" si="449"/>
        <v>0</v>
      </c>
      <c r="C1557" s="474"/>
      <c r="D1557" s="522">
        <f t="shared" si="450"/>
        <v>0</v>
      </c>
      <c r="E1557" s="466"/>
      <c r="F1557" s="468">
        <f t="shared" si="451"/>
        <v>0</v>
      </c>
      <c r="G1557" s="468">
        <f t="shared" si="452"/>
        <v>0</v>
      </c>
    </row>
    <row r="1558" spans="1:7" ht="19.899999999999999" customHeight="1">
      <c r="A1558" s="511">
        <f t="shared" si="448"/>
        <v>0</v>
      </c>
      <c r="B1558" s="474">
        <f t="shared" si="449"/>
        <v>0</v>
      </c>
      <c r="C1558" s="474"/>
      <c r="D1558" s="522">
        <f t="shared" si="450"/>
        <v>0</v>
      </c>
      <c r="E1558" s="466"/>
      <c r="F1558" s="468">
        <f t="shared" si="451"/>
        <v>0</v>
      </c>
      <c r="G1558" s="468">
        <f t="shared" si="452"/>
        <v>0</v>
      </c>
    </row>
    <row r="1559" spans="1:7" ht="19.899999999999999" customHeight="1">
      <c r="A1559" s="511">
        <f t="shared" si="448"/>
        <v>0</v>
      </c>
      <c r="B1559" s="474">
        <f t="shared" si="449"/>
        <v>0</v>
      </c>
      <c r="C1559" s="474"/>
      <c r="D1559" s="522">
        <f t="shared" si="450"/>
        <v>0</v>
      </c>
      <c r="E1559" s="466"/>
      <c r="F1559" s="468">
        <f t="shared" si="451"/>
        <v>0</v>
      </c>
      <c r="G1559" s="468">
        <f t="shared" si="452"/>
        <v>0</v>
      </c>
    </row>
    <row r="1560" spans="1:7" ht="19.899999999999999" customHeight="1">
      <c r="A1560" s="511">
        <f t="shared" si="448"/>
        <v>0</v>
      </c>
      <c r="B1560" s="474">
        <f t="shared" si="449"/>
        <v>0</v>
      </c>
      <c r="C1560" s="474"/>
      <c r="D1560" s="522">
        <f t="shared" si="450"/>
        <v>0</v>
      </c>
      <c r="E1560" s="466"/>
      <c r="F1560" s="468">
        <f t="shared" si="451"/>
        <v>0</v>
      </c>
      <c r="G1560" s="468">
        <f t="shared" si="452"/>
        <v>0</v>
      </c>
    </row>
    <row r="1561" spans="1:7" ht="19.899999999999999" customHeight="1">
      <c r="A1561" s="511">
        <f t="shared" si="448"/>
        <v>0</v>
      </c>
      <c r="B1561" s="474">
        <f t="shared" si="449"/>
        <v>0</v>
      </c>
      <c r="C1561" s="474"/>
      <c r="D1561" s="522">
        <f t="shared" si="450"/>
        <v>0</v>
      </c>
      <c r="E1561" s="466"/>
      <c r="F1561" s="468">
        <f t="shared" si="451"/>
        <v>0</v>
      </c>
      <c r="G1561" s="468">
        <f t="shared" si="452"/>
        <v>0</v>
      </c>
    </row>
    <row r="1562" spans="1:7" ht="19.899999999999999" customHeight="1">
      <c r="A1562" s="511">
        <f t="shared" si="448"/>
        <v>0</v>
      </c>
      <c r="B1562" s="474">
        <f t="shared" si="449"/>
        <v>0</v>
      </c>
      <c r="C1562" s="474"/>
      <c r="D1562" s="522">
        <f t="shared" si="450"/>
        <v>0</v>
      </c>
      <c r="E1562" s="466"/>
      <c r="F1562" s="468">
        <f t="shared" si="451"/>
        <v>0</v>
      </c>
      <c r="G1562" s="468">
        <f t="shared" si="452"/>
        <v>0</v>
      </c>
    </row>
    <row r="1563" spans="1:7" ht="19.899999999999999" customHeight="1">
      <c r="A1563" s="511">
        <f t="shared" si="448"/>
        <v>0</v>
      </c>
      <c r="B1563" s="474">
        <f t="shared" si="449"/>
        <v>0</v>
      </c>
      <c r="C1563" s="474"/>
      <c r="D1563" s="522">
        <f t="shared" si="450"/>
        <v>0</v>
      </c>
      <c r="E1563" s="466"/>
      <c r="F1563" s="468">
        <f t="shared" si="451"/>
        <v>0</v>
      </c>
      <c r="G1563" s="468">
        <f t="shared" si="452"/>
        <v>0</v>
      </c>
    </row>
    <row r="1564" spans="1:7" ht="19.899999999999999" customHeight="1">
      <c r="A1564" s="511">
        <f t="shared" si="448"/>
        <v>0</v>
      </c>
      <c r="B1564" s="474">
        <f t="shared" si="449"/>
        <v>0</v>
      </c>
      <c r="C1564" s="474"/>
      <c r="D1564" s="522">
        <f t="shared" si="450"/>
        <v>0</v>
      </c>
      <c r="E1564" s="466"/>
      <c r="F1564" s="468">
        <f t="shared" si="451"/>
        <v>0</v>
      </c>
      <c r="G1564" s="468">
        <f t="shared" si="452"/>
        <v>0</v>
      </c>
    </row>
    <row r="1565" spans="1:7" ht="19.899999999999999" customHeight="1">
      <c r="A1565" s="509"/>
      <c r="B1565" s="160"/>
      <c r="C1565" s="160"/>
      <c r="D1565" s="455"/>
      <c r="E1565" s="456"/>
      <c r="F1565" s="615" t="s">
        <v>28</v>
      </c>
      <c r="G1565" s="514">
        <f>SUBTOTAL(9,G1554:G1564)</f>
        <v>0</v>
      </c>
    </row>
    <row r="1566" spans="1:7" ht="19.899999999999999" customHeight="1">
      <c r="A1566" s="509"/>
      <c r="B1566" s="160"/>
      <c r="C1566" s="451" t="s">
        <v>1013</v>
      </c>
      <c r="D1566" s="455"/>
      <c r="E1566" s="456"/>
      <c r="F1566" s="457"/>
      <c r="G1566" s="510"/>
    </row>
    <row r="1567" spans="1:7" ht="19.899999999999999" customHeight="1">
      <c r="A1567" s="637" t="s">
        <v>575</v>
      </c>
      <c r="B1567" s="638"/>
      <c r="C1567" s="639" t="s">
        <v>0</v>
      </c>
      <c r="D1567" s="639" t="s">
        <v>1864</v>
      </c>
      <c r="E1567" s="641" t="s">
        <v>23</v>
      </c>
      <c r="F1567" s="643" t="s">
        <v>24</v>
      </c>
      <c r="G1567" s="645" t="s">
        <v>25</v>
      </c>
    </row>
    <row r="1568" spans="1:7" ht="19.899999999999999" customHeight="1">
      <c r="A1568" s="473" t="s">
        <v>576</v>
      </c>
      <c r="B1568" s="473" t="s">
        <v>577</v>
      </c>
      <c r="C1568" s="640"/>
      <c r="D1568" s="640"/>
      <c r="E1568" s="642"/>
      <c r="F1568" s="644"/>
      <c r="G1568" s="646"/>
    </row>
    <row r="1569" spans="1:7" ht="19.899999999999999" customHeight="1">
      <c r="A1569" s="511">
        <f>IFERROR(VLOOKUP(C1569,T_Insumos,4,FALSE),0)</f>
        <v>0</v>
      </c>
      <c r="B1569" s="474">
        <f>IFERROR(VLOOKUP(C1569,T_Insumos,5,FALSE),0)</f>
        <v>0</v>
      </c>
      <c r="C1569" s="465"/>
      <c r="D1569" s="522">
        <f>IF(C1569=0,0,"$/tnkm")</f>
        <v>0</v>
      </c>
      <c r="E1569" s="466"/>
      <c r="F1569" s="468">
        <f>IFERROR(VLOOKUP(C1569,T_Insumos,3,FALSE),0)</f>
        <v>0</v>
      </c>
      <c r="G1569" s="468">
        <f>ROUND(E1569*F1569,2)</f>
        <v>0</v>
      </c>
    </row>
    <row r="1570" spans="1:7" ht="19.899999999999999" customHeight="1">
      <c r="A1570" s="511">
        <f>IFERROR(VLOOKUP(C1570,T_Insumos,4,FALSE),0)</f>
        <v>0</v>
      </c>
      <c r="B1570" s="474">
        <f>IFERROR(VLOOKUP(C1570,T_Insumos,5,FALSE),0)</f>
        <v>0</v>
      </c>
      <c r="C1570" s="465"/>
      <c r="D1570" s="522">
        <f>IF(C1570=0,0,"$/tnkm")</f>
        <v>0</v>
      </c>
      <c r="E1570" s="482"/>
      <c r="F1570" s="468">
        <f>IFERROR(VLOOKUP(C1570,T_Insumos,3,FALSE),0)</f>
        <v>0</v>
      </c>
      <c r="G1570" s="468">
        <f t="shared" ref="G1570" si="453">ROUND(E1570*F1570,2)</f>
        <v>0</v>
      </c>
    </row>
    <row r="1571" spans="1:7" ht="19.899999999999999" customHeight="1">
      <c r="A1571" s="509"/>
      <c r="B1571" s="160"/>
      <c r="C1571" s="160"/>
      <c r="D1571" s="455"/>
      <c r="E1571" s="456"/>
      <c r="F1571" s="615" t="s">
        <v>1014</v>
      </c>
      <c r="G1571" s="514">
        <f>SUBTOTAL(9,G1569:G1570)</f>
        <v>0</v>
      </c>
    </row>
    <row r="1572" spans="1:7" ht="19.899999999999999" customHeight="1">
      <c r="A1572" s="512"/>
      <c r="B1572" s="455"/>
      <c r="C1572" s="160"/>
      <c r="D1572" s="455"/>
      <c r="E1572" s="456"/>
      <c r="F1572" s="457"/>
      <c r="G1572" s="510"/>
    </row>
    <row r="1573" spans="1:7" ht="19.899999999999999" customHeight="1">
      <c r="A1573" s="570">
        <f>B1507</f>
        <v>4.3</v>
      </c>
      <c r="B1573" s="567" t="str">
        <f ca="1">C1507</f>
        <v>Excavacion</v>
      </c>
      <c r="C1573" s="455"/>
      <c r="D1573" s="455" t="s">
        <v>1830</v>
      </c>
      <c r="E1573" s="568"/>
      <c r="F1573" s="569" t="str">
        <f ca="1">"$/"&amp;G1507</f>
        <v>$/m3</v>
      </c>
      <c r="G1573" s="519">
        <f>SUBTOTAL(9,G1530:G1572)</f>
        <v>0</v>
      </c>
    </row>
    <row r="1574" spans="1:7" ht="19.899999999999999" customHeight="1">
      <c r="A1574" s="515"/>
      <c r="B1574" s="516"/>
      <c r="C1574" s="517"/>
      <c r="D1574" s="517" t="s">
        <v>2040</v>
      </c>
      <c r="E1574" s="518"/>
      <c r="F1574" s="571" t="str">
        <f ca="1">"$/"&amp;G1507</f>
        <v>$/m3</v>
      </c>
      <c r="G1574" s="519">
        <f>ROUND(G1573*Coeficiente_Paso,2)</f>
        <v>0</v>
      </c>
    </row>
  </sheetData>
  <sheetProtection insertRows="0" deleteRows="0"/>
  <mergeCells count="546">
    <mergeCell ref="A1567:B1567"/>
    <mergeCell ref="C1567:C1568"/>
    <mergeCell ref="D1567:D1568"/>
    <mergeCell ref="E1567:E1568"/>
    <mergeCell ref="F1567:F1568"/>
    <mergeCell ref="G1567:G1568"/>
    <mergeCell ref="A1541:B1541"/>
    <mergeCell ref="C1541:C1542"/>
    <mergeCell ref="D1541:D1542"/>
    <mergeCell ref="E1541:E1542"/>
    <mergeCell ref="F1541:F1542"/>
    <mergeCell ref="G1541:G1542"/>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01:G1501"/>
    <mergeCell ref="C1507:E1507"/>
    <mergeCell ref="A1527:B1527"/>
    <mergeCell ref="C1527:C1528"/>
    <mergeCell ref="D1527:D1528"/>
    <mergeCell ref="E1527:E1528"/>
    <mergeCell ref="F1527:F1528"/>
    <mergeCell ref="G1527:G1528"/>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417:B1417"/>
    <mergeCell ref="C1417:C1418"/>
    <mergeCell ref="D1417:D1418"/>
    <mergeCell ref="E1417:E1418"/>
    <mergeCell ref="F1417:F1418"/>
    <mergeCell ref="G1417:G1418"/>
    <mergeCell ref="A1426:G1426"/>
    <mergeCell ref="C1432:E1432"/>
    <mergeCell ref="A1452:B1452"/>
    <mergeCell ref="C1452:C1453"/>
    <mergeCell ref="D1452:D1453"/>
    <mergeCell ref="E1452:E1453"/>
    <mergeCell ref="F1452:F1453"/>
    <mergeCell ref="G1452:G1453"/>
    <mergeCell ref="A1391:B1391"/>
    <mergeCell ref="C1391:C1392"/>
    <mergeCell ref="D1391:D1392"/>
    <mergeCell ref="E1391:E1392"/>
    <mergeCell ref="F1391:F1392"/>
    <mergeCell ref="G1391:G1392"/>
    <mergeCell ref="A1402:B1402"/>
    <mergeCell ref="C1402:C1403"/>
    <mergeCell ref="D1402:D1403"/>
    <mergeCell ref="E1402:E1403"/>
    <mergeCell ref="F1402:F1403"/>
    <mergeCell ref="G1402:G1403"/>
    <mergeCell ref="A1342:B1342"/>
    <mergeCell ref="C1342:C1343"/>
    <mergeCell ref="D1342:D1343"/>
    <mergeCell ref="E1342:E1343"/>
    <mergeCell ref="F1342:F1343"/>
    <mergeCell ref="G1342:G1343"/>
    <mergeCell ref="A1351:G1351"/>
    <mergeCell ref="C1357:E1357"/>
    <mergeCell ref="A1377:B1377"/>
    <mergeCell ref="C1377:C1378"/>
    <mergeCell ref="D1377:D1378"/>
    <mergeCell ref="E1377:E1378"/>
    <mergeCell ref="F1377:F1378"/>
    <mergeCell ref="G1377:G1378"/>
    <mergeCell ref="A1316:B1316"/>
    <mergeCell ref="C1316:C1317"/>
    <mergeCell ref="D1316:D1317"/>
    <mergeCell ref="E1316:E1317"/>
    <mergeCell ref="F1316:F1317"/>
    <mergeCell ref="G1316:G1317"/>
    <mergeCell ref="A1327:B1327"/>
    <mergeCell ref="C1327:C1328"/>
    <mergeCell ref="D1327:D1328"/>
    <mergeCell ref="E1327:E1328"/>
    <mergeCell ref="F1327:F1328"/>
    <mergeCell ref="G1327:G1328"/>
    <mergeCell ref="A1267:B1267"/>
    <mergeCell ref="C1267:C1268"/>
    <mergeCell ref="D1267:D1268"/>
    <mergeCell ref="E1267:E1268"/>
    <mergeCell ref="F1267:F1268"/>
    <mergeCell ref="G1267:G1268"/>
    <mergeCell ref="A1276:G1276"/>
    <mergeCell ref="C1282:E1282"/>
    <mergeCell ref="A1302:B1302"/>
    <mergeCell ref="C1302:C1303"/>
    <mergeCell ref="D1302:D1303"/>
    <mergeCell ref="E1302:E1303"/>
    <mergeCell ref="F1302:F1303"/>
    <mergeCell ref="G1302:G1303"/>
    <mergeCell ref="A1241:B1241"/>
    <mergeCell ref="C1241:C1242"/>
    <mergeCell ref="D1241:D1242"/>
    <mergeCell ref="E1241:E1242"/>
    <mergeCell ref="F1241:F1242"/>
    <mergeCell ref="G1241:G1242"/>
    <mergeCell ref="A1252:B1252"/>
    <mergeCell ref="C1252:C1253"/>
    <mergeCell ref="D1252:D1253"/>
    <mergeCell ref="E1252:E1253"/>
    <mergeCell ref="F1252:F1253"/>
    <mergeCell ref="G1252:G1253"/>
    <mergeCell ref="A1192:B1192"/>
    <mergeCell ref="C1192:C1193"/>
    <mergeCell ref="D1192:D1193"/>
    <mergeCell ref="E1192:E1193"/>
    <mergeCell ref="F1192:F1193"/>
    <mergeCell ref="G1192:G1193"/>
    <mergeCell ref="A1201:G1201"/>
    <mergeCell ref="C1207:E1207"/>
    <mergeCell ref="A1227:B1227"/>
    <mergeCell ref="C1227:C1228"/>
    <mergeCell ref="D1227:D1228"/>
    <mergeCell ref="E1227:E1228"/>
    <mergeCell ref="F1227:F1228"/>
    <mergeCell ref="G1227:G1228"/>
    <mergeCell ref="A1166:B1166"/>
    <mergeCell ref="C1166:C1167"/>
    <mergeCell ref="D1166:D1167"/>
    <mergeCell ref="E1166:E1167"/>
    <mergeCell ref="F1166:F1167"/>
    <mergeCell ref="G1166:G1167"/>
    <mergeCell ref="A1177:B1177"/>
    <mergeCell ref="C1177:C1178"/>
    <mergeCell ref="D1177:D1178"/>
    <mergeCell ref="E1177:E1178"/>
    <mergeCell ref="F1177:F1178"/>
    <mergeCell ref="G1177:G1178"/>
    <mergeCell ref="A1117:B1117"/>
    <mergeCell ref="C1117:C1118"/>
    <mergeCell ref="D1117:D1118"/>
    <mergeCell ref="E1117:E1118"/>
    <mergeCell ref="F1117:F1118"/>
    <mergeCell ref="G1117:G1118"/>
    <mergeCell ref="A1126:G1126"/>
    <mergeCell ref="C1132:E1132"/>
    <mergeCell ref="A1152:B1152"/>
    <mergeCell ref="C1152:C1153"/>
    <mergeCell ref="D1152:D1153"/>
    <mergeCell ref="E1152:E1153"/>
    <mergeCell ref="F1152:F1153"/>
    <mergeCell ref="G1152:G1153"/>
    <mergeCell ref="A1091:B1091"/>
    <mergeCell ref="C1091:C1092"/>
    <mergeCell ref="D1091:D1092"/>
    <mergeCell ref="E1091:E1092"/>
    <mergeCell ref="F1091:F1092"/>
    <mergeCell ref="G1091:G1092"/>
    <mergeCell ref="A1102:B1102"/>
    <mergeCell ref="C1102:C1103"/>
    <mergeCell ref="D1102:D1103"/>
    <mergeCell ref="E1102:E1103"/>
    <mergeCell ref="F1102:F1103"/>
    <mergeCell ref="G1102:G1103"/>
    <mergeCell ref="A1042:B1042"/>
    <mergeCell ref="C1042:C1043"/>
    <mergeCell ref="D1042:D1043"/>
    <mergeCell ref="E1042:E1043"/>
    <mergeCell ref="F1042:F1043"/>
    <mergeCell ref="G1042:G1043"/>
    <mergeCell ref="A1051:G1051"/>
    <mergeCell ref="C1057:E1057"/>
    <mergeCell ref="A1077:B1077"/>
    <mergeCell ref="C1077:C1078"/>
    <mergeCell ref="D1077:D1078"/>
    <mergeCell ref="E1077:E1078"/>
    <mergeCell ref="F1077:F1078"/>
    <mergeCell ref="G1077:G1078"/>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967:B967"/>
    <mergeCell ref="C967:C968"/>
    <mergeCell ref="D967:D968"/>
    <mergeCell ref="E967:E968"/>
    <mergeCell ref="F967:F968"/>
    <mergeCell ref="G967:G968"/>
    <mergeCell ref="A976:G976"/>
    <mergeCell ref="C982:E982"/>
    <mergeCell ref="A1002:B1002"/>
    <mergeCell ref="C1002:C1003"/>
    <mergeCell ref="D1002:D1003"/>
    <mergeCell ref="E1002:E1003"/>
    <mergeCell ref="F1002:F1003"/>
    <mergeCell ref="G1002:G1003"/>
    <mergeCell ref="A941:B941"/>
    <mergeCell ref="C941:C942"/>
    <mergeCell ref="D941:D942"/>
    <mergeCell ref="E941:E942"/>
    <mergeCell ref="F941:F942"/>
    <mergeCell ref="G941:G942"/>
    <mergeCell ref="A952:B952"/>
    <mergeCell ref="C952:C953"/>
    <mergeCell ref="D952:D953"/>
    <mergeCell ref="E952:E953"/>
    <mergeCell ref="F952:F953"/>
    <mergeCell ref="G952:G953"/>
    <mergeCell ref="A892:B892"/>
    <mergeCell ref="C892:C893"/>
    <mergeCell ref="D892:D893"/>
    <mergeCell ref="E892:E893"/>
    <mergeCell ref="F892:F893"/>
    <mergeCell ref="G892:G893"/>
    <mergeCell ref="A901:G901"/>
    <mergeCell ref="C907:E907"/>
    <mergeCell ref="A927:B927"/>
    <mergeCell ref="C927:C928"/>
    <mergeCell ref="D927:D928"/>
    <mergeCell ref="E927:E928"/>
    <mergeCell ref="F927:F928"/>
    <mergeCell ref="G927:G928"/>
    <mergeCell ref="A866:B866"/>
    <mergeCell ref="C866:C867"/>
    <mergeCell ref="D866:D867"/>
    <mergeCell ref="E866:E867"/>
    <mergeCell ref="F866:F867"/>
    <mergeCell ref="G866:G867"/>
    <mergeCell ref="A877:B877"/>
    <mergeCell ref="C877:C878"/>
    <mergeCell ref="D877:D878"/>
    <mergeCell ref="E877:E878"/>
    <mergeCell ref="F877:F878"/>
    <mergeCell ref="G877:G878"/>
    <mergeCell ref="A817:B817"/>
    <mergeCell ref="C817:C818"/>
    <mergeCell ref="D817:D818"/>
    <mergeCell ref="E817:E818"/>
    <mergeCell ref="F817:F818"/>
    <mergeCell ref="G817:G818"/>
    <mergeCell ref="A826:G826"/>
    <mergeCell ref="C832:E832"/>
    <mergeCell ref="A852:B852"/>
    <mergeCell ref="C852:C853"/>
    <mergeCell ref="D852:D853"/>
    <mergeCell ref="E852:E853"/>
    <mergeCell ref="F852:F853"/>
    <mergeCell ref="G852:G853"/>
    <mergeCell ref="A791:B791"/>
    <mergeCell ref="C791:C792"/>
    <mergeCell ref="D791:D792"/>
    <mergeCell ref="E791:E792"/>
    <mergeCell ref="F791:F792"/>
    <mergeCell ref="G791:G792"/>
    <mergeCell ref="A802:B802"/>
    <mergeCell ref="C802:C803"/>
    <mergeCell ref="D802:D803"/>
    <mergeCell ref="E802:E803"/>
    <mergeCell ref="F802:F803"/>
    <mergeCell ref="G802:G803"/>
    <mergeCell ref="A742:B742"/>
    <mergeCell ref="C742:C743"/>
    <mergeCell ref="D742:D743"/>
    <mergeCell ref="E742:E743"/>
    <mergeCell ref="F742:F743"/>
    <mergeCell ref="G742:G743"/>
    <mergeCell ref="A751:G751"/>
    <mergeCell ref="C757:E757"/>
    <mergeCell ref="A777:B777"/>
    <mergeCell ref="C777:C778"/>
    <mergeCell ref="D777:D778"/>
    <mergeCell ref="E777:E778"/>
    <mergeCell ref="F777:F778"/>
    <mergeCell ref="G777:G778"/>
    <mergeCell ref="A716:B716"/>
    <mergeCell ref="C716:C717"/>
    <mergeCell ref="D716:D717"/>
    <mergeCell ref="E716:E717"/>
    <mergeCell ref="F716:F717"/>
    <mergeCell ref="G716:G717"/>
    <mergeCell ref="A727:B727"/>
    <mergeCell ref="C727:C728"/>
    <mergeCell ref="D727:D728"/>
    <mergeCell ref="E727:E728"/>
    <mergeCell ref="F727:F728"/>
    <mergeCell ref="G727:G728"/>
    <mergeCell ref="A667:B667"/>
    <mergeCell ref="C667:C668"/>
    <mergeCell ref="D667:D668"/>
    <mergeCell ref="E667:E668"/>
    <mergeCell ref="F667:F668"/>
    <mergeCell ref="G667:G668"/>
    <mergeCell ref="A676:G676"/>
    <mergeCell ref="C682:E682"/>
    <mergeCell ref="A702:B702"/>
    <mergeCell ref="C702:C703"/>
    <mergeCell ref="D702:D703"/>
    <mergeCell ref="E702:E703"/>
    <mergeCell ref="F702:F703"/>
    <mergeCell ref="G702:G703"/>
    <mergeCell ref="A641:B641"/>
    <mergeCell ref="C641:C642"/>
    <mergeCell ref="D641:D642"/>
    <mergeCell ref="E641:E642"/>
    <mergeCell ref="F641:F642"/>
    <mergeCell ref="G641:G642"/>
    <mergeCell ref="A652:B652"/>
    <mergeCell ref="C652:C653"/>
    <mergeCell ref="D652:D653"/>
    <mergeCell ref="E652:E653"/>
    <mergeCell ref="F652:F653"/>
    <mergeCell ref="G652:G653"/>
    <mergeCell ref="A592:B592"/>
    <mergeCell ref="C592:C593"/>
    <mergeCell ref="D592:D593"/>
    <mergeCell ref="E592:E593"/>
    <mergeCell ref="F592:F593"/>
    <mergeCell ref="G592:G593"/>
    <mergeCell ref="A601:G601"/>
    <mergeCell ref="C607:E607"/>
    <mergeCell ref="A627:B627"/>
    <mergeCell ref="C627:C628"/>
    <mergeCell ref="D627:D628"/>
    <mergeCell ref="E627:E628"/>
    <mergeCell ref="F627:F628"/>
    <mergeCell ref="G627:G628"/>
    <mergeCell ref="A566:B566"/>
    <mergeCell ref="C566:C567"/>
    <mergeCell ref="D566:D567"/>
    <mergeCell ref="E566:E567"/>
    <mergeCell ref="F566:F567"/>
    <mergeCell ref="G566:G567"/>
    <mergeCell ref="A577:B577"/>
    <mergeCell ref="C577:C578"/>
    <mergeCell ref="D577:D578"/>
    <mergeCell ref="E577:E578"/>
    <mergeCell ref="F577:F578"/>
    <mergeCell ref="G577:G578"/>
    <mergeCell ref="A517:B517"/>
    <mergeCell ref="C517:C518"/>
    <mergeCell ref="D517:D518"/>
    <mergeCell ref="E517:E518"/>
    <mergeCell ref="F517:F518"/>
    <mergeCell ref="G517:G518"/>
    <mergeCell ref="A526:G526"/>
    <mergeCell ref="C532:E532"/>
    <mergeCell ref="A552:B552"/>
    <mergeCell ref="C552:C553"/>
    <mergeCell ref="D552:D553"/>
    <mergeCell ref="E552:E553"/>
    <mergeCell ref="F552:F553"/>
    <mergeCell ref="G552:G553"/>
    <mergeCell ref="A491:B491"/>
    <mergeCell ref="C491:C492"/>
    <mergeCell ref="D491:D492"/>
    <mergeCell ref="E491:E492"/>
    <mergeCell ref="F491:F492"/>
    <mergeCell ref="G491:G492"/>
    <mergeCell ref="A502:B502"/>
    <mergeCell ref="C502:C503"/>
    <mergeCell ref="D502:D503"/>
    <mergeCell ref="E502:E503"/>
    <mergeCell ref="F502:F503"/>
    <mergeCell ref="G502:G503"/>
    <mergeCell ref="A442:B442"/>
    <mergeCell ref="C442:C443"/>
    <mergeCell ref="D442:D443"/>
    <mergeCell ref="E442:E443"/>
    <mergeCell ref="F442:F443"/>
    <mergeCell ref="G442:G443"/>
    <mergeCell ref="A451:G451"/>
    <mergeCell ref="C457:E457"/>
    <mergeCell ref="A477:B477"/>
    <mergeCell ref="C477:C478"/>
    <mergeCell ref="D477:D478"/>
    <mergeCell ref="E477:E478"/>
    <mergeCell ref="F477:F478"/>
    <mergeCell ref="G477:G478"/>
    <mergeCell ref="A416:B416"/>
    <mergeCell ref="C416:C417"/>
    <mergeCell ref="D416:D417"/>
    <mergeCell ref="E416:E417"/>
    <mergeCell ref="F416:F417"/>
    <mergeCell ref="G416:G417"/>
    <mergeCell ref="A427:B427"/>
    <mergeCell ref="C427:C428"/>
    <mergeCell ref="D427:D428"/>
    <mergeCell ref="E427:E428"/>
    <mergeCell ref="F427:F428"/>
    <mergeCell ref="G427:G428"/>
    <mergeCell ref="A277:B277"/>
    <mergeCell ref="C277:C278"/>
    <mergeCell ref="D277:D278"/>
    <mergeCell ref="E277:E278"/>
    <mergeCell ref="A376:G376"/>
    <mergeCell ref="C382:E382"/>
    <mergeCell ref="A402:B402"/>
    <mergeCell ref="C402:C403"/>
    <mergeCell ref="D402:D403"/>
    <mergeCell ref="E402:E403"/>
    <mergeCell ref="F402:F403"/>
    <mergeCell ref="G402:G403"/>
    <mergeCell ref="A367:B367"/>
    <mergeCell ref="C367:C368"/>
    <mergeCell ref="D367:D368"/>
    <mergeCell ref="E367:E368"/>
    <mergeCell ref="F367:F368"/>
    <mergeCell ref="G367:G368"/>
    <mergeCell ref="A292:B292"/>
    <mergeCell ref="C292:C293"/>
    <mergeCell ref="D292:D293"/>
    <mergeCell ref="E292:E293"/>
    <mergeCell ref="F292:F293"/>
    <mergeCell ref="G292:G293"/>
    <mergeCell ref="F266:F267"/>
    <mergeCell ref="G266:G267"/>
    <mergeCell ref="A226:G226"/>
    <mergeCell ref="C232:E232"/>
    <mergeCell ref="A252:B252"/>
    <mergeCell ref="C252:C253"/>
    <mergeCell ref="D252:D253"/>
    <mergeCell ref="E252:E253"/>
    <mergeCell ref="F252:F253"/>
    <mergeCell ref="G252:G253"/>
    <mergeCell ref="F277:F278"/>
    <mergeCell ref="G277:G278"/>
    <mergeCell ref="G142:G143"/>
    <mergeCell ref="A327:B327"/>
    <mergeCell ref="C327:C328"/>
    <mergeCell ref="D327:D328"/>
    <mergeCell ref="E327:E328"/>
    <mergeCell ref="E341:E342"/>
    <mergeCell ref="F341:F342"/>
    <mergeCell ref="G341:G342"/>
    <mergeCell ref="C341:C342"/>
    <mergeCell ref="D341:D342"/>
    <mergeCell ref="F327:F328"/>
    <mergeCell ref="G327:G328"/>
    <mergeCell ref="A217:B217"/>
    <mergeCell ref="C217:C218"/>
    <mergeCell ref="D217:D218"/>
    <mergeCell ref="E217:E218"/>
    <mergeCell ref="F217:F218"/>
    <mergeCell ref="G217:G218"/>
    <mergeCell ref="A266:B266"/>
    <mergeCell ref="C266:C267"/>
    <mergeCell ref="D266:D267"/>
    <mergeCell ref="E266:E267"/>
    <mergeCell ref="A352:B352"/>
    <mergeCell ref="C352:C353"/>
    <mergeCell ref="D352:D353"/>
    <mergeCell ref="E352:E353"/>
    <mergeCell ref="F352:F353"/>
    <mergeCell ref="G352:G353"/>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301:G301"/>
    <mergeCell ref="C307:E307"/>
    <mergeCell ref="A341:B341"/>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A76:G76"/>
    <mergeCell ref="C82:E82"/>
    <mergeCell ref="A52:B52"/>
    <mergeCell ref="C52:C53"/>
    <mergeCell ref="D52:D53"/>
    <mergeCell ref="E52:E53"/>
    <mergeCell ref="F52:F53"/>
    <mergeCell ref="A102:B102"/>
    <mergeCell ref="A202:B202"/>
    <mergeCell ref="C202:C203"/>
    <mergeCell ref="D202:D203"/>
    <mergeCell ref="E202:E203"/>
    <mergeCell ref="F202:F203"/>
    <mergeCell ref="G202:G203"/>
    <mergeCell ref="A151:G151"/>
    <mergeCell ref="C157:E157"/>
    <mergeCell ref="A177:B177"/>
    <mergeCell ref="C177:C178"/>
    <mergeCell ref="G52:G53"/>
    <mergeCell ref="A67:B67"/>
    <mergeCell ref="C67:C68"/>
    <mergeCell ref="D67:D68"/>
    <mergeCell ref="E67:E68"/>
    <mergeCell ref="F67:F68"/>
  </mergeCells>
  <pageMargins left="1.1811023622047245" right="0.78740157480314965" top="1.1811023622047245" bottom="0.78740157480314965" header="0.39370078740157483" footer="0.39370078740157483"/>
  <pageSetup paperSize="9" scale="12" fitToHeight="0" orientation="portrait" r:id="rId1"/>
  <headerFooter>
    <oddHeader>&amp;L&amp;G</oddHeader>
  </headerFooter>
  <rowBreaks count="2" manualBreakCount="2">
    <brk id="74" max="6" man="1"/>
    <brk id="149"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B46"/>
  <sheetViews>
    <sheetView showZeros="0" view="pageBreakPreview" topLeftCell="A19" zoomScaleNormal="100" zoomScaleSheetLayoutView="100" workbookViewId="0">
      <selection activeCell="K41" sqref="K41"/>
    </sheetView>
  </sheetViews>
  <sheetFormatPr baseColWidth="10" defaultColWidth="11.42578125" defaultRowHeight="20.100000000000001" customHeight="1"/>
  <cols>
    <col min="1" max="1" width="8.7109375" style="8" customWidth="1"/>
    <col min="2" max="2" width="30.7109375" style="8" customWidth="1"/>
    <col min="3" max="3" width="20.7109375" style="8" customWidth="1"/>
    <col min="4" max="4" width="18.7109375" style="8" customWidth="1"/>
    <col min="5" max="9" width="15.7109375" style="8" customWidth="1"/>
    <col min="10" max="11" width="10.7109375" style="8" customWidth="1"/>
    <col min="12" max="31" width="10.7109375" style="73" customWidth="1"/>
    <col min="32" max="80" width="11.42578125" style="73"/>
    <col min="81" max="16384" width="11.42578125" style="8"/>
  </cols>
  <sheetData>
    <row r="1" spans="1:80" s="2" customFormat="1" ht="20.100000000000001" customHeight="1">
      <c r="A1" s="3" t="s">
        <v>7</v>
      </c>
      <c r="B1" s="3"/>
      <c r="C1" s="3" t="str">
        <f>Comitente</f>
        <v>DEPARTAMENTO DE HIDRAULICA</v>
      </c>
      <c r="D1" s="4"/>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row>
    <row r="2" spans="1:80" s="5" customFormat="1" ht="20.100000000000001" customHeight="1">
      <c r="A2" s="11" t="s">
        <v>8</v>
      </c>
      <c r="B2" s="11"/>
      <c r="C2" s="11" t="str">
        <f>Obra</f>
        <v>EJECUCION DE PERFORACION - SISTEMA DE RIEGO</v>
      </c>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row>
    <row r="3" spans="1:80" s="5" customFormat="1" ht="20.100000000000001" customHeight="1">
      <c r="A3" s="11" t="s">
        <v>12</v>
      </c>
      <c r="B3" s="11"/>
      <c r="C3" s="11" t="str">
        <f>Ubicación</f>
        <v>DEPARTAMENTO CHIMBAS</v>
      </c>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row>
    <row r="4" spans="1:80" s="5" customFormat="1" ht="20.100000000000001" customHeight="1">
      <c r="A4" s="11" t="s">
        <v>11</v>
      </c>
      <c r="B4" s="12"/>
      <c r="C4" s="54">
        <f>Licitación_N°</f>
        <v>1</v>
      </c>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row>
    <row r="5" spans="1:80" s="5" customFormat="1" ht="20.100000000000001" customHeight="1">
      <c r="A5" s="11" t="s">
        <v>13</v>
      </c>
      <c r="B5" s="12"/>
      <c r="C5" s="55">
        <f>Plazo_Obra</f>
        <v>120</v>
      </c>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row>
    <row r="6" spans="1:80" s="5" customFormat="1" ht="20.100000000000001" customHeight="1">
      <c r="A6" s="11" t="s">
        <v>9</v>
      </c>
      <c r="B6" s="11"/>
      <c r="C6" s="11">
        <f>Contratista</f>
        <v>0</v>
      </c>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row>
    <row r="7" spans="1:80" s="2" customFormat="1" ht="20.100000000000001" customHeight="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row>
    <row r="8" spans="1:80" s="2" customFormat="1" ht="20.100000000000001" customHeight="1">
      <c r="A8" s="649" t="s">
        <v>38</v>
      </c>
      <c r="B8" s="650"/>
      <c r="C8" s="650"/>
      <c r="D8" s="651"/>
      <c r="E8" s="7"/>
      <c r="F8" s="7"/>
      <c r="G8" s="7"/>
      <c r="H8" s="7"/>
      <c r="I8" s="7"/>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row>
    <row r="10" spans="1:80" ht="20.100000000000001" customHeight="1">
      <c r="A10" s="623" t="s">
        <v>893</v>
      </c>
      <c r="B10" s="653" t="s">
        <v>0</v>
      </c>
      <c r="C10" s="653"/>
      <c r="D10" s="654" t="s">
        <v>10</v>
      </c>
      <c r="E10" s="38"/>
      <c r="F10" s="653" t="s">
        <v>16</v>
      </c>
      <c r="G10" s="653"/>
      <c r="H10" s="653"/>
      <c r="I10" s="653"/>
      <c r="J10" s="19"/>
      <c r="K10" s="652" t="s">
        <v>15</v>
      </c>
    </row>
    <row r="11" spans="1:80" ht="20.100000000000001" customHeight="1">
      <c r="A11" s="623"/>
      <c r="B11" s="653"/>
      <c r="C11" s="653"/>
      <c r="D11" s="654"/>
      <c r="E11" s="38">
        <v>0</v>
      </c>
      <c r="F11" s="24">
        <v>1</v>
      </c>
      <c r="G11" s="24">
        <f>F11+1</f>
        <v>2</v>
      </c>
      <c r="H11" s="24">
        <f>+G11+1</f>
        <v>3</v>
      </c>
      <c r="I11" s="24">
        <f>H11+1</f>
        <v>4</v>
      </c>
      <c r="J11" s="20"/>
      <c r="K11" s="652"/>
    </row>
    <row r="12" spans="1:80" ht="20.100000000000001" customHeight="1">
      <c r="A12" s="25"/>
      <c r="B12" s="42"/>
      <c r="C12" s="42"/>
      <c r="D12" s="43"/>
      <c r="E12" s="38"/>
      <c r="F12" s="26"/>
      <c r="G12" s="700"/>
      <c r="H12" s="694"/>
      <c r="I12" s="694"/>
      <c r="J12" s="20"/>
      <c r="K12" s="66"/>
    </row>
    <row r="13" spans="1:80" ht="20.100000000000001" customHeight="1">
      <c r="A13" s="48">
        <f ca="1">INDIRECT("Datos!B"&amp;MATCH("RUBRO ITEM",Datos!B:B,0)+ROW()-MATCH("RUBRO ITEM",A:A,0)-1)</f>
        <v>1</v>
      </c>
      <c r="B13" s="27" t="str">
        <f t="shared" ref="B13:B37" ca="1" si="0">IFERROR(VLOOKUP(A13,T_Computo_Presupuesto,2,FALSE),"")</f>
        <v>PERFORACION PROPIAMENTE DICHA</v>
      </c>
      <c r="C13" s="28"/>
      <c r="D13" s="13">
        <f t="shared" ref="D13:D17" ca="1" si="1">IFERROR(VLOOKUP(A13,T_Computo_Presupuesto,9,FALSE),0)</f>
        <v>0</v>
      </c>
      <c r="E13" s="29"/>
      <c r="F13" s="695"/>
      <c r="G13" s="612"/>
      <c r="H13" s="612"/>
      <c r="I13" s="612"/>
      <c r="J13" s="698"/>
      <c r="K13" s="21">
        <f>SUM(F13:I13)</f>
        <v>0</v>
      </c>
    </row>
    <row r="14" spans="1:80" ht="20.100000000000001" customHeight="1">
      <c r="A14" s="48">
        <f ca="1">INDIRECT("Datos!B"&amp;MATCH("RUBRO ITEM",Datos!B:B,0)+ROW()-MATCH("RUBRO ITEM",A:A,0)-1)</f>
        <v>1.1000000000000001</v>
      </c>
      <c r="B14" s="27" t="str">
        <f t="shared" ca="1" si="0"/>
        <v>Limpieza, replanteo y nivelacion</v>
      </c>
      <c r="C14" s="28"/>
      <c r="D14" s="13">
        <f t="shared" ca="1" si="1"/>
        <v>0</v>
      </c>
      <c r="E14" s="39"/>
      <c r="F14" s="696"/>
      <c r="G14" s="611"/>
      <c r="H14" s="611"/>
      <c r="I14" s="611"/>
      <c r="J14" s="699"/>
      <c r="K14" s="21">
        <f t="shared" ref="K14:K37" si="2">SUM(F14:I14)</f>
        <v>0</v>
      </c>
    </row>
    <row r="15" spans="1:80" ht="20.100000000000001" customHeight="1">
      <c r="A15" s="48">
        <f ca="1">INDIRECT("Datos!B"&amp;MATCH("RUBRO ITEM",Datos!B:B,0)+ROW()-MATCH("RUBRO ITEM",A:A,0)-1)</f>
        <v>1.2</v>
      </c>
      <c r="B15" s="27" t="str">
        <f t="shared" ca="1" si="0"/>
        <v>Perfilaje, limpieza, ensayos y desarrollo</v>
      </c>
      <c r="C15" s="28"/>
      <c r="D15" s="13">
        <f t="shared" ca="1" si="1"/>
        <v>0</v>
      </c>
      <c r="E15" s="39"/>
      <c r="F15" s="696"/>
      <c r="G15" s="611"/>
      <c r="H15" s="611"/>
      <c r="I15" s="611"/>
      <c r="J15" s="699"/>
      <c r="K15" s="21">
        <f t="shared" si="2"/>
        <v>0</v>
      </c>
    </row>
    <row r="16" spans="1:80" ht="20.100000000000001" customHeight="1">
      <c r="A16" s="48">
        <f ca="1">INDIRECT("Datos!B"&amp;MATCH("RUBRO ITEM",Datos!B:B,0)+ROW()-MATCH("RUBRO ITEM",A:A,0)-1)</f>
        <v>1.3</v>
      </c>
      <c r="B16" s="27" t="str">
        <f t="shared" ca="1" si="0"/>
        <v>Provision e instalacion filtros 12"</v>
      </c>
      <c r="C16" s="28"/>
      <c r="D16" s="13">
        <f t="shared" ca="1" si="1"/>
        <v>0</v>
      </c>
      <c r="E16" s="39"/>
      <c r="F16" s="696"/>
      <c r="G16" s="611"/>
      <c r="H16" s="611"/>
      <c r="I16" s="611"/>
      <c r="J16" s="699"/>
      <c r="K16" s="21">
        <f t="shared" si="2"/>
        <v>0</v>
      </c>
    </row>
    <row r="17" spans="1:11" ht="20.100000000000001" customHeight="1">
      <c r="A17" s="48">
        <f ca="1">INDIRECT("Datos!B"&amp;MATCH("RUBRO ITEM",Datos!B:B,0)+ROW()-MATCH("RUBRO ITEM",A:A,0)-1)</f>
        <v>1.4</v>
      </c>
      <c r="B17" s="27" t="str">
        <f t="shared" ca="1" si="0"/>
        <v>Engravado para proteccion de filtros</v>
      </c>
      <c r="C17" s="28"/>
      <c r="D17" s="13">
        <f t="shared" ca="1" si="1"/>
        <v>0</v>
      </c>
      <c r="E17" s="39"/>
      <c r="F17" s="696"/>
      <c r="G17" s="611"/>
      <c r="H17" s="611"/>
      <c r="I17" s="611"/>
      <c r="J17" s="699"/>
      <c r="K17" s="21">
        <f t="shared" si="2"/>
        <v>0</v>
      </c>
    </row>
    <row r="18" spans="1:11" ht="20.100000000000001" customHeight="1">
      <c r="A18" s="48">
        <f ca="1">INDIRECT("Datos!B"&amp;MATCH("RUBRO ITEM",Datos!B:B,0)+ROW()-MATCH("RUBRO ITEM",A:A,0)-1)</f>
        <v>1.5</v>
      </c>
      <c r="B18" s="27" t="str">
        <f t="shared" ca="1" si="0"/>
        <v>Provision en instalacion cañeria 12"</v>
      </c>
      <c r="C18" s="28"/>
      <c r="D18" s="13"/>
      <c r="E18" s="39"/>
      <c r="F18" s="696"/>
      <c r="G18" s="611"/>
      <c r="H18" s="611"/>
      <c r="I18" s="611"/>
      <c r="J18" s="699"/>
      <c r="K18" s="21">
        <f t="shared" si="2"/>
        <v>0</v>
      </c>
    </row>
    <row r="19" spans="1:11" ht="20.100000000000001" customHeight="1">
      <c r="A19" s="48">
        <f ca="1">INDIRECT("Datos!B"&amp;MATCH("RUBRO ITEM",Datos!B:B,0)+ROW()-MATCH("RUBRO ITEM",A:A,0)-1)</f>
        <v>1.6</v>
      </c>
      <c r="B19" s="27" t="str">
        <f t="shared" ca="1" si="0"/>
        <v>Cementado para proteccion perforacion</v>
      </c>
      <c r="C19" s="28"/>
      <c r="D19" s="13"/>
      <c r="E19" s="39"/>
      <c r="F19" s="696"/>
      <c r="G19" s="611"/>
      <c r="H19" s="611"/>
      <c r="I19" s="611"/>
      <c r="J19" s="699"/>
      <c r="K19" s="21">
        <f t="shared" si="2"/>
        <v>0</v>
      </c>
    </row>
    <row r="20" spans="1:11" ht="20.100000000000001" customHeight="1">
      <c r="A20" s="48">
        <f ca="1">INDIRECT("Datos!B"&amp;MATCH("RUBRO ITEM",Datos!B:B,0)+ROW()-MATCH("RUBRO ITEM",A:A,0)-1)</f>
        <v>1.7</v>
      </c>
      <c r="B20" s="27" t="str">
        <f t="shared" ca="1" si="0"/>
        <v>Limpieza final</v>
      </c>
      <c r="C20" s="28"/>
      <c r="D20" s="13"/>
      <c r="E20" s="39"/>
      <c r="F20" s="696"/>
      <c r="G20" s="611"/>
      <c r="H20" s="611"/>
      <c r="I20" s="611"/>
      <c r="J20" s="699"/>
      <c r="K20" s="21">
        <f t="shared" si="2"/>
        <v>0</v>
      </c>
    </row>
    <row r="21" spans="1:11" ht="20.100000000000001" customHeight="1">
      <c r="A21" s="48">
        <f ca="1">INDIRECT("Datos!B"&amp;MATCH("RUBRO ITEM",Datos!B:B,0)+ROW()-MATCH("RUBRO ITEM",A:A,0)-1)</f>
        <v>2</v>
      </c>
      <c r="B21" s="27" t="str">
        <f t="shared" ca="1" si="0"/>
        <v>INSTALACIONES ELECTROMECANICAS</v>
      </c>
      <c r="C21" s="28"/>
      <c r="D21" s="13"/>
      <c r="E21" s="39"/>
      <c r="F21" s="696"/>
      <c r="G21" s="611"/>
      <c r="H21" s="611"/>
      <c r="I21" s="611"/>
      <c r="J21" s="699"/>
      <c r="K21" s="21">
        <f t="shared" si="2"/>
        <v>0</v>
      </c>
    </row>
    <row r="22" spans="1:11" ht="20.100000000000001" customHeight="1">
      <c r="A22" s="48">
        <f ca="1">INDIRECT("Datos!B"&amp;MATCH("RUBRO ITEM",Datos!B:B,0)+ROW()-MATCH("RUBRO ITEM",A:A,0)-1)</f>
        <v>2.1</v>
      </c>
      <c r="B22" s="27" t="str">
        <f t="shared" ca="1" si="0"/>
        <v>Provision en instalacion electromba de 50HP</v>
      </c>
      <c r="C22" s="28"/>
      <c r="D22" s="13"/>
      <c r="E22" s="39"/>
      <c r="F22" s="696"/>
      <c r="G22" s="611"/>
      <c r="H22" s="611"/>
      <c r="I22" s="611"/>
      <c r="J22" s="699"/>
      <c r="K22" s="21">
        <f t="shared" si="2"/>
        <v>0</v>
      </c>
    </row>
    <row r="23" spans="1:11" ht="20.100000000000001" customHeight="1">
      <c r="A23" s="48">
        <f ca="1">INDIRECT("Datos!B"&amp;MATCH("RUBRO ITEM",Datos!B:B,0)+ROW()-MATCH("RUBRO ITEM",A:A,0)-1)</f>
        <v>2.2000000000000002</v>
      </c>
      <c r="B23" s="27" t="str">
        <f t="shared" ca="1" si="0"/>
        <v>Provsion e instalacion cañeria impulsion 6"</v>
      </c>
      <c r="C23" s="28"/>
      <c r="D23" s="13"/>
      <c r="E23" s="39"/>
      <c r="F23" s="696"/>
      <c r="G23" s="611"/>
      <c r="H23" s="611"/>
      <c r="I23" s="611"/>
      <c r="J23" s="699"/>
      <c r="K23" s="21">
        <f t="shared" si="2"/>
        <v>0</v>
      </c>
    </row>
    <row r="24" spans="1:11" ht="20.100000000000001" customHeight="1">
      <c r="A24" s="48">
        <f ca="1">INDIRECT("Datos!B"&amp;MATCH("RUBRO ITEM",Datos!B:B,0)+ROW()-MATCH("RUBRO ITEM",A:A,0)-1)</f>
        <v>2.2999999999999998</v>
      </c>
      <c r="B24" s="393" t="str">
        <f t="shared" ca="1" si="0"/>
        <v>Instalacion tablero de potencia y control de electrobomba sumergible con control de velocidad, sistema de iluminacion monitoreo remoto de presion y caudal</v>
      </c>
      <c r="C24" s="28"/>
      <c r="D24" s="13"/>
      <c r="E24" s="39"/>
      <c r="F24" s="696"/>
      <c r="G24" s="611"/>
      <c r="H24" s="611"/>
      <c r="I24" s="611"/>
      <c r="J24" s="699"/>
      <c r="K24" s="21">
        <f t="shared" si="2"/>
        <v>0</v>
      </c>
    </row>
    <row r="25" spans="1:11" ht="20.100000000000001" customHeight="1">
      <c r="A25" s="48">
        <f ca="1">INDIRECT("Datos!B"&amp;MATCH("RUBRO ITEM",Datos!B:B,0)+ROW()-MATCH("RUBRO ITEM",A:A,0)-1)</f>
        <v>2.4</v>
      </c>
      <c r="B25" s="27" t="str">
        <f t="shared" ca="1" si="0"/>
        <v>Construccion caseta para tablero y aprobaciones</v>
      </c>
      <c r="C25" s="28"/>
      <c r="D25" s="13"/>
      <c r="E25" s="39"/>
      <c r="F25" s="696"/>
      <c r="G25" s="611"/>
      <c r="H25" s="611"/>
      <c r="I25" s="611"/>
      <c r="J25" s="699"/>
      <c r="K25" s="21">
        <f t="shared" si="2"/>
        <v>0</v>
      </c>
    </row>
    <row r="26" spans="1:11" ht="20.100000000000001" customHeight="1">
      <c r="A26" s="48">
        <f ca="1">INDIRECT("Datos!B"&amp;MATCH("RUBRO ITEM",Datos!B:B,0)+ROW()-MATCH("RUBRO ITEM",A:A,0)-1)</f>
        <v>3</v>
      </c>
      <c r="B26" s="27" t="str">
        <f t="shared" ca="1" si="0"/>
        <v>CAMARA SUBTERRANEA PARA PERFORACION</v>
      </c>
      <c r="C26" s="28"/>
      <c r="D26" s="13"/>
      <c r="E26" s="39"/>
      <c r="F26" s="696"/>
      <c r="G26" s="611"/>
      <c r="H26" s="611"/>
      <c r="I26" s="611"/>
      <c r="J26" s="699"/>
      <c r="K26" s="21">
        <f t="shared" si="2"/>
        <v>0</v>
      </c>
    </row>
    <row r="27" spans="1:11" ht="20.100000000000001" customHeight="1">
      <c r="A27" s="48">
        <f ca="1">INDIRECT("Datos!B"&amp;MATCH("RUBRO ITEM",Datos!B:B,0)+ROW()-MATCH("RUBRO ITEM",A:A,0)-1)</f>
        <v>3.1</v>
      </c>
      <c r="B27" s="27" t="str">
        <f t="shared" ca="1" si="0"/>
        <v>Limpieza, replanteo y nivelacion</v>
      </c>
      <c r="C27" s="28"/>
      <c r="D27" s="13"/>
      <c r="E27" s="39"/>
      <c r="F27" s="696"/>
      <c r="G27" s="611"/>
      <c r="H27" s="611"/>
      <c r="I27" s="611"/>
      <c r="J27" s="699"/>
      <c r="K27" s="21">
        <f t="shared" si="2"/>
        <v>0</v>
      </c>
    </row>
    <row r="28" spans="1:11" ht="20.100000000000001" customHeight="1">
      <c r="A28" s="48">
        <f ca="1">INDIRECT("Datos!B"&amp;MATCH("RUBRO ITEM",Datos!B:B,0)+ROW()-MATCH("RUBRO ITEM",A:A,0)-1)</f>
        <v>3.2</v>
      </c>
      <c r="B28" s="27" t="str">
        <f t="shared" ca="1" si="0"/>
        <v>Excavacion de zanja para camara subterranea</v>
      </c>
      <c r="C28" s="28"/>
      <c r="D28" s="13"/>
      <c r="E28" s="39"/>
      <c r="F28" s="696"/>
      <c r="G28" s="611"/>
      <c r="H28" s="611"/>
      <c r="I28" s="611"/>
      <c r="J28" s="699"/>
      <c r="K28" s="21">
        <f t="shared" si="2"/>
        <v>0</v>
      </c>
    </row>
    <row r="29" spans="1:11" ht="20.100000000000001" customHeight="1">
      <c r="A29" s="48">
        <f ca="1">INDIRECT("Datos!B"&amp;MATCH("RUBRO ITEM",Datos!B:B,0)+ROW()-MATCH("RUBRO ITEM",A:A,0)-1)</f>
        <v>3.3</v>
      </c>
      <c r="B29" s="27" t="str">
        <f t="shared" ca="1" si="0"/>
        <v>Construccion de losa de fundacion H°A° H17</v>
      </c>
      <c r="C29" s="28"/>
      <c r="D29" s="13"/>
      <c r="E29" s="39"/>
      <c r="F29" s="696"/>
      <c r="G29" s="611"/>
      <c r="H29" s="611"/>
      <c r="I29" s="611"/>
      <c r="J29" s="699"/>
      <c r="K29" s="21">
        <f t="shared" si="2"/>
        <v>0</v>
      </c>
    </row>
    <row r="30" spans="1:11" ht="20.100000000000001" customHeight="1">
      <c r="A30" s="48">
        <f ca="1">INDIRECT("Datos!B"&amp;MATCH("RUBRO ITEM",Datos!B:B,0)+ROW()-MATCH("RUBRO ITEM",A:A,0)-1)</f>
        <v>3.4</v>
      </c>
      <c r="B30" s="27" t="str">
        <f t="shared" ca="1" si="0"/>
        <v>Muros de H°A° H17</v>
      </c>
      <c r="C30" s="28"/>
      <c r="D30" s="13"/>
      <c r="E30" s="39"/>
      <c r="F30" s="696"/>
      <c r="G30" s="611"/>
      <c r="H30" s="611"/>
      <c r="I30" s="611"/>
      <c r="J30" s="699"/>
      <c r="K30" s="21">
        <f t="shared" si="2"/>
        <v>0</v>
      </c>
    </row>
    <row r="31" spans="1:11" ht="20.100000000000001" customHeight="1">
      <c r="A31" s="48">
        <f ca="1">INDIRECT("Datos!B"&amp;MATCH("RUBRO ITEM",Datos!B:B,0)+ROW()-MATCH("RUBRO ITEM",A:A,0)-1)</f>
        <v>3.5</v>
      </c>
      <c r="B31" s="27" t="str">
        <f t="shared" ca="1" si="0"/>
        <v>Construccion de losa superior H°A° H17</v>
      </c>
      <c r="C31" s="28"/>
      <c r="D31" s="13"/>
      <c r="E31" s="39"/>
      <c r="F31" s="696"/>
      <c r="G31" s="611"/>
      <c r="H31" s="611"/>
      <c r="I31" s="611"/>
      <c r="J31" s="699"/>
      <c r="K31" s="21">
        <f t="shared" si="2"/>
        <v>0</v>
      </c>
    </row>
    <row r="32" spans="1:11" ht="20.100000000000001" customHeight="1">
      <c r="A32" s="48">
        <f ca="1">INDIRECT("Datos!B"&amp;MATCH("RUBRO ITEM",Datos!B:B,0)+ROW()-MATCH("RUBRO ITEM",A:A,0)-1)</f>
        <v>3.6</v>
      </c>
      <c r="B32" s="27" t="str">
        <f t="shared" ca="1" si="0"/>
        <v>Tapa hermetica de ingreso</v>
      </c>
      <c r="C32" s="28"/>
      <c r="D32" s="13"/>
      <c r="E32" s="39"/>
      <c r="F32" s="696"/>
      <c r="G32" s="611"/>
      <c r="H32" s="611"/>
      <c r="I32" s="611"/>
      <c r="J32" s="699"/>
      <c r="K32" s="21">
        <f t="shared" si="2"/>
        <v>0</v>
      </c>
    </row>
    <row r="33" spans="1:11" ht="20.100000000000001" customHeight="1">
      <c r="A33" s="48">
        <f ca="1">INDIRECT("Datos!B"&amp;MATCH("RUBRO ITEM",Datos!B:B,0)+ROW()-MATCH("RUBRO ITEM",A:A,0)-1)</f>
        <v>3.7</v>
      </c>
      <c r="B33" s="27" t="str">
        <f t="shared" ca="1" si="0"/>
        <v>Limpieza Final</v>
      </c>
      <c r="C33" s="28"/>
      <c r="D33" s="13"/>
      <c r="E33" s="39"/>
      <c r="F33" s="696"/>
      <c r="G33" s="611"/>
      <c r="H33" s="611"/>
      <c r="I33" s="611"/>
      <c r="J33" s="699"/>
      <c r="K33" s="21">
        <f t="shared" si="2"/>
        <v>0</v>
      </c>
    </row>
    <row r="34" spans="1:11" ht="20.100000000000001" customHeight="1">
      <c r="A34" s="48">
        <f ca="1">INDIRECT("Datos!B"&amp;MATCH("RUBRO ITEM",Datos!B:B,0)+ROW()-MATCH("RUBRO ITEM",A:A,0)-1)</f>
        <v>4</v>
      </c>
      <c r="B34" s="27" t="str">
        <f t="shared" ca="1" si="0"/>
        <v>CUENCO DE VERTIDO</v>
      </c>
      <c r="C34" s="28"/>
      <c r="D34" s="13"/>
      <c r="E34" s="39"/>
      <c r="F34" s="696"/>
      <c r="G34" s="611"/>
      <c r="H34" s="611"/>
      <c r="I34" s="611"/>
      <c r="J34" s="699"/>
      <c r="K34" s="21">
        <f t="shared" si="2"/>
        <v>0</v>
      </c>
    </row>
    <row r="35" spans="1:11" ht="20.100000000000001" customHeight="1">
      <c r="A35" s="48">
        <f ca="1">INDIRECT("Datos!B"&amp;MATCH("RUBRO ITEM",Datos!B:B,0)+ROW()-MATCH("RUBRO ITEM",A:A,0)-1)</f>
        <v>4.0999999999999996</v>
      </c>
      <c r="B35" s="27" t="str">
        <f t="shared" ca="1" si="0"/>
        <v>Estructura de Hormigon Armado H17</v>
      </c>
      <c r="C35" s="28"/>
      <c r="D35" s="13"/>
      <c r="E35" s="39"/>
      <c r="F35" s="696"/>
      <c r="G35" s="611"/>
      <c r="H35" s="611"/>
      <c r="I35" s="611"/>
      <c r="J35" s="699"/>
      <c r="K35" s="21">
        <f t="shared" si="2"/>
        <v>0</v>
      </c>
    </row>
    <row r="36" spans="1:11" ht="20.100000000000001" customHeight="1">
      <c r="A36" s="48">
        <f ca="1">INDIRECT("Datos!B"&amp;MATCH("RUBRO ITEM",Datos!B:B,0)+ROW()-MATCH("RUBRO ITEM",A:A,0)-1)</f>
        <v>4.2</v>
      </c>
      <c r="B36" s="27" t="str">
        <f t="shared" ca="1" si="0"/>
        <v>Hormigon de limpieza</v>
      </c>
      <c r="C36" s="28"/>
      <c r="D36" s="13"/>
      <c r="E36" s="39"/>
      <c r="F36" s="696"/>
      <c r="G36" s="611"/>
      <c r="H36" s="611"/>
      <c r="I36" s="611"/>
      <c r="J36" s="699"/>
      <c r="K36" s="21">
        <f t="shared" si="2"/>
        <v>0</v>
      </c>
    </row>
    <row r="37" spans="1:11" ht="20.100000000000001" customHeight="1">
      <c r="A37" s="48">
        <f ca="1">INDIRECT("Datos!B"&amp;MATCH("RUBRO ITEM",Datos!B:B,0)+ROW()-MATCH("RUBRO ITEM",A:A,0)-1)</f>
        <v>4.3</v>
      </c>
      <c r="B37" s="27" t="str">
        <f t="shared" ca="1" si="0"/>
        <v>Excavacion</v>
      </c>
      <c r="C37" s="28"/>
      <c r="D37" s="13"/>
      <c r="E37" s="39"/>
      <c r="F37" s="696"/>
      <c r="G37" s="611"/>
      <c r="H37" s="611"/>
      <c r="I37" s="611"/>
      <c r="J37" s="699"/>
      <c r="K37" s="21">
        <f t="shared" si="2"/>
        <v>0</v>
      </c>
    </row>
    <row r="38" spans="1:11" ht="20.100000000000001" customHeight="1">
      <c r="A38" s="44" t="s">
        <v>3</v>
      </c>
      <c r="B38" s="42" t="s">
        <v>6</v>
      </c>
      <c r="C38" s="45"/>
      <c r="D38" s="41">
        <f ca="1">SUM(D13:D37)</f>
        <v>0</v>
      </c>
      <c r="E38" s="40"/>
      <c r="F38" s="27"/>
      <c r="G38" s="30"/>
      <c r="H38" s="30"/>
      <c r="I38" s="30"/>
    </row>
    <row r="39" spans="1:11" ht="20.100000000000001" customHeight="1">
      <c r="A39" s="5"/>
      <c r="B39" s="5"/>
      <c r="C39" s="5"/>
      <c r="D39" s="5"/>
      <c r="E39" s="5"/>
      <c r="F39" s="5"/>
      <c r="G39" s="30"/>
      <c r="H39" s="30"/>
      <c r="I39" s="30"/>
    </row>
    <row r="40" spans="1:11" ht="20.100000000000001" customHeight="1">
      <c r="A40" s="5"/>
      <c r="B40" s="5"/>
      <c r="C40" s="5"/>
      <c r="D40" s="31" t="s">
        <v>17</v>
      </c>
      <c r="E40" s="5">
        <v>0</v>
      </c>
      <c r="F40" s="697">
        <f ca="1">SUMPRODUCT($D$13:$D$37,F13:F37)</f>
        <v>0</v>
      </c>
      <c r="G40" s="32">
        <f ca="1">SUMPRODUCT($D$13:$D$37,G13:G37)</f>
        <v>0</v>
      </c>
      <c r="H40" s="32">
        <f t="shared" ref="H40:I40" ca="1" si="3">SUMPRODUCT($D$13:$D$37,H13:H37)</f>
        <v>0</v>
      </c>
      <c r="I40" s="32">
        <f t="shared" ca="1" si="3"/>
        <v>0</v>
      </c>
      <c r="J40" s="22"/>
    </row>
    <row r="41" spans="1:11" ht="20.100000000000001" customHeight="1">
      <c r="A41" s="5"/>
      <c r="B41" s="5"/>
      <c r="C41" s="5"/>
      <c r="D41" s="31" t="s">
        <v>18</v>
      </c>
      <c r="E41" s="5">
        <v>0</v>
      </c>
      <c r="F41" s="697">
        <f ca="1">E41+F40</f>
        <v>0</v>
      </c>
      <c r="G41" s="32">
        <f t="shared" ref="G41" ca="1" si="4">F41+G40</f>
        <v>0</v>
      </c>
      <c r="H41" s="32">
        <f t="shared" ref="H41" ca="1" si="5">G41+H40</f>
        <v>0</v>
      </c>
      <c r="I41" s="32">
        <f t="shared" ref="I41" ca="1" si="6">H41+I40</f>
        <v>0</v>
      </c>
      <c r="J41" s="22"/>
    </row>
    <row r="42" spans="1:11" ht="20.100000000000001" customHeight="1">
      <c r="A42" s="5"/>
      <c r="B42" s="5"/>
      <c r="C42" s="5"/>
      <c r="D42" s="33"/>
      <c r="E42" s="34" t="s">
        <v>940</v>
      </c>
      <c r="F42" s="5"/>
      <c r="G42" s="5"/>
      <c r="H42" s="5"/>
      <c r="I42" s="5"/>
    </row>
    <row r="43" spans="1:11" ht="20.100000000000001" customHeight="1">
      <c r="A43" s="5"/>
      <c r="B43" s="5"/>
      <c r="C43" s="5"/>
      <c r="D43" s="31" t="s">
        <v>19</v>
      </c>
      <c r="E43" s="35">
        <f ca="1">Anticipo_Financiero*Monto_Oferta</f>
        <v>0</v>
      </c>
      <c r="F43" s="35">
        <f t="shared" ref="F43:G43" ca="1" si="7">Monto_Oferta*F40</f>
        <v>0</v>
      </c>
      <c r="G43" s="35">
        <f t="shared" ca="1" si="7"/>
        <v>0</v>
      </c>
      <c r="H43" s="35">
        <f t="shared" ref="H43:I43" ca="1" si="8">Monto_Oferta*H40</f>
        <v>0</v>
      </c>
      <c r="I43" s="35">
        <f t="shared" ca="1" si="8"/>
        <v>0</v>
      </c>
      <c r="J43" s="9"/>
      <c r="K43" s="9"/>
    </row>
    <row r="44" spans="1:11" ht="20.100000000000001" customHeight="1">
      <c r="A44" s="5"/>
      <c r="B44" s="5"/>
      <c r="C44" s="5"/>
      <c r="D44" s="31" t="s">
        <v>890</v>
      </c>
      <c r="E44" s="35">
        <f ca="1">E43</f>
        <v>0</v>
      </c>
      <c r="F44" s="35">
        <f t="shared" ref="F44" ca="1" si="9">E44+F43*(1-Anticipo_Financiero)</f>
        <v>0</v>
      </c>
      <c r="G44" s="35">
        <f t="shared" ref="G44" ca="1" si="10">F44+G43*(1-Anticipo_Financiero)</f>
        <v>0</v>
      </c>
      <c r="H44" s="35">
        <f t="shared" ref="H44" ca="1" si="11">G44+H43*(1-Anticipo_Financiero)</f>
        <v>0</v>
      </c>
      <c r="I44" s="35">
        <f t="shared" ref="I44" ca="1" si="12">H44+I43*(1-Anticipo_Financiero)</f>
        <v>0</v>
      </c>
      <c r="J44" s="9"/>
    </row>
    <row r="45" spans="1:11" ht="20.100000000000001" customHeight="1">
      <c r="E45" s="23">
        <v>0</v>
      </c>
    </row>
    <row r="46" spans="1:11" ht="20.100000000000001" customHeight="1">
      <c r="E46" s="23">
        <v>0</v>
      </c>
    </row>
  </sheetData>
  <mergeCells count="6">
    <mergeCell ref="A8:D8"/>
    <mergeCell ref="K10:K11"/>
    <mergeCell ref="A10:A11"/>
    <mergeCell ref="B10:C11"/>
    <mergeCell ref="D10:D11"/>
    <mergeCell ref="F10:I10"/>
  </mergeCells>
  <conditionalFormatting sqref="A38 B13:B37">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C13:C37">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37">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ignoredErrors>
    <ignoredError sqref="H11" 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21" sqref="D21"/>
    </sheetView>
  </sheetViews>
  <sheetFormatPr baseColWidth="10" defaultColWidth="11.42578125" defaultRowHeight="12"/>
  <cols>
    <col min="1" max="1" width="46.42578125" style="57" customWidth="1"/>
    <col min="2" max="2" width="7.28515625" style="59" customWidth="1"/>
    <col min="3" max="3" width="15.140625" style="57" bestFit="1" customWidth="1"/>
    <col min="4" max="4" width="19" style="57" customWidth="1"/>
    <col min="5" max="5" width="46.5703125" style="57" customWidth="1"/>
    <col min="6" max="16384" width="11.42578125" style="57"/>
  </cols>
  <sheetData>
    <row r="1" spans="1:5">
      <c r="A1" s="56" t="s">
        <v>906</v>
      </c>
    </row>
    <row r="3" spans="1:5" s="59" customFormat="1">
      <c r="A3" s="58" t="s">
        <v>943</v>
      </c>
      <c r="B3" s="58" t="s">
        <v>1</v>
      </c>
      <c r="C3" s="58" t="s">
        <v>905</v>
      </c>
      <c r="D3" s="58" t="s">
        <v>899</v>
      </c>
      <c r="E3" s="58" t="s">
        <v>900</v>
      </c>
    </row>
    <row r="4" spans="1:5">
      <c r="A4" s="60" t="s">
        <v>714</v>
      </c>
      <c r="B4" s="58" t="s">
        <v>1465</v>
      </c>
      <c r="C4" s="61">
        <v>1</v>
      </c>
      <c r="D4" s="60" t="s">
        <v>904</v>
      </c>
      <c r="E4" s="60" t="str">
        <f t="shared" ref="E4:E68" si="0">IFERROR(VLOOKUP(D4,T_Indices,5,FALSE),"")</f>
        <v>Oficial Especializado</v>
      </c>
    </row>
    <row r="5" spans="1:5">
      <c r="A5" s="60" t="s">
        <v>902</v>
      </c>
      <c r="B5" s="58" t="s">
        <v>1465</v>
      </c>
      <c r="C5" s="61"/>
      <c r="D5" s="60" t="s">
        <v>903</v>
      </c>
      <c r="E5" s="60" t="str">
        <f t="shared" si="0"/>
        <v xml:space="preserve">Oficial </v>
      </c>
    </row>
    <row r="6" spans="1:5">
      <c r="A6" s="60" t="s">
        <v>1011</v>
      </c>
      <c r="B6" s="58" t="s">
        <v>1465</v>
      </c>
      <c r="C6" s="61"/>
      <c r="D6" s="60" t="s">
        <v>901</v>
      </c>
      <c r="E6" s="60" t="str">
        <f t="shared" si="0"/>
        <v>Ayudante</v>
      </c>
    </row>
    <row r="7" spans="1:5">
      <c r="A7" s="60" t="s">
        <v>716</v>
      </c>
      <c r="B7" s="58" t="s">
        <v>1465</v>
      </c>
      <c r="C7" s="61"/>
      <c r="D7" s="60" t="s">
        <v>901</v>
      </c>
      <c r="E7" s="60" t="str">
        <f t="shared" si="0"/>
        <v>Ayudante</v>
      </c>
    </row>
    <row r="8" spans="1:5">
      <c r="A8" s="60" t="s">
        <v>327</v>
      </c>
      <c r="B8" s="58" t="s">
        <v>1465</v>
      </c>
      <c r="C8" s="61"/>
      <c r="D8" s="60"/>
      <c r="E8" s="60" t="str">
        <f t="shared" si="0"/>
        <v/>
      </c>
    </row>
    <row r="9" spans="1:5">
      <c r="A9" s="60"/>
      <c r="B9" s="58"/>
      <c r="C9" s="61"/>
      <c r="D9" s="60"/>
      <c r="E9" s="60" t="str">
        <f t="shared" si="0"/>
        <v/>
      </c>
    </row>
    <row r="10" spans="1:5">
      <c r="A10" s="60"/>
      <c r="B10" s="58"/>
      <c r="C10" s="61"/>
      <c r="D10" s="60"/>
      <c r="E10" s="60" t="str">
        <f t="shared" si="0"/>
        <v/>
      </c>
    </row>
    <row r="11" spans="1:5">
      <c r="A11" s="60"/>
      <c r="B11" s="58"/>
      <c r="C11" s="61"/>
      <c r="D11" s="60"/>
      <c r="E11" s="60" t="str">
        <f t="shared" si="0"/>
        <v/>
      </c>
    </row>
    <row r="12" spans="1:5">
      <c r="A12" s="60"/>
      <c r="B12" s="58"/>
      <c r="C12" s="61"/>
      <c r="D12" s="60"/>
      <c r="E12" s="60" t="str">
        <f t="shared" si="0"/>
        <v/>
      </c>
    </row>
    <row r="13" spans="1:5">
      <c r="A13" s="60"/>
      <c r="B13" s="58"/>
      <c r="C13" s="61"/>
      <c r="D13" s="60"/>
      <c r="E13" s="60" t="str">
        <f t="shared" si="0"/>
        <v/>
      </c>
    </row>
    <row r="14" spans="1:5">
      <c r="A14" s="60" t="s">
        <v>1692</v>
      </c>
      <c r="B14" s="58" t="s">
        <v>1691</v>
      </c>
      <c r="C14" s="357">
        <f>Equipo_Amortización+Equipo_Interés</f>
        <v>0</v>
      </c>
      <c r="D14" s="60" t="s">
        <v>1614</v>
      </c>
      <c r="E14" s="60" t="str">
        <f t="shared" si="0"/>
        <v>Equipo - Amortización de equipo</v>
      </c>
    </row>
    <row r="15" spans="1:5">
      <c r="A15" s="60" t="s">
        <v>1693</v>
      </c>
      <c r="B15" s="58" t="s">
        <v>1691</v>
      </c>
      <c r="C15" s="357">
        <f>Equipo_Amortización</f>
        <v>0</v>
      </c>
      <c r="D15" s="60" t="s">
        <v>1614</v>
      </c>
      <c r="E15" s="60" t="str">
        <f t="shared" si="0"/>
        <v>Equipo - Amortización de equipo</v>
      </c>
    </row>
    <row r="16" spans="1:5">
      <c r="A16" s="60" t="s">
        <v>1694</v>
      </c>
      <c r="B16" s="58" t="s">
        <v>1691</v>
      </c>
      <c r="C16" s="357">
        <f>Equipo_Interés</f>
        <v>0</v>
      </c>
      <c r="D16" s="60" t="s">
        <v>1614</v>
      </c>
      <c r="E16" s="60" t="str">
        <f t="shared" si="0"/>
        <v>Equipo - Amortización de equipo</v>
      </c>
    </row>
    <row r="17" spans="1:5">
      <c r="A17" s="60" t="s">
        <v>1695</v>
      </c>
      <c r="B17" s="58" t="s">
        <v>1691</v>
      </c>
      <c r="C17" s="357">
        <f>Equipo_Reparaciones_Repuestos</f>
        <v>0</v>
      </c>
      <c r="D17" s="60" t="s">
        <v>1620</v>
      </c>
      <c r="E17" s="60" t="str">
        <f t="shared" si="0"/>
        <v xml:space="preserve">Accesorios y repuestos para máquinas de uso especial                 </v>
      </c>
    </row>
    <row r="18" spans="1:5">
      <c r="A18" s="60" t="s">
        <v>1696</v>
      </c>
      <c r="B18" s="58" t="s">
        <v>1691</v>
      </c>
      <c r="C18" s="61">
        <f>Equipo_Combustible+Equipo_Lubricantes</f>
        <v>0</v>
      </c>
      <c r="D18" s="60" t="s">
        <v>1615</v>
      </c>
      <c r="E18" s="60" t="str">
        <f t="shared" si="0"/>
        <v xml:space="preserve">Gas oil                                                                </v>
      </c>
    </row>
    <row r="19" spans="1:5">
      <c r="A19" s="60" t="s">
        <v>1697</v>
      </c>
      <c r="B19" s="58" t="s">
        <v>1691</v>
      </c>
      <c r="C19" s="61">
        <f>Equipo_Combustible</f>
        <v>0</v>
      </c>
      <c r="D19" s="60" t="s">
        <v>1615</v>
      </c>
      <c r="E19" s="60" t="str">
        <f t="shared" si="0"/>
        <v xml:space="preserve">Gas oil                                                                </v>
      </c>
    </row>
    <row r="20" spans="1:5">
      <c r="A20" s="60" t="s">
        <v>1698</v>
      </c>
      <c r="B20" s="58" t="s">
        <v>1691</v>
      </c>
      <c r="C20" s="61">
        <f>Equipo_Lubricantes</f>
        <v>0</v>
      </c>
      <c r="D20" s="60" t="s">
        <v>1617</v>
      </c>
      <c r="E20" s="60" t="str">
        <f t="shared" si="0"/>
        <v xml:space="preserve">Aceites lubricantes                                                    </v>
      </c>
    </row>
    <row r="21" spans="1:5">
      <c r="A21" s="60" t="s">
        <v>1848</v>
      </c>
      <c r="B21" s="58" t="s">
        <v>1691</v>
      </c>
      <c r="C21" s="357">
        <f>Equipo_Amortización+Equipo_Interés</f>
        <v>0</v>
      </c>
      <c r="D21" s="60" t="s">
        <v>1614</v>
      </c>
      <c r="E21" s="60" t="str">
        <f t="shared" ref="E21" si="1">IFERROR(VLOOKUP(D21,T_Indices,5,FALSE),"")</f>
        <v>Equipo - Amortización de equipo</v>
      </c>
    </row>
    <row r="22" spans="1:5">
      <c r="A22" s="60" t="s">
        <v>1847</v>
      </c>
      <c r="B22" s="58" t="s">
        <v>1691</v>
      </c>
      <c r="C22" s="357">
        <f>Camioneta_Amortización</f>
        <v>0</v>
      </c>
      <c r="D22" s="60" t="s">
        <v>1614</v>
      </c>
      <c r="E22" s="60" t="str">
        <f t="shared" si="0"/>
        <v>Equipo - Amortización de equipo</v>
      </c>
    </row>
    <row r="23" spans="1:5">
      <c r="A23" s="60" t="s">
        <v>1699</v>
      </c>
      <c r="B23" s="58" t="s">
        <v>1691</v>
      </c>
      <c r="C23" s="357">
        <f>Camioneta_Interés</f>
        <v>0</v>
      </c>
      <c r="D23" s="60" t="s">
        <v>1614</v>
      </c>
      <c r="E23" s="60" t="str">
        <f t="shared" si="0"/>
        <v>Equipo - Amortización de equipo</v>
      </c>
    </row>
    <row r="24" spans="1:5">
      <c r="A24" s="60" t="s">
        <v>1700</v>
      </c>
      <c r="B24" s="58" t="s">
        <v>1691</v>
      </c>
      <c r="C24" s="357">
        <f>Camioneta_Seguro</f>
        <v>0</v>
      </c>
      <c r="D24" s="60" t="s">
        <v>1614</v>
      </c>
      <c r="E24" s="60" t="str">
        <f t="shared" si="0"/>
        <v>Equipo - Amortización de equipo</v>
      </c>
    </row>
    <row r="25" spans="1:5">
      <c r="A25" s="60" t="s">
        <v>1701</v>
      </c>
      <c r="B25" s="58" t="s">
        <v>1691</v>
      </c>
      <c r="C25" s="357">
        <f>Camioneta_Patente</f>
        <v>0</v>
      </c>
      <c r="D25" s="60" t="s">
        <v>1614</v>
      </c>
      <c r="E25" s="60" t="str">
        <f t="shared" si="0"/>
        <v>Equipo - Amortización de equipo</v>
      </c>
    </row>
    <row r="26" spans="1:5">
      <c r="A26" s="60" t="s">
        <v>1702</v>
      </c>
      <c r="B26" s="58" t="s">
        <v>1691</v>
      </c>
      <c r="C26" s="357">
        <f>Camioneta_Combustibles_Lubricantes</f>
        <v>0</v>
      </c>
      <c r="D26" s="60" t="s">
        <v>1615</v>
      </c>
      <c r="E26" s="60" t="str">
        <f t="shared" si="0"/>
        <v xml:space="preserve">Gas oil                                                                </v>
      </c>
    </row>
    <row r="27" spans="1:5">
      <c r="A27" s="60" t="s">
        <v>1703</v>
      </c>
      <c r="B27" s="58" t="s">
        <v>1691</v>
      </c>
      <c r="C27" s="357">
        <f>Camioneta_Cámara_Cubiertas</f>
        <v>0</v>
      </c>
      <c r="D27" s="60" t="s">
        <v>1704</v>
      </c>
      <c r="E27" s="60" t="str">
        <f t="shared" si="0"/>
        <v xml:space="preserve">Cubiertas radiales                                                     </v>
      </c>
    </row>
    <row r="28" spans="1:5">
      <c r="A28" s="60"/>
      <c r="B28" s="58"/>
      <c r="C28" s="61"/>
      <c r="D28" s="60"/>
      <c r="E28" s="60" t="str">
        <f t="shared" si="0"/>
        <v/>
      </c>
    </row>
    <row r="29" spans="1:5">
      <c r="A29" s="60"/>
      <c r="B29" s="58"/>
      <c r="C29" s="61"/>
      <c r="D29" s="60"/>
      <c r="E29" s="60" t="str">
        <f t="shared" si="0"/>
        <v/>
      </c>
    </row>
    <row r="30" spans="1:5">
      <c r="A30" s="60" t="s">
        <v>914</v>
      </c>
      <c r="B30" s="58"/>
      <c r="C30" s="61"/>
      <c r="D30" s="60" t="s">
        <v>910</v>
      </c>
      <c r="E30" s="60" t="str">
        <f t="shared" si="0"/>
        <v>Camión volcador</v>
      </c>
    </row>
    <row r="31" spans="1:5">
      <c r="A31" s="60" t="s">
        <v>908</v>
      </c>
      <c r="B31" s="58"/>
      <c r="C31" s="61"/>
      <c r="D31" s="60" t="s">
        <v>910</v>
      </c>
      <c r="E31" s="60" t="str">
        <f t="shared" si="0"/>
        <v>Camión volcador</v>
      </c>
    </row>
    <row r="32" spans="1:5">
      <c r="A32" s="60" t="s">
        <v>913</v>
      </c>
      <c r="B32" s="58"/>
      <c r="C32" s="61"/>
      <c r="D32" s="60" t="s">
        <v>910</v>
      </c>
      <c r="E32" s="60" t="str">
        <f t="shared" si="0"/>
        <v>Camión volcador</v>
      </c>
    </row>
    <row r="33" spans="1:5">
      <c r="A33" s="60" t="s">
        <v>922</v>
      </c>
      <c r="B33" s="58"/>
      <c r="C33" s="61"/>
      <c r="D33" s="60" t="s">
        <v>923</v>
      </c>
      <c r="E33" s="60" t="str">
        <f t="shared" si="0"/>
        <v>Pluma 300 Kg.</v>
      </c>
    </row>
    <row r="34" spans="1:5">
      <c r="A34" s="60" t="s">
        <v>916</v>
      </c>
      <c r="B34" s="58"/>
      <c r="C34" s="61"/>
      <c r="D34" s="60" t="s">
        <v>917</v>
      </c>
      <c r="E34" s="60" t="str">
        <f t="shared" si="0"/>
        <v xml:space="preserve">Herramientas de mano                                                   </v>
      </c>
    </row>
    <row r="35" spans="1:5">
      <c r="A35" s="60" t="s">
        <v>1008</v>
      </c>
      <c r="B35" s="58"/>
      <c r="C35" s="61"/>
      <c r="D35" s="60" t="s">
        <v>1614</v>
      </c>
      <c r="E35" s="60" t="str">
        <f t="shared" si="0"/>
        <v>Equipo - Amortización de equipo</v>
      </c>
    </row>
    <row r="36" spans="1:5" ht="12.75">
      <c r="A36" s="60" t="s">
        <v>791</v>
      </c>
      <c r="B36" s="58"/>
      <c r="C36" s="307"/>
      <c r="D36" s="60" t="s">
        <v>1618</v>
      </c>
      <c r="E36" s="60" t="str">
        <f t="shared" si="0"/>
        <v xml:space="preserve">Máquinas viales autopropulsadas                                        </v>
      </c>
    </row>
    <row r="37" spans="1:5" ht="12.75">
      <c r="A37" s="60" t="s">
        <v>792</v>
      </c>
      <c r="B37" s="58"/>
      <c r="C37" s="307"/>
      <c r="D37" s="60" t="s">
        <v>1619</v>
      </c>
      <c r="E37" s="60" t="str">
        <f t="shared" si="0"/>
        <v xml:space="preserve">Máquinas viales no autopropulsadas                                     </v>
      </c>
    </row>
    <row r="38" spans="1:5">
      <c r="A38" s="60" t="s">
        <v>911</v>
      </c>
      <c r="B38" s="58"/>
      <c r="C38" s="61"/>
      <c r="D38" s="60" t="s">
        <v>912</v>
      </c>
      <c r="E38" s="60" t="str">
        <f t="shared" si="0"/>
        <v>Taladro percutor</v>
      </c>
    </row>
    <row r="39" spans="1:5">
      <c r="A39" s="60" t="s">
        <v>1009</v>
      </c>
      <c r="B39" s="58"/>
      <c r="C39" s="61"/>
      <c r="D39" s="60" t="s">
        <v>1620</v>
      </c>
      <c r="E39" s="60" t="str">
        <f t="shared" si="0"/>
        <v xml:space="preserve">Accesorios y repuestos para máquinas de uso especial                 </v>
      </c>
    </row>
    <row r="40" spans="1:5">
      <c r="A40" s="60" t="s">
        <v>362</v>
      </c>
      <c r="B40" s="58"/>
      <c r="C40" s="61"/>
      <c r="D40" s="60" t="s">
        <v>909</v>
      </c>
      <c r="E40" s="60" t="str">
        <f t="shared" si="0"/>
        <v>Retroexcavadora</v>
      </c>
    </row>
    <row r="41" spans="1:5">
      <c r="A41" s="60"/>
      <c r="B41" s="58"/>
      <c r="C41" s="61"/>
      <c r="D41" s="60"/>
      <c r="E41" s="60" t="str">
        <f t="shared" si="0"/>
        <v/>
      </c>
    </row>
    <row r="42" spans="1:5">
      <c r="A42" s="60" t="s">
        <v>1009</v>
      </c>
      <c r="B42" s="58"/>
      <c r="C42" s="61"/>
      <c r="D42" s="141"/>
      <c r="E42" s="60" t="str">
        <f t="shared" si="0"/>
        <v/>
      </c>
    </row>
    <row r="43" spans="1:5">
      <c r="A43" s="60" t="s">
        <v>869</v>
      </c>
      <c r="B43" s="58"/>
      <c r="C43" s="61"/>
      <c r="D43" s="141"/>
      <c r="E43" s="60" t="str">
        <f t="shared" si="0"/>
        <v/>
      </c>
    </row>
    <row r="44" spans="1:5">
      <c r="A44" s="60" t="s">
        <v>1010</v>
      </c>
      <c r="B44" s="58"/>
      <c r="C44" s="61"/>
      <c r="D44" s="141"/>
      <c r="E44" s="60" t="str">
        <f t="shared" si="0"/>
        <v/>
      </c>
    </row>
    <row r="45" spans="1:5">
      <c r="A45" s="60"/>
      <c r="B45" s="58"/>
      <c r="C45" s="61"/>
      <c r="D45" s="60"/>
      <c r="E45" s="60" t="str">
        <f t="shared" si="0"/>
        <v/>
      </c>
    </row>
    <row r="46" spans="1:5" ht="12.75">
      <c r="A46" s="60" t="s">
        <v>1781</v>
      </c>
      <c r="B46" s="58" t="s">
        <v>1865</v>
      </c>
      <c r="C46" s="307">
        <v>10</v>
      </c>
      <c r="D46" s="60" t="s">
        <v>920</v>
      </c>
      <c r="E46" s="60" t="str">
        <f t="shared" si="0"/>
        <v>Acero aletado conformado, en barra</v>
      </c>
    </row>
    <row r="47" spans="1:5" ht="12.75">
      <c r="A47" s="60" t="s">
        <v>1782</v>
      </c>
      <c r="B47" s="58"/>
      <c r="C47" s="307"/>
      <c r="D47" s="60" t="s">
        <v>920</v>
      </c>
      <c r="E47" s="60" t="str">
        <f t="shared" si="0"/>
        <v>Acero aletado conformado, en barra</v>
      </c>
    </row>
    <row r="48" spans="1:5" ht="12.75">
      <c r="A48" s="60" t="s">
        <v>730</v>
      </c>
      <c r="B48" s="308"/>
      <c r="C48" s="307"/>
      <c r="D48" s="60" t="s">
        <v>929</v>
      </c>
      <c r="E48" s="60" t="str">
        <f t="shared" si="0"/>
        <v xml:space="preserve">Perfiles de hierro                                                     </v>
      </c>
    </row>
    <row r="49" spans="1:5" ht="12.75">
      <c r="A49" s="60" t="s">
        <v>1783</v>
      </c>
      <c r="B49" s="308"/>
      <c r="C49" s="307"/>
      <c r="D49" s="60" t="s">
        <v>920</v>
      </c>
      <c r="E49" s="60" t="str">
        <f t="shared" si="0"/>
        <v>Acero aletado conformado, en barra</v>
      </c>
    </row>
    <row r="50" spans="1:5" ht="12.75">
      <c r="A50" s="60" t="s">
        <v>1784</v>
      </c>
      <c r="B50" s="306"/>
      <c r="C50" s="307"/>
      <c r="D50" s="60" t="s">
        <v>1621</v>
      </c>
      <c r="E50" s="60" t="str">
        <f t="shared" si="0"/>
        <v>Productos químicos</v>
      </c>
    </row>
    <row r="51" spans="1:5" ht="12.75">
      <c r="A51" s="60" t="s">
        <v>1785</v>
      </c>
      <c r="B51" s="308"/>
      <c r="C51" s="307"/>
      <c r="D51" s="60" t="s">
        <v>1622</v>
      </c>
      <c r="E51" s="60" t="str">
        <f t="shared" si="0"/>
        <v xml:space="preserve">Tejidos de alambre                                                     </v>
      </c>
    </row>
    <row r="52" spans="1:5" ht="12.75">
      <c r="A52" s="60" t="s">
        <v>1786</v>
      </c>
      <c r="B52" s="308"/>
      <c r="C52" s="307"/>
      <c r="D52" s="60" t="s">
        <v>919</v>
      </c>
      <c r="E52" s="60" t="str">
        <f t="shared" si="0"/>
        <v xml:space="preserve">Alambres de acero                                                      </v>
      </c>
    </row>
    <row r="53" spans="1:5" ht="12.75">
      <c r="A53" s="60" t="s">
        <v>745</v>
      </c>
      <c r="B53" s="308"/>
      <c r="C53" s="307"/>
      <c r="D53" s="60" t="s">
        <v>1623</v>
      </c>
      <c r="E53" s="60" t="str">
        <f t="shared" si="0"/>
        <v xml:space="preserve">Lingotes y perfiles de aluminio y sus aleaciones                       </v>
      </c>
    </row>
    <row r="54" spans="1:5" ht="12.75">
      <c r="A54" s="60" t="s">
        <v>1787</v>
      </c>
      <c r="B54" s="306"/>
      <c r="C54" s="307"/>
      <c r="D54" s="60" t="s">
        <v>1624</v>
      </c>
      <c r="E54" s="60" t="str">
        <f t="shared" si="0"/>
        <v xml:space="preserve">Cauchos sintéticos                                                     </v>
      </c>
    </row>
    <row r="55" spans="1:5">
      <c r="A55" s="60" t="s">
        <v>1625</v>
      </c>
      <c r="B55" s="58"/>
      <c r="C55" s="61"/>
      <c r="D55" s="60" t="s">
        <v>926</v>
      </c>
      <c r="E55" s="60" t="str">
        <f t="shared" si="0"/>
        <v>Arena clasificada lavada</v>
      </c>
    </row>
    <row r="56" spans="1:5" ht="12.75">
      <c r="A56" s="60" t="s">
        <v>1626</v>
      </c>
      <c r="B56" s="309"/>
      <c r="C56" s="310"/>
      <c r="D56" s="60" t="s">
        <v>926</v>
      </c>
      <c r="E56" s="60" t="str">
        <f t="shared" si="0"/>
        <v>Arena clasificada lavada</v>
      </c>
    </row>
    <row r="57" spans="1:5" ht="12.75">
      <c r="A57" s="60" t="s">
        <v>1627</v>
      </c>
      <c r="B57" s="309"/>
      <c r="C57" s="310"/>
      <c r="D57" s="60" t="s">
        <v>926</v>
      </c>
      <c r="E57" s="60" t="str">
        <f t="shared" si="0"/>
        <v>Arena clasificada lavada</v>
      </c>
    </row>
    <row r="58" spans="1:5" ht="12.75">
      <c r="A58" s="60" t="s">
        <v>1788</v>
      </c>
      <c r="B58" s="309"/>
      <c r="C58" s="310"/>
      <c r="D58" s="60" t="s">
        <v>1628</v>
      </c>
      <c r="E58" s="60" t="str">
        <f t="shared" si="0"/>
        <v>Asfaliq EM1</v>
      </c>
    </row>
    <row r="59" spans="1:5" ht="12.75">
      <c r="A59" s="60" t="s">
        <v>1789</v>
      </c>
      <c r="B59" s="308"/>
      <c r="C59" s="307"/>
      <c r="D59" s="60" t="s">
        <v>1629</v>
      </c>
      <c r="E59" s="60" t="str">
        <f t="shared" si="0"/>
        <v xml:space="preserve">Balastos                                                               </v>
      </c>
    </row>
    <row r="60" spans="1:5">
      <c r="A60" s="60" t="s">
        <v>915</v>
      </c>
      <c r="B60" s="58"/>
      <c r="C60" s="61"/>
      <c r="D60" s="60" t="s">
        <v>1630</v>
      </c>
      <c r="E60" s="60" t="str">
        <f t="shared" si="0"/>
        <v>Cal hidráulica hidratada</v>
      </c>
    </row>
    <row r="61" spans="1:5" ht="12.75">
      <c r="A61" s="60" t="s">
        <v>1631</v>
      </c>
      <c r="B61" s="308"/>
      <c r="C61" s="307"/>
      <c r="D61" s="60" t="s">
        <v>930</v>
      </c>
      <c r="E61" s="60" t="str">
        <f t="shared" si="0"/>
        <v xml:space="preserve">Chapas metálicas                                                       </v>
      </c>
    </row>
    <row r="62" spans="1:5" ht="12.75">
      <c r="A62" s="60" t="s">
        <v>1790</v>
      </c>
      <c r="B62" s="308"/>
      <c r="C62" s="307"/>
      <c r="D62" s="60" t="s">
        <v>928</v>
      </c>
      <c r="E62" s="60" t="str">
        <f t="shared" si="0"/>
        <v>Caño de hierro galvanizado</v>
      </c>
    </row>
    <row r="63" spans="1:5" ht="12.75">
      <c r="A63" s="60" t="s">
        <v>1791</v>
      </c>
      <c r="B63" s="308"/>
      <c r="C63" s="307"/>
      <c r="D63" s="60" t="s">
        <v>1632</v>
      </c>
      <c r="E63" s="60" t="str">
        <f t="shared" si="0"/>
        <v xml:space="preserve">Hormigón                                                               </v>
      </c>
    </row>
    <row r="64" spans="1:5">
      <c r="A64" s="60" t="s">
        <v>304</v>
      </c>
      <c r="B64" s="58"/>
      <c r="C64" s="61"/>
      <c r="D64" s="60" t="s">
        <v>927</v>
      </c>
      <c r="E64" s="60" t="str">
        <f t="shared" si="0"/>
        <v>Cemento portland normal, en bolsa</v>
      </c>
    </row>
    <row r="65" spans="1:5">
      <c r="A65" s="60" t="s">
        <v>1633</v>
      </c>
      <c r="B65" s="58" t="s">
        <v>889</v>
      </c>
      <c r="C65" s="61"/>
      <c r="D65" s="60" t="s">
        <v>1634</v>
      </c>
      <c r="E65" s="60" t="str">
        <f t="shared" si="0"/>
        <v>Asfaltos, combustibles y lubricantes</v>
      </c>
    </row>
    <row r="66" spans="1:5" ht="12.75">
      <c r="A66" s="60" t="s">
        <v>1792</v>
      </c>
      <c r="B66" s="306"/>
      <c r="C66" s="307"/>
      <c r="D66" s="60" t="s">
        <v>1635</v>
      </c>
      <c r="E66" s="60" t="str">
        <f t="shared" si="0"/>
        <v xml:space="preserve">Clavos                                                                 </v>
      </c>
    </row>
    <row r="67" spans="1:5" ht="12.75">
      <c r="A67" s="60" t="s">
        <v>1793</v>
      </c>
      <c r="B67" s="308"/>
      <c r="C67" s="307"/>
      <c r="D67" s="60" t="s">
        <v>929</v>
      </c>
      <c r="E67" s="60" t="str">
        <f t="shared" si="0"/>
        <v xml:space="preserve">Perfiles de hierro                                                     </v>
      </c>
    </row>
    <row r="68" spans="1:5" ht="12.75">
      <c r="A68" s="60" t="s">
        <v>1794</v>
      </c>
      <c r="B68" s="308"/>
      <c r="C68" s="307"/>
      <c r="D68" s="60" t="s">
        <v>1636</v>
      </c>
      <c r="E68" s="60" t="str">
        <f t="shared" si="0"/>
        <v xml:space="preserve">Conductores eléctricos                                                 </v>
      </c>
    </row>
    <row r="69" spans="1:5">
      <c r="A69" s="60" t="s">
        <v>1637</v>
      </c>
      <c r="B69" s="311"/>
      <c r="C69" s="312"/>
      <c r="D69" s="60" t="s">
        <v>1638</v>
      </c>
      <c r="E69" s="60" t="str">
        <f t="shared" ref="E69:E132" si="2">IFERROR(VLOOKUP(D69,T_Indices,5,FALSE),"")</f>
        <v>Agua para construcción</v>
      </c>
    </row>
    <row r="70" spans="1:5">
      <c r="A70" s="60" t="s">
        <v>1637</v>
      </c>
      <c r="B70" s="58"/>
      <c r="C70" s="61"/>
      <c r="D70" s="60" t="s">
        <v>1638</v>
      </c>
      <c r="E70" s="60" t="str">
        <f t="shared" si="2"/>
        <v>Agua para construcción</v>
      </c>
    </row>
    <row r="71" spans="1:5">
      <c r="A71" s="60" t="s">
        <v>778</v>
      </c>
      <c r="B71" s="311"/>
      <c r="C71" s="312"/>
      <c r="D71" s="60" t="s">
        <v>1639</v>
      </c>
      <c r="E71" s="60" t="str">
        <f t="shared" si="2"/>
        <v xml:space="preserve">Cubiertas convencionales                                               </v>
      </c>
    </row>
    <row r="72" spans="1:5">
      <c r="A72" s="60" t="s">
        <v>1640</v>
      </c>
      <c r="B72" s="58"/>
      <c r="C72" s="61"/>
      <c r="D72" s="60" t="s">
        <v>1634</v>
      </c>
      <c r="E72" s="60" t="str">
        <f t="shared" si="2"/>
        <v>Asfaltos, combustibles y lubricantes</v>
      </c>
    </row>
    <row r="73" spans="1:5">
      <c r="A73" s="60" t="s">
        <v>1641</v>
      </c>
      <c r="B73" s="58"/>
      <c r="C73" s="61"/>
      <c r="D73" s="60" t="s">
        <v>1634</v>
      </c>
      <c r="E73" s="60" t="str">
        <f t="shared" si="2"/>
        <v>Asfaltos, combustibles y lubricantes</v>
      </c>
    </row>
    <row r="74" spans="1:5" ht="12.75">
      <c r="A74" s="60" t="s">
        <v>1795</v>
      </c>
      <c r="B74" s="309"/>
      <c r="C74" s="310"/>
      <c r="D74" s="60" t="s">
        <v>1642</v>
      </c>
      <c r="E74" s="60" t="str">
        <f t="shared" si="2"/>
        <v>Emulsion EBCR</v>
      </c>
    </row>
    <row r="75" spans="1:5" ht="12.75">
      <c r="A75" s="60" t="s">
        <v>921</v>
      </c>
      <c r="B75" s="308"/>
      <c r="C75" s="307"/>
      <c r="D75" s="60" t="s">
        <v>1643</v>
      </c>
      <c r="E75" s="60" t="str">
        <f t="shared" si="2"/>
        <v xml:space="preserve">Esmaltes sintéticos                                                    </v>
      </c>
    </row>
    <row r="76" spans="1:5">
      <c r="A76" s="60" t="s">
        <v>1644</v>
      </c>
      <c r="B76" s="58" t="s">
        <v>889</v>
      </c>
      <c r="C76" s="61"/>
      <c r="D76" s="60" t="s">
        <v>1645</v>
      </c>
      <c r="E76" s="60" t="str">
        <f t="shared" si="2"/>
        <v xml:space="preserve">Cales                                                                  </v>
      </c>
    </row>
    <row r="77" spans="1:5">
      <c r="A77" s="60" t="s">
        <v>1646</v>
      </c>
      <c r="B77" s="58" t="s">
        <v>889</v>
      </c>
      <c r="C77" s="61"/>
      <c r="D77" s="60" t="s">
        <v>1647</v>
      </c>
      <c r="E77" s="60" t="str">
        <f t="shared" si="2"/>
        <v xml:space="preserve">Fuel oil                                                               </v>
      </c>
    </row>
    <row r="78" spans="1:5" ht="12.75">
      <c r="A78" s="60" t="s">
        <v>1796</v>
      </c>
      <c r="B78" s="308"/>
      <c r="C78" s="307"/>
      <c r="D78" s="60" t="s">
        <v>1615</v>
      </c>
      <c r="E78" s="60" t="str">
        <f t="shared" si="2"/>
        <v xml:space="preserve">Gas oil                                                                </v>
      </c>
    </row>
    <row r="79" spans="1:5" ht="12.75">
      <c r="A79" s="60" t="s">
        <v>1797</v>
      </c>
      <c r="B79" s="306"/>
      <c r="C79" s="307"/>
      <c r="D79" s="60" t="s">
        <v>1621</v>
      </c>
      <c r="E79" s="60" t="str">
        <f t="shared" si="2"/>
        <v>Productos químicos</v>
      </c>
    </row>
    <row r="80" spans="1:5" ht="12.75">
      <c r="A80" s="60" t="s">
        <v>1798</v>
      </c>
      <c r="B80" s="306"/>
      <c r="C80" s="307"/>
      <c r="D80" s="60" t="s">
        <v>1621</v>
      </c>
      <c r="E80" s="60" t="str">
        <f t="shared" si="2"/>
        <v>Productos químicos</v>
      </c>
    </row>
    <row r="81" spans="1:5">
      <c r="A81" s="60" t="s">
        <v>1648</v>
      </c>
      <c r="B81" s="58"/>
      <c r="C81" s="60"/>
      <c r="D81" s="60" t="s">
        <v>920</v>
      </c>
      <c r="E81" s="60" t="str">
        <f t="shared" si="2"/>
        <v>Acero aletado conformado, en barra</v>
      </c>
    </row>
    <row r="82" spans="1:5">
      <c r="A82" s="60" t="s">
        <v>1649</v>
      </c>
      <c r="B82" s="58"/>
      <c r="C82" s="60"/>
      <c r="D82" s="60" t="s">
        <v>918</v>
      </c>
      <c r="E82" s="60" t="str">
        <f t="shared" si="2"/>
        <v>Hormigón elaborado</v>
      </c>
    </row>
    <row r="83" spans="1:5" ht="12.75">
      <c r="A83" s="60" t="s">
        <v>1650</v>
      </c>
      <c r="B83" s="309"/>
      <c r="C83" s="310"/>
      <c r="D83" s="60" t="s">
        <v>918</v>
      </c>
      <c r="E83" s="60" t="str">
        <f t="shared" si="2"/>
        <v>Hormigón elaborado</v>
      </c>
    </row>
    <row r="84" spans="1:5" ht="12.75">
      <c r="A84" s="60" t="s">
        <v>1651</v>
      </c>
      <c r="B84" s="309"/>
      <c r="C84" s="310"/>
      <c r="D84" s="60" t="s">
        <v>924</v>
      </c>
      <c r="E84" s="60" t="str">
        <f t="shared" si="2"/>
        <v>Ladrillón de 1°</v>
      </c>
    </row>
    <row r="85" spans="1:5" ht="12.75">
      <c r="A85" s="60" t="s">
        <v>1799</v>
      </c>
      <c r="B85" s="308"/>
      <c r="C85" s="307"/>
      <c r="D85" s="60" t="s">
        <v>932</v>
      </c>
      <c r="E85" s="60" t="str">
        <f t="shared" si="2"/>
        <v>Artefacto de iluminación</v>
      </c>
    </row>
    <row r="86" spans="1:5" ht="12.75">
      <c r="A86" s="60" t="s">
        <v>1800</v>
      </c>
      <c r="B86" s="308"/>
      <c r="C86" s="307"/>
      <c r="D86" s="60" t="s">
        <v>932</v>
      </c>
      <c r="E86" s="60" t="str">
        <f t="shared" si="2"/>
        <v>Artefacto de iluminación</v>
      </c>
    </row>
    <row r="87" spans="1:5" ht="12.75">
      <c r="A87" s="60" t="s">
        <v>324</v>
      </c>
      <c r="B87" s="306"/>
      <c r="C87" s="307"/>
      <c r="D87" s="60" t="s">
        <v>1652</v>
      </c>
      <c r="E87" s="60" t="str">
        <f t="shared" si="2"/>
        <v>Madera para encofrado</v>
      </c>
    </row>
    <row r="88" spans="1:5">
      <c r="A88" s="60" t="s">
        <v>1653</v>
      </c>
      <c r="B88" s="58"/>
      <c r="C88" s="61"/>
      <c r="D88" s="60" t="s">
        <v>925</v>
      </c>
      <c r="E88" s="60" t="str">
        <f t="shared" si="2"/>
        <v>Canto rodado clasificado</v>
      </c>
    </row>
    <row r="89" spans="1:5">
      <c r="A89" s="60" t="s">
        <v>1654</v>
      </c>
      <c r="B89" s="58"/>
      <c r="C89" s="61"/>
      <c r="D89" s="60" t="s">
        <v>925</v>
      </c>
      <c r="E89" s="60" t="str">
        <f t="shared" si="2"/>
        <v>Canto rodado clasificado</v>
      </c>
    </row>
    <row r="90" spans="1:5" ht="12.75">
      <c r="A90" s="60" t="s">
        <v>1655</v>
      </c>
      <c r="B90" s="306"/>
      <c r="C90" s="307"/>
      <c r="D90" s="60" t="s">
        <v>1656</v>
      </c>
      <c r="E90" s="60" t="str">
        <f t="shared" si="2"/>
        <v xml:space="preserve">Canto rodado natural </v>
      </c>
    </row>
    <row r="91" spans="1:5" ht="12.75">
      <c r="A91" s="60" t="s">
        <v>1801</v>
      </c>
      <c r="B91" s="306"/>
      <c r="C91" s="307"/>
      <c r="D91" s="60" t="s">
        <v>1621</v>
      </c>
      <c r="E91" s="60" t="str">
        <f t="shared" si="2"/>
        <v>Productos químicos</v>
      </c>
    </row>
    <row r="92" spans="1:5" ht="12.75">
      <c r="A92" s="60" t="s">
        <v>1802</v>
      </c>
      <c r="B92" s="306"/>
      <c r="C92" s="307"/>
      <c r="D92" s="60" t="s">
        <v>1621</v>
      </c>
      <c r="E92" s="60" t="str">
        <f t="shared" si="2"/>
        <v>Productos químicos</v>
      </c>
    </row>
    <row r="93" spans="1:5" ht="12.75">
      <c r="A93" s="60" t="s">
        <v>738</v>
      </c>
      <c r="B93" s="306"/>
      <c r="C93" s="307"/>
      <c r="D93" s="60" t="s">
        <v>1657</v>
      </c>
      <c r="E93" s="60" t="str">
        <f t="shared" si="2"/>
        <v xml:space="preserve">Membranas asfálticas                                                   </v>
      </c>
    </row>
    <row r="94" spans="1:5" ht="12.75">
      <c r="A94" s="60" t="s">
        <v>1658</v>
      </c>
      <c r="B94" s="309"/>
      <c r="C94" s="310"/>
      <c r="D94" s="60" t="s">
        <v>1659</v>
      </c>
      <c r="E94" s="60" t="str">
        <f t="shared" si="2"/>
        <v>Mezcla 70/30</v>
      </c>
    </row>
    <row r="95" spans="1:5" ht="12.75">
      <c r="A95" s="60" t="s">
        <v>1803</v>
      </c>
      <c r="B95" s="308"/>
      <c r="C95" s="307"/>
      <c r="D95" s="60" t="s">
        <v>1660</v>
      </c>
      <c r="E95" s="60" t="str">
        <f t="shared" si="2"/>
        <v xml:space="preserve">Naftas                                                                 </v>
      </c>
    </row>
    <row r="96" spans="1:5" ht="12.75">
      <c r="A96" s="60" t="s">
        <v>1804</v>
      </c>
      <c r="B96" s="306"/>
      <c r="C96" s="307"/>
      <c r="D96" s="60" t="s">
        <v>1621</v>
      </c>
      <c r="E96" s="60" t="str">
        <f t="shared" si="2"/>
        <v>Productos químicos</v>
      </c>
    </row>
    <row r="97" spans="1:5">
      <c r="A97" s="60" t="s">
        <v>1661</v>
      </c>
      <c r="B97" s="58"/>
      <c r="C97" s="61"/>
      <c r="D97" s="60" t="s">
        <v>926</v>
      </c>
      <c r="E97" s="60" t="str">
        <f t="shared" si="2"/>
        <v>Arena clasificada lavada</v>
      </c>
    </row>
    <row r="98" spans="1:5" ht="12.75">
      <c r="A98" s="60" t="s">
        <v>1805</v>
      </c>
      <c r="B98" s="308"/>
      <c r="C98" s="307"/>
      <c r="D98" s="60" t="s">
        <v>929</v>
      </c>
      <c r="E98" s="60" t="str">
        <f t="shared" si="2"/>
        <v xml:space="preserve">Perfiles de hierro                                                     </v>
      </c>
    </row>
    <row r="99" spans="1:5" ht="12.75">
      <c r="A99" s="60" t="s">
        <v>1806</v>
      </c>
      <c r="B99" s="306"/>
      <c r="C99" s="307"/>
      <c r="D99" s="60" t="s">
        <v>1662</v>
      </c>
      <c r="E99" s="60" t="str">
        <f t="shared" si="2"/>
        <v xml:space="preserve">Maderas aserradas                                                      </v>
      </c>
    </row>
    <row r="100" spans="1:5" ht="12.75">
      <c r="A100" s="60" t="s">
        <v>1807</v>
      </c>
      <c r="B100" s="306"/>
      <c r="C100" s="307"/>
      <c r="D100" s="60" t="s">
        <v>1621</v>
      </c>
      <c r="E100" s="60" t="str">
        <f t="shared" si="2"/>
        <v>Productos químicos</v>
      </c>
    </row>
    <row r="101" spans="1:5" ht="12.75">
      <c r="A101" s="60" t="s">
        <v>1808</v>
      </c>
      <c r="B101" s="306"/>
      <c r="C101" s="307"/>
      <c r="D101" s="60" t="s">
        <v>1621</v>
      </c>
      <c r="E101" s="60" t="str">
        <f t="shared" si="2"/>
        <v>Productos químicos</v>
      </c>
    </row>
    <row r="102" spans="1:5" ht="12.75">
      <c r="A102" s="60" t="s">
        <v>1809</v>
      </c>
      <c r="B102" s="306"/>
      <c r="C102" s="307"/>
      <c r="D102" s="60" t="s">
        <v>1621</v>
      </c>
      <c r="E102" s="60" t="str">
        <f t="shared" si="2"/>
        <v>Productos químicos</v>
      </c>
    </row>
    <row r="103" spans="1:5" ht="12.75">
      <c r="A103" s="60" t="s">
        <v>1810</v>
      </c>
      <c r="B103" s="308"/>
      <c r="C103" s="307"/>
      <c r="D103" s="60" t="s">
        <v>931</v>
      </c>
      <c r="E103" s="60" t="str">
        <f t="shared" si="2"/>
        <v xml:space="preserve">Interruptores eléctricos                                               </v>
      </c>
    </row>
    <row r="104" spans="1:5" ht="12.75">
      <c r="A104" s="60" t="s">
        <v>1811</v>
      </c>
      <c r="B104" s="306"/>
      <c r="C104" s="307"/>
      <c r="D104" s="60" t="s">
        <v>1624</v>
      </c>
      <c r="E104" s="60" t="str">
        <f t="shared" si="2"/>
        <v xml:space="preserve">Cauchos sintéticos                                                     </v>
      </c>
    </row>
    <row r="105" spans="1:5" ht="12.75">
      <c r="A105" s="60" t="s">
        <v>1812</v>
      </c>
      <c r="B105" s="308"/>
      <c r="C105" s="307"/>
      <c r="D105" s="60" t="s">
        <v>929</v>
      </c>
      <c r="E105" s="60" t="str">
        <f t="shared" si="2"/>
        <v xml:space="preserve">Perfiles de hierro                                                     </v>
      </c>
    </row>
    <row r="106" spans="1:5">
      <c r="A106" s="60" t="s">
        <v>1663</v>
      </c>
      <c r="B106" s="58"/>
      <c r="C106" s="61"/>
      <c r="D106" s="60" t="s">
        <v>926</v>
      </c>
      <c r="E106" s="60" t="str">
        <f t="shared" si="2"/>
        <v>Arena clasificada lavada</v>
      </c>
    </row>
    <row r="107" spans="1:5">
      <c r="A107" s="60"/>
      <c r="B107" s="58"/>
      <c r="C107" s="60"/>
      <c r="D107" s="60"/>
      <c r="E107" s="60" t="str">
        <f t="shared" si="2"/>
        <v/>
      </c>
    </row>
    <row r="108" spans="1:5">
      <c r="A108" s="60"/>
      <c r="B108" s="58"/>
      <c r="C108" s="61"/>
      <c r="D108" s="60"/>
      <c r="E108" s="60" t="str">
        <f t="shared" si="2"/>
        <v/>
      </c>
    </row>
    <row r="109" spans="1:5">
      <c r="A109" s="60"/>
      <c r="B109" s="58"/>
      <c r="C109" s="61"/>
      <c r="D109" s="60"/>
      <c r="E109" s="60" t="str">
        <f t="shared" si="2"/>
        <v/>
      </c>
    </row>
    <row r="110" spans="1:5">
      <c r="A110" s="60"/>
      <c r="B110" s="58"/>
      <c r="C110" s="60"/>
      <c r="D110" s="60"/>
      <c r="E110" s="60" t="str">
        <f t="shared" si="2"/>
        <v/>
      </c>
    </row>
    <row r="111" spans="1:5">
      <c r="A111" s="60"/>
      <c r="B111" s="58"/>
      <c r="C111" s="60"/>
      <c r="D111" s="60"/>
      <c r="E111" s="60" t="str">
        <f t="shared" si="2"/>
        <v/>
      </c>
    </row>
    <row r="112" spans="1:5">
      <c r="A112" s="60"/>
      <c r="B112" s="58"/>
      <c r="C112" s="60"/>
      <c r="D112" s="60"/>
      <c r="E112" s="60" t="str">
        <f t="shared" si="2"/>
        <v/>
      </c>
    </row>
    <row r="113" spans="1:5">
      <c r="A113" s="60"/>
      <c r="B113" s="58"/>
      <c r="C113" s="60"/>
      <c r="D113" s="60"/>
      <c r="E113" s="60" t="str">
        <f t="shared" si="2"/>
        <v/>
      </c>
    </row>
    <row r="114" spans="1:5">
      <c r="A114" s="60"/>
      <c r="B114" s="58"/>
      <c r="C114" s="60"/>
      <c r="D114" s="60"/>
      <c r="E114" s="60" t="str">
        <f t="shared" si="2"/>
        <v/>
      </c>
    </row>
    <row r="115" spans="1:5">
      <c r="A115" s="60"/>
      <c r="B115" s="58"/>
      <c r="C115" s="60"/>
      <c r="D115" s="60"/>
      <c r="E115" s="60" t="str">
        <f t="shared" si="2"/>
        <v/>
      </c>
    </row>
    <row r="116" spans="1:5">
      <c r="A116" s="60"/>
      <c r="B116" s="58"/>
      <c r="C116" s="60"/>
      <c r="D116" s="60"/>
      <c r="E116" s="60" t="str">
        <f t="shared" si="2"/>
        <v/>
      </c>
    </row>
    <row r="117" spans="1:5">
      <c r="A117" s="60"/>
      <c r="B117" s="58"/>
      <c r="C117" s="60"/>
      <c r="D117" s="60"/>
      <c r="E117" s="60" t="str">
        <f t="shared" si="2"/>
        <v/>
      </c>
    </row>
    <row r="118" spans="1:5">
      <c r="A118" s="60"/>
      <c r="B118" s="58"/>
      <c r="C118" s="60"/>
      <c r="D118" s="60"/>
      <c r="E118" s="60" t="str">
        <f t="shared" si="2"/>
        <v/>
      </c>
    </row>
    <row r="119" spans="1:5">
      <c r="A119" s="60"/>
      <c r="B119" s="58"/>
      <c r="C119" s="60"/>
      <c r="D119" s="60"/>
      <c r="E119" s="60" t="str">
        <f t="shared" si="2"/>
        <v/>
      </c>
    </row>
    <row r="120" spans="1:5">
      <c r="A120" s="60"/>
      <c r="B120" s="58"/>
      <c r="C120" s="60"/>
      <c r="D120" s="60"/>
      <c r="E120" s="60" t="str">
        <f t="shared" si="2"/>
        <v/>
      </c>
    </row>
    <row r="121" spans="1:5">
      <c r="A121" s="60"/>
      <c r="B121" s="58"/>
      <c r="C121" s="60"/>
      <c r="D121" s="60"/>
      <c r="E121" s="60" t="str">
        <f t="shared" si="2"/>
        <v/>
      </c>
    </row>
    <row r="122" spans="1:5">
      <c r="A122" s="60"/>
      <c r="B122" s="58"/>
      <c r="C122" s="60"/>
      <c r="D122" s="60"/>
      <c r="E122" s="60" t="str">
        <f t="shared" si="2"/>
        <v/>
      </c>
    </row>
    <row r="123" spans="1:5">
      <c r="A123" s="60"/>
      <c r="B123" s="58"/>
      <c r="C123" s="60"/>
      <c r="D123" s="60"/>
      <c r="E123" s="60" t="str">
        <f t="shared" si="2"/>
        <v/>
      </c>
    </row>
    <row r="124" spans="1:5">
      <c r="A124" s="60"/>
      <c r="B124" s="58"/>
      <c r="C124" s="60"/>
      <c r="D124" s="60"/>
      <c r="E124" s="60" t="str">
        <f t="shared" si="2"/>
        <v/>
      </c>
    </row>
    <row r="125" spans="1:5">
      <c r="A125" s="60"/>
      <c r="B125" s="58"/>
      <c r="C125" s="60"/>
      <c r="D125" s="60"/>
      <c r="E125" s="60" t="str">
        <f t="shared" si="2"/>
        <v/>
      </c>
    </row>
    <row r="126" spans="1:5">
      <c r="A126" s="60"/>
      <c r="B126" s="58"/>
      <c r="C126" s="60"/>
      <c r="D126" s="60"/>
      <c r="E126" s="60" t="str">
        <f t="shared" si="2"/>
        <v/>
      </c>
    </row>
    <row r="127" spans="1:5">
      <c r="A127" s="60"/>
      <c r="B127" s="58"/>
      <c r="C127" s="60"/>
      <c r="D127" s="60"/>
      <c r="E127" s="60" t="str">
        <f t="shared" si="2"/>
        <v/>
      </c>
    </row>
    <row r="128" spans="1:5">
      <c r="A128" s="60"/>
      <c r="B128" s="58"/>
      <c r="C128" s="60"/>
      <c r="D128" s="60"/>
      <c r="E128" s="60" t="str">
        <f t="shared" si="2"/>
        <v/>
      </c>
    </row>
    <row r="129" spans="1:5">
      <c r="A129" s="60"/>
      <c r="B129" s="58"/>
      <c r="C129" s="60"/>
      <c r="D129" s="60"/>
      <c r="E129" s="60" t="str">
        <f t="shared" si="2"/>
        <v/>
      </c>
    </row>
    <row r="130" spans="1:5">
      <c r="A130" s="60"/>
      <c r="B130" s="58"/>
      <c r="C130" s="60"/>
      <c r="D130" s="60"/>
      <c r="E130" s="60" t="str">
        <f t="shared" si="2"/>
        <v/>
      </c>
    </row>
    <row r="131" spans="1:5">
      <c r="A131" s="60"/>
      <c r="B131" s="58"/>
      <c r="C131" s="60"/>
      <c r="D131" s="60"/>
      <c r="E131" s="60" t="str">
        <f t="shared" si="2"/>
        <v/>
      </c>
    </row>
    <row r="132" spans="1:5">
      <c r="A132" s="60"/>
      <c r="B132" s="58"/>
      <c r="C132" s="60"/>
      <c r="D132" s="60"/>
      <c r="E132" s="60" t="str">
        <f t="shared" si="2"/>
        <v/>
      </c>
    </row>
    <row r="133" spans="1:5">
      <c r="A133" s="60"/>
      <c r="B133" s="58"/>
      <c r="C133" s="60"/>
      <c r="D133" s="60"/>
      <c r="E133" s="60" t="str">
        <f t="shared" ref="E133:E196" si="3">IFERROR(VLOOKUP(D133,T_Indices,5,FALSE),"")</f>
        <v/>
      </c>
    </row>
    <row r="134" spans="1:5">
      <c r="A134" s="60"/>
      <c r="B134" s="58"/>
      <c r="C134" s="60"/>
      <c r="D134" s="60"/>
      <c r="E134" s="60" t="str">
        <f t="shared" si="3"/>
        <v/>
      </c>
    </row>
    <row r="135" spans="1:5">
      <c r="A135" s="60"/>
      <c r="B135" s="58"/>
      <c r="C135" s="60"/>
      <c r="D135" s="60"/>
      <c r="E135" s="60" t="str">
        <f t="shared" si="3"/>
        <v/>
      </c>
    </row>
    <row r="136" spans="1:5">
      <c r="A136" s="60"/>
      <c r="B136" s="58"/>
      <c r="C136" s="60"/>
      <c r="D136" s="60"/>
      <c r="E136" s="60" t="str">
        <f t="shared" si="3"/>
        <v/>
      </c>
    </row>
    <row r="137" spans="1:5">
      <c r="A137" s="60"/>
      <c r="B137" s="58"/>
      <c r="C137" s="60"/>
      <c r="D137" s="60"/>
      <c r="E137" s="60" t="str">
        <f t="shared" si="3"/>
        <v/>
      </c>
    </row>
    <row r="138" spans="1:5">
      <c r="A138" s="60"/>
      <c r="B138" s="58"/>
      <c r="C138" s="60"/>
      <c r="D138" s="60"/>
      <c r="E138" s="60" t="str">
        <f t="shared" si="3"/>
        <v/>
      </c>
    </row>
    <row r="139" spans="1:5">
      <c r="A139" s="60"/>
      <c r="B139" s="58"/>
      <c r="C139" s="60"/>
      <c r="D139" s="60"/>
      <c r="E139" s="60" t="str">
        <f t="shared" si="3"/>
        <v/>
      </c>
    </row>
    <row r="140" spans="1:5">
      <c r="A140" s="60"/>
      <c r="B140" s="58"/>
      <c r="C140" s="60"/>
      <c r="D140" s="60"/>
      <c r="E140" s="60" t="str">
        <f t="shared" si="3"/>
        <v/>
      </c>
    </row>
    <row r="141" spans="1:5">
      <c r="A141" s="60"/>
      <c r="B141" s="58"/>
      <c r="C141" s="60"/>
      <c r="D141" s="60"/>
      <c r="E141" s="60" t="str">
        <f t="shared" si="3"/>
        <v/>
      </c>
    </row>
    <row r="142" spans="1:5">
      <c r="A142" s="60"/>
      <c r="B142" s="58"/>
      <c r="C142" s="60"/>
      <c r="D142" s="60"/>
      <c r="E142" s="60" t="str">
        <f t="shared" si="3"/>
        <v/>
      </c>
    </row>
    <row r="143" spans="1:5">
      <c r="A143" s="60"/>
      <c r="B143" s="58"/>
      <c r="C143" s="60"/>
      <c r="D143" s="60"/>
      <c r="E143" s="60" t="str">
        <f t="shared" si="3"/>
        <v/>
      </c>
    </row>
    <row r="144" spans="1:5">
      <c r="A144" s="60"/>
      <c r="B144" s="58"/>
      <c r="C144" s="60"/>
      <c r="D144" s="60"/>
      <c r="E144" s="60" t="str">
        <f t="shared" si="3"/>
        <v/>
      </c>
    </row>
    <row r="145" spans="1:5">
      <c r="A145" s="60"/>
      <c r="B145" s="58"/>
      <c r="C145" s="60"/>
      <c r="D145" s="60"/>
      <c r="E145" s="60" t="str">
        <f t="shared" si="3"/>
        <v/>
      </c>
    </row>
    <row r="146" spans="1:5">
      <c r="A146" s="60"/>
      <c r="B146" s="58"/>
      <c r="C146" s="60"/>
      <c r="D146" s="60"/>
      <c r="E146" s="60" t="str">
        <f t="shared" si="3"/>
        <v/>
      </c>
    </row>
    <row r="147" spans="1:5">
      <c r="A147" s="60"/>
      <c r="B147" s="58"/>
      <c r="C147" s="60"/>
      <c r="D147" s="60"/>
      <c r="E147" s="60" t="str">
        <f t="shared" si="3"/>
        <v/>
      </c>
    </row>
    <row r="148" spans="1:5">
      <c r="A148" s="60"/>
      <c r="B148" s="58"/>
      <c r="C148" s="60"/>
      <c r="D148" s="60"/>
      <c r="E148" s="60" t="str">
        <f t="shared" si="3"/>
        <v/>
      </c>
    </row>
    <row r="149" spans="1:5">
      <c r="A149" s="60"/>
      <c r="B149" s="58"/>
      <c r="C149" s="60"/>
      <c r="D149" s="60"/>
      <c r="E149" s="60" t="str">
        <f t="shared" si="3"/>
        <v/>
      </c>
    </row>
    <row r="150" spans="1:5">
      <c r="A150" s="60"/>
      <c r="B150" s="58"/>
      <c r="C150" s="60"/>
      <c r="D150" s="60"/>
      <c r="E150" s="60" t="str">
        <f t="shared" si="3"/>
        <v/>
      </c>
    </row>
    <row r="151" spans="1:5">
      <c r="A151" s="60"/>
      <c r="B151" s="58"/>
      <c r="C151" s="60"/>
      <c r="D151" s="60"/>
      <c r="E151" s="60" t="str">
        <f t="shared" si="3"/>
        <v/>
      </c>
    </row>
    <row r="152" spans="1:5">
      <c r="A152" s="60"/>
      <c r="B152" s="58"/>
      <c r="C152" s="60"/>
      <c r="D152" s="60"/>
      <c r="E152" s="60" t="str">
        <f t="shared" si="3"/>
        <v/>
      </c>
    </row>
    <row r="153" spans="1:5">
      <c r="A153" s="60"/>
      <c r="B153" s="58"/>
      <c r="C153" s="60"/>
      <c r="D153" s="60"/>
      <c r="E153" s="60" t="str">
        <f t="shared" si="3"/>
        <v/>
      </c>
    </row>
    <row r="154" spans="1:5">
      <c r="A154" s="60"/>
      <c r="B154" s="58"/>
      <c r="C154" s="60"/>
      <c r="D154" s="60"/>
      <c r="E154" s="60" t="str">
        <f t="shared" si="3"/>
        <v/>
      </c>
    </row>
    <row r="155" spans="1:5">
      <c r="A155" s="60"/>
      <c r="B155" s="58"/>
      <c r="C155" s="60"/>
      <c r="D155" s="60"/>
      <c r="E155" s="60" t="str">
        <f t="shared" si="3"/>
        <v/>
      </c>
    </row>
    <row r="156" spans="1:5">
      <c r="A156" s="60"/>
      <c r="B156" s="58"/>
      <c r="C156" s="60"/>
      <c r="D156" s="60"/>
      <c r="E156" s="60" t="str">
        <f t="shared" si="3"/>
        <v/>
      </c>
    </row>
    <row r="157" spans="1:5">
      <c r="A157" s="60"/>
      <c r="B157" s="58"/>
      <c r="C157" s="60"/>
      <c r="D157" s="60"/>
      <c r="E157" s="60" t="str">
        <f t="shared" si="3"/>
        <v/>
      </c>
    </row>
    <row r="158" spans="1:5">
      <c r="A158" s="60"/>
      <c r="B158" s="58"/>
      <c r="C158" s="60"/>
      <c r="D158" s="60"/>
      <c r="E158" s="60" t="str">
        <f t="shared" si="3"/>
        <v/>
      </c>
    </row>
    <row r="159" spans="1:5">
      <c r="A159" s="60"/>
      <c r="B159" s="58"/>
      <c r="C159" s="60"/>
      <c r="D159" s="60"/>
      <c r="E159" s="60" t="str">
        <f t="shared" si="3"/>
        <v/>
      </c>
    </row>
    <row r="160" spans="1:5">
      <c r="A160" s="60"/>
      <c r="B160" s="58"/>
      <c r="C160" s="60"/>
      <c r="D160" s="60"/>
      <c r="E160" s="60" t="str">
        <f t="shared" si="3"/>
        <v/>
      </c>
    </row>
    <row r="161" spans="1:5">
      <c r="A161" s="60"/>
      <c r="B161" s="58"/>
      <c r="C161" s="60"/>
      <c r="D161" s="60"/>
      <c r="E161" s="60" t="str">
        <f t="shared" si="3"/>
        <v/>
      </c>
    </row>
    <row r="162" spans="1:5">
      <c r="A162" s="60"/>
      <c r="B162" s="58"/>
      <c r="C162" s="60"/>
      <c r="D162" s="60"/>
      <c r="E162" s="60" t="str">
        <f t="shared" si="3"/>
        <v/>
      </c>
    </row>
    <row r="163" spans="1:5">
      <c r="A163" s="60"/>
      <c r="B163" s="58"/>
      <c r="C163" s="60"/>
      <c r="D163" s="60"/>
      <c r="E163" s="60" t="str">
        <f t="shared" si="3"/>
        <v/>
      </c>
    </row>
    <row r="164" spans="1:5">
      <c r="A164" s="60"/>
      <c r="B164" s="58"/>
      <c r="C164" s="60"/>
      <c r="D164" s="60"/>
      <c r="E164" s="60" t="str">
        <f t="shared" si="3"/>
        <v/>
      </c>
    </row>
    <row r="165" spans="1:5">
      <c r="A165" s="60"/>
      <c r="B165" s="58"/>
      <c r="C165" s="60"/>
      <c r="D165" s="60"/>
      <c r="E165" s="60" t="str">
        <f t="shared" si="3"/>
        <v/>
      </c>
    </row>
    <row r="166" spans="1:5">
      <c r="A166" s="60"/>
      <c r="B166" s="58"/>
      <c r="C166" s="60"/>
      <c r="D166" s="60"/>
      <c r="E166" s="60" t="str">
        <f t="shared" si="3"/>
        <v/>
      </c>
    </row>
    <row r="167" spans="1:5">
      <c r="A167" s="60"/>
      <c r="B167" s="58"/>
      <c r="C167" s="60"/>
      <c r="D167" s="60"/>
      <c r="E167" s="60" t="str">
        <f t="shared" si="3"/>
        <v/>
      </c>
    </row>
    <row r="168" spans="1:5">
      <c r="A168" s="60"/>
      <c r="B168" s="58"/>
      <c r="C168" s="60"/>
      <c r="D168" s="60"/>
      <c r="E168" s="60" t="str">
        <f t="shared" si="3"/>
        <v/>
      </c>
    </row>
    <row r="169" spans="1:5">
      <c r="A169" s="60"/>
      <c r="B169" s="58"/>
      <c r="C169" s="60"/>
      <c r="D169" s="60"/>
      <c r="E169" s="60" t="str">
        <f t="shared" si="3"/>
        <v/>
      </c>
    </row>
    <row r="170" spans="1:5">
      <c r="A170" s="60"/>
      <c r="B170" s="58"/>
      <c r="C170" s="60"/>
      <c r="D170" s="60"/>
      <c r="E170" s="60" t="str">
        <f t="shared" si="3"/>
        <v/>
      </c>
    </row>
    <row r="171" spans="1:5">
      <c r="A171" s="60"/>
      <c r="B171" s="58"/>
      <c r="C171" s="60"/>
      <c r="D171" s="60"/>
      <c r="E171" s="60" t="str">
        <f t="shared" si="3"/>
        <v/>
      </c>
    </row>
    <row r="172" spans="1:5">
      <c r="A172" s="60"/>
      <c r="B172" s="58"/>
      <c r="C172" s="60"/>
      <c r="D172" s="60"/>
      <c r="E172" s="60" t="str">
        <f t="shared" si="3"/>
        <v/>
      </c>
    </row>
    <row r="173" spans="1:5">
      <c r="A173" s="60"/>
      <c r="B173" s="58"/>
      <c r="C173" s="60"/>
      <c r="D173" s="60"/>
      <c r="E173" s="60" t="str">
        <f t="shared" si="3"/>
        <v/>
      </c>
    </row>
    <row r="174" spans="1:5">
      <c r="A174" s="60"/>
      <c r="B174" s="58"/>
      <c r="C174" s="60"/>
      <c r="D174" s="60"/>
      <c r="E174" s="60" t="str">
        <f t="shared" si="3"/>
        <v/>
      </c>
    </row>
    <row r="175" spans="1:5">
      <c r="A175" s="60"/>
      <c r="B175" s="58"/>
      <c r="C175" s="60"/>
      <c r="D175" s="60"/>
      <c r="E175" s="60" t="str">
        <f t="shared" si="3"/>
        <v/>
      </c>
    </row>
    <row r="176" spans="1:5">
      <c r="A176" s="60"/>
      <c r="B176" s="58"/>
      <c r="C176" s="60"/>
      <c r="D176" s="60"/>
      <c r="E176" s="60" t="str">
        <f t="shared" si="3"/>
        <v/>
      </c>
    </row>
    <row r="177" spans="1:5">
      <c r="A177" s="60"/>
      <c r="B177" s="58"/>
      <c r="C177" s="60"/>
      <c r="D177" s="60"/>
      <c r="E177" s="60" t="str">
        <f t="shared" si="3"/>
        <v/>
      </c>
    </row>
    <row r="178" spans="1:5">
      <c r="A178" s="60"/>
      <c r="B178" s="58"/>
      <c r="C178" s="60"/>
      <c r="D178" s="60"/>
      <c r="E178" s="60" t="str">
        <f t="shared" si="3"/>
        <v/>
      </c>
    </row>
    <row r="179" spans="1:5">
      <c r="A179" s="60"/>
      <c r="B179" s="58"/>
      <c r="C179" s="60"/>
      <c r="D179" s="60"/>
      <c r="E179" s="60" t="str">
        <f t="shared" si="3"/>
        <v/>
      </c>
    </row>
    <row r="180" spans="1:5">
      <c r="A180" s="60"/>
      <c r="B180" s="58"/>
      <c r="C180" s="60"/>
      <c r="D180" s="60"/>
      <c r="E180" s="60" t="str">
        <f t="shared" si="3"/>
        <v/>
      </c>
    </row>
    <row r="181" spans="1:5">
      <c r="A181" s="60"/>
      <c r="B181" s="58"/>
      <c r="C181" s="60"/>
      <c r="D181" s="60"/>
      <c r="E181" s="60" t="str">
        <f t="shared" si="3"/>
        <v/>
      </c>
    </row>
    <row r="182" spans="1:5">
      <c r="A182" s="60"/>
      <c r="B182" s="58"/>
      <c r="C182" s="60"/>
      <c r="D182" s="60"/>
      <c r="E182" s="60" t="str">
        <f t="shared" si="3"/>
        <v/>
      </c>
    </row>
    <row r="183" spans="1:5">
      <c r="A183" s="60"/>
      <c r="B183" s="58"/>
      <c r="C183" s="60"/>
      <c r="D183" s="60"/>
      <c r="E183" s="60" t="str">
        <f t="shared" si="3"/>
        <v/>
      </c>
    </row>
    <row r="184" spans="1:5">
      <c r="A184" s="60"/>
      <c r="B184" s="58"/>
      <c r="C184" s="60"/>
      <c r="D184" s="60"/>
      <c r="E184" s="60" t="str">
        <f t="shared" si="3"/>
        <v/>
      </c>
    </row>
    <row r="185" spans="1:5">
      <c r="A185" s="60"/>
      <c r="B185" s="58"/>
      <c r="C185" s="60"/>
      <c r="D185" s="60"/>
      <c r="E185" s="60" t="str">
        <f t="shared" si="3"/>
        <v/>
      </c>
    </row>
    <row r="186" spans="1:5">
      <c r="A186" s="60"/>
      <c r="B186" s="58"/>
      <c r="C186" s="60"/>
      <c r="D186" s="60"/>
      <c r="E186" s="60" t="str">
        <f t="shared" si="3"/>
        <v/>
      </c>
    </row>
    <row r="187" spans="1:5">
      <c r="A187" s="60"/>
      <c r="B187" s="58"/>
      <c r="C187" s="60"/>
      <c r="D187" s="60"/>
      <c r="E187" s="60" t="str">
        <f t="shared" si="3"/>
        <v/>
      </c>
    </row>
    <row r="188" spans="1:5">
      <c r="A188" s="60"/>
      <c r="B188" s="58"/>
      <c r="C188" s="60"/>
      <c r="D188" s="60"/>
      <c r="E188" s="60" t="str">
        <f t="shared" si="3"/>
        <v/>
      </c>
    </row>
    <row r="189" spans="1:5">
      <c r="A189" s="60"/>
      <c r="B189" s="58"/>
      <c r="C189" s="60"/>
      <c r="D189" s="60"/>
      <c r="E189" s="60" t="str">
        <f t="shared" si="3"/>
        <v/>
      </c>
    </row>
    <row r="190" spans="1:5">
      <c r="A190" s="60"/>
      <c r="B190" s="58"/>
      <c r="C190" s="60"/>
      <c r="D190" s="60"/>
      <c r="E190" s="60" t="str">
        <f t="shared" si="3"/>
        <v/>
      </c>
    </row>
    <row r="191" spans="1:5">
      <c r="A191" s="60"/>
      <c r="B191" s="58"/>
      <c r="C191" s="60"/>
      <c r="D191" s="60"/>
      <c r="E191" s="60" t="str">
        <f t="shared" si="3"/>
        <v/>
      </c>
    </row>
    <row r="192" spans="1:5">
      <c r="A192" s="60"/>
      <c r="B192" s="58"/>
      <c r="C192" s="60"/>
      <c r="D192" s="60"/>
      <c r="E192" s="60" t="str">
        <f t="shared" si="3"/>
        <v/>
      </c>
    </row>
    <row r="193" spans="1:5">
      <c r="A193" s="60"/>
      <c r="B193" s="58"/>
      <c r="C193" s="60"/>
      <c r="D193" s="60"/>
      <c r="E193" s="60" t="str">
        <f t="shared" si="3"/>
        <v/>
      </c>
    </row>
    <row r="194" spans="1:5">
      <c r="A194" s="60"/>
      <c r="B194" s="58"/>
      <c r="C194" s="60"/>
      <c r="D194" s="60"/>
      <c r="E194" s="60" t="str">
        <f t="shared" si="3"/>
        <v/>
      </c>
    </row>
    <row r="195" spans="1:5">
      <c r="A195" s="60"/>
      <c r="B195" s="58"/>
      <c r="C195" s="60"/>
      <c r="D195" s="60"/>
      <c r="E195" s="60" t="str">
        <f t="shared" si="3"/>
        <v/>
      </c>
    </row>
    <row r="196" spans="1:5">
      <c r="A196" s="60"/>
      <c r="B196" s="58"/>
      <c r="C196" s="60"/>
      <c r="D196" s="60"/>
      <c r="E196" s="60" t="str">
        <f t="shared" si="3"/>
        <v/>
      </c>
    </row>
    <row r="197" spans="1:5">
      <c r="A197" s="60"/>
      <c r="B197" s="58"/>
      <c r="C197" s="60"/>
      <c r="D197" s="60"/>
      <c r="E197" s="60" t="str">
        <f t="shared" ref="E197:E260" si="4">IFERROR(VLOOKUP(D197,T_Indices,5,FALSE),"")</f>
        <v/>
      </c>
    </row>
    <row r="198" spans="1:5">
      <c r="A198" s="60"/>
      <c r="B198" s="58"/>
      <c r="C198" s="60"/>
      <c r="D198" s="60"/>
      <c r="E198" s="60" t="str">
        <f t="shared" si="4"/>
        <v/>
      </c>
    </row>
    <row r="199" spans="1:5">
      <c r="A199" s="60"/>
      <c r="B199" s="58"/>
      <c r="C199" s="60"/>
      <c r="D199" s="60"/>
      <c r="E199" s="60" t="str">
        <f t="shared" si="4"/>
        <v/>
      </c>
    </row>
    <row r="200" spans="1:5">
      <c r="A200" s="60"/>
      <c r="B200" s="58"/>
      <c r="C200" s="60"/>
      <c r="D200" s="60"/>
      <c r="E200" s="60" t="str">
        <f t="shared" si="4"/>
        <v/>
      </c>
    </row>
    <row r="201" spans="1:5">
      <c r="A201" s="60"/>
      <c r="B201" s="58"/>
      <c r="C201" s="60"/>
      <c r="D201" s="60"/>
      <c r="E201" s="60" t="str">
        <f t="shared" si="4"/>
        <v/>
      </c>
    </row>
    <row r="202" spans="1:5">
      <c r="A202" s="60"/>
      <c r="B202" s="58"/>
      <c r="C202" s="60"/>
      <c r="D202" s="60"/>
      <c r="E202" s="60" t="str">
        <f t="shared" si="4"/>
        <v/>
      </c>
    </row>
    <row r="203" spans="1:5">
      <c r="A203" s="60"/>
      <c r="B203" s="58"/>
      <c r="C203" s="60"/>
      <c r="D203" s="60"/>
      <c r="E203" s="60" t="str">
        <f t="shared" si="4"/>
        <v/>
      </c>
    </row>
    <row r="204" spans="1:5">
      <c r="A204" s="60"/>
      <c r="B204" s="58"/>
      <c r="C204" s="60"/>
      <c r="D204" s="60"/>
      <c r="E204" s="60" t="str">
        <f t="shared" si="4"/>
        <v/>
      </c>
    </row>
    <row r="205" spans="1:5">
      <c r="A205" s="60"/>
      <c r="B205" s="58"/>
      <c r="C205" s="60"/>
      <c r="D205" s="60"/>
      <c r="E205" s="60" t="str">
        <f t="shared" si="4"/>
        <v/>
      </c>
    </row>
    <row r="206" spans="1:5">
      <c r="A206" s="60"/>
      <c r="B206" s="58"/>
      <c r="C206" s="60"/>
      <c r="D206" s="60"/>
      <c r="E206" s="60" t="str">
        <f t="shared" si="4"/>
        <v/>
      </c>
    </row>
    <row r="207" spans="1:5">
      <c r="A207" s="60"/>
      <c r="B207" s="58"/>
      <c r="C207" s="60"/>
      <c r="D207" s="60"/>
      <c r="E207" s="60" t="str">
        <f t="shared" si="4"/>
        <v/>
      </c>
    </row>
    <row r="208" spans="1:5">
      <c r="A208" s="60"/>
      <c r="B208" s="58"/>
      <c r="C208" s="60"/>
      <c r="D208" s="60"/>
      <c r="E208" s="60" t="str">
        <f t="shared" si="4"/>
        <v/>
      </c>
    </row>
    <row r="209" spans="1:5">
      <c r="A209" s="60"/>
      <c r="B209" s="58"/>
      <c r="C209" s="60"/>
      <c r="D209" s="60"/>
      <c r="E209" s="60" t="str">
        <f t="shared" si="4"/>
        <v/>
      </c>
    </row>
    <row r="210" spans="1:5">
      <c r="A210" s="60"/>
      <c r="B210" s="58"/>
      <c r="C210" s="60"/>
      <c r="D210" s="60"/>
      <c r="E210" s="60" t="str">
        <f t="shared" si="4"/>
        <v/>
      </c>
    </row>
    <row r="211" spans="1:5">
      <c r="A211" s="60"/>
      <c r="B211" s="58"/>
      <c r="C211" s="60"/>
      <c r="D211" s="60"/>
      <c r="E211" s="60" t="str">
        <f t="shared" si="4"/>
        <v/>
      </c>
    </row>
    <row r="212" spans="1:5">
      <c r="A212" s="60"/>
      <c r="B212" s="58"/>
      <c r="C212" s="60"/>
      <c r="D212" s="60"/>
      <c r="E212" s="60" t="str">
        <f t="shared" si="4"/>
        <v/>
      </c>
    </row>
    <row r="213" spans="1:5">
      <c r="A213" s="60"/>
      <c r="B213" s="58"/>
      <c r="C213" s="60"/>
      <c r="D213" s="60"/>
      <c r="E213" s="60" t="str">
        <f t="shared" si="4"/>
        <v/>
      </c>
    </row>
    <row r="214" spans="1:5">
      <c r="A214" s="60"/>
      <c r="B214" s="58"/>
      <c r="C214" s="60"/>
      <c r="D214" s="60"/>
      <c r="E214" s="60" t="str">
        <f t="shared" si="4"/>
        <v/>
      </c>
    </row>
    <row r="215" spans="1:5">
      <c r="A215" s="60"/>
      <c r="B215" s="58"/>
      <c r="C215" s="60"/>
      <c r="D215" s="60"/>
      <c r="E215" s="60" t="str">
        <f t="shared" si="4"/>
        <v/>
      </c>
    </row>
    <row r="216" spans="1:5">
      <c r="A216" s="60"/>
      <c r="B216" s="58"/>
      <c r="C216" s="60"/>
      <c r="D216" s="60"/>
      <c r="E216" s="60" t="str">
        <f t="shared" si="4"/>
        <v/>
      </c>
    </row>
    <row r="217" spans="1:5">
      <c r="A217" s="60"/>
      <c r="B217" s="58"/>
      <c r="C217" s="60"/>
      <c r="D217" s="60"/>
      <c r="E217" s="60" t="str">
        <f t="shared" si="4"/>
        <v/>
      </c>
    </row>
    <row r="218" spans="1:5">
      <c r="A218" s="60"/>
      <c r="B218" s="58"/>
      <c r="C218" s="60"/>
      <c r="D218" s="60"/>
      <c r="E218" s="60" t="str">
        <f t="shared" si="4"/>
        <v/>
      </c>
    </row>
    <row r="219" spans="1:5">
      <c r="A219" s="60"/>
      <c r="B219" s="58"/>
      <c r="C219" s="60"/>
      <c r="D219" s="60"/>
      <c r="E219" s="60" t="str">
        <f t="shared" si="4"/>
        <v/>
      </c>
    </row>
    <row r="220" spans="1:5">
      <c r="A220" s="60"/>
      <c r="B220" s="58"/>
      <c r="C220" s="60"/>
      <c r="D220" s="60"/>
      <c r="E220" s="60" t="str">
        <f t="shared" si="4"/>
        <v/>
      </c>
    </row>
    <row r="221" spans="1:5">
      <c r="A221" s="60"/>
      <c r="B221" s="58"/>
      <c r="C221" s="60"/>
      <c r="D221" s="60"/>
      <c r="E221" s="60" t="str">
        <f t="shared" si="4"/>
        <v/>
      </c>
    </row>
    <row r="222" spans="1:5">
      <c r="A222" s="60"/>
      <c r="B222" s="58"/>
      <c r="C222" s="60"/>
      <c r="D222" s="60"/>
      <c r="E222" s="60" t="str">
        <f t="shared" si="4"/>
        <v/>
      </c>
    </row>
    <row r="223" spans="1:5">
      <c r="A223" s="60"/>
      <c r="B223" s="58"/>
      <c r="C223" s="60"/>
      <c r="D223" s="60"/>
      <c r="E223" s="60" t="str">
        <f t="shared" si="4"/>
        <v/>
      </c>
    </row>
    <row r="224" spans="1:5">
      <c r="A224" s="60"/>
      <c r="B224" s="58"/>
      <c r="C224" s="60"/>
      <c r="D224" s="60"/>
      <c r="E224" s="60" t="str">
        <f t="shared" si="4"/>
        <v/>
      </c>
    </row>
    <row r="225" spans="1:5">
      <c r="A225" s="60"/>
      <c r="B225" s="58"/>
      <c r="C225" s="60"/>
      <c r="D225" s="60"/>
      <c r="E225" s="60" t="str">
        <f t="shared" si="4"/>
        <v/>
      </c>
    </row>
    <row r="226" spans="1:5">
      <c r="A226" s="60"/>
      <c r="B226" s="58"/>
      <c r="C226" s="60"/>
      <c r="D226" s="60"/>
      <c r="E226" s="60" t="str">
        <f t="shared" si="4"/>
        <v/>
      </c>
    </row>
    <row r="227" spans="1:5">
      <c r="A227" s="60"/>
      <c r="B227" s="58"/>
      <c r="C227" s="60"/>
      <c r="D227" s="60"/>
      <c r="E227" s="60" t="str">
        <f t="shared" si="4"/>
        <v/>
      </c>
    </row>
    <row r="228" spans="1:5">
      <c r="A228" s="60"/>
      <c r="B228" s="58"/>
      <c r="C228" s="60"/>
      <c r="D228" s="60"/>
      <c r="E228" s="60" t="str">
        <f t="shared" si="4"/>
        <v/>
      </c>
    </row>
    <row r="229" spans="1:5">
      <c r="A229" s="60"/>
      <c r="B229" s="58"/>
      <c r="C229" s="60"/>
      <c r="D229" s="60"/>
      <c r="E229" s="60" t="str">
        <f t="shared" si="4"/>
        <v/>
      </c>
    </row>
    <row r="230" spans="1:5">
      <c r="A230" s="60"/>
      <c r="B230" s="58"/>
      <c r="C230" s="60"/>
      <c r="D230" s="60"/>
      <c r="E230" s="60" t="str">
        <f t="shared" si="4"/>
        <v/>
      </c>
    </row>
    <row r="231" spans="1:5">
      <c r="A231" s="60"/>
      <c r="B231" s="58"/>
      <c r="C231" s="60"/>
      <c r="D231" s="60"/>
      <c r="E231" s="60" t="str">
        <f t="shared" si="4"/>
        <v/>
      </c>
    </row>
    <row r="232" spans="1:5">
      <c r="A232" s="60"/>
      <c r="B232" s="58"/>
      <c r="C232" s="60"/>
      <c r="D232" s="60"/>
      <c r="E232" s="60" t="str">
        <f t="shared" si="4"/>
        <v/>
      </c>
    </row>
    <row r="233" spans="1:5">
      <c r="A233" s="60"/>
      <c r="B233" s="58"/>
      <c r="C233" s="60"/>
      <c r="D233" s="60"/>
      <c r="E233" s="60" t="str">
        <f t="shared" si="4"/>
        <v/>
      </c>
    </row>
    <row r="234" spans="1:5">
      <c r="A234" s="60"/>
      <c r="B234" s="58"/>
      <c r="C234" s="60"/>
      <c r="D234" s="60"/>
      <c r="E234" s="60" t="str">
        <f t="shared" si="4"/>
        <v/>
      </c>
    </row>
    <row r="235" spans="1:5">
      <c r="A235" s="60"/>
      <c r="B235" s="58"/>
      <c r="C235" s="60"/>
      <c r="D235" s="60"/>
      <c r="E235" s="60" t="str">
        <f t="shared" si="4"/>
        <v/>
      </c>
    </row>
    <row r="236" spans="1:5">
      <c r="A236" s="60"/>
      <c r="B236" s="58"/>
      <c r="C236" s="60"/>
      <c r="D236" s="60"/>
      <c r="E236" s="60" t="str">
        <f t="shared" si="4"/>
        <v/>
      </c>
    </row>
    <row r="237" spans="1:5">
      <c r="A237" s="60"/>
      <c r="B237" s="58"/>
      <c r="C237" s="60"/>
      <c r="D237" s="60"/>
      <c r="E237" s="60" t="str">
        <f t="shared" si="4"/>
        <v/>
      </c>
    </row>
    <row r="238" spans="1:5">
      <c r="A238" s="60"/>
      <c r="B238" s="58"/>
      <c r="C238" s="60"/>
      <c r="D238" s="60"/>
      <c r="E238" s="60" t="str">
        <f t="shared" si="4"/>
        <v/>
      </c>
    </row>
    <row r="239" spans="1:5">
      <c r="A239" s="60"/>
      <c r="B239" s="58"/>
      <c r="C239" s="60"/>
      <c r="D239" s="60"/>
      <c r="E239" s="60" t="str">
        <f t="shared" si="4"/>
        <v/>
      </c>
    </row>
    <row r="240" spans="1:5">
      <c r="A240" s="60"/>
      <c r="B240" s="58"/>
      <c r="C240" s="60"/>
      <c r="D240" s="60"/>
      <c r="E240" s="60" t="str">
        <f t="shared" si="4"/>
        <v/>
      </c>
    </row>
    <row r="241" spans="1:5">
      <c r="A241" s="60"/>
      <c r="B241" s="58"/>
      <c r="C241" s="60"/>
      <c r="D241" s="60"/>
      <c r="E241" s="60" t="str">
        <f t="shared" si="4"/>
        <v/>
      </c>
    </row>
    <row r="242" spans="1:5">
      <c r="A242" s="60"/>
      <c r="B242" s="58"/>
      <c r="C242" s="60"/>
      <c r="D242" s="60"/>
      <c r="E242" s="60" t="str">
        <f t="shared" si="4"/>
        <v/>
      </c>
    </row>
    <row r="243" spans="1:5">
      <c r="A243" s="60"/>
      <c r="B243" s="58"/>
      <c r="C243" s="60"/>
      <c r="D243" s="60"/>
      <c r="E243" s="60" t="str">
        <f t="shared" si="4"/>
        <v/>
      </c>
    </row>
    <row r="244" spans="1:5">
      <c r="A244" s="60"/>
      <c r="B244" s="58"/>
      <c r="C244" s="60"/>
      <c r="D244" s="60"/>
      <c r="E244" s="60" t="str">
        <f t="shared" si="4"/>
        <v/>
      </c>
    </row>
    <row r="245" spans="1:5">
      <c r="A245" s="60"/>
      <c r="B245" s="58"/>
      <c r="C245" s="60"/>
      <c r="D245" s="60"/>
      <c r="E245" s="60" t="str">
        <f t="shared" si="4"/>
        <v/>
      </c>
    </row>
    <row r="246" spans="1:5">
      <c r="A246" s="60"/>
      <c r="B246" s="58"/>
      <c r="C246" s="60"/>
      <c r="D246" s="60"/>
      <c r="E246" s="60" t="str">
        <f t="shared" si="4"/>
        <v/>
      </c>
    </row>
    <row r="247" spans="1:5">
      <c r="A247" s="60"/>
      <c r="B247" s="58"/>
      <c r="C247" s="60"/>
      <c r="D247" s="60"/>
      <c r="E247" s="60" t="str">
        <f t="shared" si="4"/>
        <v/>
      </c>
    </row>
    <row r="248" spans="1:5">
      <c r="A248" s="60"/>
      <c r="B248" s="58"/>
      <c r="C248" s="60"/>
      <c r="D248" s="60"/>
      <c r="E248" s="60" t="str">
        <f t="shared" si="4"/>
        <v/>
      </c>
    </row>
    <row r="249" spans="1:5">
      <c r="A249" s="60"/>
      <c r="B249" s="58"/>
      <c r="C249" s="60"/>
      <c r="D249" s="60"/>
      <c r="E249" s="60" t="str">
        <f t="shared" si="4"/>
        <v/>
      </c>
    </row>
    <row r="250" spans="1:5">
      <c r="A250" s="60"/>
      <c r="B250" s="58"/>
      <c r="C250" s="60"/>
      <c r="D250" s="60"/>
      <c r="E250" s="60" t="str">
        <f t="shared" si="4"/>
        <v/>
      </c>
    </row>
    <row r="251" spans="1:5">
      <c r="A251" s="60"/>
      <c r="B251" s="58"/>
      <c r="C251" s="60"/>
      <c r="D251" s="60"/>
      <c r="E251" s="60" t="str">
        <f t="shared" si="4"/>
        <v/>
      </c>
    </row>
    <row r="252" spans="1:5">
      <c r="A252" s="60"/>
      <c r="B252" s="58"/>
      <c r="C252" s="60"/>
      <c r="D252" s="60"/>
      <c r="E252" s="60" t="str">
        <f t="shared" si="4"/>
        <v/>
      </c>
    </row>
    <row r="253" spans="1:5">
      <c r="A253" s="60"/>
      <c r="B253" s="58"/>
      <c r="C253" s="60"/>
      <c r="D253" s="60"/>
      <c r="E253" s="60" t="str">
        <f t="shared" si="4"/>
        <v/>
      </c>
    </row>
    <row r="254" spans="1:5">
      <c r="A254" s="60"/>
      <c r="B254" s="58"/>
      <c r="C254" s="60"/>
      <c r="D254" s="60"/>
      <c r="E254" s="60" t="str">
        <f t="shared" si="4"/>
        <v/>
      </c>
    </row>
    <row r="255" spans="1:5">
      <c r="A255" s="60"/>
      <c r="B255" s="58"/>
      <c r="C255" s="60"/>
      <c r="D255" s="60"/>
      <c r="E255" s="60" t="str">
        <f t="shared" si="4"/>
        <v/>
      </c>
    </row>
    <row r="256" spans="1:5">
      <c r="A256" s="60"/>
      <c r="B256" s="58"/>
      <c r="C256" s="60"/>
      <c r="D256" s="60"/>
      <c r="E256" s="60" t="str">
        <f t="shared" si="4"/>
        <v/>
      </c>
    </row>
    <row r="257" spans="1:5">
      <c r="A257" s="60"/>
      <c r="B257" s="58"/>
      <c r="C257" s="60"/>
      <c r="D257" s="60"/>
      <c r="E257" s="60" t="str">
        <f t="shared" si="4"/>
        <v/>
      </c>
    </row>
    <row r="258" spans="1:5">
      <c r="A258" s="60"/>
      <c r="B258" s="58"/>
      <c r="C258" s="60"/>
      <c r="D258" s="60"/>
      <c r="E258" s="60" t="str">
        <f t="shared" si="4"/>
        <v/>
      </c>
    </row>
    <row r="259" spans="1:5">
      <c r="A259" s="60"/>
      <c r="B259" s="58"/>
      <c r="C259" s="60"/>
      <c r="D259" s="60"/>
      <c r="E259" s="60" t="str">
        <f t="shared" si="4"/>
        <v/>
      </c>
    </row>
    <row r="260" spans="1:5">
      <c r="A260" s="60"/>
      <c r="B260" s="58"/>
      <c r="C260" s="60"/>
      <c r="D260" s="60"/>
      <c r="E260" s="60" t="str">
        <f t="shared" si="4"/>
        <v/>
      </c>
    </row>
    <row r="261" spans="1:5">
      <c r="A261" s="60"/>
      <c r="B261" s="58"/>
      <c r="C261" s="60"/>
      <c r="D261" s="60"/>
      <c r="E261" s="60" t="str">
        <f t="shared" ref="E261:E324" si="5">IFERROR(VLOOKUP(D261,T_Indices,5,FALSE),"")</f>
        <v/>
      </c>
    </row>
    <row r="262" spans="1:5">
      <c r="A262" s="60"/>
      <c r="B262" s="58"/>
      <c r="C262" s="60"/>
      <c r="D262" s="60"/>
      <c r="E262" s="60" t="str">
        <f t="shared" si="5"/>
        <v/>
      </c>
    </row>
    <row r="263" spans="1:5">
      <c r="A263" s="60"/>
      <c r="B263" s="58"/>
      <c r="C263" s="60"/>
      <c r="D263" s="60"/>
      <c r="E263" s="60" t="str">
        <f t="shared" si="5"/>
        <v/>
      </c>
    </row>
    <row r="264" spans="1:5">
      <c r="A264" s="60"/>
      <c r="B264" s="58"/>
      <c r="C264" s="60"/>
      <c r="D264" s="60"/>
      <c r="E264" s="60" t="str">
        <f t="shared" si="5"/>
        <v/>
      </c>
    </row>
    <row r="265" spans="1:5">
      <c r="A265" s="60"/>
      <c r="B265" s="58"/>
      <c r="C265" s="60"/>
      <c r="D265" s="60"/>
      <c r="E265" s="60" t="str">
        <f t="shared" si="5"/>
        <v/>
      </c>
    </row>
    <row r="266" spans="1:5">
      <c r="A266" s="60"/>
      <c r="B266" s="58"/>
      <c r="C266" s="60"/>
      <c r="D266" s="60"/>
      <c r="E266" s="60" t="str">
        <f t="shared" si="5"/>
        <v/>
      </c>
    </row>
    <row r="267" spans="1:5">
      <c r="A267" s="60"/>
      <c r="B267" s="58"/>
      <c r="C267" s="60"/>
      <c r="D267" s="60"/>
      <c r="E267" s="60" t="str">
        <f t="shared" si="5"/>
        <v/>
      </c>
    </row>
    <row r="268" spans="1:5">
      <c r="A268" s="60"/>
      <c r="B268" s="58"/>
      <c r="C268" s="60"/>
      <c r="D268" s="60"/>
      <c r="E268" s="60" t="str">
        <f t="shared" si="5"/>
        <v/>
      </c>
    </row>
    <row r="269" spans="1:5">
      <c r="A269" s="60"/>
      <c r="B269" s="58"/>
      <c r="C269" s="60"/>
      <c r="D269" s="60"/>
      <c r="E269" s="60" t="str">
        <f t="shared" si="5"/>
        <v/>
      </c>
    </row>
    <row r="270" spans="1:5">
      <c r="A270" s="60"/>
      <c r="B270" s="58"/>
      <c r="C270" s="60"/>
      <c r="D270" s="60"/>
      <c r="E270" s="60" t="str">
        <f t="shared" si="5"/>
        <v/>
      </c>
    </row>
    <row r="271" spans="1:5">
      <c r="A271" s="60"/>
      <c r="B271" s="58"/>
      <c r="C271" s="60"/>
      <c r="D271" s="60"/>
      <c r="E271" s="60" t="str">
        <f t="shared" si="5"/>
        <v/>
      </c>
    </row>
    <row r="272" spans="1:5">
      <c r="A272" s="60"/>
      <c r="B272" s="58"/>
      <c r="C272" s="60"/>
      <c r="D272" s="60"/>
      <c r="E272" s="60" t="str">
        <f t="shared" si="5"/>
        <v/>
      </c>
    </row>
    <row r="273" spans="1:5">
      <c r="A273" s="60"/>
      <c r="B273" s="58"/>
      <c r="C273" s="60"/>
      <c r="D273" s="60"/>
      <c r="E273" s="60" t="str">
        <f t="shared" si="5"/>
        <v/>
      </c>
    </row>
    <row r="274" spans="1:5">
      <c r="A274" s="60"/>
      <c r="B274" s="58"/>
      <c r="C274" s="60"/>
      <c r="D274" s="60"/>
      <c r="E274" s="60" t="str">
        <f t="shared" si="5"/>
        <v/>
      </c>
    </row>
    <row r="275" spans="1:5">
      <c r="A275" s="60"/>
      <c r="B275" s="58"/>
      <c r="C275" s="60"/>
      <c r="D275" s="60"/>
      <c r="E275" s="60" t="str">
        <f t="shared" si="5"/>
        <v/>
      </c>
    </row>
    <row r="276" spans="1:5">
      <c r="A276" s="60"/>
      <c r="B276" s="58"/>
      <c r="C276" s="60"/>
      <c r="D276" s="60"/>
      <c r="E276" s="60" t="str">
        <f t="shared" si="5"/>
        <v/>
      </c>
    </row>
    <row r="277" spans="1:5">
      <c r="A277" s="60"/>
      <c r="B277" s="58"/>
      <c r="C277" s="60"/>
      <c r="D277" s="60"/>
      <c r="E277" s="60" t="str">
        <f t="shared" si="5"/>
        <v/>
      </c>
    </row>
    <row r="278" spans="1:5">
      <c r="A278" s="60"/>
      <c r="B278" s="58"/>
      <c r="C278" s="60"/>
      <c r="D278" s="60"/>
      <c r="E278" s="60" t="str">
        <f t="shared" si="5"/>
        <v/>
      </c>
    </row>
    <row r="279" spans="1:5">
      <c r="A279" s="60"/>
      <c r="B279" s="58"/>
      <c r="C279" s="60"/>
      <c r="D279" s="60"/>
      <c r="E279" s="60" t="str">
        <f t="shared" si="5"/>
        <v/>
      </c>
    </row>
    <row r="280" spans="1:5">
      <c r="A280" s="60"/>
      <c r="B280" s="58"/>
      <c r="C280" s="60"/>
      <c r="D280" s="60"/>
      <c r="E280" s="60" t="str">
        <f t="shared" si="5"/>
        <v/>
      </c>
    </row>
    <row r="281" spans="1:5">
      <c r="A281" s="60"/>
      <c r="B281" s="58"/>
      <c r="C281" s="60"/>
      <c r="D281" s="60"/>
      <c r="E281" s="60" t="str">
        <f t="shared" si="5"/>
        <v/>
      </c>
    </row>
    <row r="282" spans="1:5">
      <c r="A282" s="60"/>
      <c r="B282" s="58"/>
      <c r="C282" s="60"/>
      <c r="D282" s="60"/>
      <c r="E282" s="60" t="str">
        <f t="shared" si="5"/>
        <v/>
      </c>
    </row>
    <row r="283" spans="1:5">
      <c r="A283" s="60"/>
      <c r="B283" s="58"/>
      <c r="C283" s="60"/>
      <c r="D283" s="60"/>
      <c r="E283" s="60" t="str">
        <f t="shared" si="5"/>
        <v/>
      </c>
    </row>
    <row r="284" spans="1:5">
      <c r="A284" s="60"/>
      <c r="B284" s="58"/>
      <c r="C284" s="60"/>
      <c r="D284" s="60"/>
      <c r="E284" s="60" t="str">
        <f t="shared" si="5"/>
        <v/>
      </c>
    </row>
    <row r="285" spans="1:5">
      <c r="A285" s="60"/>
      <c r="B285" s="58"/>
      <c r="C285" s="60"/>
      <c r="D285" s="60"/>
      <c r="E285" s="60" t="str">
        <f t="shared" si="5"/>
        <v/>
      </c>
    </row>
    <row r="286" spans="1:5">
      <c r="A286" s="60"/>
      <c r="B286" s="58"/>
      <c r="C286" s="60"/>
      <c r="D286" s="60"/>
      <c r="E286" s="60" t="str">
        <f t="shared" si="5"/>
        <v/>
      </c>
    </row>
    <row r="287" spans="1:5">
      <c r="A287" s="60"/>
      <c r="B287" s="58"/>
      <c r="C287" s="60"/>
      <c r="D287" s="60"/>
      <c r="E287" s="60" t="str">
        <f t="shared" si="5"/>
        <v/>
      </c>
    </row>
    <row r="288" spans="1:5">
      <c r="A288" s="60"/>
      <c r="B288" s="58"/>
      <c r="C288" s="60"/>
      <c r="D288" s="60"/>
      <c r="E288" s="60" t="str">
        <f t="shared" si="5"/>
        <v/>
      </c>
    </row>
    <row r="289" spans="1:5">
      <c r="A289" s="60"/>
      <c r="B289" s="58"/>
      <c r="C289" s="60"/>
      <c r="D289" s="60"/>
      <c r="E289" s="60" t="str">
        <f t="shared" si="5"/>
        <v/>
      </c>
    </row>
    <row r="290" spans="1:5">
      <c r="A290" s="60"/>
      <c r="B290" s="58"/>
      <c r="C290" s="60"/>
      <c r="D290" s="60"/>
      <c r="E290" s="60" t="str">
        <f t="shared" si="5"/>
        <v/>
      </c>
    </row>
    <row r="291" spans="1:5">
      <c r="A291" s="60"/>
      <c r="B291" s="58"/>
      <c r="C291" s="60"/>
      <c r="D291" s="60"/>
      <c r="E291" s="60" t="str">
        <f t="shared" si="5"/>
        <v/>
      </c>
    </row>
    <row r="292" spans="1:5">
      <c r="A292" s="60"/>
      <c r="B292" s="58"/>
      <c r="C292" s="60"/>
      <c r="D292" s="60"/>
      <c r="E292" s="60" t="str">
        <f t="shared" si="5"/>
        <v/>
      </c>
    </row>
    <row r="293" spans="1:5">
      <c r="A293" s="60"/>
      <c r="B293" s="58"/>
      <c r="C293" s="60"/>
      <c r="D293" s="60"/>
      <c r="E293" s="60" t="str">
        <f t="shared" si="5"/>
        <v/>
      </c>
    </row>
    <row r="294" spans="1:5">
      <c r="A294" s="60"/>
      <c r="B294" s="58"/>
      <c r="C294" s="60"/>
      <c r="D294" s="60"/>
      <c r="E294" s="60" t="str">
        <f t="shared" si="5"/>
        <v/>
      </c>
    </row>
    <row r="295" spans="1:5">
      <c r="A295" s="60"/>
      <c r="B295" s="58"/>
      <c r="C295" s="60"/>
      <c r="D295" s="60"/>
      <c r="E295" s="60" t="str">
        <f t="shared" si="5"/>
        <v/>
      </c>
    </row>
    <row r="296" spans="1:5">
      <c r="A296" s="60"/>
      <c r="B296" s="58"/>
      <c r="C296" s="60"/>
      <c r="D296" s="60"/>
      <c r="E296" s="60" t="str">
        <f t="shared" si="5"/>
        <v/>
      </c>
    </row>
    <row r="297" spans="1:5">
      <c r="A297" s="60"/>
      <c r="B297" s="58"/>
      <c r="C297" s="60"/>
      <c r="D297" s="60"/>
      <c r="E297" s="60" t="str">
        <f t="shared" si="5"/>
        <v/>
      </c>
    </row>
    <row r="298" spans="1:5">
      <c r="A298" s="60"/>
      <c r="B298" s="58"/>
      <c r="C298" s="60"/>
      <c r="D298" s="60"/>
      <c r="E298" s="60" t="str">
        <f t="shared" si="5"/>
        <v/>
      </c>
    </row>
    <row r="299" spans="1:5">
      <c r="A299" s="60"/>
      <c r="B299" s="58"/>
      <c r="C299" s="60"/>
      <c r="D299" s="60"/>
      <c r="E299" s="60" t="str">
        <f t="shared" si="5"/>
        <v/>
      </c>
    </row>
    <row r="300" spans="1:5">
      <c r="A300" s="60"/>
      <c r="B300" s="58"/>
      <c r="C300" s="60"/>
      <c r="D300" s="60"/>
      <c r="E300" s="60" t="str">
        <f t="shared" si="5"/>
        <v/>
      </c>
    </row>
    <row r="301" spans="1:5">
      <c r="A301" s="60"/>
      <c r="B301" s="58"/>
      <c r="C301" s="60"/>
      <c r="D301" s="60"/>
      <c r="E301" s="60" t="str">
        <f t="shared" si="5"/>
        <v/>
      </c>
    </row>
    <row r="302" spans="1:5">
      <c r="A302" s="60"/>
      <c r="B302" s="58"/>
      <c r="C302" s="60"/>
      <c r="D302" s="60"/>
      <c r="E302" s="60" t="str">
        <f t="shared" si="5"/>
        <v/>
      </c>
    </row>
    <row r="303" spans="1:5">
      <c r="A303" s="60"/>
      <c r="B303" s="58"/>
      <c r="C303" s="60"/>
      <c r="D303" s="60"/>
      <c r="E303" s="60" t="str">
        <f t="shared" si="5"/>
        <v/>
      </c>
    </row>
    <row r="304" spans="1:5">
      <c r="A304" s="60"/>
      <c r="B304" s="58"/>
      <c r="C304" s="60"/>
      <c r="D304" s="60"/>
      <c r="E304" s="60" t="str">
        <f t="shared" si="5"/>
        <v/>
      </c>
    </row>
    <row r="305" spans="1:5">
      <c r="A305" s="60"/>
      <c r="B305" s="58"/>
      <c r="C305" s="60"/>
      <c r="D305" s="60"/>
      <c r="E305" s="60" t="str">
        <f t="shared" si="5"/>
        <v/>
      </c>
    </row>
    <row r="306" spans="1:5">
      <c r="A306" s="60"/>
      <c r="B306" s="58"/>
      <c r="C306" s="60"/>
      <c r="D306" s="60"/>
      <c r="E306" s="60" t="str">
        <f t="shared" si="5"/>
        <v/>
      </c>
    </row>
    <row r="307" spans="1:5">
      <c r="A307" s="60"/>
      <c r="B307" s="58"/>
      <c r="C307" s="60"/>
      <c r="D307" s="60"/>
      <c r="E307" s="60" t="str">
        <f t="shared" si="5"/>
        <v/>
      </c>
    </row>
    <row r="308" spans="1:5">
      <c r="A308" s="60"/>
      <c r="B308" s="58"/>
      <c r="C308" s="60"/>
      <c r="D308" s="60"/>
      <c r="E308" s="60" t="str">
        <f t="shared" si="5"/>
        <v/>
      </c>
    </row>
    <row r="309" spans="1:5">
      <c r="A309" s="60"/>
      <c r="B309" s="58"/>
      <c r="C309" s="60"/>
      <c r="D309" s="60"/>
      <c r="E309" s="60" t="str">
        <f t="shared" si="5"/>
        <v/>
      </c>
    </row>
    <row r="310" spans="1:5">
      <c r="A310" s="60"/>
      <c r="B310" s="58"/>
      <c r="C310" s="60"/>
      <c r="D310" s="60"/>
      <c r="E310" s="60" t="str">
        <f t="shared" si="5"/>
        <v/>
      </c>
    </row>
    <row r="311" spans="1:5">
      <c r="A311" s="60"/>
      <c r="B311" s="58"/>
      <c r="C311" s="60"/>
      <c r="D311" s="60"/>
      <c r="E311" s="60" t="str">
        <f t="shared" si="5"/>
        <v/>
      </c>
    </row>
    <row r="312" spans="1:5">
      <c r="A312" s="60"/>
      <c r="B312" s="58"/>
      <c r="C312" s="60"/>
      <c r="D312" s="60"/>
      <c r="E312" s="60" t="str">
        <f t="shared" si="5"/>
        <v/>
      </c>
    </row>
    <row r="313" spans="1:5">
      <c r="A313" s="60"/>
      <c r="B313" s="58"/>
      <c r="C313" s="60"/>
      <c r="D313" s="60"/>
      <c r="E313" s="60" t="str">
        <f t="shared" si="5"/>
        <v/>
      </c>
    </row>
    <row r="314" spans="1:5">
      <c r="A314" s="60"/>
      <c r="B314" s="58"/>
      <c r="C314" s="60"/>
      <c r="D314" s="60"/>
      <c r="E314" s="60" t="str">
        <f t="shared" si="5"/>
        <v/>
      </c>
    </row>
    <row r="315" spans="1:5">
      <c r="A315" s="60"/>
      <c r="B315" s="58"/>
      <c r="C315" s="60"/>
      <c r="D315" s="60"/>
      <c r="E315" s="60" t="str">
        <f t="shared" si="5"/>
        <v/>
      </c>
    </row>
    <row r="316" spans="1:5">
      <c r="A316" s="60"/>
      <c r="B316" s="58"/>
      <c r="C316" s="60"/>
      <c r="D316" s="60"/>
      <c r="E316" s="60" t="str">
        <f t="shared" si="5"/>
        <v/>
      </c>
    </row>
    <row r="317" spans="1:5">
      <c r="A317" s="60"/>
      <c r="B317" s="58"/>
      <c r="C317" s="60"/>
      <c r="D317" s="60"/>
      <c r="E317" s="60" t="str">
        <f t="shared" si="5"/>
        <v/>
      </c>
    </row>
    <row r="318" spans="1:5">
      <c r="A318" s="60"/>
      <c r="B318" s="58"/>
      <c r="C318" s="60"/>
      <c r="D318" s="60"/>
      <c r="E318" s="60" t="str">
        <f t="shared" si="5"/>
        <v/>
      </c>
    </row>
    <row r="319" spans="1:5">
      <c r="A319" s="60"/>
      <c r="B319" s="58"/>
      <c r="C319" s="60"/>
      <c r="D319" s="60"/>
      <c r="E319" s="60" t="str">
        <f t="shared" si="5"/>
        <v/>
      </c>
    </row>
    <row r="320" spans="1:5">
      <c r="A320" s="60"/>
      <c r="B320" s="58"/>
      <c r="C320" s="60"/>
      <c r="D320" s="60"/>
      <c r="E320" s="60" t="str">
        <f t="shared" si="5"/>
        <v/>
      </c>
    </row>
    <row r="321" spans="1:5">
      <c r="A321" s="60"/>
      <c r="B321" s="58"/>
      <c r="C321" s="60"/>
      <c r="D321" s="60"/>
      <c r="E321" s="60" t="str">
        <f t="shared" si="5"/>
        <v/>
      </c>
    </row>
    <row r="322" spans="1:5">
      <c r="A322" s="60"/>
      <c r="B322" s="58"/>
      <c r="C322" s="60"/>
      <c r="D322" s="60"/>
      <c r="E322" s="60" t="str">
        <f t="shared" si="5"/>
        <v/>
      </c>
    </row>
    <row r="323" spans="1:5">
      <c r="A323" s="60"/>
      <c r="B323" s="58"/>
      <c r="C323" s="60"/>
      <c r="D323" s="60"/>
      <c r="E323" s="60" t="str">
        <f t="shared" si="5"/>
        <v/>
      </c>
    </row>
    <row r="324" spans="1:5">
      <c r="A324" s="60"/>
      <c r="B324" s="58"/>
      <c r="C324" s="60"/>
      <c r="D324" s="60"/>
      <c r="E324" s="60" t="str">
        <f t="shared" si="5"/>
        <v/>
      </c>
    </row>
    <row r="325" spans="1:5">
      <c r="A325" s="60"/>
      <c r="B325" s="58"/>
      <c r="C325" s="60"/>
      <c r="D325" s="60"/>
      <c r="E325" s="60" t="str">
        <f t="shared" ref="E325:E388" si="6">IFERROR(VLOOKUP(D325,T_Indices,5,FALSE),"")</f>
        <v/>
      </c>
    </row>
    <row r="326" spans="1:5">
      <c r="A326" s="60"/>
      <c r="B326" s="58"/>
      <c r="C326" s="60"/>
      <c r="D326" s="60"/>
      <c r="E326" s="60" t="str">
        <f t="shared" si="6"/>
        <v/>
      </c>
    </row>
    <row r="327" spans="1:5">
      <c r="A327" s="60"/>
      <c r="B327" s="58"/>
      <c r="C327" s="60"/>
      <c r="D327" s="60"/>
      <c r="E327" s="60" t="str">
        <f t="shared" si="6"/>
        <v/>
      </c>
    </row>
    <row r="328" spans="1:5">
      <c r="A328" s="60"/>
      <c r="B328" s="58"/>
      <c r="C328" s="60"/>
      <c r="D328" s="60"/>
      <c r="E328" s="60" t="str">
        <f t="shared" si="6"/>
        <v/>
      </c>
    </row>
    <row r="329" spans="1:5">
      <c r="A329" s="60"/>
      <c r="B329" s="58"/>
      <c r="C329" s="60"/>
      <c r="D329" s="60"/>
      <c r="E329" s="60" t="str">
        <f t="shared" si="6"/>
        <v/>
      </c>
    </row>
    <row r="330" spans="1:5">
      <c r="A330" s="60"/>
      <c r="B330" s="58"/>
      <c r="C330" s="60"/>
      <c r="D330" s="60"/>
      <c r="E330" s="60" t="str">
        <f t="shared" si="6"/>
        <v/>
      </c>
    </row>
    <row r="331" spans="1:5">
      <c r="A331" s="60"/>
      <c r="B331" s="58"/>
      <c r="C331" s="60"/>
      <c r="D331" s="60"/>
      <c r="E331" s="60" t="str">
        <f t="shared" si="6"/>
        <v/>
      </c>
    </row>
    <row r="332" spans="1:5">
      <c r="A332" s="60"/>
      <c r="B332" s="58"/>
      <c r="C332" s="60"/>
      <c r="D332" s="60"/>
      <c r="E332" s="60" t="str">
        <f t="shared" si="6"/>
        <v/>
      </c>
    </row>
    <row r="333" spans="1:5">
      <c r="A333" s="60"/>
      <c r="B333" s="58"/>
      <c r="C333" s="60"/>
      <c r="D333" s="60"/>
      <c r="E333" s="60" t="str">
        <f t="shared" si="6"/>
        <v/>
      </c>
    </row>
    <row r="334" spans="1:5">
      <c r="A334" s="60"/>
      <c r="B334" s="58"/>
      <c r="C334" s="60"/>
      <c r="D334" s="60"/>
      <c r="E334" s="60" t="str">
        <f t="shared" si="6"/>
        <v/>
      </c>
    </row>
    <row r="335" spans="1:5">
      <c r="A335" s="60"/>
      <c r="B335" s="58"/>
      <c r="C335" s="60"/>
      <c r="D335" s="60"/>
      <c r="E335" s="60" t="str">
        <f t="shared" si="6"/>
        <v/>
      </c>
    </row>
    <row r="336" spans="1:5">
      <c r="A336" s="60"/>
      <c r="B336" s="58"/>
      <c r="C336" s="60"/>
      <c r="D336" s="60"/>
      <c r="E336" s="60" t="str">
        <f t="shared" si="6"/>
        <v/>
      </c>
    </row>
    <row r="337" spans="1:5">
      <c r="A337" s="60"/>
      <c r="B337" s="58"/>
      <c r="C337" s="60"/>
      <c r="D337" s="60"/>
      <c r="E337" s="60" t="str">
        <f t="shared" si="6"/>
        <v/>
      </c>
    </row>
    <row r="338" spans="1:5">
      <c r="A338" s="60"/>
      <c r="B338" s="58"/>
      <c r="C338" s="60"/>
      <c r="D338" s="60"/>
      <c r="E338" s="60" t="str">
        <f t="shared" si="6"/>
        <v/>
      </c>
    </row>
    <row r="339" spans="1:5">
      <c r="A339" s="60"/>
      <c r="B339" s="58"/>
      <c r="C339" s="60"/>
      <c r="D339" s="60"/>
      <c r="E339" s="60" t="str">
        <f t="shared" si="6"/>
        <v/>
      </c>
    </row>
    <row r="340" spans="1:5">
      <c r="A340" s="60"/>
      <c r="B340" s="58"/>
      <c r="C340" s="60"/>
      <c r="D340" s="60"/>
      <c r="E340" s="60" t="str">
        <f t="shared" si="6"/>
        <v/>
      </c>
    </row>
    <row r="341" spans="1:5">
      <c r="A341" s="60"/>
      <c r="B341" s="58"/>
      <c r="C341" s="60"/>
      <c r="D341" s="60"/>
      <c r="E341" s="60" t="str">
        <f t="shared" si="6"/>
        <v/>
      </c>
    </row>
    <row r="342" spans="1:5">
      <c r="A342" s="60"/>
      <c r="B342" s="58"/>
      <c r="C342" s="60"/>
      <c r="D342" s="60"/>
      <c r="E342" s="60" t="str">
        <f t="shared" si="6"/>
        <v/>
      </c>
    </row>
    <row r="343" spans="1:5">
      <c r="A343" s="60"/>
      <c r="B343" s="58"/>
      <c r="C343" s="60"/>
      <c r="D343" s="60"/>
      <c r="E343" s="60" t="str">
        <f t="shared" si="6"/>
        <v/>
      </c>
    </row>
    <row r="344" spans="1:5">
      <c r="A344" s="60"/>
      <c r="B344" s="58"/>
      <c r="C344" s="60"/>
      <c r="D344" s="60"/>
      <c r="E344" s="60" t="str">
        <f t="shared" si="6"/>
        <v/>
      </c>
    </row>
    <row r="345" spans="1:5">
      <c r="A345" s="60"/>
      <c r="B345" s="58"/>
      <c r="C345" s="60"/>
      <c r="D345" s="60"/>
      <c r="E345" s="60" t="str">
        <f t="shared" si="6"/>
        <v/>
      </c>
    </row>
    <row r="346" spans="1:5">
      <c r="A346" s="60"/>
      <c r="B346" s="58"/>
      <c r="C346" s="60"/>
      <c r="D346" s="60"/>
      <c r="E346" s="60" t="str">
        <f t="shared" si="6"/>
        <v/>
      </c>
    </row>
    <row r="347" spans="1:5">
      <c r="A347" s="60"/>
      <c r="B347" s="58"/>
      <c r="C347" s="60"/>
      <c r="D347" s="60"/>
      <c r="E347" s="60" t="str">
        <f t="shared" si="6"/>
        <v/>
      </c>
    </row>
    <row r="348" spans="1:5">
      <c r="A348" s="60"/>
      <c r="B348" s="58"/>
      <c r="C348" s="60"/>
      <c r="D348" s="60"/>
      <c r="E348" s="60" t="str">
        <f t="shared" si="6"/>
        <v/>
      </c>
    </row>
    <row r="349" spans="1:5">
      <c r="A349" s="60"/>
      <c r="B349" s="58"/>
      <c r="C349" s="60"/>
      <c r="D349" s="60"/>
      <c r="E349" s="60" t="str">
        <f t="shared" si="6"/>
        <v/>
      </c>
    </row>
    <row r="350" spans="1:5">
      <c r="A350" s="60"/>
      <c r="B350" s="58"/>
      <c r="C350" s="60"/>
      <c r="D350" s="60"/>
      <c r="E350" s="60" t="str">
        <f t="shared" si="6"/>
        <v/>
      </c>
    </row>
    <row r="351" spans="1:5">
      <c r="A351" s="60"/>
      <c r="B351" s="58"/>
      <c r="C351" s="60"/>
      <c r="D351" s="60"/>
      <c r="E351" s="60" t="str">
        <f t="shared" si="6"/>
        <v/>
      </c>
    </row>
    <row r="352" spans="1:5">
      <c r="A352" s="60"/>
      <c r="B352" s="58"/>
      <c r="C352" s="60"/>
      <c r="D352" s="60"/>
      <c r="E352" s="60" t="str">
        <f t="shared" si="6"/>
        <v/>
      </c>
    </row>
    <row r="353" spans="1:5">
      <c r="A353" s="60"/>
      <c r="B353" s="58"/>
      <c r="C353" s="60"/>
      <c r="D353" s="60"/>
      <c r="E353" s="60" t="str">
        <f t="shared" si="6"/>
        <v/>
      </c>
    </row>
    <row r="354" spans="1:5">
      <c r="A354" s="60"/>
      <c r="B354" s="58"/>
      <c r="C354" s="60"/>
      <c r="D354" s="60"/>
      <c r="E354" s="60" t="str">
        <f t="shared" si="6"/>
        <v/>
      </c>
    </row>
    <row r="355" spans="1:5">
      <c r="A355" s="60"/>
      <c r="B355" s="58"/>
      <c r="C355" s="60"/>
      <c r="D355" s="60"/>
      <c r="E355" s="60" t="str">
        <f t="shared" si="6"/>
        <v/>
      </c>
    </row>
    <row r="356" spans="1:5">
      <c r="A356" s="60"/>
      <c r="B356" s="58"/>
      <c r="C356" s="60"/>
      <c r="D356" s="60"/>
      <c r="E356" s="60" t="str">
        <f t="shared" si="6"/>
        <v/>
      </c>
    </row>
    <row r="357" spans="1:5">
      <c r="A357" s="60"/>
      <c r="B357" s="58"/>
      <c r="C357" s="60"/>
      <c r="D357" s="60"/>
      <c r="E357" s="60" t="str">
        <f t="shared" si="6"/>
        <v/>
      </c>
    </row>
    <row r="358" spans="1:5">
      <c r="A358" s="60"/>
      <c r="B358" s="58"/>
      <c r="C358" s="60"/>
      <c r="D358" s="60"/>
      <c r="E358" s="60" t="str">
        <f t="shared" si="6"/>
        <v/>
      </c>
    </row>
    <row r="359" spans="1:5">
      <c r="A359" s="60"/>
      <c r="B359" s="58"/>
      <c r="C359" s="60"/>
      <c r="D359" s="60"/>
      <c r="E359" s="60" t="str">
        <f t="shared" si="6"/>
        <v/>
      </c>
    </row>
    <row r="360" spans="1:5">
      <c r="A360" s="60"/>
      <c r="B360" s="58"/>
      <c r="C360" s="60"/>
      <c r="D360" s="60"/>
      <c r="E360" s="60" t="str">
        <f t="shared" si="6"/>
        <v/>
      </c>
    </row>
    <row r="361" spans="1:5">
      <c r="A361" s="60"/>
      <c r="B361" s="58"/>
      <c r="C361" s="60"/>
      <c r="D361" s="60"/>
      <c r="E361" s="60" t="str">
        <f t="shared" si="6"/>
        <v/>
      </c>
    </row>
    <row r="362" spans="1:5">
      <c r="A362" s="60"/>
      <c r="B362" s="58"/>
      <c r="C362" s="60"/>
      <c r="D362" s="60"/>
      <c r="E362" s="60" t="str">
        <f t="shared" si="6"/>
        <v/>
      </c>
    </row>
    <row r="363" spans="1:5">
      <c r="A363" s="60"/>
      <c r="B363" s="58"/>
      <c r="C363" s="60"/>
      <c r="D363" s="60"/>
      <c r="E363" s="60" t="str">
        <f t="shared" si="6"/>
        <v/>
      </c>
    </row>
    <row r="364" spans="1:5">
      <c r="A364" s="60"/>
      <c r="B364" s="58"/>
      <c r="C364" s="60"/>
      <c r="D364" s="60"/>
      <c r="E364" s="60" t="str">
        <f t="shared" si="6"/>
        <v/>
      </c>
    </row>
    <row r="365" spans="1:5">
      <c r="A365" s="60"/>
      <c r="B365" s="58"/>
      <c r="C365" s="60"/>
      <c r="D365" s="60"/>
      <c r="E365" s="60" t="str">
        <f t="shared" si="6"/>
        <v/>
      </c>
    </row>
    <row r="366" spans="1:5">
      <c r="A366" s="60"/>
      <c r="B366" s="58"/>
      <c r="C366" s="60"/>
      <c r="D366" s="60"/>
      <c r="E366" s="60" t="str">
        <f t="shared" si="6"/>
        <v/>
      </c>
    </row>
    <row r="367" spans="1:5">
      <c r="A367" s="60"/>
      <c r="B367" s="58"/>
      <c r="C367" s="60"/>
      <c r="D367" s="60"/>
      <c r="E367" s="60" t="str">
        <f t="shared" si="6"/>
        <v/>
      </c>
    </row>
    <row r="368" spans="1:5">
      <c r="A368" s="60"/>
      <c r="B368" s="58"/>
      <c r="C368" s="60"/>
      <c r="D368" s="60"/>
      <c r="E368" s="60" t="str">
        <f t="shared" si="6"/>
        <v/>
      </c>
    </row>
    <row r="369" spans="1:5">
      <c r="A369" s="60"/>
      <c r="B369" s="58"/>
      <c r="C369" s="60"/>
      <c r="D369" s="60"/>
      <c r="E369" s="60" t="str">
        <f t="shared" si="6"/>
        <v/>
      </c>
    </row>
    <row r="370" spans="1:5">
      <c r="A370" s="60"/>
      <c r="B370" s="58"/>
      <c r="C370" s="60"/>
      <c r="D370" s="60"/>
      <c r="E370" s="60" t="str">
        <f t="shared" si="6"/>
        <v/>
      </c>
    </row>
    <row r="371" spans="1:5">
      <c r="A371" s="60"/>
      <c r="B371" s="58"/>
      <c r="C371" s="60"/>
      <c r="D371" s="60"/>
      <c r="E371" s="60" t="str">
        <f t="shared" si="6"/>
        <v/>
      </c>
    </row>
    <row r="372" spans="1:5">
      <c r="A372" s="60"/>
      <c r="B372" s="58"/>
      <c r="C372" s="60"/>
      <c r="D372" s="60"/>
      <c r="E372" s="60" t="str">
        <f t="shared" si="6"/>
        <v/>
      </c>
    </row>
    <row r="373" spans="1:5">
      <c r="A373" s="60"/>
      <c r="B373" s="58"/>
      <c r="C373" s="60"/>
      <c r="D373" s="60"/>
      <c r="E373" s="60" t="str">
        <f t="shared" si="6"/>
        <v/>
      </c>
    </row>
    <row r="374" spans="1:5">
      <c r="A374" s="60"/>
      <c r="B374" s="58"/>
      <c r="C374" s="60"/>
      <c r="D374" s="60"/>
      <c r="E374" s="60" t="str">
        <f t="shared" si="6"/>
        <v/>
      </c>
    </row>
    <row r="375" spans="1:5">
      <c r="A375" s="60"/>
      <c r="B375" s="58"/>
      <c r="C375" s="60"/>
      <c r="D375" s="60"/>
      <c r="E375" s="60" t="str">
        <f t="shared" si="6"/>
        <v/>
      </c>
    </row>
    <row r="376" spans="1:5">
      <c r="A376" s="60"/>
      <c r="B376" s="58"/>
      <c r="C376" s="60"/>
      <c r="D376" s="60"/>
      <c r="E376" s="60" t="str">
        <f t="shared" si="6"/>
        <v/>
      </c>
    </row>
    <row r="377" spans="1:5">
      <c r="A377" s="60"/>
      <c r="B377" s="58"/>
      <c r="C377" s="60"/>
      <c r="D377" s="60"/>
      <c r="E377" s="60" t="str">
        <f t="shared" si="6"/>
        <v/>
      </c>
    </row>
    <row r="378" spans="1:5">
      <c r="A378" s="60"/>
      <c r="B378" s="58"/>
      <c r="C378" s="60"/>
      <c r="D378" s="60"/>
      <c r="E378" s="60" t="str">
        <f t="shared" si="6"/>
        <v/>
      </c>
    </row>
    <row r="379" spans="1:5">
      <c r="A379" s="60"/>
      <c r="B379" s="58"/>
      <c r="C379" s="60"/>
      <c r="D379" s="60"/>
      <c r="E379" s="60" t="str">
        <f t="shared" si="6"/>
        <v/>
      </c>
    </row>
    <row r="380" spans="1:5">
      <c r="A380" s="60"/>
      <c r="B380" s="58"/>
      <c r="C380" s="60"/>
      <c r="D380" s="60"/>
      <c r="E380" s="60" t="str">
        <f t="shared" si="6"/>
        <v/>
      </c>
    </row>
    <row r="381" spans="1:5">
      <c r="A381" s="60"/>
      <c r="B381" s="58"/>
      <c r="C381" s="60"/>
      <c r="D381" s="60"/>
      <c r="E381" s="60" t="str">
        <f t="shared" si="6"/>
        <v/>
      </c>
    </row>
    <row r="382" spans="1:5">
      <c r="A382" s="60"/>
      <c r="B382" s="58"/>
      <c r="C382" s="60"/>
      <c r="D382" s="60"/>
      <c r="E382" s="60" t="str">
        <f t="shared" si="6"/>
        <v/>
      </c>
    </row>
    <row r="383" spans="1:5">
      <c r="A383" s="60"/>
      <c r="B383" s="58"/>
      <c r="C383" s="60"/>
      <c r="D383" s="60"/>
      <c r="E383" s="60" t="str">
        <f t="shared" si="6"/>
        <v/>
      </c>
    </row>
    <row r="384" spans="1:5">
      <c r="A384" s="60"/>
      <c r="B384" s="58"/>
      <c r="C384" s="60"/>
      <c r="D384" s="60"/>
      <c r="E384" s="60" t="str">
        <f t="shared" si="6"/>
        <v/>
      </c>
    </row>
    <row r="385" spans="1:5">
      <c r="A385" s="60"/>
      <c r="B385" s="58"/>
      <c r="C385" s="60"/>
      <c r="D385" s="60"/>
      <c r="E385" s="60" t="str">
        <f t="shared" si="6"/>
        <v/>
      </c>
    </row>
    <row r="386" spans="1:5">
      <c r="A386" s="60"/>
      <c r="B386" s="58"/>
      <c r="C386" s="60"/>
      <c r="D386" s="60"/>
      <c r="E386" s="60" t="str">
        <f t="shared" si="6"/>
        <v/>
      </c>
    </row>
    <row r="387" spans="1:5">
      <c r="A387" s="60"/>
      <c r="B387" s="58"/>
      <c r="C387" s="60"/>
      <c r="D387" s="60"/>
      <c r="E387" s="60" t="str">
        <f t="shared" si="6"/>
        <v/>
      </c>
    </row>
    <row r="388" spans="1:5">
      <c r="A388" s="60"/>
      <c r="B388" s="58"/>
      <c r="C388" s="60"/>
      <c r="D388" s="60"/>
      <c r="E388" s="60" t="str">
        <f t="shared" si="6"/>
        <v/>
      </c>
    </row>
    <row r="389" spans="1:5">
      <c r="A389" s="60"/>
      <c r="B389" s="58"/>
      <c r="C389" s="60"/>
      <c r="D389" s="60"/>
      <c r="E389" s="60" t="str">
        <f t="shared" ref="E389:E452" si="7">IFERROR(VLOOKUP(D389,T_Indices,5,FALSE),"")</f>
        <v/>
      </c>
    </row>
    <row r="390" spans="1:5">
      <c r="A390" s="60"/>
      <c r="B390" s="58"/>
      <c r="C390" s="60"/>
      <c r="D390" s="60"/>
      <c r="E390" s="60" t="str">
        <f t="shared" si="7"/>
        <v/>
      </c>
    </row>
    <row r="391" spans="1:5">
      <c r="A391" s="60"/>
      <c r="B391" s="58"/>
      <c r="C391" s="60"/>
      <c r="D391" s="60"/>
      <c r="E391" s="60" t="str">
        <f t="shared" si="7"/>
        <v/>
      </c>
    </row>
    <row r="392" spans="1:5">
      <c r="A392" s="60"/>
      <c r="B392" s="58"/>
      <c r="C392" s="60"/>
      <c r="D392" s="60"/>
      <c r="E392" s="60" t="str">
        <f t="shared" si="7"/>
        <v/>
      </c>
    </row>
    <row r="393" spans="1:5">
      <c r="A393" s="60"/>
      <c r="B393" s="58"/>
      <c r="C393" s="60"/>
      <c r="D393" s="60"/>
      <c r="E393" s="60" t="str">
        <f t="shared" si="7"/>
        <v/>
      </c>
    </row>
    <row r="394" spans="1:5">
      <c r="A394" s="60"/>
      <c r="B394" s="58"/>
      <c r="C394" s="60"/>
      <c r="D394" s="60"/>
      <c r="E394" s="60" t="str">
        <f t="shared" si="7"/>
        <v/>
      </c>
    </row>
    <row r="395" spans="1:5">
      <c r="A395" s="60"/>
      <c r="B395" s="58"/>
      <c r="C395" s="60"/>
      <c r="D395" s="60"/>
      <c r="E395" s="60" t="str">
        <f t="shared" si="7"/>
        <v/>
      </c>
    </row>
    <row r="396" spans="1:5">
      <c r="A396" s="60"/>
      <c r="B396" s="58"/>
      <c r="C396" s="60"/>
      <c r="D396" s="60"/>
      <c r="E396" s="60" t="str">
        <f t="shared" si="7"/>
        <v/>
      </c>
    </row>
    <row r="397" spans="1:5">
      <c r="A397" s="60"/>
      <c r="B397" s="58"/>
      <c r="C397" s="60"/>
      <c r="D397" s="60"/>
      <c r="E397" s="60" t="str">
        <f t="shared" si="7"/>
        <v/>
      </c>
    </row>
    <row r="398" spans="1:5">
      <c r="A398" s="60"/>
      <c r="B398" s="58"/>
      <c r="C398" s="60"/>
      <c r="D398" s="60"/>
      <c r="E398" s="60" t="str">
        <f t="shared" si="7"/>
        <v/>
      </c>
    </row>
    <row r="399" spans="1:5">
      <c r="A399" s="60"/>
      <c r="B399" s="58"/>
      <c r="C399" s="60"/>
      <c r="D399" s="60"/>
      <c r="E399" s="60" t="str">
        <f t="shared" si="7"/>
        <v/>
      </c>
    </row>
    <row r="400" spans="1:5">
      <c r="A400" s="60"/>
      <c r="B400" s="58"/>
      <c r="C400" s="60"/>
      <c r="D400" s="60"/>
      <c r="E400" s="60" t="str">
        <f t="shared" si="7"/>
        <v/>
      </c>
    </row>
    <row r="401" spans="1:5">
      <c r="A401" s="60"/>
      <c r="B401" s="58"/>
      <c r="C401" s="60"/>
      <c r="D401" s="60"/>
      <c r="E401" s="60" t="str">
        <f t="shared" si="7"/>
        <v/>
      </c>
    </row>
    <row r="402" spans="1:5">
      <c r="A402" s="60"/>
      <c r="B402" s="58"/>
      <c r="C402" s="60"/>
      <c r="D402" s="60"/>
      <c r="E402" s="60" t="str">
        <f t="shared" si="7"/>
        <v/>
      </c>
    </row>
    <row r="403" spans="1:5">
      <c r="A403" s="60"/>
      <c r="B403" s="58"/>
      <c r="C403" s="60"/>
      <c r="D403" s="60"/>
      <c r="E403" s="60" t="str">
        <f t="shared" si="7"/>
        <v/>
      </c>
    </row>
    <row r="404" spans="1:5">
      <c r="A404" s="60"/>
      <c r="B404" s="58"/>
      <c r="C404" s="60"/>
      <c r="D404" s="60"/>
      <c r="E404" s="60" t="str">
        <f t="shared" si="7"/>
        <v/>
      </c>
    </row>
    <row r="405" spans="1:5">
      <c r="A405" s="60"/>
      <c r="B405" s="58"/>
      <c r="C405" s="60"/>
      <c r="D405" s="60"/>
      <c r="E405" s="60" t="str">
        <f t="shared" si="7"/>
        <v/>
      </c>
    </row>
    <row r="406" spans="1:5">
      <c r="A406" s="60"/>
      <c r="B406" s="58"/>
      <c r="C406" s="60"/>
      <c r="D406" s="60"/>
      <c r="E406" s="60" t="str">
        <f t="shared" si="7"/>
        <v/>
      </c>
    </row>
    <row r="407" spans="1:5">
      <c r="A407" s="60"/>
      <c r="B407" s="58"/>
      <c r="C407" s="60"/>
      <c r="D407" s="60"/>
      <c r="E407" s="60" t="str">
        <f t="shared" si="7"/>
        <v/>
      </c>
    </row>
    <row r="408" spans="1:5">
      <c r="A408" s="60"/>
      <c r="B408" s="58"/>
      <c r="C408" s="60"/>
      <c r="D408" s="60"/>
      <c r="E408" s="60" t="str">
        <f t="shared" si="7"/>
        <v/>
      </c>
    </row>
    <row r="409" spans="1:5">
      <c r="A409" s="60"/>
      <c r="B409" s="58"/>
      <c r="C409" s="60"/>
      <c r="D409" s="60"/>
      <c r="E409" s="60" t="str">
        <f t="shared" si="7"/>
        <v/>
      </c>
    </row>
    <row r="410" spans="1:5">
      <c r="A410" s="60"/>
      <c r="B410" s="58"/>
      <c r="C410" s="60"/>
      <c r="D410" s="60"/>
      <c r="E410" s="60" t="str">
        <f t="shared" si="7"/>
        <v/>
      </c>
    </row>
    <row r="411" spans="1:5">
      <c r="A411" s="60"/>
      <c r="B411" s="58"/>
      <c r="C411" s="60"/>
      <c r="D411" s="60"/>
      <c r="E411" s="60" t="str">
        <f t="shared" si="7"/>
        <v/>
      </c>
    </row>
    <row r="412" spans="1:5">
      <c r="A412" s="60"/>
      <c r="B412" s="58"/>
      <c r="C412" s="60"/>
      <c r="D412" s="60"/>
      <c r="E412" s="60" t="str">
        <f t="shared" si="7"/>
        <v/>
      </c>
    </row>
    <row r="413" spans="1:5">
      <c r="A413" s="60"/>
      <c r="B413" s="58"/>
      <c r="C413" s="60"/>
      <c r="D413" s="60"/>
      <c r="E413" s="60" t="str">
        <f t="shared" si="7"/>
        <v/>
      </c>
    </row>
    <row r="414" spans="1:5">
      <c r="A414" s="60"/>
      <c r="B414" s="58"/>
      <c r="C414" s="60"/>
      <c r="D414" s="60"/>
      <c r="E414" s="60" t="str">
        <f t="shared" si="7"/>
        <v/>
      </c>
    </row>
    <row r="415" spans="1:5">
      <c r="A415" s="60"/>
      <c r="B415" s="58"/>
      <c r="C415" s="60"/>
      <c r="D415" s="60"/>
      <c r="E415" s="60" t="str">
        <f t="shared" si="7"/>
        <v/>
      </c>
    </row>
    <row r="416" spans="1:5">
      <c r="A416" s="60"/>
      <c r="B416" s="58"/>
      <c r="C416" s="60"/>
      <c r="D416" s="60"/>
      <c r="E416" s="60" t="str">
        <f t="shared" si="7"/>
        <v/>
      </c>
    </row>
    <row r="417" spans="1:5">
      <c r="A417" s="60"/>
      <c r="B417" s="58"/>
      <c r="C417" s="60"/>
      <c r="D417" s="60"/>
      <c r="E417" s="60" t="str">
        <f t="shared" si="7"/>
        <v/>
      </c>
    </row>
    <row r="418" spans="1:5">
      <c r="A418" s="60"/>
      <c r="B418" s="58"/>
      <c r="C418" s="60"/>
      <c r="D418" s="60"/>
      <c r="E418" s="60" t="str">
        <f t="shared" si="7"/>
        <v/>
      </c>
    </row>
    <row r="419" spans="1:5">
      <c r="A419" s="60"/>
      <c r="B419" s="58"/>
      <c r="C419" s="60"/>
      <c r="D419" s="60"/>
      <c r="E419" s="60" t="str">
        <f t="shared" si="7"/>
        <v/>
      </c>
    </row>
    <row r="420" spans="1:5">
      <c r="A420" s="60"/>
      <c r="B420" s="58"/>
      <c r="C420" s="60"/>
      <c r="D420" s="60"/>
      <c r="E420" s="60" t="str">
        <f t="shared" si="7"/>
        <v/>
      </c>
    </row>
    <row r="421" spans="1:5">
      <c r="A421" s="60"/>
      <c r="B421" s="58"/>
      <c r="C421" s="60"/>
      <c r="D421" s="60"/>
      <c r="E421" s="60" t="str">
        <f t="shared" si="7"/>
        <v/>
      </c>
    </row>
    <row r="422" spans="1:5">
      <c r="A422" s="60"/>
      <c r="B422" s="58"/>
      <c r="C422" s="60"/>
      <c r="D422" s="60"/>
      <c r="E422" s="60" t="str">
        <f t="shared" si="7"/>
        <v/>
      </c>
    </row>
    <row r="423" spans="1:5">
      <c r="A423" s="60"/>
      <c r="B423" s="58"/>
      <c r="C423" s="60"/>
      <c r="D423" s="60"/>
      <c r="E423" s="60" t="str">
        <f t="shared" si="7"/>
        <v/>
      </c>
    </row>
    <row r="424" spans="1:5">
      <c r="A424" s="60"/>
      <c r="B424" s="58"/>
      <c r="C424" s="60"/>
      <c r="D424" s="60"/>
      <c r="E424" s="60" t="str">
        <f t="shared" si="7"/>
        <v/>
      </c>
    </row>
    <row r="425" spans="1:5">
      <c r="A425" s="60"/>
      <c r="B425" s="58"/>
      <c r="C425" s="60"/>
      <c r="D425" s="60"/>
      <c r="E425" s="60" t="str">
        <f t="shared" si="7"/>
        <v/>
      </c>
    </row>
    <row r="426" spans="1:5">
      <c r="A426" s="60"/>
      <c r="B426" s="58"/>
      <c r="C426" s="60"/>
      <c r="D426" s="60"/>
      <c r="E426" s="60" t="str">
        <f t="shared" si="7"/>
        <v/>
      </c>
    </row>
    <row r="427" spans="1:5">
      <c r="A427" s="60"/>
      <c r="B427" s="58"/>
      <c r="C427" s="60"/>
      <c r="D427" s="60"/>
      <c r="E427" s="60" t="str">
        <f t="shared" si="7"/>
        <v/>
      </c>
    </row>
    <row r="428" spans="1:5">
      <c r="A428" s="60"/>
      <c r="B428" s="58"/>
      <c r="C428" s="60"/>
      <c r="D428" s="60"/>
      <c r="E428" s="60" t="str">
        <f t="shared" si="7"/>
        <v/>
      </c>
    </row>
    <row r="429" spans="1:5">
      <c r="A429" s="60"/>
      <c r="B429" s="58"/>
      <c r="C429" s="60"/>
      <c r="D429" s="60"/>
      <c r="E429" s="60" t="str">
        <f t="shared" si="7"/>
        <v/>
      </c>
    </row>
    <row r="430" spans="1:5">
      <c r="A430" s="60"/>
      <c r="B430" s="58"/>
      <c r="C430" s="60"/>
      <c r="D430" s="60"/>
      <c r="E430" s="60" t="str">
        <f t="shared" si="7"/>
        <v/>
      </c>
    </row>
    <row r="431" spans="1:5">
      <c r="A431" s="60"/>
      <c r="B431" s="58"/>
      <c r="C431" s="60"/>
      <c r="D431" s="60"/>
      <c r="E431" s="60" t="str">
        <f t="shared" si="7"/>
        <v/>
      </c>
    </row>
    <row r="432" spans="1:5">
      <c r="A432" s="60"/>
      <c r="B432" s="58"/>
      <c r="C432" s="60"/>
      <c r="D432" s="60"/>
      <c r="E432" s="60" t="str">
        <f t="shared" si="7"/>
        <v/>
      </c>
    </row>
    <row r="433" spans="1:5">
      <c r="A433" s="60"/>
      <c r="B433" s="58"/>
      <c r="C433" s="60"/>
      <c r="D433" s="60"/>
      <c r="E433" s="60" t="str">
        <f t="shared" si="7"/>
        <v/>
      </c>
    </row>
    <row r="434" spans="1:5">
      <c r="A434" s="60"/>
      <c r="B434" s="58"/>
      <c r="C434" s="60"/>
      <c r="D434" s="60"/>
      <c r="E434" s="60" t="str">
        <f t="shared" si="7"/>
        <v/>
      </c>
    </row>
    <row r="435" spans="1:5">
      <c r="A435" s="60"/>
      <c r="B435" s="58"/>
      <c r="C435" s="60"/>
      <c r="D435" s="60"/>
      <c r="E435" s="60" t="str">
        <f t="shared" si="7"/>
        <v/>
      </c>
    </row>
    <row r="436" spans="1:5">
      <c r="A436" s="60"/>
      <c r="B436" s="58"/>
      <c r="C436" s="60"/>
      <c r="D436" s="60"/>
      <c r="E436" s="60" t="str">
        <f t="shared" si="7"/>
        <v/>
      </c>
    </row>
    <row r="437" spans="1:5">
      <c r="A437" s="60"/>
      <c r="B437" s="58"/>
      <c r="C437" s="60"/>
      <c r="D437" s="60"/>
      <c r="E437" s="60" t="str">
        <f t="shared" si="7"/>
        <v/>
      </c>
    </row>
    <row r="438" spans="1:5">
      <c r="A438" s="60"/>
      <c r="B438" s="58"/>
      <c r="C438" s="60"/>
      <c r="D438" s="60"/>
      <c r="E438" s="60" t="str">
        <f t="shared" si="7"/>
        <v/>
      </c>
    </row>
    <row r="439" spans="1:5">
      <c r="A439" s="60"/>
      <c r="B439" s="58"/>
      <c r="C439" s="60"/>
      <c r="D439" s="60"/>
      <c r="E439" s="60" t="str">
        <f t="shared" si="7"/>
        <v/>
      </c>
    </row>
    <row r="440" spans="1:5">
      <c r="A440" s="60"/>
      <c r="B440" s="58"/>
      <c r="C440" s="60"/>
      <c r="D440" s="60"/>
      <c r="E440" s="60" t="str">
        <f t="shared" si="7"/>
        <v/>
      </c>
    </row>
    <row r="441" spans="1:5">
      <c r="A441" s="60"/>
      <c r="B441" s="58"/>
      <c r="C441" s="60"/>
      <c r="D441" s="60"/>
      <c r="E441" s="60" t="str">
        <f t="shared" si="7"/>
        <v/>
      </c>
    </row>
    <row r="442" spans="1:5">
      <c r="A442" s="60"/>
      <c r="B442" s="58"/>
      <c r="C442" s="60"/>
      <c r="D442" s="60"/>
      <c r="E442" s="60" t="str">
        <f t="shared" si="7"/>
        <v/>
      </c>
    </row>
    <row r="443" spans="1:5">
      <c r="A443" s="60"/>
      <c r="B443" s="58"/>
      <c r="C443" s="60"/>
      <c r="D443" s="60"/>
      <c r="E443" s="60" t="str">
        <f t="shared" si="7"/>
        <v/>
      </c>
    </row>
    <row r="444" spans="1:5">
      <c r="A444" s="60"/>
      <c r="B444" s="58"/>
      <c r="C444" s="60"/>
      <c r="D444" s="60"/>
      <c r="E444" s="60" t="str">
        <f t="shared" si="7"/>
        <v/>
      </c>
    </row>
    <row r="445" spans="1:5">
      <c r="A445" s="60"/>
      <c r="B445" s="58"/>
      <c r="C445" s="60"/>
      <c r="D445" s="60"/>
      <c r="E445" s="60" t="str">
        <f t="shared" si="7"/>
        <v/>
      </c>
    </row>
    <row r="446" spans="1:5">
      <c r="A446" s="60"/>
      <c r="B446" s="58"/>
      <c r="C446" s="60"/>
      <c r="D446" s="60"/>
      <c r="E446" s="60" t="str">
        <f t="shared" si="7"/>
        <v/>
      </c>
    </row>
    <row r="447" spans="1:5">
      <c r="A447" s="60"/>
      <c r="B447" s="58"/>
      <c r="C447" s="60"/>
      <c r="D447" s="60"/>
      <c r="E447" s="60" t="str">
        <f t="shared" si="7"/>
        <v/>
      </c>
    </row>
    <row r="448" spans="1:5">
      <c r="A448" s="60"/>
      <c r="B448" s="58"/>
      <c r="C448" s="60"/>
      <c r="D448" s="60"/>
      <c r="E448" s="60" t="str">
        <f t="shared" si="7"/>
        <v/>
      </c>
    </row>
    <row r="449" spans="1:5">
      <c r="A449" s="60"/>
      <c r="B449" s="58"/>
      <c r="C449" s="60"/>
      <c r="D449" s="60"/>
      <c r="E449" s="60" t="str">
        <f t="shared" si="7"/>
        <v/>
      </c>
    </row>
    <row r="450" spans="1:5">
      <c r="A450" s="60"/>
      <c r="B450" s="58"/>
      <c r="C450" s="60"/>
      <c r="D450" s="60"/>
      <c r="E450" s="60" t="str">
        <f t="shared" si="7"/>
        <v/>
      </c>
    </row>
    <row r="451" spans="1:5">
      <c r="A451" s="60"/>
      <c r="B451" s="58"/>
      <c r="C451" s="60"/>
      <c r="D451" s="60"/>
      <c r="E451" s="60" t="str">
        <f t="shared" si="7"/>
        <v/>
      </c>
    </row>
    <row r="452" spans="1:5">
      <c r="A452" s="60"/>
      <c r="B452" s="58"/>
      <c r="C452" s="60"/>
      <c r="D452" s="60"/>
      <c r="E452" s="60" t="str">
        <f t="shared" si="7"/>
        <v/>
      </c>
    </row>
    <row r="453" spans="1:5">
      <c r="A453" s="60"/>
      <c r="B453" s="58"/>
      <c r="C453" s="60"/>
      <c r="D453" s="60"/>
      <c r="E453" s="60" t="str">
        <f t="shared" ref="E453:E516" si="8">IFERROR(VLOOKUP(D453,T_Indices,5,FALSE),"")</f>
        <v/>
      </c>
    </row>
    <row r="454" spans="1:5">
      <c r="A454" s="60"/>
      <c r="B454" s="58"/>
      <c r="C454" s="60"/>
      <c r="D454" s="60"/>
      <c r="E454" s="60" t="str">
        <f t="shared" si="8"/>
        <v/>
      </c>
    </row>
    <row r="455" spans="1:5">
      <c r="A455" s="60"/>
      <c r="B455" s="58"/>
      <c r="C455" s="60"/>
      <c r="D455" s="60"/>
      <c r="E455" s="60" t="str">
        <f t="shared" si="8"/>
        <v/>
      </c>
    </row>
    <row r="456" spans="1:5">
      <c r="A456" s="60"/>
      <c r="B456" s="58"/>
      <c r="C456" s="60"/>
      <c r="D456" s="60"/>
      <c r="E456" s="60" t="str">
        <f t="shared" si="8"/>
        <v/>
      </c>
    </row>
    <row r="457" spans="1:5">
      <c r="A457" s="60"/>
      <c r="B457" s="58"/>
      <c r="C457" s="60"/>
      <c r="D457" s="60"/>
      <c r="E457" s="60" t="str">
        <f t="shared" si="8"/>
        <v/>
      </c>
    </row>
    <row r="458" spans="1:5">
      <c r="A458" s="60"/>
      <c r="B458" s="58"/>
      <c r="C458" s="60"/>
      <c r="D458" s="60"/>
      <c r="E458" s="60" t="str">
        <f t="shared" si="8"/>
        <v/>
      </c>
    </row>
    <row r="459" spans="1:5">
      <c r="A459" s="60"/>
      <c r="B459" s="58"/>
      <c r="C459" s="60"/>
      <c r="D459" s="60"/>
      <c r="E459" s="60" t="str">
        <f t="shared" si="8"/>
        <v/>
      </c>
    </row>
    <row r="460" spans="1:5">
      <c r="A460" s="60"/>
      <c r="B460" s="58"/>
      <c r="C460" s="60"/>
      <c r="D460" s="60"/>
      <c r="E460" s="60" t="str">
        <f t="shared" si="8"/>
        <v/>
      </c>
    </row>
    <row r="461" spans="1:5">
      <c r="A461" s="60"/>
      <c r="B461" s="58"/>
      <c r="C461" s="60"/>
      <c r="D461" s="60"/>
      <c r="E461" s="60" t="str">
        <f t="shared" si="8"/>
        <v/>
      </c>
    </row>
    <row r="462" spans="1:5">
      <c r="A462" s="60"/>
      <c r="B462" s="58"/>
      <c r="C462" s="60"/>
      <c r="D462" s="60"/>
      <c r="E462" s="60" t="str">
        <f t="shared" si="8"/>
        <v/>
      </c>
    </row>
    <row r="463" spans="1:5">
      <c r="A463" s="60"/>
      <c r="B463" s="58"/>
      <c r="C463" s="60"/>
      <c r="D463" s="60"/>
      <c r="E463" s="60" t="str">
        <f t="shared" si="8"/>
        <v/>
      </c>
    </row>
    <row r="464" spans="1:5">
      <c r="A464" s="60"/>
      <c r="B464" s="58"/>
      <c r="C464" s="60"/>
      <c r="D464" s="60"/>
      <c r="E464" s="60" t="str">
        <f t="shared" si="8"/>
        <v/>
      </c>
    </row>
    <row r="465" spans="1:5">
      <c r="A465" s="60"/>
      <c r="B465" s="58"/>
      <c r="C465" s="60"/>
      <c r="D465" s="60"/>
      <c r="E465" s="60" t="str">
        <f t="shared" si="8"/>
        <v/>
      </c>
    </row>
    <row r="466" spans="1:5">
      <c r="A466" s="60"/>
      <c r="B466" s="58"/>
      <c r="C466" s="60"/>
      <c r="D466" s="60"/>
      <c r="E466" s="60" t="str">
        <f t="shared" si="8"/>
        <v/>
      </c>
    </row>
    <row r="467" spans="1:5">
      <c r="A467" s="60"/>
      <c r="B467" s="58"/>
      <c r="C467" s="60"/>
      <c r="D467" s="60"/>
      <c r="E467" s="60" t="str">
        <f t="shared" si="8"/>
        <v/>
      </c>
    </row>
    <row r="468" spans="1:5">
      <c r="A468" s="60"/>
      <c r="B468" s="58"/>
      <c r="C468" s="60"/>
      <c r="D468" s="60"/>
      <c r="E468" s="60" t="str">
        <f t="shared" si="8"/>
        <v/>
      </c>
    </row>
    <row r="469" spans="1:5">
      <c r="A469" s="60"/>
      <c r="B469" s="58"/>
      <c r="C469" s="60"/>
      <c r="D469" s="60"/>
      <c r="E469" s="60" t="str">
        <f t="shared" si="8"/>
        <v/>
      </c>
    </row>
    <row r="470" spans="1:5">
      <c r="A470" s="60"/>
      <c r="B470" s="58"/>
      <c r="C470" s="60"/>
      <c r="D470" s="60"/>
      <c r="E470" s="60" t="str">
        <f t="shared" si="8"/>
        <v/>
      </c>
    </row>
    <row r="471" spans="1:5">
      <c r="A471" s="60"/>
      <c r="B471" s="58"/>
      <c r="C471" s="60"/>
      <c r="D471" s="60"/>
      <c r="E471" s="60" t="str">
        <f t="shared" si="8"/>
        <v/>
      </c>
    </row>
    <row r="472" spans="1:5">
      <c r="A472" s="60"/>
      <c r="B472" s="58"/>
      <c r="C472" s="60"/>
      <c r="D472" s="60"/>
      <c r="E472" s="60" t="str">
        <f t="shared" si="8"/>
        <v/>
      </c>
    </row>
    <row r="473" spans="1:5">
      <c r="A473" s="60"/>
      <c r="B473" s="58"/>
      <c r="C473" s="60"/>
      <c r="D473" s="60"/>
      <c r="E473" s="60" t="str">
        <f t="shared" si="8"/>
        <v/>
      </c>
    </row>
    <row r="474" spans="1:5">
      <c r="A474" s="60"/>
      <c r="B474" s="58"/>
      <c r="C474" s="60"/>
      <c r="D474" s="60"/>
      <c r="E474" s="60" t="str">
        <f t="shared" si="8"/>
        <v/>
      </c>
    </row>
    <row r="475" spans="1:5">
      <c r="A475" s="60"/>
      <c r="B475" s="58"/>
      <c r="C475" s="60"/>
      <c r="D475" s="60"/>
      <c r="E475" s="60" t="str">
        <f t="shared" si="8"/>
        <v/>
      </c>
    </row>
    <row r="476" spans="1:5">
      <c r="A476" s="60"/>
      <c r="B476" s="58"/>
      <c r="C476" s="60"/>
      <c r="D476" s="60"/>
      <c r="E476" s="60" t="str">
        <f t="shared" si="8"/>
        <v/>
      </c>
    </row>
    <row r="477" spans="1:5">
      <c r="A477" s="60"/>
      <c r="B477" s="58"/>
      <c r="C477" s="60"/>
      <c r="D477" s="60"/>
      <c r="E477" s="60" t="str">
        <f t="shared" si="8"/>
        <v/>
      </c>
    </row>
    <row r="478" spans="1:5">
      <c r="A478" s="60"/>
      <c r="B478" s="58"/>
      <c r="C478" s="60"/>
      <c r="D478" s="60"/>
      <c r="E478" s="60" t="str">
        <f t="shared" si="8"/>
        <v/>
      </c>
    </row>
    <row r="479" spans="1:5">
      <c r="A479" s="60"/>
      <c r="B479" s="58"/>
      <c r="C479" s="60"/>
      <c r="D479" s="60"/>
      <c r="E479" s="60" t="str">
        <f t="shared" si="8"/>
        <v/>
      </c>
    </row>
    <row r="480" spans="1:5">
      <c r="A480" s="60"/>
      <c r="B480" s="58"/>
      <c r="C480" s="60"/>
      <c r="D480" s="60"/>
      <c r="E480" s="60" t="str">
        <f t="shared" si="8"/>
        <v/>
      </c>
    </row>
    <row r="481" spans="1:5">
      <c r="A481" s="60"/>
      <c r="B481" s="58"/>
      <c r="C481" s="60"/>
      <c r="D481" s="60"/>
      <c r="E481" s="60" t="str">
        <f t="shared" si="8"/>
        <v/>
      </c>
    </row>
    <row r="482" spans="1:5">
      <c r="A482" s="60"/>
      <c r="B482" s="58"/>
      <c r="C482" s="60"/>
      <c r="D482" s="60"/>
      <c r="E482" s="60" t="str">
        <f t="shared" si="8"/>
        <v/>
      </c>
    </row>
    <row r="483" spans="1:5">
      <c r="A483" s="60"/>
      <c r="B483" s="58"/>
      <c r="C483" s="60"/>
      <c r="D483" s="60"/>
      <c r="E483" s="60" t="str">
        <f t="shared" si="8"/>
        <v/>
      </c>
    </row>
    <row r="484" spans="1:5">
      <c r="A484" s="60"/>
      <c r="B484" s="58"/>
      <c r="C484" s="60"/>
      <c r="D484" s="60"/>
      <c r="E484" s="60" t="str">
        <f t="shared" si="8"/>
        <v/>
      </c>
    </row>
    <row r="485" spans="1:5">
      <c r="A485" s="60"/>
      <c r="B485" s="58"/>
      <c r="C485" s="60"/>
      <c r="D485" s="60"/>
      <c r="E485" s="60" t="str">
        <f t="shared" si="8"/>
        <v/>
      </c>
    </row>
    <row r="486" spans="1:5">
      <c r="A486" s="60"/>
      <c r="B486" s="58"/>
      <c r="C486" s="60"/>
      <c r="D486" s="60"/>
      <c r="E486" s="60" t="str">
        <f t="shared" si="8"/>
        <v/>
      </c>
    </row>
    <row r="487" spans="1:5">
      <c r="A487" s="60"/>
      <c r="B487" s="58"/>
      <c r="C487" s="60"/>
      <c r="D487" s="60"/>
      <c r="E487" s="60" t="str">
        <f t="shared" si="8"/>
        <v/>
      </c>
    </row>
    <row r="488" spans="1:5">
      <c r="A488" s="60"/>
      <c r="B488" s="58"/>
      <c r="C488" s="60"/>
      <c r="D488" s="60"/>
      <c r="E488" s="60" t="str">
        <f t="shared" si="8"/>
        <v/>
      </c>
    </row>
    <row r="489" spans="1:5">
      <c r="A489" s="60"/>
      <c r="B489" s="58"/>
      <c r="C489" s="60"/>
      <c r="D489" s="60"/>
      <c r="E489" s="60" t="str">
        <f t="shared" si="8"/>
        <v/>
      </c>
    </row>
    <row r="490" spans="1:5">
      <c r="A490" s="60"/>
      <c r="B490" s="58"/>
      <c r="C490" s="60"/>
      <c r="D490" s="60"/>
      <c r="E490" s="60" t="str">
        <f t="shared" si="8"/>
        <v/>
      </c>
    </row>
    <row r="491" spans="1:5">
      <c r="A491" s="60"/>
      <c r="B491" s="58"/>
      <c r="C491" s="60"/>
      <c r="D491" s="60"/>
      <c r="E491" s="60" t="str">
        <f t="shared" si="8"/>
        <v/>
      </c>
    </row>
    <row r="492" spans="1:5">
      <c r="A492" s="60"/>
      <c r="B492" s="58"/>
      <c r="C492" s="60"/>
      <c r="D492" s="60"/>
      <c r="E492" s="60" t="str">
        <f t="shared" si="8"/>
        <v/>
      </c>
    </row>
    <row r="493" spans="1:5">
      <c r="A493" s="60"/>
      <c r="B493" s="58"/>
      <c r="C493" s="60"/>
      <c r="D493" s="60"/>
      <c r="E493" s="60" t="str">
        <f t="shared" si="8"/>
        <v/>
      </c>
    </row>
    <row r="494" spans="1:5">
      <c r="A494" s="60"/>
      <c r="B494" s="58"/>
      <c r="C494" s="60"/>
      <c r="D494" s="60"/>
      <c r="E494" s="60" t="str">
        <f t="shared" si="8"/>
        <v/>
      </c>
    </row>
    <row r="495" spans="1:5">
      <c r="A495" s="60"/>
      <c r="B495" s="58"/>
      <c r="C495" s="60"/>
      <c r="D495" s="60"/>
      <c r="E495" s="60" t="str">
        <f t="shared" si="8"/>
        <v/>
      </c>
    </row>
    <row r="496" spans="1:5">
      <c r="A496" s="60"/>
      <c r="B496" s="58"/>
      <c r="C496" s="60"/>
      <c r="D496" s="60"/>
      <c r="E496" s="60" t="str">
        <f t="shared" si="8"/>
        <v/>
      </c>
    </row>
    <row r="497" spans="1:5">
      <c r="A497" s="60"/>
      <c r="B497" s="58"/>
      <c r="C497" s="60"/>
      <c r="D497" s="60"/>
      <c r="E497" s="60" t="str">
        <f t="shared" si="8"/>
        <v/>
      </c>
    </row>
    <row r="498" spans="1:5">
      <c r="A498" s="60"/>
      <c r="B498" s="58"/>
      <c r="C498" s="60"/>
      <c r="D498" s="60"/>
      <c r="E498" s="60" t="str">
        <f t="shared" si="8"/>
        <v/>
      </c>
    </row>
    <row r="499" spans="1:5">
      <c r="A499" s="60"/>
      <c r="B499" s="58"/>
      <c r="C499" s="60"/>
      <c r="D499" s="60"/>
      <c r="E499" s="60" t="str">
        <f t="shared" si="8"/>
        <v/>
      </c>
    </row>
    <row r="500" spans="1:5">
      <c r="A500" s="60"/>
      <c r="B500" s="58"/>
      <c r="C500" s="60"/>
      <c r="D500" s="60"/>
      <c r="E500" s="60" t="str">
        <f t="shared" si="8"/>
        <v/>
      </c>
    </row>
    <row r="501" spans="1:5">
      <c r="A501" s="60"/>
      <c r="B501" s="58"/>
      <c r="C501" s="60"/>
      <c r="D501" s="60"/>
      <c r="E501" s="60" t="str">
        <f t="shared" si="8"/>
        <v/>
      </c>
    </row>
    <row r="502" spans="1:5">
      <c r="A502" s="60"/>
      <c r="B502" s="58"/>
      <c r="C502" s="60"/>
      <c r="D502" s="60"/>
      <c r="E502" s="60" t="str">
        <f t="shared" si="8"/>
        <v/>
      </c>
    </row>
    <row r="503" spans="1:5">
      <c r="A503" s="60"/>
      <c r="B503" s="58"/>
      <c r="C503" s="60"/>
      <c r="D503" s="60"/>
      <c r="E503" s="60" t="str">
        <f t="shared" si="8"/>
        <v/>
      </c>
    </row>
    <row r="504" spans="1:5">
      <c r="A504" s="60"/>
      <c r="B504" s="58"/>
      <c r="C504" s="60"/>
      <c r="D504" s="60"/>
      <c r="E504" s="60" t="str">
        <f t="shared" si="8"/>
        <v/>
      </c>
    </row>
    <row r="505" spans="1:5">
      <c r="A505" s="60"/>
      <c r="B505" s="58"/>
      <c r="C505" s="60"/>
      <c r="D505" s="60"/>
      <c r="E505" s="60" t="str">
        <f t="shared" si="8"/>
        <v/>
      </c>
    </row>
    <row r="506" spans="1:5">
      <c r="A506" s="60"/>
      <c r="B506" s="58"/>
      <c r="C506" s="60"/>
      <c r="D506" s="60"/>
      <c r="E506" s="60" t="str">
        <f t="shared" si="8"/>
        <v/>
      </c>
    </row>
    <row r="507" spans="1:5">
      <c r="A507" s="60"/>
      <c r="B507" s="58"/>
      <c r="C507" s="60"/>
      <c r="D507" s="60"/>
      <c r="E507" s="60" t="str">
        <f t="shared" si="8"/>
        <v/>
      </c>
    </row>
    <row r="508" spans="1:5">
      <c r="A508" s="60"/>
      <c r="B508" s="58"/>
      <c r="C508" s="60"/>
      <c r="D508" s="60"/>
      <c r="E508" s="60" t="str">
        <f t="shared" si="8"/>
        <v/>
      </c>
    </row>
    <row r="509" spans="1:5">
      <c r="A509" s="60"/>
      <c r="B509" s="58"/>
      <c r="C509" s="60"/>
      <c r="D509" s="60"/>
      <c r="E509" s="60" t="str">
        <f t="shared" si="8"/>
        <v/>
      </c>
    </row>
    <row r="510" spans="1:5">
      <c r="A510" s="60"/>
      <c r="B510" s="58"/>
      <c r="C510" s="60"/>
      <c r="D510" s="60"/>
      <c r="E510" s="60" t="str">
        <f t="shared" si="8"/>
        <v/>
      </c>
    </row>
    <row r="511" spans="1:5">
      <c r="A511" s="60"/>
      <c r="B511" s="58"/>
      <c r="C511" s="60"/>
      <c r="D511" s="60"/>
      <c r="E511" s="60" t="str">
        <f t="shared" si="8"/>
        <v/>
      </c>
    </row>
    <row r="512" spans="1:5">
      <c r="A512" s="60"/>
      <c r="B512" s="58"/>
      <c r="C512" s="60"/>
      <c r="D512" s="60"/>
      <c r="E512" s="60" t="str">
        <f t="shared" si="8"/>
        <v/>
      </c>
    </row>
    <row r="513" spans="1:5">
      <c r="A513" s="60"/>
      <c r="B513" s="58"/>
      <c r="C513" s="60"/>
      <c r="D513" s="60"/>
      <c r="E513" s="60" t="str">
        <f t="shared" si="8"/>
        <v/>
      </c>
    </row>
    <row r="514" spans="1:5">
      <c r="A514" s="60"/>
      <c r="B514" s="58"/>
      <c r="C514" s="60"/>
      <c r="D514" s="60"/>
      <c r="E514" s="60" t="str">
        <f t="shared" si="8"/>
        <v/>
      </c>
    </row>
    <row r="515" spans="1:5">
      <c r="A515" s="60"/>
      <c r="B515" s="58"/>
      <c r="C515" s="60"/>
      <c r="D515" s="60"/>
      <c r="E515" s="60" t="str">
        <f t="shared" si="8"/>
        <v/>
      </c>
    </row>
    <row r="516" spans="1:5">
      <c r="A516" s="60"/>
      <c r="B516" s="58"/>
      <c r="C516" s="60"/>
      <c r="D516" s="60"/>
      <c r="E516" s="60" t="str">
        <f t="shared" si="8"/>
        <v/>
      </c>
    </row>
    <row r="517" spans="1:5">
      <c r="A517" s="60"/>
      <c r="B517" s="58"/>
      <c r="C517" s="60"/>
      <c r="D517" s="60"/>
      <c r="E517" s="60" t="str">
        <f t="shared" ref="E517:E545" si="9">IFERROR(VLOOKUP(D517,T_Indices,5,FALSE),"")</f>
        <v/>
      </c>
    </row>
    <row r="518" spans="1:5">
      <c r="A518" s="60"/>
      <c r="B518" s="58"/>
      <c r="C518" s="60"/>
      <c r="D518" s="60"/>
      <c r="E518" s="60" t="str">
        <f t="shared" si="9"/>
        <v/>
      </c>
    </row>
    <row r="519" spans="1:5">
      <c r="A519" s="60"/>
      <c r="B519" s="58"/>
      <c r="C519" s="60"/>
      <c r="D519" s="60"/>
      <c r="E519" s="60" t="str">
        <f t="shared" si="9"/>
        <v/>
      </c>
    </row>
    <row r="520" spans="1:5">
      <c r="A520" s="60"/>
      <c r="B520" s="58"/>
      <c r="C520" s="60"/>
      <c r="D520" s="60"/>
      <c r="E520" s="60" t="str">
        <f t="shared" si="9"/>
        <v/>
      </c>
    </row>
    <row r="521" spans="1:5">
      <c r="A521" s="60"/>
      <c r="B521" s="58"/>
      <c r="C521" s="60"/>
      <c r="D521" s="60"/>
      <c r="E521" s="60" t="str">
        <f t="shared" si="9"/>
        <v/>
      </c>
    </row>
    <row r="522" spans="1:5">
      <c r="A522" s="60"/>
      <c r="B522" s="58"/>
      <c r="C522" s="60"/>
      <c r="D522" s="60"/>
      <c r="E522" s="60" t="str">
        <f t="shared" si="9"/>
        <v/>
      </c>
    </row>
    <row r="523" spans="1:5">
      <c r="A523" s="60"/>
      <c r="B523" s="58"/>
      <c r="C523" s="60"/>
      <c r="D523" s="60"/>
      <c r="E523" s="60" t="str">
        <f t="shared" si="9"/>
        <v/>
      </c>
    </row>
    <row r="524" spans="1:5">
      <c r="A524" s="60"/>
      <c r="B524" s="58"/>
      <c r="C524" s="60"/>
      <c r="D524" s="60"/>
      <c r="E524" s="60" t="str">
        <f t="shared" si="9"/>
        <v/>
      </c>
    </row>
    <row r="525" spans="1:5">
      <c r="A525" s="60"/>
      <c r="B525" s="58"/>
      <c r="C525" s="60"/>
      <c r="D525" s="60"/>
      <c r="E525" s="60" t="str">
        <f t="shared" si="9"/>
        <v/>
      </c>
    </row>
    <row r="526" spans="1:5">
      <c r="A526" s="60"/>
      <c r="B526" s="58"/>
      <c r="C526" s="60"/>
      <c r="D526" s="60"/>
      <c r="E526" s="60" t="str">
        <f t="shared" si="9"/>
        <v/>
      </c>
    </row>
    <row r="527" spans="1:5">
      <c r="A527" s="60"/>
      <c r="B527" s="58"/>
      <c r="C527" s="60"/>
      <c r="D527" s="60"/>
      <c r="E527" s="60" t="str">
        <f t="shared" si="9"/>
        <v/>
      </c>
    </row>
    <row r="528" spans="1:5">
      <c r="A528" s="60"/>
      <c r="B528" s="58"/>
      <c r="C528" s="60"/>
      <c r="D528" s="60"/>
      <c r="E528" s="60" t="str">
        <f t="shared" si="9"/>
        <v/>
      </c>
    </row>
    <row r="529" spans="1:5">
      <c r="A529" s="60"/>
      <c r="B529" s="58"/>
      <c r="C529" s="60"/>
      <c r="D529" s="60"/>
      <c r="E529" s="60" t="str">
        <f t="shared" si="9"/>
        <v/>
      </c>
    </row>
    <row r="530" spans="1:5">
      <c r="A530" s="60"/>
      <c r="B530" s="58"/>
      <c r="C530" s="60"/>
      <c r="D530" s="60"/>
      <c r="E530" s="60" t="str">
        <f t="shared" si="9"/>
        <v/>
      </c>
    </row>
    <row r="531" spans="1:5">
      <c r="A531" s="60"/>
      <c r="B531" s="58"/>
      <c r="C531" s="60"/>
      <c r="D531" s="60"/>
      <c r="E531" s="60" t="str">
        <f t="shared" si="9"/>
        <v/>
      </c>
    </row>
    <row r="532" spans="1:5">
      <c r="A532" s="60"/>
      <c r="B532" s="58"/>
      <c r="C532" s="60"/>
      <c r="D532" s="60"/>
      <c r="E532" s="60" t="str">
        <f t="shared" si="9"/>
        <v/>
      </c>
    </row>
    <row r="533" spans="1:5">
      <c r="A533" s="60"/>
      <c r="B533" s="58"/>
      <c r="C533" s="60"/>
      <c r="D533" s="60"/>
      <c r="E533" s="60" t="str">
        <f t="shared" si="9"/>
        <v/>
      </c>
    </row>
    <row r="534" spans="1:5">
      <c r="A534" s="60"/>
      <c r="B534" s="58"/>
      <c r="C534" s="60"/>
      <c r="D534" s="60"/>
      <c r="E534" s="60" t="str">
        <f t="shared" si="9"/>
        <v/>
      </c>
    </row>
    <row r="535" spans="1:5">
      <c r="A535" s="60"/>
      <c r="B535" s="58"/>
      <c r="C535" s="60"/>
      <c r="D535" s="60"/>
      <c r="E535" s="60" t="str">
        <f t="shared" si="9"/>
        <v/>
      </c>
    </row>
    <row r="536" spans="1:5">
      <c r="A536" s="60"/>
      <c r="B536" s="58"/>
      <c r="C536" s="60"/>
      <c r="D536" s="60"/>
      <c r="E536" s="60" t="str">
        <f t="shared" si="9"/>
        <v/>
      </c>
    </row>
    <row r="537" spans="1:5">
      <c r="A537" s="60"/>
      <c r="B537" s="58"/>
      <c r="C537" s="60"/>
      <c r="D537" s="60"/>
      <c r="E537" s="60" t="str">
        <f t="shared" si="9"/>
        <v/>
      </c>
    </row>
    <row r="538" spans="1:5">
      <c r="A538" s="60"/>
      <c r="B538" s="58"/>
      <c r="C538" s="60"/>
      <c r="D538" s="60"/>
      <c r="E538" s="60" t="str">
        <f t="shared" si="9"/>
        <v/>
      </c>
    </row>
    <row r="539" spans="1:5">
      <c r="A539" s="60"/>
      <c r="B539" s="58"/>
      <c r="C539" s="60"/>
      <c r="D539" s="60"/>
      <c r="E539" s="60" t="str">
        <f t="shared" si="9"/>
        <v/>
      </c>
    </row>
    <row r="540" spans="1:5">
      <c r="A540" s="60"/>
      <c r="B540" s="58"/>
      <c r="C540" s="60"/>
      <c r="D540" s="60"/>
      <c r="E540" s="60" t="str">
        <f t="shared" si="9"/>
        <v/>
      </c>
    </row>
    <row r="541" spans="1:5">
      <c r="A541" s="60"/>
      <c r="B541" s="58"/>
      <c r="C541" s="60"/>
      <c r="D541" s="60"/>
      <c r="E541" s="60" t="str">
        <f t="shared" si="9"/>
        <v/>
      </c>
    </row>
    <row r="542" spans="1:5">
      <c r="A542" s="60"/>
      <c r="B542" s="58"/>
      <c r="C542" s="60"/>
      <c r="D542" s="60"/>
      <c r="E542" s="60" t="str">
        <f t="shared" si="9"/>
        <v/>
      </c>
    </row>
    <row r="543" spans="1:5">
      <c r="A543" s="60"/>
      <c r="B543" s="58"/>
      <c r="C543" s="60"/>
      <c r="D543" s="60"/>
      <c r="E543" s="60" t="str">
        <f t="shared" si="9"/>
        <v/>
      </c>
    </row>
    <row r="544" spans="1:5">
      <c r="A544" s="60"/>
      <c r="B544" s="58"/>
      <c r="C544" s="60"/>
      <c r="D544" s="60"/>
      <c r="E544" s="60" t="str">
        <f t="shared" si="9"/>
        <v/>
      </c>
    </row>
    <row r="545" spans="1:5">
      <c r="A545" s="60"/>
      <c r="B545" s="58"/>
      <c r="C545" s="60"/>
      <c r="D545" s="60"/>
      <c r="E545" s="60" t="str">
        <f t="shared" si="9"/>
        <v/>
      </c>
    </row>
  </sheetData>
  <sortState ref="A33:G320">
    <sortCondition ref="A33:A32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activeCell="C29" sqref="C29"/>
    </sheetView>
  </sheetViews>
  <sheetFormatPr baseColWidth="10" defaultColWidth="11.42578125" defaultRowHeight="12.75"/>
  <cols>
    <col min="1" max="1" width="33.7109375" style="590" customWidth="1"/>
    <col min="2" max="2" width="15.85546875" style="590" customWidth="1"/>
    <col min="3" max="4" width="13.85546875" style="590" customWidth="1"/>
    <col min="5" max="5" width="15.140625" style="590" customWidth="1"/>
    <col min="6" max="9" width="13.85546875" style="590" customWidth="1"/>
    <col min="10" max="10" width="16.7109375" style="590" customWidth="1"/>
    <col min="11" max="11" width="13.85546875" style="590" customWidth="1"/>
    <col min="12" max="14" width="11.42578125" style="590"/>
    <col min="15" max="15" width="49.85546875" style="590" bestFit="1" customWidth="1"/>
    <col min="16" max="16384" width="11.42578125" style="590"/>
  </cols>
  <sheetData>
    <row r="1" spans="1:17">
      <c r="A1" s="590" t="s">
        <v>2070</v>
      </c>
    </row>
    <row r="2" spans="1:17">
      <c r="A2" s="590" t="s">
        <v>2069</v>
      </c>
    </row>
    <row r="3" spans="1:17">
      <c r="A3" s="590" t="s">
        <v>2067</v>
      </c>
    </row>
    <row r="4" spans="1:17">
      <c r="A4" s="590" t="s">
        <v>2068</v>
      </c>
    </row>
    <row r="6" spans="1:17" ht="15.75">
      <c r="A6" s="655" t="s">
        <v>1813</v>
      </c>
      <c r="B6" s="655"/>
      <c r="C6" s="655"/>
      <c r="D6" s="655"/>
      <c r="E6" s="655"/>
      <c r="F6" s="655"/>
      <c r="G6" s="655"/>
      <c r="H6" s="655"/>
      <c r="I6" s="655"/>
      <c r="J6" s="655"/>
      <c r="K6" s="655"/>
      <c r="O6" s="590" t="s">
        <v>1833</v>
      </c>
      <c r="P6" s="590">
        <v>140</v>
      </c>
      <c r="Q6" s="590">
        <v>900000</v>
      </c>
    </row>
    <row r="7" spans="1:17">
      <c r="O7" s="590" t="s">
        <v>1834</v>
      </c>
      <c r="P7" s="590">
        <v>140</v>
      </c>
      <c r="Q7" s="590">
        <v>1260000</v>
      </c>
    </row>
    <row r="8" spans="1:17" s="572" customFormat="1" ht="38.25">
      <c r="A8" s="585" t="s">
        <v>1814</v>
      </c>
      <c r="B8" s="585" t="s">
        <v>1815</v>
      </c>
      <c r="C8" s="585" t="s">
        <v>1816</v>
      </c>
      <c r="D8" s="585" t="s">
        <v>1817</v>
      </c>
      <c r="E8" s="585" t="s">
        <v>1824</v>
      </c>
      <c r="F8" s="585" t="s">
        <v>1818</v>
      </c>
      <c r="G8" s="585" t="s">
        <v>1819</v>
      </c>
      <c r="H8" s="585" t="s">
        <v>1820</v>
      </c>
      <c r="I8" s="585" t="s">
        <v>1821</v>
      </c>
      <c r="J8" s="585" t="s">
        <v>1822</v>
      </c>
      <c r="K8" s="585" t="s">
        <v>1823</v>
      </c>
      <c r="O8" s="590" t="s">
        <v>1838</v>
      </c>
      <c r="P8" s="590">
        <v>140</v>
      </c>
      <c r="Q8" s="590">
        <v>1080000</v>
      </c>
    </row>
    <row r="9" spans="1:17" s="572" customFormat="1">
      <c r="A9" s="586" t="s">
        <v>1852</v>
      </c>
      <c r="B9" s="585"/>
      <c r="C9" s="585"/>
      <c r="D9" s="585"/>
      <c r="E9" s="585"/>
      <c r="F9" s="585"/>
      <c r="G9" s="585"/>
      <c r="H9" s="585"/>
      <c r="I9" s="585"/>
      <c r="J9" s="585"/>
      <c r="K9" s="585"/>
      <c r="O9" s="590"/>
      <c r="P9" s="590"/>
      <c r="Q9" s="590"/>
    </row>
    <row r="10" spans="1:17">
      <c r="A10" s="587"/>
      <c r="B10" s="587"/>
      <c r="C10" s="587"/>
      <c r="D10" s="588"/>
      <c r="E10" s="589"/>
      <c r="F10" s="587"/>
      <c r="G10" s="587"/>
      <c r="H10" s="587"/>
      <c r="I10" s="587"/>
      <c r="J10" s="587"/>
      <c r="K10" s="587"/>
      <c r="O10" s="590" t="s">
        <v>360</v>
      </c>
      <c r="P10" s="590">
        <v>110</v>
      </c>
      <c r="Q10" s="590">
        <v>630000</v>
      </c>
    </row>
    <row r="11" spans="1:17">
      <c r="A11" s="587"/>
      <c r="B11" s="587"/>
      <c r="C11" s="587"/>
      <c r="D11" s="588"/>
      <c r="E11" s="589"/>
      <c r="F11" s="587"/>
      <c r="G11" s="587"/>
      <c r="H11" s="587"/>
      <c r="I11" s="587"/>
      <c r="J11" s="587"/>
      <c r="K11" s="587"/>
      <c r="O11" s="590" t="s">
        <v>1826</v>
      </c>
      <c r="P11" s="590">
        <v>160</v>
      </c>
      <c r="Q11" s="590">
        <v>1260000</v>
      </c>
    </row>
    <row r="12" spans="1:17">
      <c r="A12" s="587"/>
      <c r="B12" s="587"/>
      <c r="C12" s="587"/>
      <c r="D12" s="588"/>
      <c r="E12" s="589"/>
      <c r="F12" s="587"/>
      <c r="G12" s="587"/>
      <c r="H12" s="587"/>
      <c r="I12" s="587"/>
      <c r="J12" s="587"/>
      <c r="K12" s="587"/>
      <c r="O12" s="590" t="s">
        <v>1840</v>
      </c>
      <c r="P12" s="590">
        <v>360</v>
      </c>
      <c r="Q12" s="590">
        <v>1800000</v>
      </c>
    </row>
    <row r="13" spans="1:17">
      <c r="A13" s="587"/>
      <c r="B13" s="587"/>
      <c r="C13" s="587"/>
      <c r="D13" s="588"/>
      <c r="E13" s="589"/>
      <c r="F13" s="587"/>
      <c r="G13" s="587"/>
      <c r="H13" s="587"/>
      <c r="I13" s="587"/>
      <c r="J13" s="587"/>
      <c r="K13" s="587"/>
      <c r="O13" s="590" t="s">
        <v>1839</v>
      </c>
      <c r="P13" s="590">
        <v>120</v>
      </c>
      <c r="Q13" s="590">
        <v>270000</v>
      </c>
    </row>
    <row r="14" spans="1:17">
      <c r="A14" s="587"/>
      <c r="B14" s="587"/>
      <c r="C14" s="587"/>
      <c r="D14" s="588"/>
      <c r="E14" s="589"/>
      <c r="F14" s="587"/>
      <c r="G14" s="587"/>
      <c r="H14" s="587"/>
      <c r="I14" s="587"/>
      <c r="J14" s="587"/>
      <c r="K14" s="587"/>
      <c r="O14" s="590" t="s">
        <v>1837</v>
      </c>
      <c r="P14" s="590">
        <v>140</v>
      </c>
      <c r="Q14" s="590">
        <v>900000</v>
      </c>
    </row>
    <row r="15" spans="1:17">
      <c r="A15" s="587"/>
      <c r="B15" s="587"/>
      <c r="C15" s="587"/>
      <c r="D15" s="588"/>
      <c r="E15" s="589"/>
      <c r="F15" s="587"/>
      <c r="G15" s="587"/>
      <c r="H15" s="587"/>
      <c r="I15" s="587"/>
      <c r="J15" s="587"/>
      <c r="K15" s="587"/>
      <c r="O15" s="590" t="s">
        <v>1831</v>
      </c>
      <c r="P15" s="590">
        <v>200</v>
      </c>
      <c r="Q15" s="590">
        <v>3240000</v>
      </c>
    </row>
    <row r="16" spans="1:17">
      <c r="A16" s="587"/>
      <c r="B16" s="587"/>
      <c r="C16" s="587"/>
      <c r="D16" s="588"/>
      <c r="E16" s="589"/>
      <c r="F16" s="587"/>
      <c r="G16" s="587"/>
      <c r="H16" s="587"/>
      <c r="I16" s="587"/>
      <c r="J16" s="587"/>
      <c r="K16" s="587"/>
      <c r="O16" s="590" t="s">
        <v>1828</v>
      </c>
      <c r="P16" s="590">
        <v>90</v>
      </c>
      <c r="Q16" s="590">
        <v>1170000</v>
      </c>
    </row>
    <row r="17" spans="1:17">
      <c r="A17" s="587"/>
      <c r="D17" s="588"/>
      <c r="E17" s="589"/>
      <c r="F17" s="587"/>
      <c r="G17" s="587"/>
      <c r="H17" s="587"/>
      <c r="I17" s="587"/>
      <c r="J17" s="587"/>
      <c r="K17" s="587"/>
      <c r="O17" s="590" t="s">
        <v>1825</v>
      </c>
      <c r="P17" s="590">
        <v>260</v>
      </c>
      <c r="Q17" s="590">
        <v>3960000</v>
      </c>
    </row>
    <row r="18" spans="1:17">
      <c r="A18" s="587"/>
      <c r="B18" s="587"/>
      <c r="C18" s="587"/>
      <c r="D18" s="588"/>
      <c r="E18" s="589"/>
      <c r="F18" s="587"/>
      <c r="G18" s="587"/>
      <c r="H18" s="587"/>
      <c r="I18" s="587"/>
      <c r="J18" s="587"/>
      <c r="K18" s="587"/>
      <c r="O18" s="590" t="s">
        <v>362</v>
      </c>
      <c r="P18" s="590">
        <v>75</v>
      </c>
      <c r="Q18" s="590">
        <v>1170000</v>
      </c>
    </row>
    <row r="19" spans="1:17">
      <c r="A19" s="587"/>
      <c r="B19" s="587"/>
      <c r="C19" s="587"/>
      <c r="D19" s="588"/>
      <c r="E19" s="589"/>
      <c r="F19" s="587"/>
      <c r="G19" s="587"/>
      <c r="H19" s="587"/>
      <c r="I19" s="587"/>
      <c r="J19" s="587"/>
      <c r="K19" s="587"/>
      <c r="O19" s="590" t="s">
        <v>1835</v>
      </c>
      <c r="P19" s="590">
        <v>90</v>
      </c>
      <c r="Q19" s="590">
        <v>2700000</v>
      </c>
    </row>
    <row r="20" spans="1:17">
      <c r="A20" s="587"/>
      <c r="B20" s="587"/>
      <c r="C20" s="587"/>
      <c r="D20" s="588"/>
      <c r="E20" s="589"/>
      <c r="F20" s="587"/>
      <c r="G20" s="587"/>
      <c r="H20" s="587"/>
      <c r="I20" s="587"/>
      <c r="J20" s="587"/>
      <c r="K20" s="587"/>
      <c r="O20" s="590" t="s">
        <v>1827</v>
      </c>
      <c r="P20" s="590">
        <v>110</v>
      </c>
      <c r="Q20" s="590">
        <v>1260000</v>
      </c>
    </row>
    <row r="21" spans="1:17">
      <c r="A21" s="587"/>
      <c r="B21" s="587"/>
      <c r="C21" s="587"/>
      <c r="D21" s="588"/>
      <c r="E21" s="589"/>
      <c r="F21" s="587"/>
      <c r="G21" s="587"/>
      <c r="H21" s="587"/>
      <c r="I21" s="587"/>
      <c r="J21" s="587"/>
      <c r="K21" s="587"/>
      <c r="O21" s="590" t="s">
        <v>1832</v>
      </c>
      <c r="P21" s="590">
        <v>140</v>
      </c>
      <c r="Q21" s="590">
        <v>1080000</v>
      </c>
    </row>
    <row r="22" spans="1:17">
      <c r="A22" s="587"/>
      <c r="B22" s="587"/>
      <c r="C22" s="587"/>
      <c r="D22" s="588"/>
      <c r="E22" s="589"/>
      <c r="F22" s="587"/>
      <c r="G22" s="587"/>
      <c r="H22" s="587"/>
      <c r="I22" s="587"/>
      <c r="J22" s="587"/>
      <c r="K22" s="587"/>
      <c r="O22" s="590" t="s">
        <v>1836</v>
      </c>
      <c r="P22" s="590">
        <v>110</v>
      </c>
      <c r="Q22" s="590">
        <v>1260000</v>
      </c>
    </row>
    <row r="23" spans="1:17">
      <c r="A23" s="587"/>
      <c r="B23" s="587"/>
      <c r="C23" s="587"/>
      <c r="D23" s="588"/>
      <c r="E23" s="589"/>
      <c r="F23" s="587"/>
      <c r="G23" s="587"/>
      <c r="H23" s="587"/>
      <c r="I23" s="587"/>
      <c r="J23" s="587"/>
      <c r="K23" s="587"/>
    </row>
    <row r="24" spans="1:17">
      <c r="A24" s="587"/>
      <c r="B24" s="587"/>
      <c r="C24" s="587"/>
      <c r="D24" s="588"/>
      <c r="E24" s="589"/>
      <c r="F24" s="587"/>
      <c r="G24" s="587"/>
      <c r="H24" s="587"/>
      <c r="I24" s="587"/>
      <c r="J24" s="587"/>
      <c r="K24" s="587"/>
    </row>
    <row r="25" spans="1:17">
      <c r="A25" s="587"/>
      <c r="B25" s="587"/>
      <c r="C25" s="587"/>
      <c r="D25" s="588"/>
      <c r="E25" s="589"/>
      <c r="F25" s="587"/>
      <c r="G25" s="587"/>
      <c r="H25" s="587"/>
      <c r="I25" s="587"/>
      <c r="J25" s="587"/>
      <c r="K25" s="587"/>
    </row>
    <row r="26" spans="1:17">
      <c r="A26" s="587"/>
      <c r="B26" s="587"/>
      <c r="C26" s="587"/>
      <c r="D26" s="588"/>
      <c r="E26" s="591"/>
      <c r="F26" s="587"/>
      <c r="G26" s="587"/>
      <c r="H26" s="587"/>
      <c r="I26" s="587"/>
      <c r="J26" s="587"/>
      <c r="K26" s="587"/>
    </row>
    <row r="27" spans="1:17">
      <c r="A27" s="586" t="s">
        <v>1851</v>
      </c>
    </row>
    <row r="28" spans="1:17">
      <c r="A28" s="587"/>
      <c r="B28" s="587"/>
      <c r="C28" s="587"/>
      <c r="D28" s="588"/>
      <c r="E28" s="591"/>
      <c r="F28" s="587"/>
      <c r="G28" s="587"/>
      <c r="H28" s="587"/>
      <c r="I28" s="587"/>
      <c r="J28" s="587"/>
      <c r="K28" s="587"/>
    </row>
    <row r="29" spans="1:17">
      <c r="A29" s="587"/>
      <c r="B29" s="587"/>
      <c r="C29" s="592"/>
      <c r="D29" s="593"/>
      <c r="E29" s="594"/>
      <c r="F29" s="587"/>
      <c r="G29" s="587"/>
      <c r="H29" s="587"/>
      <c r="I29" s="587"/>
      <c r="J29" s="587"/>
      <c r="K29" s="587"/>
    </row>
    <row r="30" spans="1:17">
      <c r="A30" s="587"/>
      <c r="B30" s="587"/>
      <c r="C30" s="592"/>
      <c r="D30" s="593"/>
      <c r="E30" s="594"/>
      <c r="F30" s="587"/>
      <c r="G30" s="587"/>
      <c r="H30" s="587"/>
      <c r="I30" s="587"/>
      <c r="J30" s="587"/>
      <c r="K30" s="587"/>
    </row>
    <row r="31" spans="1:17">
      <c r="A31" s="587"/>
      <c r="B31" s="587"/>
      <c r="C31" s="592"/>
      <c r="D31" s="593"/>
      <c r="E31" s="594"/>
      <c r="F31" s="587"/>
      <c r="G31" s="587"/>
      <c r="H31" s="587"/>
      <c r="I31" s="587"/>
      <c r="J31" s="587"/>
      <c r="K31" s="587"/>
    </row>
    <row r="32" spans="1:17">
      <c r="A32" s="587"/>
      <c r="B32" s="587"/>
      <c r="C32" s="592"/>
      <c r="D32" s="593"/>
      <c r="E32" s="594"/>
      <c r="F32" s="587"/>
      <c r="G32" s="587"/>
      <c r="H32" s="587"/>
      <c r="I32" s="587"/>
      <c r="J32" s="587"/>
      <c r="K32" s="587"/>
    </row>
    <row r="33" spans="1:11">
      <c r="A33" s="587"/>
      <c r="B33" s="587"/>
      <c r="C33" s="592"/>
      <c r="D33" s="593"/>
      <c r="E33" s="594"/>
      <c r="F33" s="587"/>
      <c r="G33" s="587"/>
      <c r="H33" s="587"/>
      <c r="I33" s="587"/>
      <c r="J33" s="587"/>
      <c r="K33" s="587"/>
    </row>
    <row r="34" spans="1:11">
      <c r="A34" s="587"/>
      <c r="B34" s="587"/>
      <c r="C34" s="592"/>
      <c r="D34" s="593"/>
      <c r="E34" s="594"/>
      <c r="F34" s="587"/>
      <c r="G34" s="587"/>
      <c r="H34" s="587"/>
      <c r="I34" s="587"/>
      <c r="J34" s="587"/>
      <c r="K34" s="587"/>
    </row>
    <row r="35" spans="1:11">
      <c r="A35" s="587"/>
      <c r="B35" s="587"/>
      <c r="C35" s="592"/>
      <c r="D35" s="593"/>
      <c r="E35" s="594"/>
      <c r="F35" s="587"/>
      <c r="G35" s="587"/>
      <c r="H35" s="587"/>
      <c r="I35" s="587"/>
      <c r="J35" s="587"/>
      <c r="K35" s="587"/>
    </row>
    <row r="36" spans="1:11">
      <c r="A36" s="587"/>
      <c r="B36" s="587"/>
      <c r="C36" s="592"/>
      <c r="D36" s="593"/>
      <c r="E36" s="594"/>
      <c r="F36" s="587"/>
      <c r="G36" s="587"/>
      <c r="H36" s="587"/>
      <c r="I36" s="587"/>
      <c r="J36" s="587"/>
      <c r="K36" s="587"/>
    </row>
    <row r="37" spans="1:11">
      <c r="A37" s="587"/>
      <c r="B37" s="587"/>
      <c r="C37" s="592"/>
      <c r="D37" s="593"/>
      <c r="E37" s="594"/>
      <c r="F37" s="587"/>
      <c r="G37" s="587"/>
      <c r="H37" s="587"/>
      <c r="I37" s="587"/>
      <c r="J37" s="587"/>
      <c r="K37" s="587"/>
    </row>
    <row r="38" spans="1:11">
      <c r="A38" s="587"/>
      <c r="B38" s="587"/>
      <c r="C38" s="592"/>
      <c r="D38" s="593"/>
      <c r="E38" s="594"/>
      <c r="F38" s="587"/>
      <c r="G38" s="587"/>
      <c r="H38" s="587"/>
      <c r="I38" s="587"/>
      <c r="J38" s="587"/>
      <c r="K38" s="587"/>
    </row>
    <row r="39" spans="1:11">
      <c r="A39" s="587"/>
      <c r="B39" s="587"/>
      <c r="C39" s="592"/>
      <c r="D39" s="593"/>
      <c r="E39" s="594"/>
      <c r="F39" s="587"/>
      <c r="G39" s="587"/>
      <c r="H39" s="587"/>
      <c r="I39" s="587"/>
      <c r="J39" s="587"/>
      <c r="K39" s="587"/>
    </row>
    <row r="40" spans="1:11">
      <c r="A40" s="587"/>
      <c r="B40" s="587"/>
      <c r="C40" s="592"/>
      <c r="D40" s="593"/>
      <c r="E40" s="594"/>
      <c r="F40" s="587"/>
      <c r="G40" s="587"/>
      <c r="H40" s="587"/>
      <c r="I40" s="587"/>
      <c r="J40" s="587"/>
      <c r="K40" s="587"/>
    </row>
    <row r="41" spans="1:11">
      <c r="A41" s="587"/>
      <c r="B41" s="587"/>
      <c r="C41" s="592"/>
      <c r="D41" s="593"/>
      <c r="E41" s="594"/>
      <c r="F41" s="587"/>
      <c r="G41" s="587"/>
      <c r="H41" s="587"/>
      <c r="I41" s="587"/>
      <c r="J41" s="587"/>
      <c r="K41" s="587"/>
    </row>
    <row r="42" spans="1:11">
      <c r="A42" s="587"/>
      <c r="B42" s="587"/>
      <c r="C42" s="592"/>
      <c r="D42" s="593"/>
      <c r="E42" s="594"/>
      <c r="F42" s="587"/>
      <c r="G42" s="587"/>
      <c r="H42" s="587"/>
      <c r="I42" s="587"/>
      <c r="J42" s="587"/>
      <c r="K42" s="587"/>
    </row>
    <row r="43" spans="1:11">
      <c r="A43" s="587"/>
      <c r="B43" s="587"/>
      <c r="C43" s="592"/>
      <c r="D43" s="593"/>
      <c r="E43" s="594"/>
      <c r="F43" s="587"/>
      <c r="G43" s="587"/>
      <c r="H43" s="587"/>
      <c r="I43" s="587"/>
      <c r="J43" s="587"/>
      <c r="K43" s="587"/>
    </row>
    <row r="44" spans="1:11">
      <c r="A44" s="587"/>
      <c r="B44" s="587"/>
      <c r="C44" s="592"/>
      <c r="D44" s="593"/>
      <c r="E44" s="594"/>
      <c r="F44" s="587"/>
      <c r="G44" s="587"/>
      <c r="H44" s="587"/>
      <c r="I44" s="587"/>
      <c r="J44" s="587"/>
      <c r="K44" s="587"/>
    </row>
    <row r="45" spans="1:11">
      <c r="A45" s="587"/>
      <c r="B45" s="587"/>
      <c r="C45" s="592"/>
      <c r="D45" s="593"/>
      <c r="E45" s="594"/>
      <c r="F45" s="587"/>
      <c r="G45" s="587"/>
      <c r="H45" s="587"/>
      <c r="I45" s="587"/>
      <c r="J45" s="587"/>
      <c r="K45" s="587"/>
    </row>
    <row r="46" spans="1:11">
      <c r="A46" s="587"/>
      <c r="B46" s="587"/>
      <c r="C46" s="592"/>
      <c r="D46" s="593"/>
      <c r="E46" s="594"/>
      <c r="F46" s="587"/>
      <c r="G46" s="587"/>
      <c r="H46" s="587"/>
      <c r="I46" s="587"/>
      <c r="J46" s="587"/>
      <c r="K46" s="587"/>
    </row>
    <row r="47" spans="1:11">
      <c r="A47" s="587"/>
      <c r="B47" s="587"/>
      <c r="C47" s="592"/>
      <c r="D47" s="593"/>
      <c r="E47" s="594"/>
      <c r="F47" s="587"/>
      <c r="G47" s="587"/>
      <c r="H47" s="587"/>
      <c r="I47" s="587"/>
      <c r="J47" s="587"/>
      <c r="K47" s="587"/>
    </row>
    <row r="48" spans="1:11">
      <c r="A48" s="587"/>
      <c r="B48" s="587"/>
      <c r="C48" s="592"/>
      <c r="D48" s="593"/>
      <c r="E48" s="594"/>
      <c r="F48" s="587"/>
      <c r="G48" s="587"/>
      <c r="H48" s="587"/>
      <c r="I48" s="587"/>
      <c r="J48" s="587"/>
      <c r="K48" s="587"/>
    </row>
    <row r="49" spans="1:11">
      <c r="A49" s="587"/>
      <c r="B49" s="587"/>
      <c r="C49" s="592"/>
      <c r="D49" s="593"/>
      <c r="E49" s="594"/>
      <c r="F49" s="587"/>
      <c r="G49" s="587"/>
      <c r="H49" s="587"/>
      <c r="I49" s="587"/>
      <c r="J49" s="587"/>
      <c r="K49" s="587"/>
    </row>
    <row r="50" spans="1:11">
      <c r="A50" s="587"/>
      <c r="B50" s="587"/>
      <c r="C50" s="592"/>
      <c r="D50" s="593"/>
      <c r="E50" s="594"/>
      <c r="F50" s="587"/>
      <c r="G50" s="587"/>
      <c r="H50" s="587"/>
      <c r="I50" s="587"/>
      <c r="J50" s="587"/>
      <c r="K50" s="587"/>
    </row>
    <row r="51" spans="1:11">
      <c r="A51" s="587"/>
      <c r="B51" s="587"/>
      <c r="C51" s="592"/>
      <c r="D51" s="593"/>
      <c r="E51" s="594"/>
      <c r="F51" s="587"/>
      <c r="G51" s="587"/>
      <c r="H51" s="587"/>
      <c r="I51" s="587"/>
      <c r="J51" s="587"/>
      <c r="K51" s="587"/>
    </row>
    <row r="52" spans="1:11">
      <c r="A52" s="587"/>
      <c r="B52" s="587"/>
      <c r="C52" s="592"/>
      <c r="D52" s="593"/>
      <c r="E52" s="594"/>
      <c r="F52" s="587"/>
      <c r="G52" s="587"/>
      <c r="H52" s="587"/>
      <c r="I52" s="587"/>
      <c r="J52" s="587"/>
      <c r="K52" s="587"/>
    </row>
    <row r="53" spans="1:11">
      <c r="A53" s="587"/>
      <c r="B53" s="587"/>
      <c r="C53" s="592"/>
      <c r="D53" s="593"/>
      <c r="E53" s="594"/>
      <c r="F53" s="587"/>
      <c r="G53" s="587"/>
      <c r="H53" s="587"/>
      <c r="I53" s="587"/>
      <c r="J53" s="587"/>
      <c r="K53" s="587"/>
    </row>
    <row r="54" spans="1:11">
      <c r="A54" s="587"/>
      <c r="B54" s="587"/>
      <c r="C54" s="592"/>
      <c r="D54" s="593"/>
      <c r="E54" s="594"/>
      <c r="F54" s="587"/>
      <c r="G54" s="587"/>
      <c r="H54" s="587"/>
      <c r="I54" s="587"/>
      <c r="J54" s="587"/>
      <c r="K54" s="587"/>
    </row>
    <row r="55" spans="1:11">
      <c r="A55" s="587"/>
      <c r="B55" s="587"/>
      <c r="C55" s="592"/>
      <c r="D55" s="593"/>
      <c r="E55" s="594"/>
      <c r="F55" s="587"/>
      <c r="G55" s="587"/>
      <c r="H55" s="587"/>
      <c r="I55" s="587"/>
      <c r="J55" s="587"/>
      <c r="K55" s="587"/>
    </row>
    <row r="56" spans="1:11">
      <c r="A56" s="587"/>
      <c r="B56" s="587"/>
      <c r="C56" s="592"/>
      <c r="D56" s="593"/>
      <c r="E56" s="594"/>
      <c r="F56" s="587"/>
      <c r="G56" s="587"/>
      <c r="H56" s="587"/>
      <c r="I56" s="587"/>
      <c r="J56" s="587"/>
      <c r="K56" s="587"/>
    </row>
    <row r="57" spans="1:11">
      <c r="A57" s="587"/>
      <c r="B57" s="587"/>
      <c r="C57" s="592"/>
      <c r="D57" s="593"/>
      <c r="E57" s="594"/>
      <c r="F57" s="587"/>
      <c r="G57" s="587"/>
      <c r="H57" s="587"/>
      <c r="I57" s="587"/>
      <c r="J57" s="587"/>
      <c r="K57" s="587"/>
    </row>
    <row r="58" spans="1:11">
      <c r="A58" s="587"/>
      <c r="B58" s="587"/>
      <c r="C58" s="592"/>
      <c r="D58" s="593"/>
      <c r="E58" s="594"/>
      <c r="F58" s="587"/>
      <c r="G58" s="587"/>
      <c r="H58" s="587"/>
      <c r="I58" s="587"/>
      <c r="J58" s="587"/>
      <c r="K58" s="587"/>
    </row>
    <row r="59" spans="1:11">
      <c r="A59" s="587"/>
      <c r="B59" s="587"/>
      <c r="C59" s="592"/>
      <c r="D59" s="593"/>
      <c r="E59" s="594"/>
      <c r="F59" s="587"/>
      <c r="G59" s="587"/>
      <c r="H59" s="587"/>
      <c r="I59" s="587"/>
      <c r="J59" s="587"/>
      <c r="K59" s="587"/>
    </row>
    <row r="60" spans="1:11">
      <c r="A60" s="587"/>
      <c r="B60" s="587"/>
      <c r="C60" s="592"/>
      <c r="D60" s="593"/>
      <c r="E60" s="594"/>
      <c r="F60" s="587"/>
      <c r="G60" s="587"/>
      <c r="H60" s="587"/>
      <c r="I60" s="587"/>
      <c r="J60" s="587"/>
      <c r="K60" s="587"/>
    </row>
    <row r="61" spans="1:11">
      <c r="A61" s="587"/>
      <c r="B61" s="587"/>
      <c r="C61" s="592"/>
      <c r="D61" s="593"/>
      <c r="E61" s="594"/>
      <c r="F61" s="587"/>
      <c r="G61" s="587"/>
      <c r="H61" s="587"/>
      <c r="I61" s="587"/>
      <c r="J61" s="587"/>
      <c r="K61" s="587"/>
    </row>
    <row r="538" spans="15:17">
      <c r="O538" s="572"/>
      <c r="P538" s="572"/>
      <c r="Q538" s="572"/>
    </row>
    <row r="539" spans="15:17">
      <c r="Q539" s="590" t="s">
        <v>31</v>
      </c>
    </row>
    <row r="552" spans="17:17">
      <c r="Q552" s="590">
        <v>0</v>
      </c>
    </row>
    <row r="553" spans="17:17">
      <c r="Q553" s="590">
        <v>0</v>
      </c>
    </row>
    <row r="554" spans="17:17">
      <c r="Q554" s="590">
        <v>0</v>
      </c>
    </row>
    <row r="555" spans="17:17">
      <c r="Q555" s="590">
        <v>0</v>
      </c>
    </row>
    <row r="556" spans="17:17">
      <c r="Q556" s="590">
        <v>0</v>
      </c>
    </row>
    <row r="557" spans="17:17">
      <c r="Q557" s="590" t="s">
        <v>26</v>
      </c>
    </row>
    <row r="560" spans="17:17">
      <c r="Q560" s="590">
        <v>27</v>
      </c>
    </row>
    <row r="561" spans="17:17">
      <c r="Q561" s="590" t="s">
        <v>27</v>
      </c>
    </row>
    <row r="569" spans="17:17">
      <c r="Q569" s="590" t="s">
        <v>28</v>
      </c>
    </row>
    <row r="572" spans="17:17">
      <c r="Q572" s="590" t="s">
        <v>1014</v>
      </c>
    </row>
    <row r="574" spans="17:17">
      <c r="Q574" s="590" t="s">
        <v>1849</v>
      </c>
    </row>
    <row r="579" spans="17:17">
      <c r="Q579" s="590" t="s">
        <v>31</v>
      </c>
    </row>
    <row r="595" spans="17:17">
      <c r="Q595" s="590">
        <v>0</v>
      </c>
    </row>
    <row r="596" spans="17:17">
      <c r="Q596" s="590">
        <v>0</v>
      </c>
    </row>
    <row r="597" spans="17:17">
      <c r="Q597" s="590">
        <v>0</v>
      </c>
    </row>
    <row r="598" spans="17:17">
      <c r="Q598" s="590">
        <v>0</v>
      </c>
    </row>
    <row r="599" spans="17:17">
      <c r="Q599" s="590">
        <v>0</v>
      </c>
    </row>
    <row r="600" spans="17:17">
      <c r="Q600" s="590" t="s">
        <v>26</v>
      </c>
    </row>
    <row r="603" spans="17:17">
      <c r="Q603" s="590">
        <v>320</v>
      </c>
    </row>
    <row r="604" spans="17:17">
      <c r="Q604" s="590" t="s">
        <v>27</v>
      </c>
    </row>
    <row r="617" spans="17:17">
      <c r="Q617" s="590" t="s">
        <v>28</v>
      </c>
    </row>
    <row r="620" spans="17:17">
      <c r="Q620" s="590" t="s">
        <v>1014</v>
      </c>
    </row>
    <row r="622" spans="17:17">
      <c r="Q622" s="590" t="s">
        <v>1849</v>
      </c>
    </row>
    <row r="627" spans="17:17">
      <c r="Q627" s="590" t="s">
        <v>31</v>
      </c>
    </row>
    <row r="642" spans="17:17">
      <c r="Q642" s="590">
        <v>0</v>
      </c>
    </row>
    <row r="643" spans="17:17">
      <c r="Q643" s="590">
        <v>0</v>
      </c>
    </row>
    <row r="644" spans="17:17">
      <c r="Q644" s="590">
        <v>0</v>
      </c>
    </row>
    <row r="645" spans="17:17">
      <c r="Q645" s="590">
        <v>0</v>
      </c>
    </row>
    <row r="646" spans="17:17">
      <c r="Q646" s="590">
        <v>0</v>
      </c>
    </row>
    <row r="647" spans="17:17">
      <c r="Q647" s="590" t="s">
        <v>26</v>
      </c>
    </row>
    <row r="650" spans="17:17">
      <c r="Q650" s="590">
        <v>380</v>
      </c>
    </row>
    <row r="651" spans="17:17">
      <c r="Q651" s="590" t="s">
        <v>27</v>
      </c>
    </row>
    <row r="663" spans="17:17">
      <c r="Q663" s="590" t="s">
        <v>28</v>
      </c>
    </row>
    <row r="666" spans="17:17">
      <c r="Q666" s="590" t="s">
        <v>1014</v>
      </c>
    </row>
    <row r="668" spans="17:17">
      <c r="Q668" s="590" t="s">
        <v>1849</v>
      </c>
    </row>
    <row r="673" spans="17:17">
      <c r="Q673" s="590" t="s">
        <v>31</v>
      </c>
    </row>
    <row r="688" spans="17:17">
      <c r="Q688" s="590">
        <v>0</v>
      </c>
    </row>
    <row r="689" spans="17:17">
      <c r="Q689" s="590">
        <v>0</v>
      </c>
    </row>
    <row r="690" spans="17:17">
      <c r="Q690" s="590">
        <v>0</v>
      </c>
    </row>
    <row r="691" spans="17:17">
      <c r="Q691" s="590">
        <v>0</v>
      </c>
    </row>
    <row r="692" spans="17:17">
      <c r="Q692" s="590">
        <v>0</v>
      </c>
    </row>
    <row r="693" spans="17:17">
      <c r="Q693" s="590" t="s">
        <v>26</v>
      </c>
    </row>
    <row r="696" spans="17:17">
      <c r="Q696" s="590">
        <v>275</v>
      </c>
    </row>
    <row r="697" spans="17:17">
      <c r="Q697" s="590" t="s">
        <v>27</v>
      </c>
    </row>
    <row r="709" spans="17:17">
      <c r="Q709" s="590" t="s">
        <v>28</v>
      </c>
    </row>
    <row r="712" spans="17:17">
      <c r="Q712" s="590" t="s">
        <v>1014</v>
      </c>
    </row>
    <row r="714" spans="17:17">
      <c r="Q714" s="590" t="s">
        <v>1850</v>
      </c>
    </row>
    <row r="719" spans="17:17">
      <c r="Q719" s="590" t="s">
        <v>31</v>
      </c>
    </row>
    <row r="734" spans="17:17">
      <c r="Q734" s="590">
        <v>0</v>
      </c>
    </row>
    <row r="735" spans="17:17">
      <c r="Q735" s="590">
        <v>0</v>
      </c>
    </row>
    <row r="736" spans="17:17">
      <c r="Q736" s="590">
        <v>0</v>
      </c>
    </row>
    <row r="737" spans="17:17">
      <c r="Q737" s="590">
        <v>0</v>
      </c>
    </row>
    <row r="738" spans="17:17">
      <c r="Q738" s="590">
        <v>0</v>
      </c>
    </row>
    <row r="739" spans="17:17">
      <c r="Q739" s="590" t="s">
        <v>26</v>
      </c>
    </row>
    <row r="742" spans="17:17">
      <c r="Q742" s="590">
        <v>260</v>
      </c>
    </row>
    <row r="743" spans="17:17">
      <c r="Q743" s="590" t="s">
        <v>27</v>
      </c>
    </row>
    <row r="755" spans="17:17">
      <c r="Q755" s="590" t="s">
        <v>28</v>
      </c>
    </row>
    <row r="758" spans="17:17">
      <c r="Q758" s="590" t="s">
        <v>1014</v>
      </c>
    </row>
    <row r="760" spans="17:17">
      <c r="Q760" s="590" t="e">
        <v>#N/A</v>
      </c>
    </row>
    <row r="765" spans="17:17">
      <c r="Q765" s="590" t="s">
        <v>31</v>
      </c>
    </row>
    <row r="782" spans="17:17">
      <c r="Q782" s="590">
        <v>0</v>
      </c>
    </row>
    <row r="783" spans="17:17">
      <c r="Q783" s="590">
        <v>0</v>
      </c>
    </row>
    <row r="784" spans="17:17">
      <c r="Q784" s="590">
        <v>0</v>
      </c>
    </row>
    <row r="785" spans="17:17">
      <c r="Q785" s="590">
        <v>0</v>
      </c>
    </row>
    <row r="786" spans="17:17">
      <c r="Q786" s="590">
        <v>0</v>
      </c>
    </row>
    <row r="787" spans="17:17">
      <c r="Q787" s="590" t="s">
        <v>26</v>
      </c>
    </row>
    <row r="790" spans="17:17">
      <c r="Q790" s="590">
        <v>4800</v>
      </c>
    </row>
    <row r="791" spans="17:17">
      <c r="Q791" s="590" t="s">
        <v>27</v>
      </c>
    </row>
    <row r="803" spans="17:17">
      <c r="Q803" s="590" t="s">
        <v>28</v>
      </c>
    </row>
    <row r="807" spans="17:17">
      <c r="Q807" s="590" t="s">
        <v>1014</v>
      </c>
    </row>
    <row r="809" spans="17:17">
      <c r="Q809" s="590" t="e">
        <v>#N/A</v>
      </c>
    </row>
    <row r="814" spans="17:17">
      <c r="Q814" s="590" t="s">
        <v>31</v>
      </c>
    </row>
    <row r="831" spans="17:17">
      <c r="Q831" s="590">
        <v>0</v>
      </c>
    </row>
    <row r="832" spans="17:17">
      <c r="Q832" s="590">
        <v>0</v>
      </c>
    </row>
    <row r="833" spans="17:17">
      <c r="Q833" s="590">
        <v>0</v>
      </c>
    </row>
    <row r="834" spans="17:17">
      <c r="Q834" s="590">
        <v>0</v>
      </c>
    </row>
    <row r="835" spans="17:17">
      <c r="Q835" s="590">
        <v>0</v>
      </c>
    </row>
    <row r="836" spans="17:17">
      <c r="Q836" s="590" t="s">
        <v>26</v>
      </c>
    </row>
    <row r="839" spans="17:17">
      <c r="Q839" s="590">
        <v>5500</v>
      </c>
    </row>
    <row r="840" spans="17:17">
      <c r="Q840" s="590" t="s">
        <v>27</v>
      </c>
    </row>
    <row r="852" spans="17:17">
      <c r="Q852" s="590" t="s">
        <v>28</v>
      </c>
    </row>
    <row r="856" spans="17:17">
      <c r="Q856" s="590" t="s">
        <v>1014</v>
      </c>
    </row>
    <row r="858" spans="17:17">
      <c r="Q858" s="590" t="e">
        <v>#N/A</v>
      </c>
    </row>
    <row r="863" spans="17:17">
      <c r="Q863" s="590" t="s">
        <v>31</v>
      </c>
    </row>
    <row r="878" spans="17:17">
      <c r="Q878" s="590">
        <v>0</v>
      </c>
    </row>
    <row r="879" spans="17:17">
      <c r="Q879" s="590">
        <v>0</v>
      </c>
    </row>
    <row r="880" spans="17:17">
      <c r="Q880" s="590">
        <v>0</v>
      </c>
    </row>
    <row r="881" spans="17:17">
      <c r="Q881" s="590">
        <v>0</v>
      </c>
    </row>
    <row r="882" spans="17:17">
      <c r="Q882" s="590">
        <v>0</v>
      </c>
    </row>
    <row r="883" spans="17:17">
      <c r="Q883" s="590" t="s">
        <v>26</v>
      </c>
    </row>
    <row r="886" spans="17:17">
      <c r="Q886" s="590">
        <v>2333.3333333333335</v>
      </c>
    </row>
    <row r="887" spans="17:17">
      <c r="Q887" s="590" t="s">
        <v>27</v>
      </c>
    </row>
    <row r="899" spans="17:17">
      <c r="Q899" s="590" t="s">
        <v>28</v>
      </c>
    </row>
    <row r="902" spans="17:17">
      <c r="Q902" s="590" t="s">
        <v>1014</v>
      </c>
    </row>
    <row r="904" spans="17:17">
      <c r="Q904" s="590" t="e">
        <v>#N/A</v>
      </c>
    </row>
    <row r="909" spans="17:17">
      <c r="Q909" s="590" t="s">
        <v>31</v>
      </c>
    </row>
    <row r="924" spans="17:17">
      <c r="Q924" s="590">
        <v>0</v>
      </c>
    </row>
    <row r="925" spans="17:17">
      <c r="Q925" s="590">
        <v>0</v>
      </c>
    </row>
    <row r="926" spans="17:17">
      <c r="Q926" s="590">
        <v>0</v>
      </c>
    </row>
    <row r="927" spans="17:17">
      <c r="Q927" s="590">
        <v>0</v>
      </c>
    </row>
    <row r="928" spans="17:17">
      <c r="Q928" s="590">
        <v>0</v>
      </c>
    </row>
    <row r="929" spans="17:17">
      <c r="Q929" s="590" t="s">
        <v>26</v>
      </c>
    </row>
    <row r="932" spans="17:17">
      <c r="Q932" s="590">
        <v>290</v>
      </c>
    </row>
    <row r="933" spans="17:17">
      <c r="Q933" s="590" t="s">
        <v>27</v>
      </c>
    </row>
    <row r="945" spans="17:17">
      <c r="Q945" s="590" t="s">
        <v>28</v>
      </c>
    </row>
    <row r="948" spans="17:17">
      <c r="Q948" s="590" t="s">
        <v>1014</v>
      </c>
    </row>
    <row r="950" spans="17:17">
      <c r="Q950" s="590" t="e">
        <v>#N/A</v>
      </c>
    </row>
    <row r="955" spans="17:17">
      <c r="Q955" s="590" t="s">
        <v>31</v>
      </c>
    </row>
    <row r="969" spans="17:17">
      <c r="Q969" s="590">
        <v>0</v>
      </c>
    </row>
    <row r="970" spans="17:17">
      <c r="Q970" s="590">
        <v>0</v>
      </c>
    </row>
    <row r="971" spans="17:17">
      <c r="Q971" s="590">
        <v>0</v>
      </c>
    </row>
    <row r="972" spans="17:17">
      <c r="Q972" s="590">
        <v>0</v>
      </c>
    </row>
    <row r="973" spans="17:17">
      <c r="Q973" s="590">
        <v>0</v>
      </c>
    </row>
    <row r="974" spans="17:17">
      <c r="Q974" s="590" t="s">
        <v>26</v>
      </c>
    </row>
    <row r="977" spans="17:17">
      <c r="Q977" s="590">
        <v>3</v>
      </c>
    </row>
    <row r="978" spans="17:17">
      <c r="Q978" s="590" t="s">
        <v>27</v>
      </c>
    </row>
    <row r="991" spans="17:17">
      <c r="Q991" s="590" t="s">
        <v>28</v>
      </c>
    </row>
    <row r="994" spans="17:17">
      <c r="Q994" s="590" t="s">
        <v>1014</v>
      </c>
    </row>
    <row r="996" spans="17:17">
      <c r="Q996" s="590" t="e">
        <v>#N/A</v>
      </c>
    </row>
    <row r="1001" spans="17:17">
      <c r="Q1001" s="590" t="s">
        <v>31</v>
      </c>
    </row>
    <row r="1015" spans="17:17">
      <c r="Q1015" s="590">
        <v>0</v>
      </c>
    </row>
    <row r="1016" spans="17:17">
      <c r="Q1016" s="590">
        <v>0</v>
      </c>
    </row>
    <row r="1017" spans="17:17">
      <c r="Q1017" s="590">
        <v>0</v>
      </c>
    </row>
    <row r="1018" spans="17:17">
      <c r="Q1018" s="590">
        <v>0</v>
      </c>
    </row>
    <row r="1019" spans="17:17">
      <c r="Q1019" s="590">
        <v>0</v>
      </c>
    </row>
    <row r="1020" spans="17:17">
      <c r="Q1020" s="590" t="s">
        <v>26</v>
      </c>
    </row>
    <row r="1023" spans="17:17">
      <c r="Q1023" s="590">
        <v>3</v>
      </c>
    </row>
    <row r="1024" spans="17:17">
      <c r="Q1024" s="590" t="s">
        <v>27</v>
      </c>
    </row>
    <row r="1037" spans="17:17">
      <c r="Q1037" s="590" t="s">
        <v>28</v>
      </c>
    </row>
    <row r="1041" spans="17:17">
      <c r="Q1041" s="590" t="s">
        <v>1014</v>
      </c>
    </row>
    <row r="1043" spans="17:17">
      <c r="Q1043" s="590" t="e">
        <v>#N/A</v>
      </c>
    </row>
    <row r="1048" spans="17:17">
      <c r="Q1048" s="590" t="s">
        <v>31</v>
      </c>
    </row>
    <row r="1063" spans="17:17">
      <c r="Q1063" s="590">
        <v>0</v>
      </c>
    </row>
    <row r="1064" spans="17:17">
      <c r="Q1064" s="590">
        <v>0</v>
      </c>
    </row>
    <row r="1065" spans="17:17">
      <c r="Q1065" s="590">
        <v>0</v>
      </c>
    </row>
    <row r="1066" spans="17:17">
      <c r="Q1066" s="590">
        <v>0</v>
      </c>
    </row>
    <row r="1067" spans="17:17">
      <c r="Q1067" s="590">
        <v>0</v>
      </c>
    </row>
    <row r="1068" spans="17:17">
      <c r="Q1068" s="590" t="s">
        <v>26</v>
      </c>
    </row>
    <row r="1071" spans="17:17">
      <c r="Q1071" s="590">
        <v>7</v>
      </c>
    </row>
    <row r="1072" spans="17:17">
      <c r="Q1072" s="590" t="s">
        <v>27</v>
      </c>
    </row>
    <row r="1080" spans="17:17">
      <c r="Q1080" s="590" t="s">
        <v>28</v>
      </c>
    </row>
    <row r="1084" spans="17:17">
      <c r="Q1084" s="590" t="s">
        <v>1014</v>
      </c>
    </row>
    <row r="1086" spans="17:17">
      <c r="Q1086" s="590" t="e">
        <v>#N/A</v>
      </c>
    </row>
    <row r="1091" spans="17:17">
      <c r="Q1091" s="590" t="s">
        <v>31</v>
      </c>
    </row>
    <row r="1106" spans="17:17">
      <c r="Q1106" s="590">
        <v>0</v>
      </c>
    </row>
    <row r="1107" spans="17:17">
      <c r="Q1107" s="590">
        <v>0</v>
      </c>
    </row>
    <row r="1108" spans="17:17">
      <c r="Q1108" s="590">
        <v>0</v>
      </c>
    </row>
    <row r="1109" spans="17:17">
      <c r="Q1109" s="590">
        <v>0</v>
      </c>
    </row>
    <row r="1110" spans="17:17">
      <c r="Q1110" s="590">
        <v>0</v>
      </c>
    </row>
    <row r="1111" spans="17:17">
      <c r="Q1111" s="590" t="s">
        <v>26</v>
      </c>
    </row>
    <row r="1114" spans="17:17">
      <c r="Q1114" s="590">
        <v>5</v>
      </c>
    </row>
    <row r="1115" spans="17:17">
      <c r="Q1115" s="590" t="s">
        <v>27</v>
      </c>
    </row>
    <row r="1126" spans="17:17">
      <c r="Q1126" s="590" t="s">
        <v>28</v>
      </c>
    </row>
    <row r="1130" spans="17:17">
      <c r="Q1130" s="590" t="s">
        <v>1014</v>
      </c>
    </row>
    <row r="1132" spans="17:17">
      <c r="Q1132" s="590" t="e">
        <v>#N/A</v>
      </c>
    </row>
    <row r="1137" spans="17:17">
      <c r="Q1137" s="590" t="s">
        <v>31</v>
      </c>
    </row>
    <row r="1152" spans="17:17">
      <c r="Q1152" s="590">
        <v>0</v>
      </c>
    </row>
    <row r="1153" spans="17:17">
      <c r="Q1153" s="590">
        <v>0</v>
      </c>
    </row>
    <row r="1154" spans="17:17">
      <c r="Q1154" s="590">
        <v>0</v>
      </c>
    </row>
    <row r="1155" spans="17:17">
      <c r="Q1155" s="590">
        <v>0</v>
      </c>
    </row>
    <row r="1156" spans="17:17">
      <c r="Q1156" s="590">
        <v>0</v>
      </c>
    </row>
    <row r="1157" spans="17:17">
      <c r="Q1157" s="590" t="s">
        <v>26</v>
      </c>
    </row>
    <row r="1160" spans="17:17">
      <c r="Q1160" s="590">
        <v>3</v>
      </c>
    </row>
    <row r="1161" spans="17:17">
      <c r="Q1161" s="590" t="s">
        <v>27</v>
      </c>
    </row>
    <row r="1170" spans="17:17">
      <c r="Q1170" s="590" t="s">
        <v>28</v>
      </c>
    </row>
    <row r="1174" spans="17:17">
      <c r="Q1174" s="590" t="s">
        <v>1014</v>
      </c>
    </row>
    <row r="1176" spans="17:17">
      <c r="Q1176" s="590" t="e">
        <v>#N/A</v>
      </c>
    </row>
    <row r="1181" spans="17:17">
      <c r="Q1181" s="590" t="s">
        <v>31</v>
      </c>
    </row>
    <row r="1198" spans="17:17">
      <c r="Q1198" s="590">
        <v>0</v>
      </c>
    </row>
    <row r="1199" spans="17:17">
      <c r="Q1199" s="590">
        <v>0</v>
      </c>
    </row>
    <row r="1200" spans="17:17">
      <c r="Q1200" s="590">
        <v>0</v>
      </c>
    </row>
    <row r="1201" spans="17:17">
      <c r="Q1201" s="590">
        <v>0</v>
      </c>
    </row>
    <row r="1202" spans="17:17">
      <c r="Q1202" s="590">
        <v>0</v>
      </c>
    </row>
    <row r="1203" spans="17:17">
      <c r="Q1203" s="590" t="s">
        <v>26</v>
      </c>
    </row>
    <row r="1206" spans="17:17">
      <c r="Q1206" s="590">
        <v>0.2</v>
      </c>
    </row>
    <row r="1207" spans="17:17">
      <c r="Q1207" s="590" t="s">
        <v>27</v>
      </c>
    </row>
    <row r="1220" spans="17:17">
      <c r="Q1220" s="590" t="s">
        <v>28</v>
      </c>
    </row>
    <row r="1224" spans="17:17">
      <c r="Q1224" s="590" t="s">
        <v>1014</v>
      </c>
    </row>
    <row r="1226" spans="17:17">
      <c r="Q1226" s="590" t="e">
        <v>#N/A</v>
      </c>
    </row>
    <row r="1231" spans="17:17">
      <c r="Q1231" s="590" t="s">
        <v>31</v>
      </c>
    </row>
    <row r="1249" spans="17:17">
      <c r="Q1249" s="590">
        <v>0</v>
      </c>
    </row>
    <row r="1250" spans="17:17">
      <c r="Q1250" s="590">
        <v>0</v>
      </c>
    </row>
    <row r="1251" spans="17:17">
      <c r="Q1251" s="590">
        <v>0</v>
      </c>
    </row>
    <row r="1252" spans="17:17">
      <c r="Q1252" s="590">
        <v>0</v>
      </c>
    </row>
    <row r="1253" spans="17:17">
      <c r="Q1253" s="590">
        <v>0</v>
      </c>
    </row>
    <row r="1254" spans="17:17">
      <c r="Q1254" s="590" t="s">
        <v>26</v>
      </c>
    </row>
    <row r="1257" spans="17:17">
      <c r="Q1257" s="590">
        <v>0.2</v>
      </c>
    </row>
    <row r="1258" spans="17:17">
      <c r="Q1258" s="590" t="s">
        <v>27</v>
      </c>
    </row>
    <row r="1270" spans="17:17">
      <c r="Q1270" s="590" t="s">
        <v>28</v>
      </c>
    </row>
    <row r="1274" spans="17:17">
      <c r="Q1274" s="590" t="s">
        <v>1014</v>
      </c>
    </row>
    <row r="1276" spans="17:17">
      <c r="Q1276" s="590" t="e">
        <v>#N/A</v>
      </c>
    </row>
    <row r="1280" spans="17:17">
      <c r="Q1280" s="590" t="s">
        <v>31</v>
      </c>
    </row>
    <row r="1297" spans="17:17">
      <c r="Q1297" s="590">
        <v>0</v>
      </c>
    </row>
    <row r="1298" spans="17:17">
      <c r="Q1298" s="590">
        <v>0</v>
      </c>
    </row>
    <row r="1299" spans="17:17">
      <c r="Q1299" s="590">
        <v>0</v>
      </c>
    </row>
    <row r="1300" spans="17:17">
      <c r="Q1300" s="590">
        <v>0</v>
      </c>
    </row>
    <row r="1301" spans="17:17">
      <c r="Q1301" s="590">
        <v>0</v>
      </c>
    </row>
    <row r="1302" spans="17:17">
      <c r="Q1302" s="590" t="s">
        <v>26</v>
      </c>
    </row>
    <row r="1305" spans="17:17">
      <c r="Q1305" s="590">
        <v>0.2</v>
      </c>
    </row>
    <row r="1306" spans="17:17">
      <c r="Q1306" s="590" t="s">
        <v>27</v>
      </c>
    </row>
    <row r="1319" spans="17:17">
      <c r="Q1319" s="590" t="s">
        <v>28</v>
      </c>
    </row>
    <row r="1323" spans="17:17">
      <c r="Q1323" s="590" t="s">
        <v>1014</v>
      </c>
    </row>
    <row r="1325" spans="17:17">
      <c r="Q1325" s="590" t="e">
        <v>#N/A</v>
      </c>
    </row>
    <row r="1329" spans="17:17">
      <c r="Q1329" s="590" t="s">
        <v>31</v>
      </c>
    </row>
    <row r="1346" spans="17:17">
      <c r="Q1346" s="590">
        <v>0</v>
      </c>
    </row>
    <row r="1347" spans="17:17">
      <c r="Q1347" s="590">
        <v>0</v>
      </c>
    </row>
    <row r="1348" spans="17:17">
      <c r="Q1348" s="590">
        <v>0</v>
      </c>
    </row>
    <row r="1349" spans="17:17">
      <c r="Q1349" s="590">
        <v>0</v>
      </c>
    </row>
    <row r="1350" spans="17:17">
      <c r="Q1350" s="590">
        <v>0</v>
      </c>
    </row>
    <row r="1351" spans="17:17">
      <c r="Q1351" s="590" t="s">
        <v>26</v>
      </c>
    </row>
    <row r="1354" spans="17:17">
      <c r="Q1354" s="590">
        <v>600</v>
      </c>
    </row>
    <row r="1355" spans="17:17">
      <c r="Q1355" s="590" t="s">
        <v>27</v>
      </c>
    </row>
    <row r="1368" spans="17:17">
      <c r="Q1368" s="590" t="s">
        <v>28</v>
      </c>
    </row>
    <row r="1372" spans="17:17">
      <c r="Q1372" s="590" t="s">
        <v>1014</v>
      </c>
    </row>
    <row r="1374" spans="17:17">
      <c r="Q1374" s="590" t="e">
        <v>#N/A</v>
      </c>
    </row>
    <row r="1378" spans="17:17">
      <c r="Q1378" s="590" t="s">
        <v>31</v>
      </c>
    </row>
    <row r="1395" spans="17:17">
      <c r="Q1395" s="590">
        <v>0</v>
      </c>
    </row>
    <row r="1396" spans="17:17">
      <c r="Q1396" s="590">
        <v>0</v>
      </c>
    </row>
    <row r="1397" spans="17:17">
      <c r="Q1397" s="590">
        <v>0</v>
      </c>
    </row>
    <row r="1398" spans="17:17">
      <c r="Q1398" s="590">
        <v>0</v>
      </c>
    </row>
    <row r="1399" spans="17:17">
      <c r="Q1399" s="590">
        <v>0</v>
      </c>
    </row>
    <row r="1400" spans="17:17">
      <c r="Q1400" s="590" t="s">
        <v>26</v>
      </c>
    </row>
    <row r="1403" spans="17:17">
      <c r="Q1403" s="590">
        <v>8.5000000000000006E-3</v>
      </c>
    </row>
    <row r="1404" spans="17:17">
      <c r="Q1404" s="590" t="s">
        <v>27</v>
      </c>
    </row>
    <row r="1416" spans="17:17">
      <c r="Q1416" s="590" t="s">
        <v>28</v>
      </c>
    </row>
    <row r="1420" spans="17:17">
      <c r="Q1420" s="590" t="s">
        <v>1014</v>
      </c>
    </row>
    <row r="1422" spans="17:17">
      <c r="Q1422" s="590" t="e">
        <v>#N/A</v>
      </c>
    </row>
  </sheetData>
  <sortState ref="O1:Q1422">
    <sortCondition ref="O1:O1422"/>
  </sortState>
  <mergeCells count="1">
    <mergeCell ref="A6:K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30"/>
  <sheetViews>
    <sheetView workbookViewId="0">
      <selection activeCell="F35" sqref="F35"/>
    </sheetView>
  </sheetViews>
  <sheetFormatPr baseColWidth="10" defaultColWidth="11.42578125" defaultRowHeight="12.75"/>
  <cols>
    <col min="1" max="1" width="8.42578125" style="579" customWidth="1"/>
    <col min="2" max="2" width="12.42578125" style="65" customWidth="1"/>
    <col min="3" max="3" width="48.5703125" style="65" customWidth="1"/>
    <col min="4" max="4" width="9" style="65" customWidth="1"/>
    <col min="5" max="5" width="13.5703125" style="65" bestFit="1" customWidth="1"/>
    <col min="6" max="16384" width="11.42578125" style="65"/>
  </cols>
  <sheetData>
    <row r="1" spans="1:6" s="590" customFormat="1">
      <c r="A1" s="590" t="s">
        <v>2071</v>
      </c>
    </row>
    <row r="2" spans="1:6" s="590" customFormat="1">
      <c r="A2" s="590" t="s">
        <v>2072</v>
      </c>
    </row>
    <row r="3" spans="1:6" s="590" customFormat="1">
      <c r="A3" s="590" t="s">
        <v>2073</v>
      </c>
    </row>
    <row r="4" spans="1:6" s="590" customFormat="1"/>
    <row r="5" spans="1:6" s="590" customFormat="1"/>
    <row r="6" spans="1:6" ht="15.75">
      <c r="B6" s="657" t="s">
        <v>1854</v>
      </c>
      <c r="C6" s="657"/>
      <c r="D6" s="657"/>
      <c r="E6" s="657"/>
      <c r="F6" s="657"/>
    </row>
    <row r="8" spans="1:6" s="67" customFormat="1">
      <c r="A8" s="583"/>
      <c r="B8" s="101" t="s">
        <v>1853</v>
      </c>
      <c r="C8" s="101" t="s">
        <v>1814</v>
      </c>
      <c r="D8" s="101" t="s">
        <v>1</v>
      </c>
      <c r="E8" s="656" t="s">
        <v>1855</v>
      </c>
      <c r="F8" s="656"/>
    </row>
    <row r="9" spans="1:6">
      <c r="B9" s="596"/>
      <c r="C9" s="596"/>
      <c r="D9" s="596"/>
      <c r="E9" s="597"/>
      <c r="F9" s="598"/>
    </row>
    <row r="10" spans="1:6">
      <c r="A10" s="583">
        <v>1</v>
      </c>
      <c r="B10" s="101">
        <f t="shared" ref="B10:B30" si="0">IFERROR(VLOOKUP(A10,T_NumeroItem,2,FALSE),"")</f>
        <v>1.1000000000000001</v>
      </c>
      <c r="C10" s="484" t="str">
        <f t="shared" ref="C10:C30" si="1">IFERROR(VLOOKUP(B10,T_Datos,2,FALSE),"")</f>
        <v>Limpieza, replanteo y nivelacion</v>
      </c>
      <c r="D10" s="101" t="str">
        <f t="shared" ref="D10:D30" si="2">IFERROR(VLOOKUP(B10,T_Datos,3,FALSE),"")</f>
        <v>m2</v>
      </c>
      <c r="E10" s="597"/>
      <c r="F10" s="599" t="str">
        <f>D10&amp;"/dia"</f>
        <v>m2/dia</v>
      </c>
    </row>
    <row r="11" spans="1:6">
      <c r="A11" s="583">
        <v>2</v>
      </c>
      <c r="B11" s="101">
        <f t="shared" si="0"/>
        <v>1.2</v>
      </c>
      <c r="C11" s="484" t="str">
        <f t="shared" si="1"/>
        <v>Perfilaje, limpieza, ensayos y desarrollo</v>
      </c>
      <c r="D11" s="101" t="str">
        <f t="shared" si="2"/>
        <v>m</v>
      </c>
      <c r="E11" s="597"/>
      <c r="F11" s="599" t="str">
        <f t="shared" ref="F11:F14" si="3">D11&amp;"/dia"</f>
        <v>m/dia</v>
      </c>
    </row>
    <row r="12" spans="1:6">
      <c r="A12" s="583">
        <v>3</v>
      </c>
      <c r="B12" s="101">
        <f t="shared" si="0"/>
        <v>1.3</v>
      </c>
      <c r="C12" s="484" t="str">
        <f t="shared" si="1"/>
        <v>Provision e instalacion filtros 12"</v>
      </c>
      <c r="D12" s="101" t="str">
        <f t="shared" si="2"/>
        <v>m</v>
      </c>
      <c r="E12" s="597"/>
      <c r="F12" s="599" t="str">
        <f t="shared" si="3"/>
        <v>m/dia</v>
      </c>
    </row>
    <row r="13" spans="1:6">
      <c r="A13" s="583">
        <v>4</v>
      </c>
      <c r="B13" s="101">
        <f t="shared" si="0"/>
        <v>1.4</v>
      </c>
      <c r="C13" s="484" t="str">
        <f t="shared" si="1"/>
        <v>Engravado para proteccion de filtros</v>
      </c>
      <c r="D13" s="101" t="str">
        <f t="shared" si="2"/>
        <v>m3</v>
      </c>
      <c r="E13" s="597"/>
      <c r="F13" s="599" t="str">
        <f t="shared" si="3"/>
        <v>m3/dia</v>
      </c>
    </row>
    <row r="14" spans="1:6">
      <c r="A14" s="583">
        <v>5</v>
      </c>
      <c r="B14" s="101">
        <f t="shared" si="0"/>
        <v>1.5</v>
      </c>
      <c r="C14" s="484" t="str">
        <f t="shared" si="1"/>
        <v>Provision en instalacion cañeria 12"</v>
      </c>
      <c r="D14" s="101" t="str">
        <f t="shared" si="2"/>
        <v>m</v>
      </c>
      <c r="E14" s="597"/>
      <c r="F14" s="599" t="str">
        <f t="shared" si="3"/>
        <v>m/dia</v>
      </c>
    </row>
    <row r="15" spans="1:6">
      <c r="A15" s="583">
        <v>6</v>
      </c>
      <c r="B15" s="616">
        <f t="shared" si="0"/>
        <v>1.6</v>
      </c>
      <c r="C15" s="484" t="str">
        <f t="shared" si="1"/>
        <v>Cementado para proteccion perforacion</v>
      </c>
      <c r="D15" s="616" t="str">
        <f t="shared" si="2"/>
        <v>m3</v>
      </c>
      <c r="E15" s="597"/>
      <c r="F15" s="599" t="str">
        <f t="shared" ref="F15:F30" si="4">D15&amp;"/dia"</f>
        <v>m3/dia</v>
      </c>
    </row>
    <row r="16" spans="1:6">
      <c r="A16" s="583">
        <v>7</v>
      </c>
      <c r="B16" s="616">
        <f t="shared" si="0"/>
        <v>1.7</v>
      </c>
      <c r="C16" s="484" t="str">
        <f t="shared" si="1"/>
        <v>Limpieza final</v>
      </c>
      <c r="D16" s="616" t="str">
        <f t="shared" si="2"/>
        <v>m2</v>
      </c>
      <c r="E16" s="597"/>
      <c r="F16" s="599" t="str">
        <f t="shared" si="4"/>
        <v>m2/dia</v>
      </c>
    </row>
    <row r="17" spans="1:6">
      <c r="A17" s="583">
        <v>8</v>
      </c>
      <c r="B17" s="616">
        <f t="shared" si="0"/>
        <v>2.1</v>
      </c>
      <c r="C17" s="484" t="str">
        <f t="shared" si="1"/>
        <v>Provision en instalacion electromba de 50HP</v>
      </c>
      <c r="D17" s="616" t="str">
        <f t="shared" si="2"/>
        <v>gl</v>
      </c>
      <c r="E17" s="597"/>
      <c r="F17" s="599" t="str">
        <f t="shared" si="4"/>
        <v>gl/dia</v>
      </c>
    </row>
    <row r="18" spans="1:6">
      <c r="A18" s="583">
        <v>9</v>
      </c>
      <c r="B18" s="616">
        <f t="shared" si="0"/>
        <v>2.2000000000000002</v>
      </c>
      <c r="C18" s="484" t="str">
        <f t="shared" si="1"/>
        <v>Provsion e instalacion cañeria impulsion 6"</v>
      </c>
      <c r="D18" s="616" t="str">
        <f t="shared" si="2"/>
        <v>m</v>
      </c>
      <c r="E18" s="597"/>
      <c r="F18" s="599" t="str">
        <f t="shared" si="4"/>
        <v>m/dia</v>
      </c>
    </row>
    <row r="19" spans="1:6">
      <c r="A19" s="583">
        <v>10</v>
      </c>
      <c r="B19" s="616">
        <f t="shared" si="0"/>
        <v>2.2999999999999998</v>
      </c>
      <c r="C19" s="484" t="str">
        <f t="shared" si="1"/>
        <v>Instalacion tablero de potencia y control de electrobomba sumergible con control de velocidad, sistema de iluminacion monitoreo remoto de presion y caudal</v>
      </c>
      <c r="D19" s="616" t="str">
        <f t="shared" si="2"/>
        <v>gl</v>
      </c>
      <c r="E19" s="597"/>
      <c r="F19" s="599" t="str">
        <f t="shared" si="4"/>
        <v>gl/dia</v>
      </c>
    </row>
    <row r="20" spans="1:6">
      <c r="A20" s="583">
        <v>11</v>
      </c>
      <c r="B20" s="616">
        <f t="shared" si="0"/>
        <v>2.4</v>
      </c>
      <c r="C20" s="484" t="str">
        <f t="shared" si="1"/>
        <v>Construccion caseta para tablero y aprobaciones</v>
      </c>
      <c r="D20" s="616" t="str">
        <f t="shared" si="2"/>
        <v>gl</v>
      </c>
      <c r="E20" s="597"/>
      <c r="F20" s="599" t="str">
        <f t="shared" si="4"/>
        <v>gl/dia</v>
      </c>
    </row>
    <row r="21" spans="1:6">
      <c r="A21" s="583">
        <v>12</v>
      </c>
      <c r="B21" s="616">
        <f t="shared" si="0"/>
        <v>3.1</v>
      </c>
      <c r="C21" s="484" t="str">
        <f t="shared" si="1"/>
        <v>Limpieza, replanteo y nivelacion</v>
      </c>
      <c r="D21" s="616" t="str">
        <f t="shared" si="2"/>
        <v>m</v>
      </c>
      <c r="E21" s="597"/>
      <c r="F21" s="599" t="str">
        <f t="shared" si="4"/>
        <v>m/dia</v>
      </c>
    </row>
    <row r="22" spans="1:6">
      <c r="A22" s="583">
        <v>13</v>
      </c>
      <c r="B22" s="616">
        <f t="shared" si="0"/>
        <v>3.2</v>
      </c>
      <c r="C22" s="484" t="str">
        <f t="shared" si="1"/>
        <v>Excavacion de zanja para camara subterranea</v>
      </c>
      <c r="D22" s="616" t="str">
        <f t="shared" si="2"/>
        <v>m3</v>
      </c>
      <c r="E22" s="597"/>
      <c r="F22" s="599" t="str">
        <f t="shared" si="4"/>
        <v>m3/dia</v>
      </c>
    </row>
    <row r="23" spans="1:6">
      <c r="A23" s="583">
        <v>14</v>
      </c>
      <c r="B23" s="616">
        <f t="shared" si="0"/>
        <v>3.3</v>
      </c>
      <c r="C23" s="484" t="str">
        <f t="shared" si="1"/>
        <v>Construccion de losa de fundacion H°A° H17</v>
      </c>
      <c r="D23" s="616" t="str">
        <f t="shared" si="2"/>
        <v>m3</v>
      </c>
      <c r="E23" s="597"/>
      <c r="F23" s="599" t="str">
        <f t="shared" si="4"/>
        <v>m3/dia</v>
      </c>
    </row>
    <row r="24" spans="1:6">
      <c r="A24" s="583">
        <v>15</v>
      </c>
      <c r="B24" s="616">
        <f t="shared" si="0"/>
        <v>3.4</v>
      </c>
      <c r="C24" s="484" t="str">
        <f t="shared" si="1"/>
        <v>Muros de H°A° H17</v>
      </c>
      <c r="D24" s="616" t="str">
        <f t="shared" si="2"/>
        <v>m3</v>
      </c>
      <c r="E24" s="597"/>
      <c r="F24" s="599" t="str">
        <f t="shared" si="4"/>
        <v>m3/dia</v>
      </c>
    </row>
    <row r="25" spans="1:6">
      <c r="A25" s="583">
        <v>16</v>
      </c>
      <c r="B25" s="616">
        <f t="shared" si="0"/>
        <v>3.5</v>
      </c>
      <c r="C25" s="484" t="str">
        <f t="shared" si="1"/>
        <v>Construccion de losa superior H°A° H17</v>
      </c>
      <c r="D25" s="616" t="str">
        <f t="shared" si="2"/>
        <v>m3</v>
      </c>
      <c r="E25" s="597"/>
      <c r="F25" s="599" t="str">
        <f t="shared" si="4"/>
        <v>m3/dia</v>
      </c>
    </row>
    <row r="26" spans="1:6">
      <c r="A26" s="583">
        <v>17</v>
      </c>
      <c r="B26" s="616">
        <f t="shared" si="0"/>
        <v>3.6</v>
      </c>
      <c r="C26" s="484" t="str">
        <f t="shared" si="1"/>
        <v>Tapa hermetica de ingreso</v>
      </c>
      <c r="D26" s="616" t="str">
        <f t="shared" si="2"/>
        <v>gl</v>
      </c>
      <c r="E26" s="597"/>
      <c r="F26" s="599" t="str">
        <f t="shared" si="4"/>
        <v>gl/dia</v>
      </c>
    </row>
    <row r="27" spans="1:6">
      <c r="A27" s="583">
        <v>18</v>
      </c>
      <c r="B27" s="616">
        <f t="shared" si="0"/>
        <v>3.7</v>
      </c>
      <c r="C27" s="484" t="str">
        <f t="shared" si="1"/>
        <v>Limpieza Final</v>
      </c>
      <c r="D27" s="616" t="str">
        <f t="shared" si="2"/>
        <v>m2</v>
      </c>
      <c r="E27" s="597"/>
      <c r="F27" s="599" t="str">
        <f t="shared" si="4"/>
        <v>m2/dia</v>
      </c>
    </row>
    <row r="28" spans="1:6">
      <c r="A28" s="583">
        <v>19</v>
      </c>
      <c r="B28" s="616">
        <f t="shared" si="0"/>
        <v>4.0999999999999996</v>
      </c>
      <c r="C28" s="484" t="str">
        <f t="shared" si="1"/>
        <v>Estructura de Hormigon Armado H17</v>
      </c>
      <c r="D28" s="616" t="str">
        <f t="shared" si="2"/>
        <v>m3</v>
      </c>
      <c r="E28" s="597"/>
      <c r="F28" s="599" t="str">
        <f t="shared" si="4"/>
        <v>m3/dia</v>
      </c>
    </row>
    <row r="29" spans="1:6">
      <c r="A29" s="583">
        <v>20</v>
      </c>
      <c r="B29" s="616">
        <f t="shared" si="0"/>
        <v>4.2</v>
      </c>
      <c r="C29" s="484" t="str">
        <f t="shared" si="1"/>
        <v>Hormigon de limpieza</v>
      </c>
      <c r="D29" s="616" t="str">
        <f t="shared" si="2"/>
        <v>m2</v>
      </c>
      <c r="E29" s="597"/>
      <c r="F29" s="599" t="str">
        <f t="shared" si="4"/>
        <v>m2/dia</v>
      </c>
    </row>
    <row r="30" spans="1:6">
      <c r="A30" s="583">
        <v>21</v>
      </c>
      <c r="B30" s="616">
        <f t="shared" si="0"/>
        <v>4.3</v>
      </c>
      <c r="C30" s="484" t="str">
        <f t="shared" si="1"/>
        <v>Excavacion</v>
      </c>
      <c r="D30" s="616" t="str">
        <f t="shared" si="2"/>
        <v>m3</v>
      </c>
      <c r="E30" s="597"/>
      <c r="F30" s="599" t="str">
        <f t="shared" si="4"/>
        <v>m3/dia</v>
      </c>
    </row>
  </sheetData>
  <mergeCells count="2">
    <mergeCell ref="E8:F8"/>
    <mergeCell ref="B6:F6"/>
  </mergeCells>
  <conditionalFormatting sqref="C10:C30">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121</vt:i4>
      </vt:variant>
    </vt:vector>
  </HeadingPairs>
  <TitlesOfParts>
    <vt:vector size="138" baseType="lpstr">
      <vt:lpstr>Instrucciones</vt:lpstr>
      <vt:lpstr>Datos</vt:lpstr>
      <vt:lpstr>Propuesta</vt:lpstr>
      <vt:lpstr>CyP</vt:lpstr>
      <vt:lpstr>AP</vt:lpstr>
      <vt:lpstr>PTyCI</vt:lpstr>
      <vt:lpstr>Insumos</vt:lpstr>
      <vt:lpstr>Equipos</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 Retana</dc:creator>
  <cp:lastModifiedBy>Hidraulica</cp:lastModifiedBy>
  <cp:lastPrinted>2018-11-10T14:53:10Z</cp:lastPrinted>
  <dcterms:created xsi:type="dcterms:W3CDTF">2016-09-02T20:54:46Z</dcterms:created>
  <dcterms:modified xsi:type="dcterms:W3CDTF">2020-08-18T11:44:20Z</dcterms:modified>
</cp:coreProperties>
</file>